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drawings/drawing16.xml" ContentType="application/vnd.openxmlformats-officedocument.drawing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2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24.xml" ContentType="application/vnd.openxmlformats-officedocument.drawingml.chart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5.xml" ContentType="application/vnd.openxmlformats-officedocument.drawing+xml"/>
  <Override PartName="/xl/charts/chart3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4.xml" ContentType="application/vnd.openxmlformats-officedocument.drawing+xml"/>
  <Override PartName="/xl/charts/chart4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5.xml" ContentType="application/vnd.openxmlformats-officedocument.drawing+xml"/>
  <Override PartName="/xl/charts/chart4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5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6.xml" ContentType="application/vnd.openxmlformats-officedocument.drawing+xml"/>
  <Override PartName="/xl/charts/chart5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7.xml" ContentType="application/vnd.openxmlformats-officedocument.drawing+xml"/>
  <Override PartName="/xl/charts/chart5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harts/chart5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9.xml" ContentType="application/vnd.openxmlformats-officedocument.drawing+xml"/>
  <Override PartName="/xl/charts/chart5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harts/chart5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1.xml" ContentType="application/vnd.openxmlformats-officedocument.drawing+xml"/>
  <Override PartName="/xl/charts/chart5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2.xml" ContentType="application/vnd.openxmlformats-officedocument.drawing+xml"/>
  <Override PartName="/xl/charts/chart5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3.xml" ContentType="application/vnd.openxmlformats-officedocument.drawing+xml"/>
  <Override PartName="/xl/charts/chart6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4.xml" ContentType="application/vnd.openxmlformats-officedocument.drawing+xml"/>
  <Override PartName="/xl/charts/chart6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5.xml" ContentType="application/vnd.openxmlformats-officedocument.drawing+xml"/>
  <Override PartName="/xl/charts/chart6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6.xml" ContentType="application/vnd.openxmlformats-officedocument.drawing+xml"/>
  <Override PartName="/xl/charts/chart6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7.xml" ContentType="application/vnd.openxmlformats-officedocument.drawing+xml"/>
  <Override PartName="/xl/charts/chart6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8.xml" ContentType="application/vnd.openxmlformats-officedocument.drawing+xml"/>
  <Override PartName="/xl/charts/chart6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9.xml" ContentType="application/vnd.openxmlformats-officedocument.drawing+xml"/>
  <Override PartName="/xl/charts/chart6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0.xml" ContentType="application/vnd.openxmlformats-officedocument.drawing+xml"/>
  <Override PartName="/xl/charts/chart6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7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1.xml" ContentType="application/vnd.openxmlformats-officedocument.drawing+xml"/>
  <Override PartName="/xl/charts/chart7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2.xml" ContentType="application/vnd.openxmlformats-officedocument.drawing+xml"/>
  <Override PartName="/xl/charts/chart7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3.xml" ContentType="application/vnd.openxmlformats-officedocument.drawing+xml"/>
  <Override PartName="/xl/charts/chart7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1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cuments\A Real Statistics 2020\Examples\"/>
    </mc:Choice>
  </mc:AlternateContent>
  <xr:revisionPtr revIDLastSave="0" documentId="8_{F815426F-A7CB-4EFF-83C8-B3A9DDC28106}" xr6:coauthVersionLast="47" xr6:coauthVersionMax="47" xr10:uidLastSave="{00000000-0000-0000-0000-000000000000}"/>
  <bookViews>
    <workbookView xWindow="-110" yWindow="-110" windowWidth="19420" windowHeight="10300" tabRatio="604" xr2:uid="{00000000-000D-0000-FFFF-FFFF00000000}"/>
  </bookViews>
  <sheets>
    <sheet name="TOC0" sheetId="129" r:id="rId1"/>
    <sheet name="TOC" sheetId="128" r:id="rId2"/>
    <sheet name="Error" sheetId="169" r:id="rId3"/>
    <sheet name="DM" sheetId="171" r:id="rId4"/>
    <sheet name="PT" sheetId="170" r:id="rId5"/>
    <sheet name="Moving" sheetId="1" r:id="rId6"/>
    <sheet name="Moving 1" sheetId="18" r:id="rId7"/>
    <sheet name="Moving 1a" sheetId="62" r:id="rId8"/>
    <sheet name="Weighted" sheetId="3" r:id="rId9"/>
    <sheet name="Weighted 2" sheetId="5" r:id="rId10"/>
    <sheet name="Exp" sheetId="7" r:id="rId11"/>
    <sheet name="Exp 1" sheetId="17" r:id="rId12"/>
    <sheet name="Exp 1a" sheetId="188" r:id="rId13"/>
    <sheet name="Exp 2" sheetId="8" r:id="rId14"/>
    <sheet name="Exp 3" sheetId="205" r:id="rId15"/>
    <sheet name="Holt" sheetId="11" r:id="rId16"/>
    <sheet name="Holt 2" sheetId="13" r:id="rId17"/>
    <sheet name="Holt 3" sheetId="189" r:id="rId18"/>
    <sheet name="Holt 4" sheetId="161" r:id="rId19"/>
    <sheet name="Holt 5" sheetId="216" r:id="rId20"/>
    <sheet name="Holt-Winter" sheetId="22" r:id="rId21"/>
    <sheet name="Holt-Winter 1" sheetId="23" r:id="rId22"/>
    <sheet name="Holt-Winter 2" sheetId="24" r:id="rId23"/>
    <sheet name="Holt-Winter 3" sheetId="190" r:id="rId24"/>
    <sheet name="Holt-Winters 4" sheetId="218" r:id="rId25"/>
    <sheet name="Holt-Winters 4a" sheetId="192" r:id="rId26"/>
    <sheet name="Holt-Winters 5" sheetId="193" r:id="rId27"/>
    <sheet name="HoltWinters 6" sheetId="217" r:id="rId28"/>
    <sheet name="Stationary" sheetId="54" r:id="rId29"/>
    <sheet name="ACF 0" sheetId="73" r:id="rId30"/>
    <sheet name="ACF" sheetId="25" r:id="rId31"/>
    <sheet name="PACF 1" sheetId="50" r:id="rId32"/>
    <sheet name="Correlogram" sheetId="173" r:id="rId33"/>
    <sheet name="WN 1" sheetId="74" r:id="rId34"/>
    <sheet name="RW 1" sheetId="81" r:id="rId35"/>
    <sheet name="RW 1a" sheetId="82" r:id="rId36"/>
    <sheet name="DT 1" sheetId="83" r:id="rId37"/>
    <sheet name="DT 1a" sheetId="84" r:id="rId38"/>
    <sheet name="Test 1" sheetId="131" r:id="rId39"/>
    <sheet name="Test 2" sheetId="130" r:id="rId40"/>
    <sheet name="DF 0" sheetId="149" r:id="rId41"/>
    <sheet name="DF 1" sheetId="152" r:id="rId42"/>
    <sheet name="DF 2" sheetId="151" r:id="rId43"/>
    <sheet name="ADF" sheetId="160" r:id="rId44"/>
    <sheet name="PP KPSS" sheetId="162" r:id="rId45"/>
    <sheet name="Missing 1" sheetId="199" r:id="rId46"/>
    <sheet name="Missing 2" sheetId="196" r:id="rId47"/>
    <sheet name="Missing 3" sheetId="200" r:id="rId48"/>
    <sheet name="Missing 4" sheetId="201" r:id="rId49"/>
    <sheet name="AR 1" sheetId="31" r:id="rId50"/>
    <sheet name="AR 1a" sheetId="75" r:id="rId51"/>
    <sheet name="AR 1b" sheetId="76" r:id="rId52"/>
    <sheet name="AR 1c" sheetId="86" r:id="rId53"/>
    <sheet name="AR 1d" sheetId="90" r:id="rId54"/>
    <sheet name="AR 2" sheetId="77" r:id="rId55"/>
    <sheet name="AR 2a" sheetId="89" r:id="rId56"/>
    <sheet name="AR 2b" sheetId="88" r:id="rId57"/>
    <sheet name="AR 2c" sheetId="87" r:id="rId58"/>
    <sheet name="AR 2d" sheetId="91" r:id="rId59"/>
    <sheet name="AR 3" sheetId="144" r:id="rId60"/>
    <sheet name="AR 4" sheetId="147" r:id="rId61"/>
    <sheet name="MA" sheetId="30" r:id="rId62"/>
    <sheet name="MA 1" sheetId="93" r:id="rId63"/>
    <sheet name="MA 2" sheetId="94" r:id="rId64"/>
    <sheet name="MA 3" sheetId="53" r:id="rId65"/>
    <sheet name="MA 4" sheetId="101" r:id="rId66"/>
    <sheet name="MA 5" sheetId="109" r:id="rId67"/>
    <sheet name="MA 6" sheetId="110" r:id="rId68"/>
    <sheet name="MA 7" sheetId="113" r:id="rId69"/>
    <sheet name="MA 8" sheetId="145" r:id="rId70"/>
    <sheet name="ARMA 1.1" sheetId="138" r:id="rId71"/>
    <sheet name="ARMA 1.1a" sheetId="141" r:id="rId72"/>
    <sheet name="ARMA 1.1b" sheetId="139" r:id="rId73"/>
    <sheet name="ARMA 1.1c" sheetId="143" r:id="rId74"/>
    <sheet name="ARMA 1.1d" sheetId="140" r:id="rId75"/>
    <sheet name="ARMA 1.1dd" sheetId="163" r:id="rId76"/>
    <sheet name="ARMA 1.1e" sheetId="142" r:id="rId77"/>
    <sheet name="ARMA 1.1ee" sheetId="164" r:id="rId78"/>
    <sheet name="ARMA 1.1f" sheetId="158" r:id="rId79"/>
    <sheet name="ARMA 2.1" sheetId="168" r:id="rId80"/>
    <sheet name="ARMA 2.2" sheetId="146" r:id="rId81"/>
    <sheet name="Diff" sheetId="159" r:id="rId82"/>
    <sheet name="ARIMA 1" sheetId="155" r:id="rId83"/>
    <sheet name="ARIMA 1a" sheetId="165" r:id="rId84"/>
    <sheet name="ARIMA 2" sheetId="156" r:id="rId85"/>
    <sheet name="ARIMA 2a" sheetId="166" r:id="rId86"/>
    <sheet name="ARIMA 3" sheetId="157" r:id="rId87"/>
    <sheet name="ARIMA 3a" sheetId="167" r:id="rId88"/>
    <sheet name="SARIMA" sheetId="180" r:id="rId89"/>
    <sheet name="SARIMA 1" sheetId="194" r:id="rId90"/>
    <sheet name="MK" sheetId="182" r:id="rId91"/>
    <sheet name="Sen" sheetId="183" r:id="rId92"/>
    <sheet name="MK Tool" sheetId="203" r:id="rId93"/>
    <sheet name="MK + Sen" sheetId="184" r:id="rId94"/>
    <sheet name="Granger 1" sheetId="178" r:id="rId95"/>
    <sheet name="Granger 2" sheetId="179" r:id="rId96"/>
    <sheet name="Granger 3" sheetId="185" r:id="rId97"/>
    <sheet name="Granger 4" sheetId="186" r:id="rId98"/>
    <sheet name="Engle" sheetId="177" r:id="rId99"/>
    <sheet name="Cross" sheetId="204" r:id="rId100"/>
    <sheet name="ARIMAX" sheetId="198" r:id="rId101"/>
    <sheet name="ARIMAX 1" sheetId="202" r:id="rId102"/>
    <sheet name="Crime" sheetId="209" r:id="rId103"/>
    <sheet name="Diff 2" sheetId="210" r:id="rId104"/>
    <sheet name="Demean 2" sheetId="211" r:id="rId105"/>
    <sheet name="Diff 3" sheetId="212" r:id="rId106"/>
    <sheet name="Demean 3" sheetId="213" r:id="rId107"/>
    <sheet name="LSDV" sheetId="214" r:id="rId108"/>
    <sheet name="REM" sheetId="215" r:id="rId109"/>
    <sheet name="Markov" sheetId="28" r:id="rId110"/>
    <sheet name="Markov 1" sheetId="29" r:id="rId111"/>
    <sheet name="ADF Table" sheetId="150" r:id="rId112"/>
    <sheet name="EG Table" sheetId="181" r:id="rId113"/>
    <sheet name="Sheet1" sheetId="208" r:id="rId114"/>
  </sheets>
  <definedNames>
    <definedName name="DataRange" localSheetId="12">#REF!</definedName>
    <definedName name="DataRange" localSheetId="17">#REF!</definedName>
    <definedName name="DataRange">#REF!</definedName>
    <definedName name="solver_adj" localSheetId="52" hidden="1">'AR 1c'!$F$5:$F$6</definedName>
    <definedName name="solver_adj" localSheetId="57" hidden="1">'AR 2c'!$F$5:$F$7</definedName>
    <definedName name="solver_adj" localSheetId="60" hidden="1">'AR 4'!$I$91:$J$93</definedName>
    <definedName name="solver_adj" localSheetId="82" hidden="1">'ARIMA 1'!#REF!</definedName>
    <definedName name="solver_adj" localSheetId="83" hidden="1">'ARIMA 1a'!$I$4:$J$5</definedName>
    <definedName name="solver_adj" localSheetId="84" hidden="1">'ARIMA 2'!#REF!</definedName>
    <definedName name="solver_adj" localSheetId="85" hidden="1">'ARIMA 2a'!$I$4:$J$6</definedName>
    <definedName name="solver_adj" localSheetId="86" hidden="1">'ARIMA 3'!#REF!</definedName>
    <definedName name="solver_adj" localSheetId="87" hidden="1">'ARIMA 3a'!$I$4:$J$6</definedName>
    <definedName name="solver_adj" localSheetId="70" hidden="1">'ARMA 1.1'!#REF!</definedName>
    <definedName name="solver_adj" localSheetId="72" hidden="1">'ARMA 1.1b'!$J$8:$K$8</definedName>
    <definedName name="solver_adj" localSheetId="76" hidden="1">'ARMA 1.1e'!$J$6:$K$7</definedName>
    <definedName name="solver_adj" localSheetId="80" hidden="1">'ARMA 2.2'!#REF!</definedName>
    <definedName name="solver_adj" localSheetId="12" hidden="1">'Exp 1a'!#REF!</definedName>
    <definedName name="solver_adj" localSheetId="13" hidden="1">'Exp 2'!$V$21</definedName>
    <definedName name="solver_adj" localSheetId="14" hidden="1">'Exp 3'!$E$5</definedName>
    <definedName name="solver_adj" localSheetId="16" hidden="1">'Holt 2'!$B$21:$C$21</definedName>
    <definedName name="solver_adj" localSheetId="17" hidden="1">'Holt 3'!#REF!</definedName>
    <definedName name="solver_adj" localSheetId="18" hidden="1">'Holt 4'!$B$21:$C$21</definedName>
    <definedName name="solver_adj" localSheetId="19" hidden="1">'Holt 5'!$E$27:$F$27</definedName>
    <definedName name="solver_adj" localSheetId="22" hidden="1">'Holt-Winter 2'!$C$22:$E$22</definedName>
    <definedName name="solver_adj" localSheetId="24" hidden="1">'Holt-Winters 4'!$F$23:$H$23</definedName>
    <definedName name="solver_adj" localSheetId="25" hidden="1">'Holt-Winters 4a'!$F$23:$H$23</definedName>
    <definedName name="solver_adj" localSheetId="26" hidden="1">'Holt-Winters 5'!$F$26:$H$26</definedName>
    <definedName name="solver_adj" localSheetId="27" hidden="1">'HoltWinters 6'!$F$30:$H$30</definedName>
    <definedName name="solver_adj" localSheetId="66" hidden="1">'MA 5'!$G$3</definedName>
    <definedName name="solver_adj" localSheetId="67" hidden="1">'MA 6'!$G$3:$G$4</definedName>
    <definedName name="solver_adj" localSheetId="68" hidden="1">'MA 7'!#REF!</definedName>
    <definedName name="solver_adj" localSheetId="88" hidden="1">SARIMA!$M$3:$M$7</definedName>
    <definedName name="solver_adj" localSheetId="9" hidden="1">'Weighted 2'!$G$4:$G$6</definedName>
    <definedName name="solver_cvg" localSheetId="52" hidden="1">0.0001</definedName>
    <definedName name="solver_cvg" localSheetId="57" hidden="1">0.0001</definedName>
    <definedName name="solver_cvg" localSheetId="72" hidden="1">0.0001</definedName>
    <definedName name="solver_cvg" localSheetId="13" hidden="1">0.0001</definedName>
    <definedName name="solver_cvg" localSheetId="16" hidden="1">0.0001</definedName>
    <definedName name="solver_cvg" localSheetId="18" hidden="1">0.0001</definedName>
    <definedName name="solver_cvg" localSheetId="22" hidden="1">0.0001</definedName>
    <definedName name="solver_cvg" localSheetId="25" hidden="1">0.0001</definedName>
    <definedName name="solver_cvg" localSheetId="66" hidden="1">0.0001</definedName>
    <definedName name="solver_cvg" localSheetId="67" hidden="1">0.0001</definedName>
    <definedName name="solver_cvg" localSheetId="68" hidden="1">0.0001</definedName>
    <definedName name="solver_cvg" localSheetId="9" hidden="1">0.0001</definedName>
    <definedName name="solver_drv" localSheetId="52" hidden="1">1</definedName>
    <definedName name="solver_drv" localSheetId="57" hidden="1">2</definedName>
    <definedName name="solver_drv" localSheetId="72" hidden="1">2</definedName>
    <definedName name="solver_drv" localSheetId="13" hidden="1">1</definedName>
    <definedName name="solver_drv" localSheetId="16" hidden="1">1</definedName>
    <definedName name="solver_drv" localSheetId="18" hidden="1">1</definedName>
    <definedName name="solver_drv" localSheetId="22" hidden="1">1</definedName>
    <definedName name="solver_drv" localSheetId="25" hidden="1">2</definedName>
    <definedName name="solver_drv" localSheetId="66" hidden="1">2</definedName>
    <definedName name="solver_drv" localSheetId="67" hidden="1">1</definedName>
    <definedName name="solver_drv" localSheetId="68" hidden="1">1</definedName>
    <definedName name="solver_drv" localSheetId="9" hidden="1">2</definedName>
    <definedName name="solver_eng" localSheetId="52" hidden="1">1</definedName>
    <definedName name="solver_eng" localSheetId="57" hidden="1">1</definedName>
    <definedName name="solver_eng" localSheetId="60" hidden="1">1</definedName>
    <definedName name="solver_eng" localSheetId="82" hidden="1">1</definedName>
    <definedName name="solver_eng" localSheetId="83" hidden="1">1</definedName>
    <definedName name="solver_eng" localSheetId="84" hidden="1">1</definedName>
    <definedName name="solver_eng" localSheetId="85" hidden="1">1</definedName>
    <definedName name="solver_eng" localSheetId="86" hidden="1">1</definedName>
    <definedName name="solver_eng" localSheetId="87" hidden="1">1</definedName>
    <definedName name="solver_eng" localSheetId="70" hidden="1">1</definedName>
    <definedName name="solver_eng" localSheetId="72" hidden="1">1</definedName>
    <definedName name="solver_eng" localSheetId="76" hidden="1">1</definedName>
    <definedName name="solver_eng" localSheetId="80" hidden="1">1</definedName>
    <definedName name="solver_eng" localSheetId="12" hidden="1">1</definedName>
    <definedName name="solver_eng" localSheetId="13" hidden="1">1</definedName>
    <definedName name="solver_eng" localSheetId="14" hidden="1">1</definedName>
    <definedName name="solver_eng" localSheetId="16" hidden="1">1</definedName>
    <definedName name="solver_eng" localSheetId="17" hidden="1">1</definedName>
    <definedName name="solver_eng" localSheetId="18" hidden="1">1</definedName>
    <definedName name="solver_eng" localSheetId="19" hidden="1">1</definedName>
    <definedName name="solver_eng" localSheetId="22" hidden="1">1</definedName>
    <definedName name="solver_eng" localSheetId="24" hidden="1">1</definedName>
    <definedName name="solver_eng" localSheetId="25" hidden="1">1</definedName>
    <definedName name="solver_eng" localSheetId="26" hidden="1">1</definedName>
    <definedName name="solver_eng" localSheetId="27" hidden="1">1</definedName>
    <definedName name="solver_eng" localSheetId="66" hidden="1">1</definedName>
    <definedName name="solver_eng" localSheetId="67" hidden="1">1</definedName>
    <definedName name="solver_eng" localSheetId="68" hidden="1">1</definedName>
    <definedName name="solver_eng" localSheetId="88" hidden="1">1</definedName>
    <definedName name="solver_eng" localSheetId="9" hidden="1">1</definedName>
    <definedName name="solver_est" localSheetId="52" hidden="1">1</definedName>
    <definedName name="solver_est" localSheetId="57" hidden="1">1</definedName>
    <definedName name="solver_est" localSheetId="72" hidden="1">1</definedName>
    <definedName name="solver_est" localSheetId="13" hidden="1">1</definedName>
    <definedName name="solver_est" localSheetId="16" hidden="1">1</definedName>
    <definedName name="solver_est" localSheetId="18" hidden="1">1</definedName>
    <definedName name="solver_est" localSheetId="22" hidden="1">1</definedName>
    <definedName name="solver_est" localSheetId="25" hidden="1">1</definedName>
    <definedName name="solver_est" localSheetId="66" hidden="1">1</definedName>
    <definedName name="solver_est" localSheetId="67" hidden="1">1</definedName>
    <definedName name="solver_est" localSheetId="68" hidden="1">1</definedName>
    <definedName name="solver_est" localSheetId="9" hidden="1">1</definedName>
    <definedName name="solver_itr" localSheetId="52" hidden="1">2147483647</definedName>
    <definedName name="solver_itr" localSheetId="57" hidden="1">2147483647</definedName>
    <definedName name="solver_itr" localSheetId="72" hidden="1">2147483647</definedName>
    <definedName name="solver_itr" localSheetId="13" hidden="1">2147483647</definedName>
    <definedName name="solver_itr" localSheetId="16" hidden="1">2147483647</definedName>
    <definedName name="solver_itr" localSheetId="18" hidden="1">2147483647</definedName>
    <definedName name="solver_itr" localSheetId="22" hidden="1">2147483647</definedName>
    <definedName name="solver_itr" localSheetId="25" hidden="1">2147483647</definedName>
    <definedName name="solver_itr" localSheetId="66" hidden="1">2147483647</definedName>
    <definedName name="solver_itr" localSheetId="67" hidden="1">2147483647</definedName>
    <definedName name="solver_itr" localSheetId="68" hidden="1">2147483647</definedName>
    <definedName name="solver_itr" localSheetId="9" hidden="1">2147483647</definedName>
    <definedName name="solver_lhs1" localSheetId="52" hidden="1">'AR 1c'!$F$12</definedName>
    <definedName name="solver_lhs1" localSheetId="57" hidden="1">'AR 2c'!$F$13</definedName>
    <definedName name="solver_lhs1" localSheetId="12" hidden="1">'Exp 1a'!#REF!</definedName>
    <definedName name="solver_lhs1" localSheetId="13" hidden="1">'Exp 2'!$V$21</definedName>
    <definedName name="solver_lhs1" localSheetId="14" hidden="1">'Exp 3'!$E$5</definedName>
    <definedName name="solver_lhs1" localSheetId="16" hidden="1">'Holt 2'!$B$21</definedName>
    <definedName name="solver_lhs1" localSheetId="17" hidden="1">'Holt 3'!#REF!</definedName>
    <definedName name="solver_lhs1" localSheetId="18" hidden="1">'Holt 4'!$B$21</definedName>
    <definedName name="solver_lhs1" localSheetId="19" hidden="1">'Holt 5'!$E$27</definedName>
    <definedName name="solver_lhs1" localSheetId="22" hidden="1">'Holt-Winter 2'!$C$22</definedName>
    <definedName name="solver_lhs1" localSheetId="24" hidden="1">'Holt-Winters 4'!$F$23</definedName>
    <definedName name="solver_lhs1" localSheetId="25" hidden="1">'Holt-Winters 4a'!$F$23</definedName>
    <definedName name="solver_lhs1" localSheetId="26" hidden="1">'Holt-Winters 5'!$F$26</definedName>
    <definedName name="solver_lhs1" localSheetId="27" hidden="1">'HoltWinters 6'!$F$30</definedName>
    <definedName name="solver_lhs1" localSheetId="66" hidden="1">'MA 5'!$G$3</definedName>
    <definedName name="solver_lhs1" localSheetId="67" hidden="1">'MA 6'!$G$3</definedName>
    <definedName name="solver_lhs1" localSheetId="68" hidden="1">'MA 7'!$J$5</definedName>
    <definedName name="solver_lhs1" localSheetId="9" hidden="1">'Weighted 2'!$G$7</definedName>
    <definedName name="solver_lhs2" localSheetId="57" hidden="1">'AR 2c'!$F$16</definedName>
    <definedName name="solver_lhs2" localSheetId="16" hidden="1">'Holt 2'!$C$21</definedName>
    <definedName name="solver_lhs2" localSheetId="17" hidden="1">'Holt 3'!#REF!</definedName>
    <definedName name="solver_lhs2" localSheetId="18" hidden="1">'Holt 4'!$C$21</definedName>
    <definedName name="solver_lhs2" localSheetId="19" hidden="1">'Holt 5'!$F$27</definedName>
    <definedName name="solver_lhs2" localSheetId="22" hidden="1">'Holt-Winter 2'!$D$22</definedName>
    <definedName name="solver_lhs2" localSheetId="24" hidden="1">'Holt-Winters 4'!$G$23</definedName>
    <definedName name="solver_lhs2" localSheetId="25" hidden="1">'Holt-Winters 4a'!$G$23</definedName>
    <definedName name="solver_lhs2" localSheetId="26" hidden="1">'Holt-Winters 5'!$G$26</definedName>
    <definedName name="solver_lhs2" localSheetId="27" hidden="1">'HoltWinters 6'!$G$30</definedName>
    <definedName name="solver_lhs2" localSheetId="66" hidden="1">'MA 5'!$G$3</definedName>
    <definedName name="solver_lhs2" localSheetId="67" hidden="1">'MA 6'!$G$3</definedName>
    <definedName name="solver_lhs2" localSheetId="68" hidden="1">'MA 7'!$J$5</definedName>
    <definedName name="solver_lhs2" localSheetId="9" hidden="1">'Weighted 2'!$G$7</definedName>
    <definedName name="solver_lhs3" localSheetId="22" hidden="1">'Holt-Winter 2'!$F$22</definedName>
    <definedName name="solver_lhs3" localSheetId="24" hidden="1">'Holt-Winters 4'!$H$23</definedName>
    <definedName name="solver_lhs3" localSheetId="25" hidden="1">'Holt-Winters 4a'!$H$24</definedName>
    <definedName name="solver_lhs3" localSheetId="26" hidden="1">'Holt-Winters 5'!$H$27</definedName>
    <definedName name="solver_lhs3" localSheetId="27" hidden="1">'HoltWinters 6'!$H$30</definedName>
    <definedName name="solver_lhs3" localSheetId="67" hidden="1">'MA 6'!$G$4</definedName>
    <definedName name="solver_lhs3" localSheetId="68" hidden="1">'MA 7'!$J$5</definedName>
    <definedName name="solver_lhs4" localSheetId="67" hidden="1">'MA 6'!$G$4</definedName>
    <definedName name="solver_mip" localSheetId="52" hidden="1">2147483647</definedName>
    <definedName name="solver_mip" localSheetId="57" hidden="1">2147483647</definedName>
    <definedName name="solver_mip" localSheetId="72" hidden="1">2147483647</definedName>
    <definedName name="solver_mip" localSheetId="13" hidden="1">2147483647</definedName>
    <definedName name="solver_mip" localSheetId="16" hidden="1">2147483647</definedName>
    <definedName name="solver_mip" localSheetId="18" hidden="1">2147483647</definedName>
    <definedName name="solver_mip" localSheetId="22" hidden="1">2147483647</definedName>
    <definedName name="solver_mip" localSheetId="25" hidden="1">2147483647</definedName>
    <definedName name="solver_mip" localSheetId="66" hidden="1">2147483647</definedName>
    <definedName name="solver_mip" localSheetId="67" hidden="1">2147483647</definedName>
    <definedName name="solver_mip" localSheetId="68" hidden="1">2147483647</definedName>
    <definedName name="solver_mip" localSheetId="9" hidden="1">2147483647</definedName>
    <definedName name="solver_mni" localSheetId="52" hidden="1">30</definedName>
    <definedName name="solver_mni" localSheetId="57" hidden="1">30</definedName>
    <definedName name="solver_mni" localSheetId="72" hidden="1">30</definedName>
    <definedName name="solver_mni" localSheetId="13" hidden="1">30</definedName>
    <definedName name="solver_mni" localSheetId="16" hidden="1">30</definedName>
    <definedName name="solver_mni" localSheetId="18" hidden="1">30</definedName>
    <definedName name="solver_mni" localSheetId="22" hidden="1">30</definedName>
    <definedName name="solver_mni" localSheetId="25" hidden="1">30</definedName>
    <definedName name="solver_mni" localSheetId="66" hidden="1">30</definedName>
    <definedName name="solver_mni" localSheetId="67" hidden="1">30</definedName>
    <definedName name="solver_mni" localSheetId="68" hidden="1">30</definedName>
    <definedName name="solver_mni" localSheetId="9" hidden="1">30</definedName>
    <definedName name="solver_mrt" localSheetId="52" hidden="1">0.075</definedName>
    <definedName name="solver_mrt" localSheetId="57" hidden="1">0.075</definedName>
    <definedName name="solver_mrt" localSheetId="72" hidden="1">0.075</definedName>
    <definedName name="solver_mrt" localSheetId="13" hidden="1">0.075</definedName>
    <definedName name="solver_mrt" localSheetId="16" hidden="1">0.075</definedName>
    <definedName name="solver_mrt" localSheetId="18" hidden="1">0.075</definedName>
    <definedName name="solver_mrt" localSheetId="22" hidden="1">0.075</definedName>
    <definedName name="solver_mrt" localSheetId="25" hidden="1">0.075</definedName>
    <definedName name="solver_mrt" localSheetId="66" hidden="1">0.075</definedName>
    <definedName name="solver_mrt" localSheetId="67" hidden="1">0.075</definedName>
    <definedName name="solver_mrt" localSheetId="68" hidden="1">0.075</definedName>
    <definedName name="solver_mrt" localSheetId="9" hidden="1">0.075</definedName>
    <definedName name="solver_msl" localSheetId="52" hidden="1">2</definedName>
    <definedName name="solver_msl" localSheetId="57" hidden="1">2</definedName>
    <definedName name="solver_msl" localSheetId="72" hidden="1">2</definedName>
    <definedName name="solver_msl" localSheetId="13" hidden="1">2</definedName>
    <definedName name="solver_msl" localSheetId="16" hidden="1">2</definedName>
    <definedName name="solver_msl" localSheetId="18" hidden="1">2</definedName>
    <definedName name="solver_msl" localSheetId="22" hidden="1">2</definedName>
    <definedName name="solver_msl" localSheetId="25" hidden="1">2</definedName>
    <definedName name="solver_msl" localSheetId="66" hidden="1">2</definedName>
    <definedName name="solver_msl" localSheetId="67" hidden="1">2</definedName>
    <definedName name="solver_msl" localSheetId="68" hidden="1">2</definedName>
    <definedName name="solver_msl" localSheetId="9" hidden="1">2</definedName>
    <definedName name="solver_neg" localSheetId="52" hidden="1">2</definedName>
    <definedName name="solver_neg" localSheetId="57" hidden="1">2</definedName>
    <definedName name="solver_neg" localSheetId="60" hidden="1">2</definedName>
    <definedName name="solver_neg" localSheetId="82" hidden="1">2</definedName>
    <definedName name="solver_neg" localSheetId="83" hidden="1">2</definedName>
    <definedName name="solver_neg" localSheetId="84" hidden="1">2</definedName>
    <definedName name="solver_neg" localSheetId="85" hidden="1">2</definedName>
    <definedName name="solver_neg" localSheetId="86" hidden="1">2</definedName>
    <definedName name="solver_neg" localSheetId="87" hidden="1">2</definedName>
    <definedName name="solver_neg" localSheetId="70" hidden="1">2</definedName>
    <definedName name="solver_neg" localSheetId="72" hidden="1">2</definedName>
    <definedName name="solver_neg" localSheetId="76" hidden="1">2</definedName>
    <definedName name="solver_neg" localSheetId="80" hidden="1">2</definedName>
    <definedName name="solver_neg" localSheetId="12" hidden="1">1</definedName>
    <definedName name="solver_neg" localSheetId="13" hidden="1">1</definedName>
    <definedName name="solver_neg" localSheetId="14" hidden="1">1</definedName>
    <definedName name="solver_neg" localSheetId="16" hidden="1">1</definedName>
    <definedName name="solver_neg" localSheetId="17" hidden="1">1</definedName>
    <definedName name="solver_neg" localSheetId="18" hidden="1">2</definedName>
    <definedName name="solver_neg" localSheetId="19" hidden="1">1</definedName>
    <definedName name="solver_neg" localSheetId="22" hidden="1">2</definedName>
    <definedName name="solver_neg" localSheetId="24" hidden="1">1</definedName>
    <definedName name="solver_neg" localSheetId="25" hidden="1">1</definedName>
    <definedName name="solver_neg" localSheetId="26" hidden="1">1</definedName>
    <definedName name="solver_neg" localSheetId="27" hidden="1">1</definedName>
    <definedName name="solver_neg" localSheetId="66" hidden="1">2</definedName>
    <definedName name="solver_neg" localSheetId="67" hidden="1">2</definedName>
    <definedName name="solver_neg" localSheetId="68" hidden="1">2</definedName>
    <definedName name="solver_neg" localSheetId="88" hidden="1">2</definedName>
    <definedName name="solver_neg" localSheetId="9" hidden="1">1</definedName>
    <definedName name="solver_nod" localSheetId="52" hidden="1">2147483647</definedName>
    <definedName name="solver_nod" localSheetId="57" hidden="1">2147483647</definedName>
    <definedName name="solver_nod" localSheetId="72" hidden="1">2147483647</definedName>
    <definedName name="solver_nod" localSheetId="13" hidden="1">2147483647</definedName>
    <definedName name="solver_nod" localSheetId="16" hidden="1">2147483647</definedName>
    <definedName name="solver_nod" localSheetId="18" hidden="1">2147483647</definedName>
    <definedName name="solver_nod" localSheetId="22" hidden="1">2147483647</definedName>
    <definedName name="solver_nod" localSheetId="25" hidden="1">2147483647</definedName>
    <definedName name="solver_nod" localSheetId="66" hidden="1">2147483647</definedName>
    <definedName name="solver_nod" localSheetId="67" hidden="1">2147483647</definedName>
    <definedName name="solver_nod" localSheetId="68" hidden="1">2147483647</definedName>
    <definedName name="solver_nod" localSheetId="9" hidden="1">2147483647</definedName>
    <definedName name="solver_num" localSheetId="52" hidden="1">1</definedName>
    <definedName name="solver_num" localSheetId="57" hidden="1">2</definedName>
    <definedName name="solver_num" localSheetId="60" hidden="1">0</definedName>
    <definedName name="solver_num" localSheetId="82" hidden="1">0</definedName>
    <definedName name="solver_num" localSheetId="83" hidden="1">0</definedName>
    <definedName name="solver_num" localSheetId="84" hidden="1">0</definedName>
    <definedName name="solver_num" localSheetId="85" hidden="1">0</definedName>
    <definedName name="solver_num" localSheetId="86" hidden="1">0</definedName>
    <definedName name="solver_num" localSheetId="87" hidden="1">0</definedName>
    <definedName name="solver_num" localSheetId="70" hidden="1">0</definedName>
    <definedName name="solver_num" localSheetId="72" hidden="1">0</definedName>
    <definedName name="solver_num" localSheetId="76" hidden="1">0</definedName>
    <definedName name="solver_num" localSheetId="80" hidden="1">0</definedName>
    <definedName name="solver_num" localSheetId="12" hidden="1">1</definedName>
    <definedName name="solver_num" localSheetId="13" hidden="1">1</definedName>
    <definedName name="solver_num" localSheetId="14" hidden="1">1</definedName>
    <definedName name="solver_num" localSheetId="16" hidden="1">2</definedName>
    <definedName name="solver_num" localSheetId="17" hidden="1">2</definedName>
    <definedName name="solver_num" localSheetId="18" hidden="1">2</definedName>
    <definedName name="solver_num" localSheetId="19" hidden="1">2</definedName>
    <definedName name="solver_num" localSheetId="22" hidden="1">3</definedName>
    <definedName name="solver_num" localSheetId="24" hidden="1">3</definedName>
    <definedName name="solver_num" localSheetId="25" hidden="1">3</definedName>
    <definedName name="solver_num" localSheetId="26" hidden="1">3</definedName>
    <definedName name="solver_num" localSheetId="27" hidden="1">3</definedName>
    <definedName name="solver_num" localSheetId="66" hidden="1">2</definedName>
    <definedName name="solver_num" localSheetId="67" hidden="1">4</definedName>
    <definedName name="solver_num" localSheetId="68" hidden="1">0</definedName>
    <definedName name="solver_num" localSheetId="88" hidden="1">0</definedName>
    <definedName name="solver_num" localSheetId="9" hidden="1">1</definedName>
    <definedName name="solver_nwt" localSheetId="52" hidden="1">1</definedName>
    <definedName name="solver_nwt" localSheetId="57" hidden="1">1</definedName>
    <definedName name="solver_nwt" localSheetId="72" hidden="1">1</definedName>
    <definedName name="solver_nwt" localSheetId="13" hidden="1">1</definedName>
    <definedName name="solver_nwt" localSheetId="16" hidden="1">1</definedName>
    <definedName name="solver_nwt" localSheetId="18" hidden="1">1</definedName>
    <definedName name="solver_nwt" localSheetId="22" hidden="1">1</definedName>
    <definedName name="solver_nwt" localSheetId="25" hidden="1">1</definedName>
    <definedName name="solver_nwt" localSheetId="66" hidden="1">1</definedName>
    <definedName name="solver_nwt" localSheetId="67" hidden="1">1</definedName>
    <definedName name="solver_nwt" localSheetId="68" hidden="1">1</definedName>
    <definedName name="solver_nwt" localSheetId="9" hidden="1">1</definedName>
    <definedName name="solver_opt" localSheetId="52" hidden="1">'AR 1c'!$F$9</definedName>
    <definedName name="solver_opt" localSheetId="57" hidden="1">'AR 2c'!$F$10</definedName>
    <definedName name="solver_opt" localSheetId="60" hidden="1">'AR 4'!$J$96</definedName>
    <definedName name="solver_opt" localSheetId="82" hidden="1">'ARIMA 1'!#REF!</definedName>
    <definedName name="solver_opt" localSheetId="83" hidden="1">'ARIMA 1a'!$J$8</definedName>
    <definedName name="solver_opt" localSheetId="84" hidden="1">'ARIMA 2'!#REF!</definedName>
    <definedName name="solver_opt" localSheetId="85" hidden="1">'ARIMA 2a'!$J$8</definedName>
    <definedName name="solver_opt" localSheetId="86" hidden="1">'ARIMA 3'!#REF!</definedName>
    <definedName name="solver_opt" localSheetId="87" hidden="1">'ARIMA 3a'!$J$8</definedName>
    <definedName name="solver_opt" localSheetId="70" hidden="1">'ARMA 1.1'!#REF!</definedName>
    <definedName name="solver_opt" localSheetId="72" hidden="1">'ARMA 1.1b'!$K$11</definedName>
    <definedName name="solver_opt" localSheetId="76" hidden="1">'ARMA 1.1e'!$K$9</definedName>
    <definedName name="solver_opt" localSheetId="80" hidden="1">'ARMA 2.2'!#REF!</definedName>
    <definedName name="solver_opt" localSheetId="12" hidden="1">'Exp 1a'!#REF!</definedName>
    <definedName name="solver_opt" localSheetId="13" hidden="1">'Exp 2'!$Y$21</definedName>
    <definedName name="solver_opt" localSheetId="14" hidden="1">'Exp 3'!$E$26</definedName>
    <definedName name="solver_opt" localSheetId="16" hidden="1">'Holt 2'!$E$21</definedName>
    <definedName name="solver_opt" localSheetId="17" hidden="1">'Holt 3'!#REF!</definedName>
    <definedName name="solver_opt" localSheetId="18" hidden="1">'Holt 4'!$F$21</definedName>
    <definedName name="solver_opt" localSheetId="19" hidden="1">'Holt 5'!$G$27</definedName>
    <definedName name="solver_opt" localSheetId="22" hidden="1">'Holt-Winter 2'!$I$22</definedName>
    <definedName name="solver_opt" localSheetId="24" hidden="1">'Holt-Winters 4'!$I$23</definedName>
    <definedName name="solver_opt" localSheetId="25" hidden="1">'Holt-Winters 4a'!$I$23</definedName>
    <definedName name="solver_opt" localSheetId="26" hidden="1">'Holt-Winters 5'!$J$26</definedName>
    <definedName name="solver_opt" localSheetId="27" hidden="1">'HoltWinters 6'!$J$30</definedName>
    <definedName name="solver_opt" localSheetId="66" hidden="1">'MA 5'!$G$6</definedName>
    <definedName name="solver_opt" localSheetId="67" hidden="1">'MA 6'!$G$7</definedName>
    <definedName name="solver_opt" localSheetId="68" hidden="1">'MA 7'!#REF!</definedName>
    <definedName name="solver_opt" localSheetId="88" hidden="1">SARIMA!$I$10</definedName>
    <definedName name="solver_opt" localSheetId="9" hidden="1">'Weighted 2'!$E$21</definedName>
    <definedName name="solver_pre" localSheetId="52" hidden="1">0.000001</definedName>
    <definedName name="solver_pre" localSheetId="57" hidden="1">0.000001</definedName>
    <definedName name="solver_pre" localSheetId="72" hidden="1">0.000001</definedName>
    <definedName name="solver_pre" localSheetId="13" hidden="1">0.000001</definedName>
    <definedName name="solver_pre" localSheetId="16" hidden="1">0.000001</definedName>
    <definedName name="solver_pre" localSheetId="18" hidden="1">0.000001</definedName>
    <definedName name="solver_pre" localSheetId="22" hidden="1">0.000001</definedName>
    <definedName name="solver_pre" localSheetId="25" hidden="1">0.000001</definedName>
    <definedName name="solver_pre" localSheetId="66" hidden="1">0.000001</definedName>
    <definedName name="solver_pre" localSheetId="67" hidden="1">0.000001</definedName>
    <definedName name="solver_pre" localSheetId="68" hidden="1">0.000001</definedName>
    <definedName name="solver_pre" localSheetId="9" hidden="1">0.000001</definedName>
    <definedName name="solver_rbv" localSheetId="52" hidden="1">1</definedName>
    <definedName name="solver_rbv" localSheetId="57" hidden="1">2</definedName>
    <definedName name="solver_rbv" localSheetId="72" hidden="1">2</definedName>
    <definedName name="solver_rbv" localSheetId="13" hidden="1">1</definedName>
    <definedName name="solver_rbv" localSheetId="16" hidden="1">1</definedName>
    <definedName name="solver_rbv" localSheetId="18" hidden="1">1</definedName>
    <definedName name="solver_rbv" localSheetId="22" hidden="1">1</definedName>
    <definedName name="solver_rbv" localSheetId="25" hidden="1">2</definedName>
    <definedName name="solver_rbv" localSheetId="66" hidden="1">2</definedName>
    <definedName name="solver_rbv" localSheetId="67" hidden="1">1</definedName>
    <definedName name="solver_rbv" localSheetId="68" hidden="1">1</definedName>
    <definedName name="solver_rbv" localSheetId="9" hidden="1">2</definedName>
    <definedName name="solver_rel1" localSheetId="52" hidden="1">1</definedName>
    <definedName name="solver_rel1" localSheetId="57" hidden="1">1</definedName>
    <definedName name="solver_rel1" localSheetId="12" hidden="1">1</definedName>
    <definedName name="solver_rel1" localSheetId="13" hidden="1">1</definedName>
    <definedName name="solver_rel1" localSheetId="14" hidden="1">1</definedName>
    <definedName name="solver_rel1" localSheetId="16" hidden="1">1</definedName>
    <definedName name="solver_rel1" localSheetId="17" hidden="1">1</definedName>
    <definedName name="solver_rel1" localSheetId="18" hidden="1">1</definedName>
    <definedName name="solver_rel1" localSheetId="19" hidden="1">1</definedName>
    <definedName name="solver_rel1" localSheetId="22" hidden="1">1</definedName>
    <definedName name="solver_rel1" localSheetId="24" hidden="1">1</definedName>
    <definedName name="solver_rel1" localSheetId="25" hidden="1">1</definedName>
    <definedName name="solver_rel1" localSheetId="26" hidden="1">1</definedName>
    <definedName name="solver_rel1" localSheetId="27" hidden="1">1</definedName>
    <definedName name="solver_rel1" localSheetId="66" hidden="1">1</definedName>
    <definedName name="solver_rel1" localSheetId="67" hidden="1">1</definedName>
    <definedName name="solver_rel1" localSheetId="68" hidden="1">1</definedName>
    <definedName name="solver_rel1" localSheetId="9" hidden="1">2</definedName>
    <definedName name="solver_rel2" localSheetId="57" hidden="1">1</definedName>
    <definedName name="solver_rel2" localSheetId="16" hidden="1">1</definedName>
    <definedName name="solver_rel2" localSheetId="17" hidden="1">1</definedName>
    <definedName name="solver_rel2" localSheetId="18" hidden="1">1</definedName>
    <definedName name="solver_rel2" localSheetId="19" hidden="1">1</definedName>
    <definedName name="solver_rel2" localSheetId="22" hidden="1">1</definedName>
    <definedName name="solver_rel2" localSheetId="24" hidden="1">1</definedName>
    <definedName name="solver_rel2" localSheetId="25" hidden="1">1</definedName>
    <definedName name="solver_rel2" localSheetId="26" hidden="1">1</definedName>
    <definedName name="solver_rel2" localSheetId="27" hidden="1">1</definedName>
    <definedName name="solver_rel2" localSheetId="66" hidden="1">3</definedName>
    <definedName name="solver_rel2" localSheetId="67" hidden="1">3</definedName>
    <definedName name="solver_rel2" localSheetId="68" hidden="1">1</definedName>
    <definedName name="solver_rel2" localSheetId="9" hidden="1">2</definedName>
    <definedName name="solver_rel3" localSheetId="22" hidden="1">1</definedName>
    <definedName name="solver_rel3" localSheetId="24" hidden="1">1</definedName>
    <definedName name="solver_rel3" localSheetId="25" hidden="1">1</definedName>
    <definedName name="solver_rel3" localSheetId="26" hidden="1">1</definedName>
    <definedName name="solver_rel3" localSheetId="27" hidden="1">1</definedName>
    <definedName name="solver_rel3" localSheetId="67" hidden="1">1</definedName>
    <definedName name="solver_rel3" localSheetId="68" hidden="1">1</definedName>
    <definedName name="solver_rel4" localSheetId="67" hidden="1">3</definedName>
    <definedName name="solver_rhs1" localSheetId="52" hidden="1">1</definedName>
    <definedName name="solver_rhs1" localSheetId="57" hidden="1">1</definedName>
    <definedName name="solver_rhs1" localSheetId="12" hidden="1">1</definedName>
    <definedName name="solver_rhs1" localSheetId="13" hidden="1">1</definedName>
    <definedName name="solver_rhs1" localSheetId="14" hidden="1">1</definedName>
    <definedName name="solver_rhs1" localSheetId="16" hidden="1">1</definedName>
    <definedName name="solver_rhs1" localSheetId="17" hidden="1">1</definedName>
    <definedName name="solver_rhs1" localSheetId="18" hidden="1">1</definedName>
    <definedName name="solver_rhs1" localSheetId="19" hidden="1">1</definedName>
    <definedName name="solver_rhs1" localSheetId="22" hidden="1">1</definedName>
    <definedName name="solver_rhs1" localSheetId="24" hidden="1">1</definedName>
    <definedName name="solver_rhs1" localSheetId="25" hidden="1">1</definedName>
    <definedName name="solver_rhs1" localSheetId="26" hidden="1">1</definedName>
    <definedName name="solver_rhs1" localSheetId="27" hidden="1">1</definedName>
    <definedName name="solver_rhs1" localSheetId="66" hidden="1">1</definedName>
    <definedName name="solver_rhs1" localSheetId="67" hidden="1">1</definedName>
    <definedName name="solver_rhs1" localSheetId="68" hidden="1">1</definedName>
    <definedName name="solver_rhs1" localSheetId="9" hidden="1">1</definedName>
    <definedName name="solver_rhs2" localSheetId="57" hidden="1">1</definedName>
    <definedName name="solver_rhs2" localSheetId="16" hidden="1">1</definedName>
    <definedName name="solver_rhs2" localSheetId="17" hidden="1">1</definedName>
    <definedName name="solver_rhs2" localSheetId="18" hidden="1">1</definedName>
    <definedName name="solver_rhs2" localSheetId="19" hidden="1">1</definedName>
    <definedName name="solver_rhs2" localSheetId="22" hidden="1">1</definedName>
    <definedName name="solver_rhs2" localSheetId="24" hidden="1">1</definedName>
    <definedName name="solver_rhs2" localSheetId="25" hidden="1">1</definedName>
    <definedName name="solver_rhs2" localSheetId="26" hidden="1">1</definedName>
    <definedName name="solver_rhs2" localSheetId="27" hidden="1">1</definedName>
    <definedName name="solver_rhs2" localSheetId="66" hidden="1">-1</definedName>
    <definedName name="solver_rhs2" localSheetId="67" hidden="1">-1</definedName>
    <definedName name="solver_rhs2" localSheetId="68" hidden="1">1</definedName>
    <definedName name="solver_rhs2" localSheetId="9" hidden="1">1</definedName>
    <definedName name="solver_rhs3" localSheetId="22" hidden="1">1</definedName>
    <definedName name="solver_rhs3" localSheetId="24" hidden="1">1</definedName>
    <definedName name="solver_rhs3" localSheetId="25" hidden="1">1</definedName>
    <definedName name="solver_rhs3" localSheetId="26" hidden="1">1</definedName>
    <definedName name="solver_rhs3" localSheetId="27" hidden="1">1</definedName>
    <definedName name="solver_rhs3" localSheetId="67" hidden="1">1</definedName>
    <definedName name="solver_rhs3" localSheetId="68" hidden="1">1</definedName>
    <definedName name="solver_rhs4" localSheetId="67" hidden="1">-1</definedName>
    <definedName name="solver_rlx" localSheetId="52" hidden="1">2</definedName>
    <definedName name="solver_rlx" localSheetId="57" hidden="1">2</definedName>
    <definedName name="solver_rlx" localSheetId="72" hidden="1">2</definedName>
    <definedName name="solver_rlx" localSheetId="13" hidden="1">2</definedName>
    <definedName name="solver_rlx" localSheetId="16" hidden="1">2</definedName>
    <definedName name="solver_rlx" localSheetId="18" hidden="1">2</definedName>
    <definedName name="solver_rlx" localSheetId="22" hidden="1">2</definedName>
    <definedName name="solver_rlx" localSheetId="25" hidden="1">2</definedName>
    <definedName name="solver_rlx" localSheetId="66" hidden="1">2</definedName>
    <definedName name="solver_rlx" localSheetId="67" hidden="1">2</definedName>
    <definedName name="solver_rlx" localSheetId="68" hidden="1">2</definedName>
    <definedName name="solver_rlx" localSheetId="9" hidden="1">2</definedName>
    <definedName name="solver_rsd" localSheetId="52" hidden="1">0</definedName>
    <definedName name="solver_rsd" localSheetId="57" hidden="1">0</definedName>
    <definedName name="solver_rsd" localSheetId="72" hidden="1">0</definedName>
    <definedName name="solver_rsd" localSheetId="13" hidden="1">0</definedName>
    <definedName name="solver_rsd" localSheetId="16" hidden="1">0</definedName>
    <definedName name="solver_rsd" localSheetId="18" hidden="1">0</definedName>
    <definedName name="solver_rsd" localSheetId="22" hidden="1">0</definedName>
    <definedName name="solver_rsd" localSheetId="25" hidden="1">0</definedName>
    <definedName name="solver_rsd" localSheetId="66" hidden="1">0</definedName>
    <definedName name="solver_rsd" localSheetId="67" hidden="1">0</definedName>
    <definedName name="solver_rsd" localSheetId="68" hidden="1">0</definedName>
    <definedName name="solver_rsd" localSheetId="9" hidden="1">0</definedName>
    <definedName name="solver_scl" localSheetId="52" hidden="1">1</definedName>
    <definedName name="solver_scl" localSheetId="57" hidden="1">2</definedName>
    <definedName name="solver_scl" localSheetId="72" hidden="1">2</definedName>
    <definedName name="solver_scl" localSheetId="13" hidden="1">1</definedName>
    <definedName name="solver_scl" localSheetId="16" hidden="1">1</definedName>
    <definedName name="solver_scl" localSheetId="18" hidden="1">1</definedName>
    <definedName name="solver_scl" localSheetId="22" hidden="1">1</definedName>
    <definedName name="solver_scl" localSheetId="25" hidden="1">2</definedName>
    <definedName name="solver_scl" localSheetId="66" hidden="1">2</definedName>
    <definedName name="solver_scl" localSheetId="67" hidden="1">1</definedName>
    <definedName name="solver_scl" localSheetId="68" hidden="1">1</definedName>
    <definedName name="solver_scl" localSheetId="9" hidden="1">2</definedName>
    <definedName name="solver_sho" localSheetId="52" hidden="1">2</definedName>
    <definedName name="solver_sho" localSheetId="57" hidden="1">2</definedName>
    <definedName name="solver_sho" localSheetId="72" hidden="1">2</definedName>
    <definedName name="solver_sho" localSheetId="13" hidden="1">2</definedName>
    <definedName name="solver_sho" localSheetId="16" hidden="1">2</definedName>
    <definedName name="solver_sho" localSheetId="18" hidden="1">2</definedName>
    <definedName name="solver_sho" localSheetId="22" hidden="1">2</definedName>
    <definedName name="solver_sho" localSheetId="25" hidden="1">2</definedName>
    <definedName name="solver_sho" localSheetId="66" hidden="1">2</definedName>
    <definedName name="solver_sho" localSheetId="67" hidden="1">2</definedName>
    <definedName name="solver_sho" localSheetId="68" hidden="1">2</definedName>
    <definedName name="solver_sho" localSheetId="9" hidden="1">2</definedName>
    <definedName name="solver_ssz" localSheetId="52" hidden="1">100</definedName>
    <definedName name="solver_ssz" localSheetId="57" hidden="1">100</definedName>
    <definedName name="solver_ssz" localSheetId="72" hidden="1">100</definedName>
    <definedName name="solver_ssz" localSheetId="13" hidden="1">100</definedName>
    <definedName name="solver_ssz" localSheetId="16" hidden="1">100</definedName>
    <definedName name="solver_ssz" localSheetId="18" hidden="1">100</definedName>
    <definedName name="solver_ssz" localSheetId="22" hidden="1">100</definedName>
    <definedName name="solver_ssz" localSheetId="25" hidden="1">100</definedName>
    <definedName name="solver_ssz" localSheetId="66" hidden="1">100</definedName>
    <definedName name="solver_ssz" localSheetId="67" hidden="1">100</definedName>
    <definedName name="solver_ssz" localSheetId="68" hidden="1">100</definedName>
    <definedName name="solver_ssz" localSheetId="9" hidden="1">100</definedName>
    <definedName name="solver_tim" localSheetId="52" hidden="1">2147483647</definedName>
    <definedName name="solver_tim" localSheetId="57" hidden="1">2147483647</definedName>
    <definedName name="solver_tim" localSheetId="72" hidden="1">2147483647</definedName>
    <definedName name="solver_tim" localSheetId="13" hidden="1">2147483647</definedName>
    <definedName name="solver_tim" localSheetId="16" hidden="1">2147483647</definedName>
    <definedName name="solver_tim" localSheetId="18" hidden="1">2147483647</definedName>
    <definedName name="solver_tim" localSheetId="22" hidden="1">2147483647</definedName>
    <definedName name="solver_tim" localSheetId="25" hidden="1">2147483647</definedName>
    <definedName name="solver_tim" localSheetId="66" hidden="1">2147483647</definedName>
    <definedName name="solver_tim" localSheetId="67" hidden="1">2147483647</definedName>
    <definedName name="solver_tim" localSheetId="68" hidden="1">2147483647</definedName>
    <definedName name="solver_tim" localSheetId="9" hidden="1">2147483647</definedName>
    <definedName name="solver_tol" localSheetId="52" hidden="1">0.01</definedName>
    <definedName name="solver_tol" localSheetId="57" hidden="1">0.01</definedName>
    <definedName name="solver_tol" localSheetId="72" hidden="1">0.01</definedName>
    <definedName name="solver_tol" localSheetId="13" hidden="1">0.01</definedName>
    <definedName name="solver_tol" localSheetId="16" hidden="1">0.01</definedName>
    <definedName name="solver_tol" localSheetId="18" hidden="1">0.01</definedName>
    <definedName name="solver_tol" localSheetId="22" hidden="1">0.01</definedName>
    <definedName name="solver_tol" localSheetId="25" hidden="1">0.01</definedName>
    <definedName name="solver_tol" localSheetId="66" hidden="1">0.01</definedName>
    <definedName name="solver_tol" localSheetId="67" hidden="1">0.01</definedName>
    <definedName name="solver_tol" localSheetId="68" hidden="1">0.01</definedName>
    <definedName name="solver_tol" localSheetId="9" hidden="1">0.01</definedName>
    <definedName name="solver_typ" localSheetId="52" hidden="1">2</definedName>
    <definedName name="solver_typ" localSheetId="57" hidden="1">2</definedName>
    <definedName name="solver_typ" localSheetId="60" hidden="1">2</definedName>
    <definedName name="solver_typ" localSheetId="82" hidden="1">2</definedName>
    <definedName name="solver_typ" localSheetId="83" hidden="1">2</definedName>
    <definedName name="solver_typ" localSheetId="84" hidden="1">2</definedName>
    <definedName name="solver_typ" localSheetId="85" hidden="1">2</definedName>
    <definedName name="solver_typ" localSheetId="86" hidden="1">2</definedName>
    <definedName name="solver_typ" localSheetId="87" hidden="1">2</definedName>
    <definedName name="solver_typ" localSheetId="70" hidden="1">2</definedName>
    <definedName name="solver_typ" localSheetId="72" hidden="1">2</definedName>
    <definedName name="solver_typ" localSheetId="76" hidden="1">2</definedName>
    <definedName name="solver_typ" localSheetId="80" hidden="1">2</definedName>
    <definedName name="solver_typ" localSheetId="12" hidden="1">2</definedName>
    <definedName name="solver_typ" localSheetId="13" hidden="1">2</definedName>
    <definedName name="solver_typ" localSheetId="14" hidden="1">2</definedName>
    <definedName name="solver_typ" localSheetId="16" hidden="1">2</definedName>
    <definedName name="solver_typ" localSheetId="17" hidden="1">2</definedName>
    <definedName name="solver_typ" localSheetId="18" hidden="1">2</definedName>
    <definedName name="solver_typ" localSheetId="19" hidden="1">2</definedName>
    <definedName name="solver_typ" localSheetId="22" hidden="1">2</definedName>
    <definedName name="solver_typ" localSheetId="24" hidden="1">2</definedName>
    <definedName name="solver_typ" localSheetId="25" hidden="1">2</definedName>
    <definedName name="solver_typ" localSheetId="26" hidden="1">2</definedName>
    <definedName name="solver_typ" localSheetId="27" hidden="1">2</definedName>
    <definedName name="solver_typ" localSheetId="66" hidden="1">2</definedName>
    <definedName name="solver_typ" localSheetId="67" hidden="1">2</definedName>
    <definedName name="solver_typ" localSheetId="68" hidden="1">3</definedName>
    <definedName name="solver_typ" localSheetId="88" hidden="1">2</definedName>
    <definedName name="solver_typ" localSheetId="9" hidden="1">2</definedName>
    <definedName name="solver_val" localSheetId="52" hidden="1">0</definedName>
    <definedName name="solver_val" localSheetId="57" hidden="1">0</definedName>
    <definedName name="solver_val" localSheetId="60" hidden="1">0</definedName>
    <definedName name="solver_val" localSheetId="82" hidden="1">0</definedName>
    <definedName name="solver_val" localSheetId="83" hidden="1">0</definedName>
    <definedName name="solver_val" localSheetId="84" hidden="1">0</definedName>
    <definedName name="solver_val" localSheetId="85" hidden="1">0</definedName>
    <definedName name="solver_val" localSheetId="86" hidden="1">0</definedName>
    <definedName name="solver_val" localSheetId="87" hidden="1">0</definedName>
    <definedName name="solver_val" localSheetId="70" hidden="1">0</definedName>
    <definedName name="solver_val" localSheetId="72" hidden="1">0</definedName>
    <definedName name="solver_val" localSheetId="76" hidden="1">0</definedName>
    <definedName name="solver_val" localSheetId="80" hidden="1">0</definedName>
    <definedName name="solver_val" localSheetId="12" hidden="1">0</definedName>
    <definedName name="solver_val" localSheetId="13" hidden="1">0</definedName>
    <definedName name="solver_val" localSheetId="14" hidden="1">0</definedName>
    <definedName name="solver_val" localSheetId="16" hidden="1">0</definedName>
    <definedName name="solver_val" localSheetId="17" hidden="1">0</definedName>
    <definedName name="solver_val" localSheetId="18" hidden="1">0</definedName>
    <definedName name="solver_val" localSheetId="19" hidden="1">0</definedName>
    <definedName name="solver_val" localSheetId="22" hidden="1">0</definedName>
    <definedName name="solver_val" localSheetId="24" hidden="1">0</definedName>
    <definedName name="solver_val" localSheetId="25" hidden="1">0</definedName>
    <definedName name="solver_val" localSheetId="26" hidden="1">0</definedName>
    <definedName name="solver_val" localSheetId="27" hidden="1">0</definedName>
    <definedName name="solver_val" localSheetId="66" hidden="1">0</definedName>
    <definedName name="solver_val" localSheetId="67" hidden="1">0</definedName>
    <definedName name="solver_val" localSheetId="68" hidden="1">0</definedName>
    <definedName name="solver_val" localSheetId="88" hidden="1">0</definedName>
    <definedName name="solver_val" localSheetId="9" hidden="1">0</definedName>
    <definedName name="solver_ver" localSheetId="52" hidden="1">3</definedName>
    <definedName name="solver_ver" localSheetId="57" hidden="1">3</definedName>
    <definedName name="solver_ver" localSheetId="60" hidden="1">3</definedName>
    <definedName name="solver_ver" localSheetId="82" hidden="1">3</definedName>
    <definedName name="solver_ver" localSheetId="83" hidden="1">3</definedName>
    <definedName name="solver_ver" localSheetId="84" hidden="1">3</definedName>
    <definedName name="solver_ver" localSheetId="85" hidden="1">3</definedName>
    <definedName name="solver_ver" localSheetId="86" hidden="1">3</definedName>
    <definedName name="solver_ver" localSheetId="87" hidden="1">3</definedName>
    <definedName name="solver_ver" localSheetId="70" hidden="1">3</definedName>
    <definedName name="solver_ver" localSheetId="72" hidden="1">3</definedName>
    <definedName name="solver_ver" localSheetId="76" hidden="1">3</definedName>
    <definedName name="solver_ver" localSheetId="80" hidden="1">3</definedName>
    <definedName name="solver_ver" localSheetId="12" hidden="1">3</definedName>
    <definedName name="solver_ver" localSheetId="13" hidden="1">3</definedName>
    <definedName name="solver_ver" localSheetId="14" hidden="1">3</definedName>
    <definedName name="solver_ver" localSheetId="16" hidden="1">3</definedName>
    <definedName name="solver_ver" localSheetId="17" hidden="1">3</definedName>
    <definedName name="solver_ver" localSheetId="18" hidden="1">3</definedName>
    <definedName name="solver_ver" localSheetId="19" hidden="1">3</definedName>
    <definedName name="solver_ver" localSheetId="22" hidden="1">3</definedName>
    <definedName name="solver_ver" localSheetId="24" hidden="1">3</definedName>
    <definedName name="solver_ver" localSheetId="25" hidden="1">3</definedName>
    <definedName name="solver_ver" localSheetId="26" hidden="1">3</definedName>
    <definedName name="solver_ver" localSheetId="27" hidden="1">3</definedName>
    <definedName name="solver_ver" localSheetId="66" hidden="1">3</definedName>
    <definedName name="solver_ver" localSheetId="67" hidden="1">3</definedName>
    <definedName name="solver_ver" localSheetId="68" hidden="1">3</definedName>
    <definedName name="solver_ver" localSheetId="88" hidden="1">3</definedName>
    <definedName name="solver_ver" localSheetId="9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4" i="29" l="1"/>
  <c r="T12" i="29" a="1"/>
  <c r="Y17" i="29" s="1"/>
  <c r="M17" i="29"/>
  <c r="M13" i="29"/>
  <c r="K12" i="29"/>
  <c r="J12" i="29" a="1"/>
  <c r="L17" i="29" s="1"/>
  <c r="U8" i="29"/>
  <c r="X7" i="29"/>
  <c r="V7" i="29"/>
  <c r="W5" i="29"/>
  <c r="T5" i="29"/>
  <c r="X4" i="29"/>
  <c r="T4" i="29" a="1"/>
  <c r="Y8" i="29" s="1"/>
  <c r="M9" i="29"/>
  <c r="O8" i="29"/>
  <c r="N8" i="29"/>
  <c r="N7" i="29"/>
  <c r="L7" i="29"/>
  <c r="O6" i="29"/>
  <c r="L6" i="29"/>
  <c r="O5" i="29"/>
  <c r="J5" i="29"/>
  <c r="N4" i="29"/>
  <c r="M4" i="29"/>
  <c r="J4" i="29" a="1"/>
  <c r="N9" i="29" s="1"/>
  <c r="R34" i="28"/>
  <c r="X31" i="28"/>
  <c r="V29" i="28"/>
  <c r="T27" i="28"/>
  <c r="R26" i="28" a="1"/>
  <c r="U32" i="28" s="1"/>
  <c r="BB17" i="215" a="1"/>
  <c r="AO18" i="215"/>
  <c r="AO17" i="215" a="1"/>
  <c r="Y17" i="215" a="1"/>
  <c r="Y18" i="215" s="1"/>
  <c r="U17" i="215" a="1"/>
  <c r="U17" i="215" s="1"/>
  <c r="M18" i="215"/>
  <c r="L18" i="215"/>
  <c r="L17" i="215" a="1"/>
  <c r="M17" i="215" s="1"/>
  <c r="AY5" i="215"/>
  <c r="AV1" i="215" a="1"/>
  <c r="T1" i="215"/>
  <c r="T1" i="215" a="1"/>
  <c r="G1" i="215" a="1"/>
  <c r="G1" i="215" s="1"/>
  <c r="Q21" i="214"/>
  <c r="Q17" i="214"/>
  <c r="P17" i="214" a="1"/>
  <c r="Q22" i="214" s="1"/>
  <c r="AI2" i="214" a="1"/>
  <c r="AI2" i="214" s="1"/>
  <c r="W1" i="214" a="1"/>
  <c r="W1" i="214" s="1"/>
  <c r="R27" i="213" a="1"/>
  <c r="R27" i="213" s="1"/>
  <c r="W17" i="213" a="1"/>
  <c r="W18" i="213" s="1"/>
  <c r="L11" i="213" a="1"/>
  <c r="L11" i="213" s="1"/>
  <c r="L2" i="213"/>
  <c r="L2" i="213" a="1"/>
  <c r="AG17" i="213"/>
  <c r="AE7" i="213"/>
  <c r="AE3" i="213"/>
  <c r="AE1" i="213" a="1"/>
  <c r="AG21" i="213" s="1"/>
  <c r="AU17" i="212" a="1"/>
  <c r="Y17" i="212" a="1"/>
  <c r="Z18" i="212" s="1"/>
  <c r="H19" i="212"/>
  <c r="I18" i="212"/>
  <c r="H18" i="212"/>
  <c r="I17" i="212"/>
  <c r="H17" i="212"/>
  <c r="I12" i="212" s="1"/>
  <c r="H17" i="212" a="1"/>
  <c r="I19" i="212" s="1"/>
  <c r="AG18" i="212"/>
  <c r="AG1" i="212" a="1"/>
  <c r="AH17" i="212" s="1"/>
  <c r="T16" i="212"/>
  <c r="U13" i="212"/>
  <c r="V10" i="212"/>
  <c r="V8" i="212"/>
  <c r="T6" i="212"/>
  <c r="U3" i="212"/>
  <c r="T2" i="212"/>
  <c r="T1" i="212" a="1"/>
  <c r="V14" i="212" s="1"/>
  <c r="Q19" i="211" a="1"/>
  <c r="Q19" i="211" s="1"/>
  <c r="AV18" i="211"/>
  <c r="AV17" i="211" a="1"/>
  <c r="AW17" i="211" s="1"/>
  <c r="AJ18" i="211"/>
  <c r="AI18" i="211"/>
  <c r="AJ17" i="211"/>
  <c r="AI17" i="211"/>
  <c r="AI17" i="211" a="1"/>
  <c r="I19" i="211"/>
  <c r="H17" i="211"/>
  <c r="H17" i="211" a="1"/>
  <c r="H18" i="211" s="1"/>
  <c r="I12" i="211"/>
  <c r="AQ1" i="211" a="1"/>
  <c r="AQ1" i="211" s="1"/>
  <c r="U17" i="211"/>
  <c r="W15" i="211"/>
  <c r="W9" i="211"/>
  <c r="V7" i="211"/>
  <c r="U1" i="211"/>
  <c r="U1" i="211" a="1"/>
  <c r="V15" i="211" s="1"/>
  <c r="Y17" i="210" a="1"/>
  <c r="H17" i="210" a="1"/>
  <c r="I19" i="210" s="1"/>
  <c r="T11" i="210" a="1"/>
  <c r="T11" i="210" s="1"/>
  <c r="V8" i="210"/>
  <c r="T7" i="210"/>
  <c r="T3" i="210"/>
  <c r="V1" i="210"/>
  <c r="T1" i="210" a="1"/>
  <c r="V7" i="210" s="1"/>
  <c r="T17" i="209" a="1"/>
  <c r="U18" i="209" s="1"/>
  <c r="L18" i="209"/>
  <c r="M17" i="209"/>
  <c r="L17" i="209"/>
  <c r="M12" i="209" s="1"/>
  <c r="L17" i="209" a="1"/>
  <c r="M18" i="209" s="1"/>
  <c r="G1" i="209" a="1"/>
  <c r="I3" i="209" s="1"/>
  <c r="AY24" i="202"/>
  <c r="AY24" i="202" a="1"/>
  <c r="AY26" i="202" s="1"/>
  <c r="H23" i="202" a="1"/>
  <c r="H24" i="202" s="1"/>
  <c r="G24" i="202"/>
  <c r="G23" i="202"/>
  <c r="G23" i="202" a="1"/>
  <c r="G25" i="202" s="1"/>
  <c r="M17" i="202" a="1"/>
  <c r="AD13" i="202" a="1"/>
  <c r="AD8" i="202"/>
  <c r="AC8" i="202" a="1"/>
  <c r="AC8" i="202" s="1"/>
  <c r="AH4" i="202" a="1"/>
  <c r="AH5" i="202" s="1"/>
  <c r="I11" i="202"/>
  <c r="I4" i="202" a="1"/>
  <c r="I13" i="202" s="1"/>
  <c r="H11" i="202"/>
  <c r="H7" i="202"/>
  <c r="H4" i="202" a="1"/>
  <c r="H13" i="202" s="1"/>
  <c r="G4" i="202" a="1"/>
  <c r="G16" i="202" s="1"/>
  <c r="N18" i="198"/>
  <c r="N17" i="198"/>
  <c r="M17" i="198" a="1"/>
  <c r="N19" i="198" s="1"/>
  <c r="AD13" i="198"/>
  <c r="AD13" i="198" a="1"/>
  <c r="AD14" i="198" s="1"/>
  <c r="AC8" i="198" a="1"/>
  <c r="AH5" i="198"/>
  <c r="AH4" i="198"/>
  <c r="AH4" i="198" a="1"/>
  <c r="AI5" i="198" s="1"/>
  <c r="I20" i="198"/>
  <c r="I17" i="198"/>
  <c r="I10" i="198"/>
  <c r="I8" i="198"/>
  <c r="I6" i="198"/>
  <c r="I4" i="198" a="1"/>
  <c r="I19" i="198" s="1"/>
  <c r="H4" i="198" a="1"/>
  <c r="G21" i="198"/>
  <c r="G4" i="198" a="1"/>
  <c r="L11" i="177"/>
  <c r="L9" i="177"/>
  <c r="K8" i="177"/>
  <c r="K8" i="177" a="1"/>
  <c r="K12" i="177" s="1"/>
  <c r="I10" i="177"/>
  <c r="I5" i="177"/>
  <c r="I4" i="177" a="1"/>
  <c r="I11" i="177" s="1"/>
  <c r="H7" i="177"/>
  <c r="H5" i="177"/>
  <c r="H4" i="177" a="1"/>
  <c r="H4" i="177" s="1"/>
  <c r="G7" i="177"/>
  <c r="G6" i="177"/>
  <c r="G5" i="177"/>
  <c r="G4" i="177"/>
  <c r="G4" i="177" a="1"/>
  <c r="G11" i="177" s="1"/>
  <c r="F8" i="177"/>
  <c r="E4" i="177" a="1"/>
  <c r="F7" i="177" s="1"/>
  <c r="Q8" i="177"/>
  <c r="Q7" i="177"/>
  <c r="Q6" i="177"/>
  <c r="P4" i="177"/>
  <c r="P3" i="177"/>
  <c r="P2" i="177"/>
  <c r="P2" i="177" a="1"/>
  <c r="Q9" i="177" s="1"/>
  <c r="Y18" i="186" a="1"/>
  <c r="Y21" i="186" s="1"/>
  <c r="Q26" i="186"/>
  <c r="P25" i="186"/>
  <c r="P21" i="186"/>
  <c r="Q19" i="186"/>
  <c r="P18" i="186" a="1"/>
  <c r="Q25" i="186" s="1"/>
  <c r="Z18" i="185"/>
  <c r="Y18" i="185" a="1"/>
  <c r="Y19" i="185" s="1"/>
  <c r="P18" i="185" a="1"/>
  <c r="Q23" i="185" s="1"/>
  <c r="AQ13" i="179"/>
  <c r="AP10" i="179"/>
  <c r="AP9" i="179" a="1"/>
  <c r="AP15" i="179" s="1"/>
  <c r="AK12" i="179"/>
  <c r="AJ9" i="179"/>
  <c r="AJ9" i="179" a="1"/>
  <c r="AK14" i="179" s="1"/>
  <c r="AD9" i="179" a="1"/>
  <c r="X9" i="179" a="1"/>
  <c r="X16" i="179" s="1"/>
  <c r="R9" i="179" a="1"/>
  <c r="M16" i="179"/>
  <c r="L16" i="179"/>
  <c r="M14" i="179"/>
  <c r="L10" i="179"/>
  <c r="L9" i="179" a="1"/>
  <c r="M12" i="179" s="1"/>
  <c r="AN4" i="179" a="1"/>
  <c r="AH4" i="179" a="1"/>
  <c r="AB4" i="179" a="1"/>
  <c r="AB40" i="179" s="1"/>
  <c r="V4" i="179" a="1"/>
  <c r="P4" i="179" a="1"/>
  <c r="P14" i="179" s="1"/>
  <c r="J25" i="179"/>
  <c r="J17" i="179"/>
  <c r="J4" i="179" a="1"/>
  <c r="J22" i="179" s="1"/>
  <c r="AP16" i="178"/>
  <c r="AQ10" i="178"/>
  <c r="AP9" i="178" a="1"/>
  <c r="AP14" i="178" s="1"/>
  <c r="AJ9" i="178" a="1"/>
  <c r="AJ15" i="178" s="1"/>
  <c r="AE16" i="178"/>
  <c r="AD9" i="178" a="1"/>
  <c r="Y15" i="178"/>
  <c r="X9" i="178" a="1"/>
  <c r="Y12" i="178" s="1"/>
  <c r="S16" i="178"/>
  <c r="R15" i="178"/>
  <c r="S12" i="178"/>
  <c r="R12" i="178"/>
  <c r="R11" i="178"/>
  <c r="S10" i="178"/>
  <c r="S9" i="178"/>
  <c r="R9" i="178" a="1"/>
  <c r="R16" i="178" s="1"/>
  <c r="M15" i="178"/>
  <c r="L15" i="178"/>
  <c r="M14" i="178"/>
  <c r="L14" i="178"/>
  <c r="M12" i="178"/>
  <c r="M11" i="178"/>
  <c r="M10" i="178"/>
  <c r="L10" i="178"/>
  <c r="M9" i="178"/>
  <c r="L9" i="178"/>
  <c r="L9" i="178" a="1"/>
  <c r="M13" i="178" s="1"/>
  <c r="AN23" i="178"/>
  <c r="AN4" i="178" a="1"/>
  <c r="AN20" i="178" s="1"/>
  <c r="AH45" i="178"/>
  <c r="AH27" i="178"/>
  <c r="AH9" i="178"/>
  <c r="AH4" i="178" a="1"/>
  <c r="AH44" i="178" s="1"/>
  <c r="AB34" i="178"/>
  <c r="AB33" i="178"/>
  <c r="AB26" i="178"/>
  <c r="AB12" i="178"/>
  <c r="AB10" i="178"/>
  <c r="AB4" i="178"/>
  <c r="AB4" i="178" a="1"/>
  <c r="AB43" i="178" s="1"/>
  <c r="V40" i="178"/>
  <c r="V39" i="178"/>
  <c r="V37" i="178"/>
  <c r="V36" i="178"/>
  <c r="V30" i="178"/>
  <c r="V29" i="178"/>
  <c r="V25" i="178"/>
  <c r="V24" i="178"/>
  <c r="V20" i="178"/>
  <c r="V17" i="178"/>
  <c r="V15" i="178"/>
  <c r="V14" i="178"/>
  <c r="V8" i="178"/>
  <c r="V7" i="178"/>
  <c r="V5" i="178"/>
  <c r="V4" i="178"/>
  <c r="V4" i="178" a="1"/>
  <c r="V43" i="178" s="1"/>
  <c r="P28" i="178"/>
  <c r="P18" i="178"/>
  <c r="P4" i="178" a="1"/>
  <c r="P37" i="178" s="1"/>
  <c r="J40" i="178"/>
  <c r="J31" i="178"/>
  <c r="J30" i="178"/>
  <c r="J24" i="178"/>
  <c r="J15" i="178"/>
  <c r="J14" i="178"/>
  <c r="J8" i="178"/>
  <c r="J4" i="178" a="1"/>
  <c r="J37" i="178" s="1"/>
  <c r="F5" i="184"/>
  <c r="G4" i="184"/>
  <c r="G3" i="184"/>
  <c r="F3" i="184" a="1"/>
  <c r="F3" i="184" s="1"/>
  <c r="C3" i="184" a="1"/>
  <c r="D17" i="203"/>
  <c r="D16" i="203"/>
  <c r="C15" i="203"/>
  <c r="C15" i="203" a="1"/>
  <c r="C16" i="203" s="1"/>
  <c r="D9" i="203"/>
  <c r="C6" i="203" a="1"/>
  <c r="D10" i="203" s="1"/>
  <c r="V4" i="183" a="1"/>
  <c r="W8" i="182"/>
  <c r="V4" i="182" a="1"/>
  <c r="T34" i="194" a="1"/>
  <c r="T34" i="194" s="1"/>
  <c r="H27" i="194" a="1"/>
  <c r="K31" i="194" s="1"/>
  <c r="Q19" i="194"/>
  <c r="P19" i="194"/>
  <c r="O19" i="194" a="1"/>
  <c r="O19" i="194" s="1"/>
  <c r="O14" i="194" a="1"/>
  <c r="Q14" i="194" s="1"/>
  <c r="O9" i="194" a="1"/>
  <c r="P9" i="194" s="1"/>
  <c r="O4" i="194" a="1"/>
  <c r="F31" i="194"/>
  <c r="F13" i="194"/>
  <c r="F4" i="194" a="1"/>
  <c r="F24" i="194" s="1"/>
  <c r="E27" i="194"/>
  <c r="E26" i="194"/>
  <c r="E23" i="194"/>
  <c r="E19" i="194"/>
  <c r="E17" i="194"/>
  <c r="E11" i="194"/>
  <c r="E10" i="194"/>
  <c r="E9" i="194"/>
  <c r="E4" i="194"/>
  <c r="E4" i="194" a="1"/>
  <c r="E20" i="194" s="1"/>
  <c r="D4" i="194" a="1"/>
  <c r="D21" i="194" s="1"/>
  <c r="T34" i="180"/>
  <c r="T34" i="180" a="1"/>
  <c r="O19" i="180" a="1"/>
  <c r="O14" i="180" a="1"/>
  <c r="Q9" i="180"/>
  <c r="P9" i="180"/>
  <c r="O9" i="180" a="1"/>
  <c r="O9" i="180" s="1"/>
  <c r="O4" i="180" a="1"/>
  <c r="Q4" i="180" s="1"/>
  <c r="F31" i="180"/>
  <c r="F25" i="180"/>
  <c r="F22" i="180"/>
  <c r="F21" i="180"/>
  <c r="F16" i="180"/>
  <c r="F12" i="180"/>
  <c r="F8" i="180"/>
  <c r="F7" i="180"/>
  <c r="F5" i="180"/>
  <c r="F4" i="180" a="1"/>
  <c r="F23" i="180" s="1"/>
  <c r="E17" i="180"/>
  <c r="E4" i="180" a="1"/>
  <c r="E27" i="180" s="1"/>
  <c r="D4" i="180" a="1"/>
  <c r="M15" i="167" a="1"/>
  <c r="L10" i="167" a="1"/>
  <c r="N10" i="167" s="1"/>
  <c r="N5" i="167"/>
  <c r="L4" i="167"/>
  <c r="L4" i="167" a="1"/>
  <c r="M5" i="167" s="1"/>
  <c r="Q18" i="157"/>
  <c r="Q15" i="157"/>
  <c r="P15" i="157" a="1"/>
  <c r="Q19" i="157" s="1"/>
  <c r="M15" i="157" a="1"/>
  <c r="M10" i="157"/>
  <c r="L10" i="157" a="1"/>
  <c r="N10" i="157" s="1"/>
  <c r="R12" i="157"/>
  <c r="Q12" i="157"/>
  <c r="Q11" i="157"/>
  <c r="S9" i="157"/>
  <c r="R9" i="157"/>
  <c r="P9" i="157"/>
  <c r="P9" i="157" a="1"/>
  <c r="S13" i="157" s="1"/>
  <c r="R4" i="157"/>
  <c r="Q4" i="157" a="1"/>
  <c r="R7" i="157" s="1"/>
  <c r="L4" i="157" a="1"/>
  <c r="M5" i="157" s="1"/>
  <c r="M16" i="166"/>
  <c r="M15" i="166"/>
  <c r="M15" i="166" a="1"/>
  <c r="M19" i="166" s="1"/>
  <c r="L10" i="166" a="1"/>
  <c r="N4" i="166"/>
  <c r="L4" i="166"/>
  <c r="L4" i="166" a="1"/>
  <c r="N5" i="166" s="1"/>
  <c r="Q21" i="156"/>
  <c r="Q20" i="156"/>
  <c r="Q19" i="156"/>
  <c r="P19" i="156"/>
  <c r="Q16" i="156"/>
  <c r="P16" i="156"/>
  <c r="Q15" i="156"/>
  <c r="P15" i="156"/>
  <c r="P15" i="156" a="1"/>
  <c r="Q18" i="156" s="1"/>
  <c r="M16" i="156"/>
  <c r="M15" i="156" a="1"/>
  <c r="M19" i="156" s="1"/>
  <c r="L10" i="156" a="1"/>
  <c r="P9" i="156" a="1"/>
  <c r="T10" i="156" s="1"/>
  <c r="Q4" i="156" a="1"/>
  <c r="R7" i="156" s="1"/>
  <c r="L4" i="156" a="1"/>
  <c r="M15" i="165" a="1"/>
  <c r="M10" i="165"/>
  <c r="L10" i="165" a="1"/>
  <c r="N10" i="165" s="1"/>
  <c r="L4" i="165" a="1"/>
  <c r="N5" i="165" s="1"/>
  <c r="M18" i="155"/>
  <c r="M17" i="155"/>
  <c r="M16" i="155"/>
  <c r="M15" i="155"/>
  <c r="M15" i="155" a="1"/>
  <c r="M19" i="155" s="1"/>
  <c r="N10" i="155"/>
  <c r="M10" i="155"/>
  <c r="L10" i="155" a="1"/>
  <c r="L10" i="155" s="1"/>
  <c r="R6" i="155"/>
  <c r="Q4" i="155" a="1"/>
  <c r="R7" i="155" s="1"/>
  <c r="M5" i="155"/>
  <c r="L4" i="155" a="1"/>
  <c r="M4" i="155" s="1"/>
  <c r="J22" i="159"/>
  <c r="J18" i="159"/>
  <c r="J16" i="159"/>
  <c r="J15" i="159"/>
  <c r="J12" i="159"/>
  <c r="J10" i="159"/>
  <c r="J8" i="159"/>
  <c r="J6" i="159"/>
  <c r="J4" i="159"/>
  <c r="J4" i="159" a="1"/>
  <c r="J21" i="159" s="1"/>
  <c r="I22" i="159"/>
  <c r="I4" i="159" a="1"/>
  <c r="I21" i="159" s="1"/>
  <c r="H22" i="159"/>
  <c r="H18" i="159"/>
  <c r="H17" i="159"/>
  <c r="H15" i="159"/>
  <c r="H12" i="159"/>
  <c r="H10" i="159"/>
  <c r="H9" i="159"/>
  <c r="H8" i="159"/>
  <c r="H7" i="159"/>
  <c r="H4" i="159"/>
  <c r="H4" i="159" a="1"/>
  <c r="H21" i="159" s="1"/>
  <c r="G4" i="159" a="1"/>
  <c r="G22" i="159" s="1"/>
  <c r="Q21" i="146"/>
  <c r="P17" i="146" a="1"/>
  <c r="P21" i="146" s="1"/>
  <c r="M20" i="146"/>
  <c r="M16" i="146" a="1"/>
  <c r="M17" i="146" s="1"/>
  <c r="R14" i="146"/>
  <c r="Q14" i="146"/>
  <c r="T13" i="146"/>
  <c r="Q12" i="146"/>
  <c r="S11" i="146"/>
  <c r="P11" i="146"/>
  <c r="P10" i="146" a="1"/>
  <c r="Q15" i="146" s="1"/>
  <c r="L10" i="146" a="1"/>
  <c r="Q7" i="146"/>
  <c r="Q4" i="146"/>
  <c r="Q4" i="146" a="1"/>
  <c r="Q8" i="146" s="1"/>
  <c r="L4" i="146" a="1"/>
  <c r="Q20" i="168"/>
  <c r="P19" i="168"/>
  <c r="Q17" i="168"/>
  <c r="P15" i="168" a="1"/>
  <c r="P20" i="168" s="1"/>
  <c r="M19" i="168"/>
  <c r="M18" i="168"/>
  <c r="M16" i="168"/>
  <c r="M15" i="168" a="1"/>
  <c r="M15" i="168" s="1"/>
  <c r="L10" i="168" a="1"/>
  <c r="P12" i="168"/>
  <c r="P9" i="168" a="1"/>
  <c r="S12" i="168" s="1"/>
  <c r="Q7" i="168"/>
  <c r="Q4" i="168" a="1"/>
  <c r="R7" i="168" s="1"/>
  <c r="M5" i="168"/>
  <c r="L4" i="168"/>
  <c r="L4" i="168" a="1"/>
  <c r="L5" i="168" s="1"/>
  <c r="B6" i="158" a="1"/>
  <c r="N19" i="164"/>
  <c r="N17" i="164"/>
  <c r="N16" i="164"/>
  <c r="N16" i="164" a="1"/>
  <c r="N18" i="164" s="1"/>
  <c r="R18" i="164"/>
  <c r="Q15" i="164" a="1"/>
  <c r="R17" i="164" s="1"/>
  <c r="M11" i="164" a="1"/>
  <c r="N11" i="164" s="1"/>
  <c r="Q13" i="164"/>
  <c r="S12" i="164"/>
  <c r="T11" i="164"/>
  <c r="R11" i="164"/>
  <c r="Q10" i="164" a="1"/>
  <c r="U12" i="164" s="1"/>
  <c r="R8" i="164"/>
  <c r="S7" i="164"/>
  <c r="R6" i="164"/>
  <c r="R6" i="164" a="1"/>
  <c r="S6" i="164" s="1"/>
  <c r="N6" i="164"/>
  <c r="M6" i="164" a="1"/>
  <c r="N16" i="142" a="1"/>
  <c r="N19" i="142" s="1"/>
  <c r="N11" i="142"/>
  <c r="M11" i="142" a="1"/>
  <c r="M11" i="142" s="1"/>
  <c r="M6" i="142" a="1"/>
  <c r="O6" i="142" s="1"/>
  <c r="N18" i="163"/>
  <c r="N16" i="163" a="1"/>
  <c r="N17" i="163" s="1"/>
  <c r="Q20" i="163"/>
  <c r="R18" i="163"/>
  <c r="R17" i="163"/>
  <c r="Q15" i="163" a="1"/>
  <c r="Q17" i="163" s="1"/>
  <c r="M11" i="163" a="1"/>
  <c r="M11" i="163" s="1"/>
  <c r="Q10" i="163" a="1"/>
  <c r="Q13" i="163" s="1"/>
  <c r="S7" i="163"/>
  <c r="R6" i="163"/>
  <c r="R6" i="163" a="1"/>
  <c r="S6" i="163" s="1"/>
  <c r="M6" i="163" a="1"/>
  <c r="N6" i="163" s="1"/>
  <c r="N22" i="140"/>
  <c r="N18" i="140" a="1"/>
  <c r="N20" i="140" s="1"/>
  <c r="M13" i="140"/>
  <c r="M13" i="140" a="1"/>
  <c r="O13" i="140" s="1"/>
  <c r="M8" i="140" a="1"/>
  <c r="D3" i="145" a="1"/>
  <c r="D4" i="145" s="1"/>
  <c r="F19" i="53" a="1"/>
  <c r="F19" i="53" s="1"/>
  <c r="B19" i="53" a="1"/>
  <c r="B23" i="53" s="1"/>
  <c r="I10" i="53" a="1"/>
  <c r="M105" i="147"/>
  <c r="M102" i="147" a="1"/>
  <c r="M103" i="147" s="1"/>
  <c r="L93" i="147"/>
  <c r="N92" i="147"/>
  <c r="M91" i="147"/>
  <c r="L91" i="147" a="1"/>
  <c r="L91" i="147" s="1"/>
  <c r="M73" i="147" a="1"/>
  <c r="AG78" i="147"/>
  <c r="AH75" i="147"/>
  <c r="AI72" i="147"/>
  <c r="AG70" i="147"/>
  <c r="AH67" i="147"/>
  <c r="AI64" i="147"/>
  <c r="AG62" i="147"/>
  <c r="AF62" i="147" a="1"/>
  <c r="AI77" i="147" s="1"/>
  <c r="L64" i="147"/>
  <c r="N63" i="147"/>
  <c r="M63" i="147"/>
  <c r="L63" i="147"/>
  <c r="N62" i="147"/>
  <c r="L62" i="147"/>
  <c r="L62" i="147" a="1"/>
  <c r="M64" i="147" s="1"/>
  <c r="M48" i="147"/>
  <c r="M47" i="147"/>
  <c r="M46" i="147"/>
  <c r="M45" i="147"/>
  <c r="M44" i="147"/>
  <c r="M44" i="147" a="1"/>
  <c r="N35" i="147"/>
  <c r="N34" i="147"/>
  <c r="N33" i="147"/>
  <c r="L33" i="147"/>
  <c r="L33" i="147" a="1"/>
  <c r="M33" i="147" s="1"/>
  <c r="AL21" i="147"/>
  <c r="AL19" i="147" a="1"/>
  <c r="M15" i="147" a="1"/>
  <c r="AG21" i="147"/>
  <c r="AF18" i="147"/>
  <c r="AH14" i="147"/>
  <c r="AH10" i="147"/>
  <c r="AG7" i="147"/>
  <c r="AF6" i="147" a="1"/>
  <c r="AG20" i="147" s="1"/>
  <c r="M5" i="147"/>
  <c r="L5" i="147"/>
  <c r="M4" i="147"/>
  <c r="L4" i="147" a="1"/>
  <c r="M6" i="147" s="1"/>
  <c r="E4" i="144"/>
  <c r="D3" i="144" a="1"/>
  <c r="AC21" i="88"/>
  <c r="AD20" i="88"/>
  <c r="AC19" i="88"/>
  <c r="AC19" i="88" a="1"/>
  <c r="AD19" i="88" s="1"/>
  <c r="AD14" i="88"/>
  <c r="AK4" i="88" a="1"/>
  <c r="AM94" i="88" s="1"/>
  <c r="J18" i="201"/>
  <c r="J17" i="201"/>
  <c r="J12" i="201"/>
  <c r="J10" i="201"/>
  <c r="J9" i="201"/>
  <c r="J8" i="201" a="1"/>
  <c r="J16" i="201" s="1"/>
  <c r="H4" i="201" a="1"/>
  <c r="H5" i="201" s="1"/>
  <c r="M16" i="200" a="1"/>
  <c r="M18" i="200" s="1"/>
  <c r="M14" i="200"/>
  <c r="M13" i="200"/>
  <c r="M12" i="200" a="1"/>
  <c r="M15" i="200" s="1"/>
  <c r="M9" i="200"/>
  <c r="M8" i="200" a="1"/>
  <c r="M11" i="200" s="1"/>
  <c r="AF13" i="200"/>
  <c r="AF10" i="200"/>
  <c r="AF4" i="200" a="1"/>
  <c r="AF19" i="200" s="1"/>
  <c r="AE11" i="200"/>
  <c r="AE4" i="200" a="1"/>
  <c r="AE19" i="200" s="1"/>
  <c r="AD17" i="200"/>
  <c r="AD16" i="200"/>
  <c r="AD15" i="200"/>
  <c r="AD14" i="200"/>
  <c r="AD13" i="200"/>
  <c r="AD10" i="200"/>
  <c r="AD8" i="200"/>
  <c r="AD7" i="200"/>
  <c r="AD6" i="200"/>
  <c r="AD5" i="200"/>
  <c r="AD4" i="200"/>
  <c r="AD4" i="200" a="1"/>
  <c r="AD19" i="200" s="1"/>
  <c r="AB14" i="200"/>
  <c r="AB8" i="200"/>
  <c r="AB4" i="200" a="1"/>
  <c r="AB12" i="200" s="1"/>
  <c r="AA18" i="200"/>
  <c r="AA15" i="200"/>
  <c r="AA12" i="200"/>
  <c r="AA9" i="200"/>
  <c r="AA8" i="200"/>
  <c r="AA4" i="200"/>
  <c r="AA4" i="200" a="1"/>
  <c r="AA13" i="200" s="1"/>
  <c r="Z4" i="200" a="1"/>
  <c r="M4" i="200" a="1"/>
  <c r="H4" i="200" a="1"/>
  <c r="O4" i="196" a="1"/>
  <c r="O14" i="196" s="1"/>
  <c r="N15" i="196"/>
  <c r="N4" i="196" a="1"/>
  <c r="N14" i="196" s="1"/>
  <c r="M4" i="196" a="1"/>
  <c r="K17" i="196"/>
  <c r="K12" i="196"/>
  <c r="K10" i="196"/>
  <c r="K4" i="196"/>
  <c r="K4" i="196" a="1"/>
  <c r="K16" i="196" s="1"/>
  <c r="J4" i="196" a="1"/>
  <c r="I4" i="196"/>
  <c r="I4" i="196" a="1"/>
  <c r="I19" i="196" s="1"/>
  <c r="S14" i="199"/>
  <c r="S11" i="199"/>
  <c r="S6" i="199"/>
  <c r="S4" i="199" a="1"/>
  <c r="S12" i="199" s="1"/>
  <c r="M4" i="199" a="1"/>
  <c r="M14" i="199" s="1"/>
  <c r="L4" i="199" a="1"/>
  <c r="K4" i="199"/>
  <c r="K4" i="199" a="1"/>
  <c r="K14" i="199" s="1"/>
  <c r="J11" i="199"/>
  <c r="J6" i="199"/>
  <c r="J4" i="199" a="1"/>
  <c r="J12" i="199" s="1"/>
  <c r="I4" i="199" a="1"/>
  <c r="I14" i="199" s="1"/>
  <c r="H4" i="199" a="1"/>
  <c r="G4" i="199" a="1"/>
  <c r="O14" i="199"/>
  <c r="P13" i="199"/>
  <c r="P12" i="199"/>
  <c r="O12" i="199"/>
  <c r="O11" i="199"/>
  <c r="O10" i="199"/>
  <c r="P9" i="199"/>
  <c r="O9" i="199"/>
  <c r="O8" i="199"/>
  <c r="P7" i="199"/>
  <c r="O6" i="199"/>
  <c r="P5" i="199"/>
  <c r="O5" i="199"/>
  <c r="P4" i="199"/>
  <c r="P3" i="199"/>
  <c r="O3" i="199"/>
  <c r="O3" i="199" a="1"/>
  <c r="P14" i="199" s="1"/>
  <c r="I20" i="162"/>
  <c r="I19" i="162"/>
  <c r="J18" i="162"/>
  <c r="I17" i="162" a="1"/>
  <c r="I18" i="162" s="1"/>
  <c r="F17" i="162" a="1"/>
  <c r="M8" i="162"/>
  <c r="L8" i="162"/>
  <c r="L7" i="162"/>
  <c r="M6" i="162"/>
  <c r="L5" i="162" a="1"/>
  <c r="M10" i="162" s="1"/>
  <c r="I10" i="162"/>
  <c r="I8" i="162"/>
  <c r="J7" i="162"/>
  <c r="J5" i="162"/>
  <c r="I5" i="162" a="1"/>
  <c r="J8" i="162" s="1"/>
  <c r="G9" i="162"/>
  <c r="F9" i="162"/>
  <c r="F8" i="162"/>
  <c r="G5" i="162"/>
  <c r="F5" i="162"/>
  <c r="F5" i="162" a="1"/>
  <c r="F7" i="162" s="1"/>
  <c r="D8" i="162"/>
  <c r="C4" i="162" a="1"/>
  <c r="W10" i="160"/>
  <c r="V10" i="160"/>
  <c r="W6" i="160"/>
  <c r="W5" i="160"/>
  <c r="V5" i="160"/>
  <c r="W4" i="160"/>
  <c r="V4" i="160" a="1"/>
  <c r="V8" i="160" s="1"/>
  <c r="S7" i="160"/>
  <c r="T6" i="160"/>
  <c r="S4" i="160" a="1"/>
  <c r="S10" i="160" s="1"/>
  <c r="P4" i="160" a="1"/>
  <c r="P11" i="160" s="1"/>
  <c r="M4" i="160" a="1"/>
  <c r="J8" i="160"/>
  <c r="K5" i="160"/>
  <c r="J5" i="160"/>
  <c r="J4" i="160" a="1"/>
  <c r="K7" i="160" s="1"/>
  <c r="T21" i="151" a="1"/>
  <c r="G19" i="151" a="1"/>
  <c r="H19" i="151" s="1"/>
  <c r="U16" i="151"/>
  <c r="T11" i="151" a="1"/>
  <c r="R6" i="151" a="1"/>
  <c r="R19" i="151" s="1"/>
  <c r="G20" i="152"/>
  <c r="G19" i="152" a="1"/>
  <c r="H19" i="152" s="1"/>
  <c r="T14" i="152"/>
  <c r="T11" i="152" a="1"/>
  <c r="U15" i="152" s="1"/>
  <c r="R6" i="152" a="1"/>
  <c r="R25" i="152" s="1"/>
  <c r="G19" i="149" a="1"/>
  <c r="H19" i="149" s="1"/>
  <c r="T11" i="149" a="1"/>
  <c r="T16" i="149" s="1"/>
  <c r="R6" i="149" a="1"/>
  <c r="R29" i="149" s="1"/>
  <c r="P12" i="130"/>
  <c r="O11" i="130" a="1"/>
  <c r="O15" i="130" s="1"/>
  <c r="E6" i="130" a="1"/>
  <c r="E17" i="130" s="1"/>
  <c r="O16" i="131"/>
  <c r="O14" i="131"/>
  <c r="O13" i="131"/>
  <c r="O11" i="131"/>
  <c r="O11" i="131" a="1"/>
  <c r="P18" i="131" s="1"/>
  <c r="E6" i="131" a="1"/>
  <c r="E23" i="131" s="1"/>
  <c r="N19" i="50" a="1"/>
  <c r="P20" i="50" s="1"/>
  <c r="K19" i="50" a="1"/>
  <c r="L20" i="50" s="1"/>
  <c r="W16" i="50"/>
  <c r="W14" i="50" a="1"/>
  <c r="Z15" i="50" s="1"/>
  <c r="I4" i="50" a="1"/>
  <c r="I4" i="50" s="1"/>
  <c r="G5" i="169" a="1"/>
  <c r="G12" i="169" s="1"/>
  <c r="F13" i="169"/>
  <c r="E9" i="169"/>
  <c r="F8" i="169"/>
  <c r="E7" i="169"/>
  <c r="E5" i="169" a="1"/>
  <c r="E13" i="169" s="1"/>
  <c r="AE19" i="215" a="1"/>
  <c r="AE19" i="215" s="1"/>
  <c r="AE18" i="215" a="1"/>
  <c r="AE18" i="215" s="1"/>
  <c r="R18" i="215" a="1"/>
  <c r="R18" i="215" s="1"/>
  <c r="R17" i="215" a="1"/>
  <c r="R17" i="215" s="1"/>
  <c r="BE8" i="215" a="1"/>
  <c r="BE8" i="215" s="1"/>
  <c r="AP18" i="213"/>
  <c r="AP18" i="213" a="1"/>
  <c r="AC18" i="213" a="1"/>
  <c r="AC18" i="213" s="1"/>
  <c r="AP17" i="213" a="1"/>
  <c r="AP17" i="213" s="1"/>
  <c r="AC17" i="213" a="1"/>
  <c r="AC17" i="213" s="1"/>
  <c r="N19" i="212" a="1"/>
  <c r="N19" i="212" s="1"/>
  <c r="BA18" i="212" a="1"/>
  <c r="BA18" i="212" s="1"/>
  <c r="AR18" i="212" a="1"/>
  <c r="AR18" i="212" s="1"/>
  <c r="AE18" i="212" a="1"/>
  <c r="AE18" i="212" s="1"/>
  <c r="N18" i="212" a="1"/>
  <c r="N18" i="212" s="1"/>
  <c r="BA17" i="212"/>
  <c r="BA17" i="212" a="1"/>
  <c r="AR17" i="212" a="1"/>
  <c r="AR17" i="212" s="1"/>
  <c r="AE17" i="212" a="1"/>
  <c r="AE17" i="212" s="1"/>
  <c r="N19" i="211" a="1"/>
  <c r="N19" i="211" s="1"/>
  <c r="BB18" i="211" a="1"/>
  <c r="BB18" i="211" s="1"/>
  <c r="AO18" i="211" a="1"/>
  <c r="AO18" i="211" s="1"/>
  <c r="AF18" i="211" a="1"/>
  <c r="AF18" i="211" s="1"/>
  <c r="N18" i="211"/>
  <c r="N18" i="211" a="1"/>
  <c r="BB17" i="211" a="1"/>
  <c r="BB17" i="211" s="1"/>
  <c r="AO17" i="211" a="1"/>
  <c r="AO17" i="211" s="1"/>
  <c r="AF17" i="211" a="1"/>
  <c r="AF17" i="211" s="1"/>
  <c r="N19" i="210" a="1"/>
  <c r="N19" i="210" s="1"/>
  <c r="AE18" i="210" a="1"/>
  <c r="AE18" i="210" s="1"/>
  <c r="N18" i="210" a="1"/>
  <c r="N18" i="210" s="1"/>
  <c r="AE17" i="210" a="1"/>
  <c r="AE17" i="210" s="1"/>
  <c r="S19" i="202" a="1"/>
  <c r="S19" i="202" s="1"/>
  <c r="S18" i="202" a="1"/>
  <c r="S18" i="202" s="1"/>
  <c r="S19" i="198" a="1"/>
  <c r="S19" i="198" s="1"/>
  <c r="S18" i="198" a="1"/>
  <c r="S18" i="198" s="1"/>
  <c r="T9" i="177" a="1"/>
  <c r="T9" i="177" s="1"/>
  <c r="R9" i="177" a="1"/>
  <c r="R9" i="177" s="1"/>
  <c r="T8" i="177" a="1"/>
  <c r="T8" i="177" s="1"/>
  <c r="T7" i="177" a="1"/>
  <c r="T7" i="177" s="1"/>
  <c r="T6" i="177" a="1"/>
  <c r="T6" i="177" s="1"/>
  <c r="T5" i="177" a="1"/>
  <c r="T5" i="177" s="1"/>
  <c r="T4" i="177" a="1"/>
  <c r="T4" i="177" s="1"/>
  <c r="T3" i="177" a="1"/>
  <c r="T3" i="177" s="1"/>
  <c r="R3" i="177" a="1"/>
  <c r="R3" i="177" s="1"/>
  <c r="T2" i="177" a="1"/>
  <c r="T2" i="177" s="1"/>
  <c r="V26" i="186" a="1"/>
  <c r="V26" i="186" s="1"/>
  <c r="V25" i="186" a="1"/>
  <c r="V25" i="186" s="1"/>
  <c r="V24" i="186" a="1"/>
  <c r="V24" i="186" s="1"/>
  <c r="V23" i="186" a="1"/>
  <c r="V23" i="186" s="1"/>
  <c r="AE22" i="186" a="1"/>
  <c r="AE22" i="186" s="1"/>
  <c r="V22" i="186" a="1"/>
  <c r="V22" i="186" s="1"/>
  <c r="AE21" i="186" a="1"/>
  <c r="AE21" i="186" s="1"/>
  <c r="V21" i="186" a="1"/>
  <c r="V21" i="186" s="1"/>
  <c r="AE20" i="186" a="1"/>
  <c r="AE20" i="186" s="1"/>
  <c r="V20" i="186" a="1"/>
  <c r="V20" i="186" s="1"/>
  <c r="AE19" i="186"/>
  <c r="AE19" i="186" a="1"/>
  <c r="V19" i="186" a="1"/>
  <c r="V19" i="186" s="1"/>
  <c r="AH13" i="186" a="1"/>
  <c r="AH13" i="186" s="1"/>
  <c r="AH12" i="186" a="1"/>
  <c r="AH12" i="186" s="1"/>
  <c r="AH10" i="186" a="1"/>
  <c r="AH10" i="186" s="1"/>
  <c r="V26" i="185" a="1"/>
  <c r="V26" i="185" s="1"/>
  <c r="V25" i="185" a="1"/>
  <c r="V25" i="185" s="1"/>
  <c r="V24" i="185" a="1"/>
  <c r="V24" i="185" s="1"/>
  <c r="V23" i="185" a="1"/>
  <c r="V23" i="185" s="1"/>
  <c r="AE22" i="185" a="1"/>
  <c r="AE22" i="185" s="1"/>
  <c r="V22" i="185" a="1"/>
  <c r="V22" i="185" s="1"/>
  <c r="AE21" i="185" a="1"/>
  <c r="AE21" i="185" s="1"/>
  <c r="V21" i="185" a="1"/>
  <c r="V21" i="185" s="1"/>
  <c r="AE20" i="185" a="1"/>
  <c r="AE20" i="185" s="1"/>
  <c r="V20" i="185" a="1"/>
  <c r="V20" i="185" s="1"/>
  <c r="AE19" i="185" a="1"/>
  <c r="AE19" i="185" s="1"/>
  <c r="V19" i="185" a="1"/>
  <c r="V19" i="185" s="1"/>
  <c r="AK13" i="185" a="1"/>
  <c r="AK13" i="185" s="1"/>
  <c r="AH13" i="185" a="1"/>
  <c r="AH13" i="185" s="1"/>
  <c r="AK12" i="185" a="1"/>
  <c r="AK12" i="185" s="1"/>
  <c r="AH12" i="185" a="1"/>
  <c r="AH12" i="185" s="1"/>
  <c r="AK10" i="185" a="1"/>
  <c r="AK10" i="185" s="1"/>
  <c r="AH10" i="185" a="1"/>
  <c r="AH10" i="185" s="1"/>
  <c r="AR9" i="185" a="1"/>
  <c r="AR9" i="185" s="1"/>
  <c r="AR8" i="185" a="1"/>
  <c r="AR8" i="185" s="1"/>
  <c r="AK8" i="185" a="1"/>
  <c r="AK8" i="185" s="1"/>
  <c r="AV7" i="185" a="1"/>
  <c r="AV7" i="185" s="1"/>
  <c r="AU7" i="185" a="1"/>
  <c r="AU7" i="185" s="1"/>
  <c r="AK7" i="185" a="1"/>
  <c r="AK7" i="185" s="1"/>
  <c r="AV6" i="185" a="1"/>
  <c r="AV6" i="185" s="1"/>
  <c r="AU6" i="185" a="1"/>
  <c r="AU6" i="185" s="1"/>
  <c r="AR6" i="185" a="1"/>
  <c r="AR6" i="185" s="1"/>
  <c r="AV5" i="185"/>
  <c r="AV5" i="185" a="1"/>
  <c r="AU5" i="185" a="1"/>
  <c r="AU5" i="185" s="1"/>
  <c r="AR5" i="185" a="1"/>
  <c r="AR5" i="185" s="1"/>
  <c r="AL5" i="185" a="1"/>
  <c r="AL5" i="185" s="1"/>
  <c r="AK5" i="185" a="1"/>
  <c r="AK5" i="185" s="1"/>
  <c r="AV4" i="185" a="1"/>
  <c r="AV4" i="185" s="1"/>
  <c r="AU4" i="185" a="1"/>
  <c r="AU4" i="185" s="1"/>
  <c r="AR4" i="185" a="1"/>
  <c r="AR4" i="185" s="1"/>
  <c r="AP4" i="185" a="1"/>
  <c r="AP4" i="185" s="1"/>
  <c r="AL4" i="185" a="1"/>
  <c r="AL4" i="185" s="1"/>
  <c r="AK4" i="185" a="1"/>
  <c r="AK4" i="185" s="1"/>
  <c r="AR3" i="185" a="1"/>
  <c r="AR3" i="185" s="1"/>
  <c r="AP3" i="185" a="1"/>
  <c r="AP3" i="185" s="1"/>
  <c r="AL3" i="185" a="1"/>
  <c r="AL3" i="185" s="1"/>
  <c r="AK3" i="185" a="1"/>
  <c r="AK3" i="185" s="1"/>
  <c r="G5" i="179" a="1"/>
  <c r="G5" i="179" s="1"/>
  <c r="F5" i="179" a="1"/>
  <c r="F5" i="179" s="1"/>
  <c r="G4" i="179" a="1"/>
  <c r="G4" i="179" s="1"/>
  <c r="F4" i="179" a="1"/>
  <c r="F4" i="179" s="1"/>
  <c r="G3" i="179" a="1"/>
  <c r="G3" i="179" s="1"/>
  <c r="F3" i="179" a="1"/>
  <c r="F3" i="179" s="1"/>
  <c r="G2" i="179" a="1"/>
  <c r="G2" i="179" s="1"/>
  <c r="F2" i="179" a="1"/>
  <c r="F2" i="179" s="1"/>
  <c r="G5" i="178" a="1"/>
  <c r="G5" i="178" s="1"/>
  <c r="F5" i="178" a="1"/>
  <c r="F5" i="178" s="1"/>
  <c r="G4" i="178" a="1"/>
  <c r="G4" i="178" s="1"/>
  <c r="F4" i="178" a="1"/>
  <c r="F4" i="178" s="1"/>
  <c r="G3" i="178" a="1"/>
  <c r="G3" i="178" s="1"/>
  <c r="F3" i="178" a="1"/>
  <c r="F3" i="178" s="1"/>
  <c r="G2" i="178" a="1"/>
  <c r="G2" i="178" s="1"/>
  <c r="F2" i="178" a="1"/>
  <c r="F2" i="178" s="1"/>
  <c r="F9" i="184" a="1"/>
  <c r="F9" i="184" s="1"/>
  <c r="C9" i="184" a="1"/>
  <c r="C9" i="184" s="1"/>
  <c r="T13" i="183" a="1"/>
  <c r="T13" i="183" s="1"/>
  <c r="T12" i="183" a="1"/>
  <c r="T12" i="183" s="1"/>
  <c r="T11" i="183" a="1"/>
  <c r="T11" i="183" s="1"/>
  <c r="T9" i="183" a="1"/>
  <c r="T9" i="183" s="1"/>
  <c r="V8" i="183" a="1"/>
  <c r="V8" i="183" s="1"/>
  <c r="T8" i="183" a="1"/>
  <c r="T8" i="183" s="1"/>
  <c r="T5" i="183" a="1"/>
  <c r="T5" i="183" s="1"/>
  <c r="T11" i="182" a="1"/>
  <c r="T11" i="182" s="1"/>
  <c r="V10" i="182" a="1"/>
  <c r="V10" i="182" s="1"/>
  <c r="T9" i="182" a="1"/>
  <c r="T9" i="182" s="1"/>
  <c r="T8" i="182" a="1"/>
  <c r="T8" i="182" s="1"/>
  <c r="T7" i="182" a="1"/>
  <c r="T7" i="182" s="1"/>
  <c r="T4" i="182" a="1"/>
  <c r="T4" i="182" s="1"/>
  <c r="D6" i="158" a="1"/>
  <c r="D6" i="158" s="1"/>
  <c r="S8" i="142" a="1"/>
  <c r="S8" i="142" s="1"/>
  <c r="S7" i="142" a="1"/>
  <c r="S7" i="142" s="1"/>
  <c r="S6" i="142" a="1"/>
  <c r="S6" i="142" s="1"/>
  <c r="S9" i="140" a="1"/>
  <c r="S9" i="140" s="1"/>
  <c r="S8" i="140" a="1"/>
  <c r="S8" i="140" s="1"/>
  <c r="M26" i="143" a="1"/>
  <c r="M26" i="143" s="1"/>
  <c r="M25" i="143" a="1"/>
  <c r="M25" i="143" s="1"/>
  <c r="M24" i="143" a="1"/>
  <c r="M24" i="143" s="1"/>
  <c r="M23" i="143" a="1"/>
  <c r="M23" i="143" s="1"/>
  <c r="M22" i="143" a="1"/>
  <c r="M22" i="143" s="1"/>
  <c r="M18" i="143" a="1"/>
  <c r="M18" i="143" s="1"/>
  <c r="M17" i="143" a="1"/>
  <c r="M17" i="143" s="1"/>
  <c r="M16" i="143" a="1"/>
  <c r="M16" i="143" s="1"/>
  <c r="M15" i="143" a="1"/>
  <c r="M15" i="143" s="1"/>
  <c r="M14" i="143" a="1"/>
  <c r="M14" i="143" s="1"/>
  <c r="M13" i="143" a="1"/>
  <c r="M13" i="143" s="1"/>
  <c r="M12" i="143" a="1"/>
  <c r="M12" i="143" s="1"/>
  <c r="M11" i="143"/>
  <c r="M11" i="143" a="1"/>
  <c r="Q8" i="143" a="1"/>
  <c r="Q8" i="143" s="1"/>
  <c r="Q7" i="143" a="1"/>
  <c r="Q7" i="143" s="1"/>
  <c r="Q6" i="143" a="1"/>
  <c r="Q6" i="143" s="1"/>
  <c r="M20" i="141" a="1"/>
  <c r="M20" i="141" s="1"/>
  <c r="M19" i="141" a="1"/>
  <c r="M19" i="141" s="1"/>
  <c r="M18" i="141" a="1"/>
  <c r="M18" i="141" s="1"/>
  <c r="M17" i="141" a="1"/>
  <c r="M17" i="141" s="1"/>
  <c r="M16" i="141" a="1"/>
  <c r="M16" i="141" s="1"/>
  <c r="M15" i="141" a="1"/>
  <c r="M15" i="141" s="1"/>
  <c r="M14" i="141" a="1"/>
  <c r="M14" i="141" s="1"/>
  <c r="M13" i="141" a="1"/>
  <c r="M13" i="141" s="1"/>
  <c r="M12" i="141" a="1"/>
  <c r="M12" i="141" s="1"/>
  <c r="M11" i="141" a="1"/>
  <c r="M11" i="141" s="1"/>
  <c r="M10" i="141" a="1"/>
  <c r="M10" i="141" s="1"/>
  <c r="M9" i="141" a="1"/>
  <c r="M9" i="141" s="1"/>
  <c r="M8" i="141" a="1"/>
  <c r="M8" i="141" s="1"/>
  <c r="M7" i="141" a="1"/>
  <c r="M7" i="141" s="1"/>
  <c r="M6" i="141" a="1"/>
  <c r="M6" i="141" s="1"/>
  <c r="M20" i="138" a="1"/>
  <c r="M20" i="138" s="1"/>
  <c r="M19" i="138" a="1"/>
  <c r="M19" i="138" s="1"/>
  <c r="M18" i="138" a="1"/>
  <c r="M18" i="138" s="1"/>
  <c r="M17" i="138" a="1"/>
  <c r="M17" i="138" s="1"/>
  <c r="M16" i="138" a="1"/>
  <c r="M16" i="138" s="1"/>
  <c r="M15" i="138" a="1"/>
  <c r="M15" i="138" s="1"/>
  <c r="M14" i="138" a="1"/>
  <c r="M14" i="138" s="1"/>
  <c r="M13" i="138" a="1"/>
  <c r="M13" i="138" s="1"/>
  <c r="M12" i="138" a="1"/>
  <c r="M12" i="138" s="1"/>
  <c r="M11" i="138" a="1"/>
  <c r="M11" i="138" s="1"/>
  <c r="M10" i="138" a="1"/>
  <c r="M10" i="138" s="1"/>
  <c r="M9" i="138" a="1"/>
  <c r="M9" i="138" s="1"/>
  <c r="M8" i="138" a="1"/>
  <c r="M8" i="138" s="1"/>
  <c r="M7" i="138" a="1"/>
  <c r="M7" i="138" s="1"/>
  <c r="M6" i="138" a="1"/>
  <c r="M6" i="138" s="1"/>
  <c r="B209" i="113" a="1"/>
  <c r="B209" i="113" s="1"/>
  <c r="B208" i="110" a="1"/>
  <c r="B208" i="110" s="1"/>
  <c r="L20" i="110" a="1"/>
  <c r="L20" i="110" s="1"/>
  <c r="L18" i="110" a="1"/>
  <c r="L18" i="110" s="1"/>
  <c r="L17" i="110" a="1"/>
  <c r="L17" i="110" s="1"/>
  <c r="L16" i="110" a="1"/>
  <c r="L16" i="110" s="1"/>
  <c r="L15" i="110" a="1"/>
  <c r="L15" i="110" s="1"/>
  <c r="L14" i="110" a="1"/>
  <c r="L14" i="110" s="1"/>
  <c r="L13" i="110" a="1"/>
  <c r="L13" i="110" s="1"/>
  <c r="L12" i="110" a="1"/>
  <c r="L12" i="110" s="1"/>
  <c r="L11" i="110" a="1"/>
  <c r="L11" i="110" s="1"/>
  <c r="L10" i="110" a="1"/>
  <c r="L10" i="110" s="1"/>
  <c r="L9" i="110" a="1"/>
  <c r="L9" i="110" s="1"/>
  <c r="L8" i="110" a="1"/>
  <c r="L8" i="110" s="1"/>
  <c r="L7" i="110" a="1"/>
  <c r="L7" i="110" s="1"/>
  <c r="I7" i="110" a="1"/>
  <c r="I7" i="110" s="1"/>
  <c r="L6" i="110" a="1"/>
  <c r="L6" i="110" s="1"/>
  <c r="I6" i="110" a="1"/>
  <c r="I6" i="110" s="1"/>
  <c r="L5" i="110" a="1"/>
  <c r="L5" i="110" s="1"/>
  <c r="I5" i="110" a="1"/>
  <c r="I5" i="110" s="1"/>
  <c r="L4" i="110" a="1"/>
  <c r="L4" i="110" s="1"/>
  <c r="B207" i="109" a="1"/>
  <c r="B207" i="109" s="1"/>
  <c r="L20" i="109" a="1"/>
  <c r="L20" i="109" s="1"/>
  <c r="L18" i="109" a="1"/>
  <c r="L18" i="109" s="1"/>
  <c r="L17" i="109" a="1"/>
  <c r="L17" i="109" s="1"/>
  <c r="L16" i="109" a="1"/>
  <c r="L16" i="109" s="1"/>
  <c r="L15" i="109" a="1"/>
  <c r="L15" i="109" s="1"/>
  <c r="L14" i="109" a="1"/>
  <c r="L14" i="109" s="1"/>
  <c r="L13" i="109" a="1"/>
  <c r="L13" i="109" s="1"/>
  <c r="L12" i="109" a="1"/>
  <c r="L12" i="109" s="1"/>
  <c r="L11" i="109" a="1"/>
  <c r="L11" i="109" s="1"/>
  <c r="L10" i="109" a="1"/>
  <c r="L10" i="109" s="1"/>
  <c r="L9" i="109" a="1"/>
  <c r="L9" i="109" s="1"/>
  <c r="L8" i="109" a="1"/>
  <c r="L8" i="109" s="1"/>
  <c r="L7" i="109" a="1"/>
  <c r="L7" i="109" s="1"/>
  <c r="L6" i="109" a="1"/>
  <c r="L6" i="109" s="1"/>
  <c r="I6" i="109" a="1"/>
  <c r="I6" i="109" s="1"/>
  <c r="L5" i="109" a="1"/>
  <c r="L5" i="109" s="1"/>
  <c r="I5" i="109" a="1"/>
  <c r="I5" i="109" s="1"/>
  <c r="L4" i="109" a="1"/>
  <c r="L4" i="109" s="1"/>
  <c r="I4" i="109" a="1"/>
  <c r="I4" i="109" s="1"/>
  <c r="B206" i="101" a="1"/>
  <c r="B206" i="101" s="1"/>
  <c r="H13" i="101"/>
  <c r="H13" i="101" a="1"/>
  <c r="H12" i="101" a="1"/>
  <c r="H12" i="101" s="1"/>
  <c r="H11" i="101" a="1"/>
  <c r="H11" i="101" s="1"/>
  <c r="Q10" i="101" a="1"/>
  <c r="Q10" i="101" s="1"/>
  <c r="O10" i="101" a="1"/>
  <c r="O10" i="101" s="1"/>
  <c r="H10" i="101" a="1"/>
  <c r="H10" i="101" s="1"/>
  <c r="AF9" i="101" a="1"/>
  <c r="AF9" i="101" s="1"/>
  <c r="Q9" i="101" a="1"/>
  <c r="Q9" i="101" s="1"/>
  <c r="AF8" i="101" a="1"/>
  <c r="AF8" i="101" s="1"/>
  <c r="AF6" i="101" a="1"/>
  <c r="AF6" i="101" s="1"/>
  <c r="Q6" i="101" a="1"/>
  <c r="Q6" i="101" s="1"/>
  <c r="H6" i="101" a="1"/>
  <c r="H6" i="101" s="1"/>
  <c r="F6" i="101" a="1"/>
  <c r="F6" i="101" s="1"/>
  <c r="AF5" i="101" a="1"/>
  <c r="AF5" i="101" s="1"/>
  <c r="Q5" i="101" a="1"/>
  <c r="Q5" i="101" s="1"/>
  <c r="H5" i="101" a="1"/>
  <c r="H5" i="101" s="1"/>
  <c r="AF4" i="101" a="1"/>
  <c r="AF4" i="101" s="1"/>
  <c r="Q4" i="101" a="1"/>
  <c r="Q4" i="101" s="1"/>
  <c r="H4" i="101" a="1"/>
  <c r="H4" i="101" s="1"/>
  <c r="AF3" i="101" a="1"/>
  <c r="AF3" i="101" s="1"/>
  <c r="K10" i="53"/>
  <c r="K10" i="53" a="1"/>
  <c r="K9" i="53" a="1"/>
  <c r="K9" i="53" s="1"/>
  <c r="B207" i="94" a="1"/>
  <c r="B207" i="94" s="1"/>
  <c r="F19" i="94" a="1"/>
  <c r="F19" i="94" s="1"/>
  <c r="F18" i="94" a="1"/>
  <c r="F18" i="94" s="1"/>
  <c r="F17" i="94" a="1"/>
  <c r="F17" i="94" s="1"/>
  <c r="F16" i="94" a="1"/>
  <c r="F16" i="94" s="1"/>
  <c r="F15" i="94" a="1"/>
  <c r="F15" i="94" s="1"/>
  <c r="F14" i="94" a="1"/>
  <c r="F14" i="94" s="1"/>
  <c r="F13" i="94" a="1"/>
  <c r="F13" i="94" s="1"/>
  <c r="F12" i="94" a="1"/>
  <c r="F12" i="94" s="1"/>
  <c r="F11" i="94" a="1"/>
  <c r="F11" i="94" s="1"/>
  <c r="F10" i="94" a="1"/>
  <c r="F10" i="94" s="1"/>
  <c r="F9" i="94" a="1"/>
  <c r="F9" i="94" s="1"/>
  <c r="F8" i="94" a="1"/>
  <c r="F8" i="94" s="1"/>
  <c r="F7" i="94" a="1"/>
  <c r="F7" i="94" s="1"/>
  <c r="F6" i="94" a="1"/>
  <c r="F6" i="94" s="1"/>
  <c r="F5" i="94" a="1"/>
  <c r="F5" i="94" s="1"/>
  <c r="B207" i="93" a="1"/>
  <c r="B207" i="93" s="1"/>
  <c r="F19" i="93" a="1"/>
  <c r="F19" i="93" s="1"/>
  <c r="F18" i="93" a="1"/>
  <c r="F18" i="93" s="1"/>
  <c r="F17" i="93" a="1"/>
  <c r="F17" i="93" s="1"/>
  <c r="F16" i="93" a="1"/>
  <c r="F16" i="93" s="1"/>
  <c r="F15" i="93" a="1"/>
  <c r="F15" i="93" s="1"/>
  <c r="F14" i="93" a="1"/>
  <c r="F14" i="93" s="1"/>
  <c r="F13" i="93" a="1"/>
  <c r="F13" i="93" s="1"/>
  <c r="F12" i="93" a="1"/>
  <c r="F12" i="93" s="1"/>
  <c r="F11" i="93" a="1"/>
  <c r="F11" i="93" s="1"/>
  <c r="F10" i="93" a="1"/>
  <c r="F10" i="93" s="1"/>
  <c r="F9" i="93" a="1"/>
  <c r="F9" i="93" s="1"/>
  <c r="F8" i="93" a="1"/>
  <c r="F8" i="93" s="1"/>
  <c r="F7" i="93" a="1"/>
  <c r="F7" i="93" s="1"/>
  <c r="F6" i="93" a="1"/>
  <c r="F6" i="93" s="1"/>
  <c r="F5" i="93" a="1"/>
  <c r="F5" i="93" s="1"/>
  <c r="B206" i="30" a="1"/>
  <c r="B206" i="30" s="1"/>
  <c r="R93" i="147" a="1"/>
  <c r="R93" i="147" s="1"/>
  <c r="R92" i="147" a="1"/>
  <c r="R92" i="147" s="1"/>
  <c r="R91" i="147" a="1"/>
  <c r="R91" i="147" s="1"/>
  <c r="R64" i="147" a="1"/>
  <c r="R64" i="147" s="1"/>
  <c r="R63" i="147" a="1"/>
  <c r="R63" i="147" s="1"/>
  <c r="R62" i="147" a="1"/>
  <c r="R62" i="147" s="1"/>
  <c r="R36" i="147" a="1"/>
  <c r="R36" i="147" s="1"/>
  <c r="R35" i="147" a="1"/>
  <c r="R35" i="147" s="1"/>
  <c r="R34" i="147" a="1"/>
  <c r="R34" i="147" s="1"/>
  <c r="R33" i="147" a="1"/>
  <c r="R33" i="147" s="1"/>
  <c r="AR22" i="147" a="1"/>
  <c r="AR22" i="147" s="1"/>
  <c r="AR21" i="147" a="1"/>
  <c r="AR21" i="147" s="1"/>
  <c r="AR20" i="147" a="1"/>
  <c r="AR20" i="147" s="1"/>
  <c r="R7" i="147" a="1"/>
  <c r="R7" i="147" s="1"/>
  <c r="R6" i="147" a="1"/>
  <c r="R6" i="147" s="1"/>
  <c r="R5" i="147" a="1"/>
  <c r="R5" i="147" s="1"/>
  <c r="R4" i="147" a="1"/>
  <c r="R4" i="147" s="1"/>
  <c r="G21" i="91" a="1"/>
  <c r="G21" i="91" s="1"/>
  <c r="G20" i="91" a="1"/>
  <c r="G20" i="91" s="1"/>
  <c r="G19" i="91" a="1"/>
  <c r="G19" i="91" s="1"/>
  <c r="G18" i="91" a="1"/>
  <c r="G18" i="91" s="1"/>
  <c r="G17" i="91" a="1"/>
  <c r="G17" i="91" s="1"/>
  <c r="G16" i="91"/>
  <c r="G16" i="91" a="1"/>
  <c r="E16" i="91" a="1"/>
  <c r="E16" i="91" s="1"/>
  <c r="G15" i="91" a="1"/>
  <c r="G15" i="91" s="1"/>
  <c r="E15" i="91" a="1"/>
  <c r="E15" i="91" s="1"/>
  <c r="G14" i="91" a="1"/>
  <c r="G14" i="91" s="1"/>
  <c r="G13" i="91" a="1"/>
  <c r="G13" i="91" s="1"/>
  <c r="G12" i="91" a="1"/>
  <c r="G12" i="91" s="1"/>
  <c r="G11" i="91" a="1"/>
  <c r="G11" i="91" s="1"/>
  <c r="G10" i="91" a="1"/>
  <c r="G10" i="91" s="1"/>
  <c r="G9" i="91" a="1"/>
  <c r="G9" i="91" s="1"/>
  <c r="G8" i="91" a="1"/>
  <c r="G8" i="91" s="1"/>
  <c r="G7" i="91" a="1"/>
  <c r="G7" i="91" s="1"/>
  <c r="G6" i="91" a="1"/>
  <c r="G6" i="91" s="1"/>
  <c r="E6" i="91" a="1"/>
  <c r="E6" i="91" s="1"/>
  <c r="G5" i="91" a="1"/>
  <c r="G5" i="91" s="1"/>
  <c r="E5" i="91" a="1"/>
  <c r="E5" i="91" s="1"/>
  <c r="G4" i="91" a="1"/>
  <c r="G4" i="91" s="1"/>
  <c r="G3" i="91" a="1"/>
  <c r="G3" i="91" s="1"/>
  <c r="AI21" i="88" a="1"/>
  <c r="AI21" i="88" s="1"/>
  <c r="AI20" i="88" a="1"/>
  <c r="AI20" i="88" s="1"/>
  <c r="F20" i="89" a="1"/>
  <c r="F20" i="89" s="1"/>
  <c r="F19" i="89" a="1"/>
  <c r="F19" i="89" s="1"/>
  <c r="F18" i="89" a="1"/>
  <c r="F18" i="89" s="1"/>
  <c r="F17" i="89" a="1"/>
  <c r="F17" i="89" s="1"/>
  <c r="F16" i="89" a="1"/>
  <c r="F16" i="89" s="1"/>
  <c r="F15" i="89" a="1"/>
  <c r="F15" i="89" s="1"/>
  <c r="F14" i="89" a="1"/>
  <c r="F14" i="89" s="1"/>
  <c r="F13" i="89" a="1"/>
  <c r="F13" i="89" s="1"/>
  <c r="F12" i="89"/>
  <c r="F12" i="89" a="1"/>
  <c r="F11" i="89" a="1"/>
  <c r="F11" i="89" s="1"/>
  <c r="F10" i="89" a="1"/>
  <c r="F10" i="89" s="1"/>
  <c r="F9" i="89" a="1"/>
  <c r="F9" i="89" s="1"/>
  <c r="F8" i="89" a="1"/>
  <c r="F8" i="89" s="1"/>
  <c r="F7" i="89" a="1"/>
  <c r="F7" i="89" s="1"/>
  <c r="F6" i="89" a="1"/>
  <c r="F6" i="89" s="1"/>
  <c r="Z20" i="77" a="1"/>
  <c r="Z20" i="77" s="1"/>
  <c r="F20" i="77" a="1"/>
  <c r="F20" i="77" s="1"/>
  <c r="Z19" i="77" a="1"/>
  <c r="Z19" i="77" s="1"/>
  <c r="F19" i="77" a="1"/>
  <c r="F19" i="77" s="1"/>
  <c r="Z18" i="77" a="1"/>
  <c r="Z18" i="77" s="1"/>
  <c r="F18" i="77" a="1"/>
  <c r="F18" i="77" s="1"/>
  <c r="Z17" i="77"/>
  <c r="Z17" i="77" a="1"/>
  <c r="F17" i="77" a="1"/>
  <c r="F17" i="77" s="1"/>
  <c r="Z16" i="77" a="1"/>
  <c r="Z16" i="77" s="1"/>
  <c r="F16" i="77" a="1"/>
  <c r="F16" i="77" s="1"/>
  <c r="Z15" i="77" a="1"/>
  <c r="Z15" i="77" s="1"/>
  <c r="F15" i="77" a="1"/>
  <c r="F15" i="77" s="1"/>
  <c r="Z14" i="77" a="1"/>
  <c r="Z14" i="77" s="1"/>
  <c r="F14" i="77" a="1"/>
  <c r="F14" i="77" s="1"/>
  <c r="Z13" i="77" a="1"/>
  <c r="Z13" i="77" s="1"/>
  <c r="F13" i="77" a="1"/>
  <c r="F13" i="77" s="1"/>
  <c r="Z12" i="77" a="1"/>
  <c r="Z12" i="77" s="1"/>
  <c r="F12" i="77" a="1"/>
  <c r="F12" i="77" s="1"/>
  <c r="Z11" i="77" a="1"/>
  <c r="Z11" i="77" s="1"/>
  <c r="F11" i="77" a="1"/>
  <c r="F11" i="77" s="1"/>
  <c r="Z10" i="77" a="1"/>
  <c r="Z10" i="77" s="1"/>
  <c r="F10" i="77" a="1"/>
  <c r="F10" i="77" s="1"/>
  <c r="Z9" i="77" a="1"/>
  <c r="Z9" i="77" s="1"/>
  <c r="F9" i="77" a="1"/>
  <c r="F9" i="77" s="1"/>
  <c r="Z8" i="77" a="1"/>
  <c r="Z8" i="77" s="1"/>
  <c r="F8" i="77" a="1"/>
  <c r="F8" i="77" s="1"/>
  <c r="Z7" i="77" a="1"/>
  <c r="Z7" i="77" s="1"/>
  <c r="F7" i="77" a="1"/>
  <c r="F7" i="77" s="1"/>
  <c r="Z6" i="77" a="1"/>
  <c r="Z6" i="77" s="1"/>
  <c r="F6" i="77" a="1"/>
  <c r="F6" i="77" s="1"/>
  <c r="G10" i="90" a="1"/>
  <c r="G10" i="90" s="1"/>
  <c r="G9" i="90" a="1"/>
  <c r="G9" i="90" s="1"/>
  <c r="G8" i="90" a="1"/>
  <c r="G8" i="90" s="1"/>
  <c r="G6" i="90" a="1"/>
  <c r="G6" i="90" s="1"/>
  <c r="E6" i="90" a="1"/>
  <c r="E6" i="90" s="1"/>
  <c r="G5" i="90" a="1"/>
  <c r="G5" i="90" s="1"/>
  <c r="E5" i="90" a="1"/>
  <c r="E5" i="90" s="1"/>
  <c r="G4" i="90" a="1"/>
  <c r="G4" i="90" s="1"/>
  <c r="G3" i="90" a="1"/>
  <c r="G3" i="90" s="1"/>
  <c r="P23" i="76" a="1"/>
  <c r="P23" i="76" s="1"/>
  <c r="P22" i="76"/>
  <c r="P22" i="76" a="1"/>
  <c r="F20" i="75" a="1"/>
  <c r="F20" i="75" s="1"/>
  <c r="F19" i="75" a="1"/>
  <c r="F19" i="75" s="1"/>
  <c r="F18" i="75" a="1"/>
  <c r="F18" i="75" s="1"/>
  <c r="F17" i="75" a="1"/>
  <c r="F17" i="75" s="1"/>
  <c r="F16" i="75" a="1"/>
  <c r="F16" i="75" s="1"/>
  <c r="F15" i="75" a="1"/>
  <c r="F15" i="75" s="1"/>
  <c r="F14" i="75" a="1"/>
  <c r="F14" i="75" s="1"/>
  <c r="F13" i="75" a="1"/>
  <c r="F13" i="75" s="1"/>
  <c r="F12" i="75" a="1"/>
  <c r="F12" i="75" s="1"/>
  <c r="F11" i="75" a="1"/>
  <c r="F11" i="75" s="1"/>
  <c r="F10" i="75" a="1"/>
  <c r="F10" i="75" s="1"/>
  <c r="F9" i="75" a="1"/>
  <c r="F9" i="75" s="1"/>
  <c r="F8" i="75"/>
  <c r="F8" i="75" a="1"/>
  <c r="F7" i="75" a="1"/>
  <c r="F7" i="75" s="1"/>
  <c r="F6" i="75" a="1"/>
  <c r="F6" i="75" s="1"/>
  <c r="F19" i="31" a="1"/>
  <c r="F19" i="31" s="1"/>
  <c r="F18" i="31" a="1"/>
  <c r="F18" i="31" s="1"/>
  <c r="F17" i="31" a="1"/>
  <c r="F17" i="31" s="1"/>
  <c r="F16" i="31" a="1"/>
  <c r="F16" i="31" s="1"/>
  <c r="F15" i="31" a="1"/>
  <c r="F15" i="31" s="1"/>
  <c r="F14" i="31" a="1"/>
  <c r="F14" i="31" s="1"/>
  <c r="F13" i="31" a="1"/>
  <c r="F13" i="31" s="1"/>
  <c r="F12" i="31" a="1"/>
  <c r="F12" i="31" s="1"/>
  <c r="F11" i="31" a="1"/>
  <c r="F11" i="31" s="1"/>
  <c r="F10" i="31" a="1"/>
  <c r="F10" i="31" s="1"/>
  <c r="F9" i="31" a="1"/>
  <c r="F9" i="31" s="1"/>
  <c r="F8" i="31" a="1"/>
  <c r="F8" i="31" s="1"/>
  <c r="F7" i="31" a="1"/>
  <c r="F7" i="31" s="1"/>
  <c r="F6" i="31" a="1"/>
  <c r="F6" i="31" s="1"/>
  <c r="F5" i="31" a="1"/>
  <c r="F5" i="31" s="1"/>
  <c r="V2" i="160" a="1"/>
  <c r="V2" i="160" s="1"/>
  <c r="U25" i="151" a="1"/>
  <c r="U25" i="151" s="1"/>
  <c r="M21" i="151" a="1"/>
  <c r="M21" i="151" s="1"/>
  <c r="M20" i="151" a="1"/>
  <c r="M20" i="151" s="1"/>
  <c r="O10" i="151" a="1"/>
  <c r="O10" i="151" s="1"/>
  <c r="O8" i="151" a="1"/>
  <c r="O8" i="151" s="1"/>
  <c r="O8" i="152" a="1"/>
  <c r="O8" i="152" s="1"/>
  <c r="O8" i="149" a="1"/>
  <c r="O8" i="149" s="1"/>
  <c r="H10" i="130" a="1"/>
  <c r="H10" i="130" s="1"/>
  <c r="H9" i="130" a="1"/>
  <c r="H9" i="130" s="1"/>
  <c r="H8" i="130" a="1"/>
  <c r="H8" i="130" s="1"/>
  <c r="H7" i="130" a="1"/>
  <c r="H7" i="130" s="1"/>
  <c r="L6" i="130" a="1"/>
  <c r="L6" i="130" s="1"/>
  <c r="H6" i="130" a="1"/>
  <c r="H6" i="130" s="1"/>
  <c r="H10" i="131" a="1"/>
  <c r="H10" i="131" s="1"/>
  <c r="H9" i="131" a="1"/>
  <c r="H9" i="131" s="1"/>
  <c r="H8" i="131" a="1"/>
  <c r="H8" i="131" s="1"/>
  <c r="H7" i="131" a="1"/>
  <c r="H7" i="131" s="1"/>
  <c r="L6" i="131" a="1"/>
  <c r="L6" i="131" s="1"/>
  <c r="H6" i="131" a="1"/>
  <c r="H6" i="131" s="1"/>
  <c r="C27" i="84" a="1"/>
  <c r="C27" i="84" s="1"/>
  <c r="C26" i="84" a="1"/>
  <c r="C26" i="84" s="1"/>
  <c r="C25" i="84" a="1"/>
  <c r="C25" i="84" s="1"/>
  <c r="F13" i="84" a="1"/>
  <c r="F13" i="84" s="1"/>
  <c r="F12" i="84" a="1"/>
  <c r="F12" i="84" s="1"/>
  <c r="F10" i="84"/>
  <c r="F10" i="84" a="1"/>
  <c r="F9" i="84" a="1"/>
  <c r="F9" i="84" s="1"/>
  <c r="F8" i="84" a="1"/>
  <c r="F8" i="84" s="1"/>
  <c r="F7" i="84" a="1"/>
  <c r="F7" i="84" s="1"/>
  <c r="F6" i="84" a="1"/>
  <c r="F6" i="84" s="1"/>
  <c r="F5" i="84" a="1"/>
  <c r="F5" i="84" s="1"/>
  <c r="F4" i="84" a="1"/>
  <c r="F4" i="84" s="1"/>
  <c r="C27" i="83" a="1"/>
  <c r="C27" i="83" s="1"/>
  <c r="C26" i="83" a="1"/>
  <c r="C26" i="83" s="1"/>
  <c r="F13" i="83" a="1"/>
  <c r="F13" i="83" s="1"/>
  <c r="F12" i="83" a="1"/>
  <c r="F12" i="83" s="1"/>
  <c r="F10" i="83" a="1"/>
  <c r="F10" i="83" s="1"/>
  <c r="F9" i="83" a="1"/>
  <c r="F9" i="83" s="1"/>
  <c r="F8" i="83"/>
  <c r="F8" i="83" a="1"/>
  <c r="F7" i="83" a="1"/>
  <c r="F7" i="83" s="1"/>
  <c r="F6" i="83" a="1"/>
  <c r="F6" i="83" s="1"/>
  <c r="F5" i="83" a="1"/>
  <c r="F5" i="83" s="1"/>
  <c r="F4" i="83" a="1"/>
  <c r="F4" i="83" s="1"/>
  <c r="C27" i="82" a="1"/>
  <c r="C27" i="82" s="1"/>
  <c r="C26" i="82" a="1"/>
  <c r="C26" i="82" s="1"/>
  <c r="C25" i="82" a="1"/>
  <c r="C25" i="82" s="1"/>
  <c r="F13" i="82" a="1"/>
  <c r="F13" i="82" s="1"/>
  <c r="F12" i="82" a="1"/>
  <c r="F12" i="82" s="1"/>
  <c r="F10" i="82" a="1"/>
  <c r="F10" i="82" s="1"/>
  <c r="F9" i="82" a="1"/>
  <c r="F9" i="82" s="1"/>
  <c r="F8" i="82" a="1"/>
  <c r="F8" i="82" s="1"/>
  <c r="F7" i="82" a="1"/>
  <c r="F7" i="82" s="1"/>
  <c r="F6" i="82" a="1"/>
  <c r="F6" i="82" s="1"/>
  <c r="F5" i="82" a="1"/>
  <c r="F5" i="82" s="1"/>
  <c r="F4" i="82" a="1"/>
  <c r="F4" i="82" s="1"/>
  <c r="C27" i="81" a="1"/>
  <c r="C27" i="81" s="1"/>
  <c r="C26" i="81" a="1"/>
  <c r="C26" i="81" s="1"/>
  <c r="F13" i="81" a="1"/>
  <c r="F13" i="81" s="1"/>
  <c r="F12" i="81" a="1"/>
  <c r="F12" i="81" s="1"/>
  <c r="F10" i="81" a="1"/>
  <c r="F10" i="81" s="1"/>
  <c r="F9" i="81" a="1"/>
  <c r="F9" i="81" s="1"/>
  <c r="F8" i="81" a="1"/>
  <c r="F8" i="81" s="1"/>
  <c r="F7" i="81" a="1"/>
  <c r="F7" i="81" s="1"/>
  <c r="F6" i="81" a="1"/>
  <c r="F6" i="81" s="1"/>
  <c r="F5" i="81" a="1"/>
  <c r="F5" i="81" s="1"/>
  <c r="F4" i="81" a="1"/>
  <c r="F4" i="81" s="1"/>
  <c r="F43" i="74" a="1"/>
  <c r="F43" i="74" s="1"/>
  <c r="E43" i="74" a="1"/>
  <c r="E43" i="74" s="1"/>
  <c r="F42" i="74" a="1"/>
  <c r="F42" i="74" s="1"/>
  <c r="E42" i="74" a="1"/>
  <c r="E42" i="74" s="1"/>
  <c r="F41" i="74" a="1"/>
  <c r="F41" i="74" s="1"/>
  <c r="E41" i="74" a="1"/>
  <c r="E41" i="74" s="1"/>
  <c r="F40" i="74" a="1"/>
  <c r="F40" i="74" s="1"/>
  <c r="E40" i="74" a="1"/>
  <c r="E40" i="74" s="1"/>
  <c r="F39" i="74" a="1"/>
  <c r="F39" i="74" s="1"/>
  <c r="E39" i="74" a="1"/>
  <c r="E39" i="74" s="1"/>
  <c r="F38" i="74" a="1"/>
  <c r="F38" i="74" s="1"/>
  <c r="E38" i="74" a="1"/>
  <c r="E38" i="74" s="1"/>
  <c r="F37" i="74" a="1"/>
  <c r="F37" i="74" s="1"/>
  <c r="E37" i="74" a="1"/>
  <c r="E37" i="74" s="1"/>
  <c r="F36" i="74" a="1"/>
  <c r="F36" i="74" s="1"/>
  <c r="E36" i="74" a="1"/>
  <c r="E36" i="74" s="1"/>
  <c r="F35" i="74" a="1"/>
  <c r="F35" i="74" s="1"/>
  <c r="E35" i="74" a="1"/>
  <c r="E35" i="74" s="1"/>
  <c r="F34" i="74" a="1"/>
  <c r="F34" i="74" s="1"/>
  <c r="E34" i="74" a="1"/>
  <c r="E34" i="74" s="1"/>
  <c r="F33" i="74" a="1"/>
  <c r="F33" i="74" s="1"/>
  <c r="E33" i="74" a="1"/>
  <c r="E33" i="74" s="1"/>
  <c r="F32" i="74" a="1"/>
  <c r="F32" i="74" s="1"/>
  <c r="E32" i="74" a="1"/>
  <c r="E32" i="74" s="1"/>
  <c r="F31" i="74" a="1"/>
  <c r="F31" i="74" s="1"/>
  <c r="E31" i="74" a="1"/>
  <c r="E31" i="74" s="1"/>
  <c r="F30" i="74" a="1"/>
  <c r="F30" i="74" s="1"/>
  <c r="E30" i="74" a="1"/>
  <c r="E30" i="74" s="1"/>
  <c r="F29" i="74" a="1"/>
  <c r="F29" i="74" s="1"/>
  <c r="E29" i="74"/>
  <c r="E29" i="74" a="1"/>
  <c r="F28" i="74" a="1"/>
  <c r="F28" i="74" s="1"/>
  <c r="E28" i="74" a="1"/>
  <c r="E28" i="74" s="1"/>
  <c r="F27" i="74" a="1"/>
  <c r="F27" i="74" s="1"/>
  <c r="E27" i="74" a="1"/>
  <c r="E27" i="74" s="1"/>
  <c r="F26" i="74" a="1"/>
  <c r="F26" i="74" s="1"/>
  <c r="E26" i="74"/>
  <c r="E26" i="74" a="1"/>
  <c r="F25" i="74" a="1"/>
  <c r="F25" i="74" s="1"/>
  <c r="E25" i="74" a="1"/>
  <c r="E25" i="74" s="1"/>
  <c r="F24" i="74" a="1"/>
  <c r="F24" i="74" s="1"/>
  <c r="E24" i="74" a="1"/>
  <c r="E24" i="74" s="1"/>
  <c r="F23" i="74" a="1"/>
  <c r="F23" i="74" s="1"/>
  <c r="E23" i="74" a="1"/>
  <c r="E23" i="74" s="1"/>
  <c r="F22" i="74" a="1"/>
  <c r="F22" i="74" s="1"/>
  <c r="E22" i="74" a="1"/>
  <c r="E22" i="74" s="1"/>
  <c r="F21" i="74" a="1"/>
  <c r="F21" i="74" s="1"/>
  <c r="E21" i="74" a="1"/>
  <c r="E21" i="74" s="1"/>
  <c r="F20" i="74" a="1"/>
  <c r="F20" i="74" s="1"/>
  <c r="E20" i="74" a="1"/>
  <c r="E20" i="74" s="1"/>
  <c r="F19" i="74" a="1"/>
  <c r="F19" i="74" s="1"/>
  <c r="E19" i="74" a="1"/>
  <c r="E19" i="74" s="1"/>
  <c r="F18" i="74" a="1"/>
  <c r="F18" i="74" s="1"/>
  <c r="E18" i="74" a="1"/>
  <c r="E18" i="74" s="1"/>
  <c r="F17" i="74" a="1"/>
  <c r="F17" i="74" s="1"/>
  <c r="E17" i="74" a="1"/>
  <c r="E17" i="74" s="1"/>
  <c r="F16" i="74" a="1"/>
  <c r="F16" i="74" s="1"/>
  <c r="E16" i="74" a="1"/>
  <c r="E16" i="74" s="1"/>
  <c r="F15" i="74" a="1"/>
  <c r="F15" i="74" s="1"/>
  <c r="E15" i="74" a="1"/>
  <c r="E15" i="74" s="1"/>
  <c r="F14" i="74" a="1"/>
  <c r="F14" i="74" s="1"/>
  <c r="E14" i="74" a="1"/>
  <c r="E14" i="74" s="1"/>
  <c r="F13" i="74" a="1"/>
  <c r="F13" i="74" s="1"/>
  <c r="E13" i="74" a="1"/>
  <c r="E13" i="74" s="1"/>
  <c r="F12" i="74" a="1"/>
  <c r="F12" i="74" s="1"/>
  <c r="E12" i="74" a="1"/>
  <c r="E12" i="74" s="1"/>
  <c r="F11" i="74" a="1"/>
  <c r="F11" i="74" s="1"/>
  <c r="E11" i="74" a="1"/>
  <c r="E11" i="74" s="1"/>
  <c r="F10" i="74" a="1"/>
  <c r="F10" i="74" s="1"/>
  <c r="E10" i="74" a="1"/>
  <c r="E10" i="74" s="1"/>
  <c r="F9" i="74" a="1"/>
  <c r="F9" i="74" s="1"/>
  <c r="E9" i="74" a="1"/>
  <c r="E9" i="74" s="1"/>
  <c r="F8" i="74" a="1"/>
  <c r="F8" i="74" s="1"/>
  <c r="E8" i="74" a="1"/>
  <c r="E8" i="74" s="1"/>
  <c r="F7" i="74" a="1"/>
  <c r="F7" i="74" s="1"/>
  <c r="E7" i="74" a="1"/>
  <c r="E7" i="74" s="1"/>
  <c r="F6" i="74" a="1"/>
  <c r="F6" i="74" s="1"/>
  <c r="E6" i="74" a="1"/>
  <c r="E6" i="74" s="1"/>
  <c r="F5" i="74" a="1"/>
  <c r="F5" i="74" s="1"/>
  <c r="E5" i="74" a="1"/>
  <c r="E5" i="74" s="1"/>
  <c r="F4" i="74" a="1"/>
  <c r="F4" i="74" s="1"/>
  <c r="E4" i="74" a="1"/>
  <c r="E4" i="74" s="1"/>
  <c r="Q36" i="173" a="1"/>
  <c r="Q36" i="173" s="1"/>
  <c r="D36" i="173" a="1"/>
  <c r="D36" i="173" s="1"/>
  <c r="Q35" i="173" a="1"/>
  <c r="Q35" i="173" s="1"/>
  <c r="D35" i="173" a="1"/>
  <c r="D35" i="173" s="1"/>
  <c r="Q34" i="173" a="1"/>
  <c r="Q34" i="173" s="1"/>
  <c r="D34" i="173" a="1"/>
  <c r="D34" i="173" s="1"/>
  <c r="Q33" i="173" a="1"/>
  <c r="Q33" i="173" s="1"/>
  <c r="D33" i="173" a="1"/>
  <c r="D33" i="173" s="1"/>
  <c r="Q32" i="173" a="1"/>
  <c r="Q32" i="173" s="1"/>
  <c r="D32" i="173" a="1"/>
  <c r="D32" i="173" s="1"/>
  <c r="Q31" i="173" a="1"/>
  <c r="Q31" i="173" s="1"/>
  <c r="D31" i="173" a="1"/>
  <c r="D31" i="173" s="1"/>
  <c r="Q30" i="173" a="1"/>
  <c r="Q30" i="173" s="1"/>
  <c r="D30" i="173" a="1"/>
  <c r="D30" i="173" s="1"/>
  <c r="Q29" i="173" a="1"/>
  <c r="Q29" i="173" s="1"/>
  <c r="D29" i="173" a="1"/>
  <c r="D29" i="173" s="1"/>
  <c r="Q28" i="173" a="1"/>
  <c r="Q28" i="173" s="1"/>
  <c r="D28" i="173" a="1"/>
  <c r="D28" i="173" s="1"/>
  <c r="Q27" i="173" a="1"/>
  <c r="Q27" i="173" s="1"/>
  <c r="D27" i="173" a="1"/>
  <c r="D27" i="173" s="1"/>
  <c r="Q26" i="173" a="1"/>
  <c r="Q26" i="173" s="1"/>
  <c r="D26" i="173" a="1"/>
  <c r="D26" i="173" s="1"/>
  <c r="Q25" i="173" a="1"/>
  <c r="Q25" i="173" s="1"/>
  <c r="D25" i="173" a="1"/>
  <c r="D25" i="173" s="1"/>
  <c r="Q24" i="173" a="1"/>
  <c r="Q24" i="173" s="1"/>
  <c r="D24" i="173" a="1"/>
  <c r="D24" i="173" s="1"/>
  <c r="Q23" i="173" a="1"/>
  <c r="Q23" i="173" s="1"/>
  <c r="D23" i="173" a="1"/>
  <c r="D23" i="173" s="1"/>
  <c r="Q22" i="173" a="1"/>
  <c r="Q22" i="173" s="1"/>
  <c r="D22" i="173" a="1"/>
  <c r="D22" i="173" s="1"/>
  <c r="Q21" i="173" a="1"/>
  <c r="Q21" i="173" s="1"/>
  <c r="D21" i="173" a="1"/>
  <c r="D21" i="173" s="1"/>
  <c r="Q20" i="173" a="1"/>
  <c r="Q20" i="173" s="1"/>
  <c r="D20" i="173" a="1"/>
  <c r="D20" i="173" s="1"/>
  <c r="Q19" i="173" a="1"/>
  <c r="Q19" i="173" s="1"/>
  <c r="D19" i="173" a="1"/>
  <c r="D19" i="173" s="1"/>
  <c r="Q18" i="173" a="1"/>
  <c r="Q18" i="173" s="1"/>
  <c r="D18" i="173" a="1"/>
  <c r="D18" i="173" s="1"/>
  <c r="Q17" i="173" a="1"/>
  <c r="Q17" i="173" s="1"/>
  <c r="D17" i="173" a="1"/>
  <c r="D17" i="173" s="1"/>
  <c r="Q16" i="173"/>
  <c r="Q16" i="173" a="1"/>
  <c r="D16" i="173" a="1"/>
  <c r="D16" i="173" s="1"/>
  <c r="Q15" i="173" a="1"/>
  <c r="Q15" i="173" s="1"/>
  <c r="D15" i="173" a="1"/>
  <c r="D15" i="173" s="1"/>
  <c r="Q14" i="173" a="1"/>
  <c r="Q14" i="173" s="1"/>
  <c r="D14" i="173" a="1"/>
  <c r="D14" i="173" s="1"/>
  <c r="Q13" i="173" a="1"/>
  <c r="Q13" i="173" s="1"/>
  <c r="D13" i="173" a="1"/>
  <c r="D13" i="173" s="1"/>
  <c r="Q12" i="173" a="1"/>
  <c r="Q12" i="173" s="1"/>
  <c r="D12" i="173"/>
  <c r="D12" i="173" a="1"/>
  <c r="Q11" i="173" a="1"/>
  <c r="Q11" i="173" s="1"/>
  <c r="D11" i="173" a="1"/>
  <c r="D11" i="173" s="1"/>
  <c r="Q10" i="173" a="1"/>
  <c r="Q10" i="173" s="1"/>
  <c r="D10" i="173" a="1"/>
  <c r="D10" i="173" s="1"/>
  <c r="Q9" i="173" a="1"/>
  <c r="Q9" i="173" s="1"/>
  <c r="D9" i="173" a="1"/>
  <c r="D9" i="173" s="1"/>
  <c r="Q8" i="173" a="1"/>
  <c r="Q8" i="173" s="1"/>
  <c r="D8" i="173" a="1"/>
  <c r="D8" i="173" s="1"/>
  <c r="Q7" i="173" a="1"/>
  <c r="Q7" i="173" s="1"/>
  <c r="D7" i="173" a="1"/>
  <c r="D7" i="173" s="1"/>
  <c r="Q6" i="173" a="1"/>
  <c r="Q6" i="173" s="1"/>
  <c r="D6" i="173" a="1"/>
  <c r="D6" i="173" s="1"/>
  <c r="M36" i="50" a="1"/>
  <c r="M36" i="50" s="1"/>
  <c r="M34" i="50" a="1"/>
  <c r="M34" i="50" s="1"/>
  <c r="M30" i="50" a="1"/>
  <c r="M30" i="50" s="1"/>
  <c r="M29" i="50" a="1"/>
  <c r="M29" i="50" s="1"/>
  <c r="N23" i="50" a="1"/>
  <c r="N23" i="50" s="1"/>
  <c r="K22" i="50" a="1"/>
  <c r="K22" i="50" s="1"/>
  <c r="I21" i="50" a="1"/>
  <c r="I21" i="50" s="1"/>
  <c r="I19" i="50" a="1"/>
  <c r="I19" i="50" s="1"/>
  <c r="G14" i="50" a="1"/>
  <c r="G14" i="50" s="1"/>
  <c r="G13" i="50" a="1"/>
  <c r="G13" i="50" s="1"/>
  <c r="G11" i="50" a="1"/>
  <c r="G11" i="50" s="1"/>
  <c r="F11" i="50" a="1"/>
  <c r="F11" i="50" s="1"/>
  <c r="E11" i="50" a="1"/>
  <c r="E11" i="50" s="1"/>
  <c r="G10" i="50" a="1"/>
  <c r="G10" i="50" s="1"/>
  <c r="F10" i="50" a="1"/>
  <c r="F10" i="50" s="1"/>
  <c r="E10" i="50" a="1"/>
  <c r="E10" i="50" s="1"/>
  <c r="G9" i="50" a="1"/>
  <c r="G9" i="50" s="1"/>
  <c r="F9" i="50" a="1"/>
  <c r="F9" i="50" s="1"/>
  <c r="E9" i="50" a="1"/>
  <c r="E9" i="50" s="1"/>
  <c r="G8" i="50" a="1"/>
  <c r="G8" i="50" s="1"/>
  <c r="F8" i="50" a="1"/>
  <c r="F8" i="50" s="1"/>
  <c r="E8" i="50" a="1"/>
  <c r="E8" i="50" s="1"/>
  <c r="G7" i="50" a="1"/>
  <c r="G7" i="50" s="1"/>
  <c r="F7" i="50" a="1"/>
  <c r="F7" i="50" s="1"/>
  <c r="E7" i="50" a="1"/>
  <c r="E7" i="50" s="1"/>
  <c r="G6" i="50" a="1"/>
  <c r="G6" i="50" s="1"/>
  <c r="F6" i="50" a="1"/>
  <c r="F6" i="50" s="1"/>
  <c r="E6" i="50" a="1"/>
  <c r="E6" i="50" s="1"/>
  <c r="G5" i="50" a="1"/>
  <c r="G5" i="50" s="1"/>
  <c r="F5" i="50" a="1"/>
  <c r="F5" i="50" s="1"/>
  <c r="E5" i="50" a="1"/>
  <c r="E5" i="50" s="1"/>
  <c r="G4" i="50" a="1"/>
  <c r="G4" i="50" s="1"/>
  <c r="E4" i="50" a="1"/>
  <c r="E4" i="50" s="1"/>
  <c r="E14" i="25" a="1"/>
  <c r="E14" i="25" s="1"/>
  <c r="R13" i="25" a="1"/>
  <c r="R13" i="25" s="1"/>
  <c r="P13" i="25" a="1"/>
  <c r="P13" i="25" s="1"/>
  <c r="E13" i="25" a="1"/>
  <c r="E13" i="25" s="1"/>
  <c r="AB12" i="25" a="1"/>
  <c r="AB12" i="25" s="1"/>
  <c r="Z12" i="25" a="1"/>
  <c r="Z12" i="25" s="1"/>
  <c r="W12" i="25" a="1"/>
  <c r="W12" i="25" s="1"/>
  <c r="U12" i="25" a="1"/>
  <c r="U12" i="25" s="1"/>
  <c r="R12" i="25" a="1"/>
  <c r="R12" i="25" s="1"/>
  <c r="P12" i="25" a="1"/>
  <c r="P12" i="25" s="1"/>
  <c r="E12" i="25" a="1"/>
  <c r="E12" i="25" s="1"/>
  <c r="AB11" i="25" a="1"/>
  <c r="AB11" i="25" s="1"/>
  <c r="Z11" i="25" a="1"/>
  <c r="Z11" i="25" s="1"/>
  <c r="W11" i="25" a="1"/>
  <c r="W11" i="25" s="1"/>
  <c r="U11" i="25" a="1"/>
  <c r="U11" i="25" s="1"/>
  <c r="E11" i="25" a="1"/>
  <c r="E11" i="25" s="1"/>
  <c r="R10" i="25"/>
  <c r="R10" i="25" a="1"/>
  <c r="E10" i="25" a="1"/>
  <c r="E10" i="25" s="1"/>
  <c r="AB9" i="25" a="1"/>
  <c r="AB9" i="25" s="1"/>
  <c r="W9" i="25"/>
  <c r="W9" i="25" a="1"/>
  <c r="E9" i="25" a="1"/>
  <c r="E9" i="25" s="1"/>
  <c r="R8" i="25" a="1"/>
  <c r="R8" i="25" s="1"/>
  <c r="E8" i="25" a="1"/>
  <c r="E8" i="25" s="1"/>
  <c r="AB7" i="25" a="1"/>
  <c r="AB7" i="25" s="1"/>
  <c r="W7" i="25" a="1"/>
  <c r="W7" i="25" s="1"/>
  <c r="E7" i="25" a="1"/>
  <c r="E7" i="25" s="1"/>
  <c r="E6" i="25" a="1"/>
  <c r="E6" i="25" s="1"/>
  <c r="E5" i="25" a="1"/>
  <c r="E5" i="25" s="1"/>
  <c r="R4" i="25" a="1"/>
  <c r="R4" i="25" s="1"/>
  <c r="AB3" i="25" a="1"/>
  <c r="AB3" i="25" s="1"/>
  <c r="W3" i="25" a="1"/>
  <c r="W3" i="25" s="1"/>
  <c r="R3" i="25" a="1"/>
  <c r="R3" i="25" s="1"/>
  <c r="G12" i="73" a="1"/>
  <c r="G12" i="73" s="1"/>
  <c r="G11" i="73" a="1"/>
  <c r="G11" i="73" s="1"/>
  <c r="G10" i="73" a="1"/>
  <c r="G10" i="73" s="1"/>
  <c r="G9" i="73" a="1"/>
  <c r="G9" i="73" s="1"/>
  <c r="G7" i="73" a="1"/>
  <c r="G7" i="73" s="1"/>
  <c r="G5" i="73" a="1"/>
  <c r="G5" i="73" s="1"/>
  <c r="E4" i="73" a="1"/>
  <c r="E4" i="73" s="1"/>
  <c r="E21" i="170" a="1"/>
  <c r="E21" i="170" s="1"/>
  <c r="E20" i="170" a="1"/>
  <c r="E20" i="170" s="1"/>
  <c r="G14" i="170" a="1"/>
  <c r="G14" i="170" s="1"/>
  <c r="G11" i="170" a="1"/>
  <c r="G11" i="170" s="1"/>
  <c r="G9" i="170" a="1"/>
  <c r="G9" i="170" s="1"/>
  <c r="G8" i="170" a="1"/>
  <c r="G8" i="170" s="1"/>
  <c r="G7" i="170" a="1"/>
  <c r="G7" i="170" s="1"/>
  <c r="G6" i="170" a="1"/>
  <c r="G6" i="170" s="1"/>
  <c r="G5" i="170" a="1"/>
  <c r="G5" i="170" s="1"/>
  <c r="G4" i="170" a="1"/>
  <c r="G4" i="170" s="1"/>
  <c r="G3" i="170" a="1"/>
  <c r="G3" i="170" s="1"/>
  <c r="T22" i="171" a="1"/>
  <c r="T22" i="171" s="1"/>
  <c r="T21" i="171" a="1"/>
  <c r="T21" i="171" s="1"/>
  <c r="T20" i="171" a="1"/>
  <c r="T20" i="171" s="1"/>
  <c r="T19" i="171" a="1"/>
  <c r="T19" i="171" s="1"/>
  <c r="T18" i="171" a="1"/>
  <c r="T18" i="171" s="1"/>
  <c r="T17" i="171" a="1"/>
  <c r="T17" i="171" s="1"/>
  <c r="T16" i="171" a="1"/>
  <c r="T16" i="171" s="1"/>
  <c r="T15" i="171" a="1"/>
  <c r="T15" i="171" s="1"/>
  <c r="T14" i="171" a="1"/>
  <c r="T14" i="171" s="1"/>
  <c r="Q14" i="171" a="1"/>
  <c r="Q14" i="171" s="1"/>
  <c r="T13" i="171" a="1"/>
  <c r="T13" i="171" s="1"/>
  <c r="Q13" i="171" a="1"/>
  <c r="Q13" i="171" s="1"/>
  <c r="T12" i="171" a="1"/>
  <c r="T12" i="171" s="1"/>
  <c r="T11" i="171" a="1"/>
  <c r="T11" i="171" s="1"/>
  <c r="T10" i="171" a="1"/>
  <c r="T10" i="171" s="1"/>
  <c r="T9" i="171" a="1"/>
  <c r="T9" i="171" s="1"/>
  <c r="Q9" i="171" a="1"/>
  <c r="Q9" i="171" s="1"/>
  <c r="T8" i="171" a="1"/>
  <c r="T8" i="171" s="1"/>
  <c r="Q8" i="171" a="1"/>
  <c r="Q8" i="171" s="1"/>
  <c r="T7" i="171" a="1"/>
  <c r="T7" i="171" s="1"/>
  <c r="T6" i="171" a="1"/>
  <c r="T6" i="171" s="1"/>
  <c r="T5" i="171" a="1"/>
  <c r="T5" i="171" s="1"/>
  <c r="T4" i="171" a="1"/>
  <c r="T4" i="171" s="1"/>
  <c r="K13" i="169" a="1"/>
  <c r="K13" i="169" s="1"/>
  <c r="I13" i="169" a="1"/>
  <c r="I13" i="169" s="1"/>
  <c r="K12" i="169" a="1"/>
  <c r="K12" i="169" s="1"/>
  <c r="I12" i="169" a="1"/>
  <c r="I12" i="169" s="1"/>
  <c r="K11" i="169" a="1"/>
  <c r="K11" i="169" s="1"/>
  <c r="I11" i="169" a="1"/>
  <c r="I11" i="169" s="1"/>
  <c r="K10" i="169" a="1"/>
  <c r="K10" i="169" s="1"/>
  <c r="I10" i="169" a="1"/>
  <c r="I10" i="169" s="1"/>
  <c r="K9" i="169" a="1"/>
  <c r="K9" i="169" s="1"/>
  <c r="I9" i="169" a="1"/>
  <c r="I9" i="169" s="1"/>
  <c r="K8" i="169" a="1"/>
  <c r="K8" i="169" s="1"/>
  <c r="I8" i="169" a="1"/>
  <c r="I8" i="169" s="1"/>
  <c r="K7" i="169" a="1"/>
  <c r="K7" i="169" s="1"/>
  <c r="I7" i="169" a="1"/>
  <c r="I7" i="169" s="1"/>
  <c r="K6" i="169" a="1"/>
  <c r="K6" i="169" s="1"/>
  <c r="I6" i="169" a="1"/>
  <c r="I6" i="169" s="1"/>
  <c r="K5" i="169" a="1"/>
  <c r="K5" i="169" s="1"/>
  <c r="I5" i="169" a="1"/>
  <c r="I5" i="169" s="1"/>
  <c r="F19" i="218"/>
  <c r="E19" i="218"/>
  <c r="F18" i="218"/>
  <c r="E18" i="218"/>
  <c r="F17" i="218"/>
  <c r="E17" i="218"/>
  <c r="F16" i="218"/>
  <c r="E16" i="218"/>
  <c r="F15" i="218"/>
  <c r="E15" i="218"/>
  <c r="F14" i="218"/>
  <c r="E14" i="218"/>
  <c r="F13" i="218"/>
  <c r="E13" i="218"/>
  <c r="F12" i="218"/>
  <c r="E12" i="218"/>
  <c r="F11" i="218"/>
  <c r="E11" i="218"/>
  <c r="F10" i="218"/>
  <c r="E10" i="218"/>
  <c r="F9" i="218"/>
  <c r="E9" i="218"/>
  <c r="F8" i="218"/>
  <c r="E8" i="218"/>
  <c r="F7" i="218"/>
  <c r="I7" i="218" s="1"/>
  <c r="E7" i="218"/>
  <c r="F6" i="218"/>
  <c r="I6" i="218" s="1"/>
  <c r="E6" i="218"/>
  <c r="F5" i="218"/>
  <c r="I5" i="218" s="1"/>
  <c r="E5" i="218"/>
  <c r="A5" i="218"/>
  <c r="A6" i="218" s="1"/>
  <c r="A7" i="218" s="1"/>
  <c r="A8" i="218" s="1"/>
  <c r="A9" i="218" s="1"/>
  <c r="A10" i="218" s="1"/>
  <c r="A11" i="218" s="1"/>
  <c r="A12" i="218" s="1"/>
  <c r="A13" i="218" s="1"/>
  <c r="A14" i="218" s="1"/>
  <c r="A15" i="218" s="1"/>
  <c r="A16" i="218" s="1"/>
  <c r="A17" i="218" s="1"/>
  <c r="A18" i="218" s="1"/>
  <c r="A19" i="218" s="1"/>
  <c r="F4" i="218"/>
  <c r="I4" i="218" s="1"/>
  <c r="E4" i="218"/>
  <c r="F3" i="218"/>
  <c r="E3" i="218"/>
  <c r="A5" i="217"/>
  <c r="E5" i="217"/>
  <c r="F5" i="217"/>
  <c r="A6" i="217"/>
  <c r="E6" i="217"/>
  <c r="F6" i="217"/>
  <c r="I7" i="217" s="1"/>
  <c r="A7" i="217"/>
  <c r="A8" i="217" s="1"/>
  <c r="A9" i="217" s="1"/>
  <c r="A10" i="217" s="1"/>
  <c r="A11" i="217" s="1"/>
  <c r="A12" i="217" s="1"/>
  <c r="A13" i="217" s="1"/>
  <c r="A14" i="217" s="1"/>
  <c r="A15" i="217" s="1"/>
  <c r="A16" i="217" s="1"/>
  <c r="A17" i="217" s="1"/>
  <c r="A18" i="217" s="1"/>
  <c r="A19" i="217" s="1"/>
  <c r="E7" i="217"/>
  <c r="F7" i="217"/>
  <c r="E8" i="217"/>
  <c r="F8" i="217"/>
  <c r="I8" i="217" s="1"/>
  <c r="E9" i="217"/>
  <c r="F9" i="217"/>
  <c r="E10" i="217"/>
  <c r="F10" i="217"/>
  <c r="E11" i="217"/>
  <c r="F11" i="217"/>
  <c r="E12" i="217"/>
  <c r="F12" i="217"/>
  <c r="E13" i="217"/>
  <c r="F13" i="217"/>
  <c r="E14" i="217"/>
  <c r="F14" i="217"/>
  <c r="E15" i="217"/>
  <c r="F15" i="217"/>
  <c r="E16" i="217"/>
  <c r="F16" i="217"/>
  <c r="E17" i="217"/>
  <c r="F17" i="217"/>
  <c r="E18" i="217"/>
  <c r="F18" i="217"/>
  <c r="E19" i="217"/>
  <c r="F19" i="217"/>
  <c r="E20" i="217"/>
  <c r="F20" i="217"/>
  <c r="E21" i="217"/>
  <c r="F21" i="217"/>
  <c r="E20" i="216"/>
  <c r="E19" i="216"/>
  <c r="E18" i="216"/>
  <c r="E17" i="216"/>
  <c r="E16" i="216"/>
  <c r="E15" i="216"/>
  <c r="E14" i="216"/>
  <c r="E13" i="216"/>
  <c r="E12" i="216"/>
  <c r="E11" i="216"/>
  <c r="E10" i="216"/>
  <c r="E9" i="216"/>
  <c r="E8" i="216"/>
  <c r="E7" i="216"/>
  <c r="E6" i="216"/>
  <c r="F6" i="216" s="1"/>
  <c r="H7" i="216" s="1"/>
  <c r="D6" i="216"/>
  <c r="A6" i="216"/>
  <c r="A7" i="216" s="1"/>
  <c r="E5" i="216"/>
  <c r="D5" i="216"/>
  <c r="A5" i="216"/>
  <c r="D7" i="216" s="1"/>
  <c r="E6" i="169" l="1"/>
  <c r="O20" i="50"/>
  <c r="O12" i="131"/>
  <c r="O17" i="131"/>
  <c r="P13" i="130"/>
  <c r="R7" i="149"/>
  <c r="R17" i="149"/>
  <c r="R28" i="149"/>
  <c r="R8" i="152"/>
  <c r="R18" i="152"/>
  <c r="R30" i="152"/>
  <c r="R9" i="151"/>
  <c r="R26" i="151"/>
  <c r="Q7" i="160"/>
  <c r="S9" i="160"/>
  <c r="O9" i="196"/>
  <c r="O21" i="50"/>
  <c r="P12" i="131"/>
  <c r="O18" i="131"/>
  <c r="P15" i="130"/>
  <c r="R8" i="149"/>
  <c r="R18" i="149"/>
  <c r="R30" i="149"/>
  <c r="R9" i="152"/>
  <c r="R19" i="152"/>
  <c r="U18" i="152"/>
  <c r="T18" i="152"/>
  <c r="U12" i="152"/>
  <c r="T16" i="152"/>
  <c r="U16" i="152"/>
  <c r="R11" i="151"/>
  <c r="R27" i="151"/>
  <c r="P10" i="160"/>
  <c r="D7" i="162"/>
  <c r="D5" i="162"/>
  <c r="C5" i="162"/>
  <c r="C4" i="162"/>
  <c r="C6" i="162"/>
  <c r="O16" i="130"/>
  <c r="R9" i="149"/>
  <c r="R20" i="149"/>
  <c r="R10" i="152"/>
  <c r="R20" i="152"/>
  <c r="T11" i="152"/>
  <c r="T17" i="152"/>
  <c r="R15" i="151"/>
  <c r="T15" i="151"/>
  <c r="T16" i="151"/>
  <c r="T12" i="151"/>
  <c r="D4" i="162"/>
  <c r="H12" i="200"/>
  <c r="H9" i="200"/>
  <c r="H8" i="200"/>
  <c r="H17" i="200"/>
  <c r="H6" i="200"/>
  <c r="H16" i="200"/>
  <c r="H5" i="200"/>
  <c r="H14" i="200"/>
  <c r="H13" i="200"/>
  <c r="E14" i="131"/>
  <c r="P16" i="130"/>
  <c r="R10" i="149"/>
  <c r="R22" i="149"/>
  <c r="R11" i="152"/>
  <c r="R22" i="152"/>
  <c r="U11" i="152"/>
  <c r="R16" i="151"/>
  <c r="U12" i="151"/>
  <c r="T8" i="160"/>
  <c r="S11" i="160"/>
  <c r="S6" i="160"/>
  <c r="T10" i="160"/>
  <c r="T5" i="160"/>
  <c r="T9" i="160"/>
  <c r="S4" i="160"/>
  <c r="C7" i="162"/>
  <c r="M19" i="196"/>
  <c r="M16" i="196"/>
  <c r="M9" i="196"/>
  <c r="H7" i="200"/>
  <c r="E12" i="169"/>
  <c r="L19" i="50"/>
  <c r="E24" i="131"/>
  <c r="O15" i="131"/>
  <c r="P11" i="130"/>
  <c r="O17" i="130"/>
  <c r="R12" i="149"/>
  <c r="R23" i="149"/>
  <c r="G19" i="149"/>
  <c r="R12" i="152"/>
  <c r="R24" i="152"/>
  <c r="T12" i="152"/>
  <c r="R17" i="151"/>
  <c r="U14" i="151"/>
  <c r="S5" i="160"/>
  <c r="C8" i="162"/>
  <c r="G14" i="199"/>
  <c r="G12" i="199"/>
  <c r="G11" i="199"/>
  <c r="M17" i="196"/>
  <c r="H15" i="200"/>
  <c r="F12" i="169"/>
  <c r="K20" i="50"/>
  <c r="P15" i="131"/>
  <c r="O12" i="130"/>
  <c r="P17" i="130"/>
  <c r="R14" i="149"/>
  <c r="R24" i="149"/>
  <c r="R14" i="152"/>
  <c r="T13" i="152"/>
  <c r="H12" i="199"/>
  <c r="H6" i="199"/>
  <c r="H4" i="199"/>
  <c r="H11" i="199"/>
  <c r="L12" i="199"/>
  <c r="L6" i="199"/>
  <c r="L4" i="199"/>
  <c r="L14" i="199"/>
  <c r="L11" i="199"/>
  <c r="J19" i="196"/>
  <c r="J13" i="196"/>
  <c r="J10" i="196"/>
  <c r="J18" i="196"/>
  <c r="M5" i="200"/>
  <c r="M4" i="200"/>
  <c r="M7" i="200"/>
  <c r="M6" i="200"/>
  <c r="R15" i="149"/>
  <c r="R25" i="149"/>
  <c r="R23" i="152"/>
  <c r="R26" i="152"/>
  <c r="R16" i="152"/>
  <c r="R27" i="152"/>
  <c r="R30" i="151"/>
  <c r="R24" i="151"/>
  <c r="R10" i="151"/>
  <c r="R18" i="151"/>
  <c r="R7" i="151"/>
  <c r="R23" i="151"/>
  <c r="G21" i="151"/>
  <c r="H21" i="151"/>
  <c r="M10" i="160"/>
  <c r="N10" i="160"/>
  <c r="G21" i="162"/>
  <c r="G20" i="162"/>
  <c r="F20" i="162"/>
  <c r="H14" i="199"/>
  <c r="Z14" i="200"/>
  <c r="Z16" i="200"/>
  <c r="Z15" i="200"/>
  <c r="Z8" i="200"/>
  <c r="Z7" i="200"/>
  <c r="Z18" i="200"/>
  <c r="N20" i="50"/>
  <c r="P11" i="131"/>
  <c r="P16" i="131"/>
  <c r="O13" i="130"/>
  <c r="R6" i="149"/>
  <c r="R16" i="149"/>
  <c r="R26" i="149"/>
  <c r="R6" i="152"/>
  <c r="R17" i="152"/>
  <c r="R28" i="152"/>
  <c r="T15" i="152"/>
  <c r="R8" i="151"/>
  <c r="R25" i="151"/>
  <c r="G19" i="151"/>
  <c r="H14" i="151" s="1"/>
  <c r="Q9" i="160"/>
  <c r="P7" i="160"/>
  <c r="P6" i="160"/>
  <c r="S8" i="160"/>
  <c r="O13" i="196"/>
  <c r="O16" i="196"/>
  <c r="O6" i="196"/>
  <c r="O15" i="196"/>
  <c r="O4" i="196"/>
  <c r="O12" i="196"/>
  <c r="O10" i="196"/>
  <c r="O18" i="196"/>
  <c r="O8" i="196"/>
  <c r="O17" i="196"/>
  <c r="O7" i="196"/>
  <c r="Z10" i="200"/>
  <c r="W9" i="160"/>
  <c r="I7" i="162"/>
  <c r="J14" i="199"/>
  <c r="N8" i="196"/>
  <c r="AB6" i="200"/>
  <c r="AB17" i="200"/>
  <c r="AH6" i="147"/>
  <c r="AF10" i="147"/>
  <c r="AG13" i="147"/>
  <c r="AG17" i="147"/>
  <c r="AH20" i="147"/>
  <c r="AG64" i="147"/>
  <c r="AI66" i="147"/>
  <c r="AH69" i="147"/>
  <c r="AG72" i="147"/>
  <c r="AI74" i="147"/>
  <c r="AH77" i="147"/>
  <c r="R11" i="163"/>
  <c r="R13" i="163"/>
  <c r="Q6" i="168"/>
  <c r="P11" i="168"/>
  <c r="G19" i="198"/>
  <c r="G20" i="198"/>
  <c r="G10" i="198"/>
  <c r="G18" i="198"/>
  <c r="G9" i="198"/>
  <c r="G17" i="198"/>
  <c r="G8" i="198"/>
  <c r="G16" i="198"/>
  <c r="G7" i="198"/>
  <c r="G15" i="198"/>
  <c r="G6" i="198"/>
  <c r="G14" i="198"/>
  <c r="G5" i="198"/>
  <c r="G22" i="198"/>
  <c r="G13" i="198"/>
  <c r="G4" i="198"/>
  <c r="AY24" i="215"/>
  <c r="AV24" i="215"/>
  <c r="AX21" i="215"/>
  <c r="AV19" i="215"/>
  <c r="AV16" i="215"/>
  <c r="AX13" i="215"/>
  <c r="AV11" i="215"/>
  <c r="AV8" i="215"/>
  <c r="AX5" i="215"/>
  <c r="AV3" i="215"/>
  <c r="AY23" i="215"/>
  <c r="AW21" i="215"/>
  <c r="AX18" i="215"/>
  <c r="AY15" i="215"/>
  <c r="AW13" i="215"/>
  <c r="AX10" i="215"/>
  <c r="AY7" i="215"/>
  <c r="AW5" i="215"/>
  <c r="AX2" i="215"/>
  <c r="AX23" i="215"/>
  <c r="AV21" i="215"/>
  <c r="AV18" i="215"/>
  <c r="AX15" i="215"/>
  <c r="AV13" i="215"/>
  <c r="AV10" i="215"/>
  <c r="AX7" i="215"/>
  <c r="AV5" i="215"/>
  <c r="AV2" i="215"/>
  <c r="AY25" i="215"/>
  <c r="AW23" i="215"/>
  <c r="AX20" i="215"/>
  <c r="AY17" i="215"/>
  <c r="AW15" i="215"/>
  <c r="AX12" i="215"/>
  <c r="AY9" i="215"/>
  <c r="AW7" i="215"/>
  <c r="AX4" i="215"/>
  <c r="AY1" i="215"/>
  <c r="AX25" i="215"/>
  <c r="AV23" i="215"/>
  <c r="AV20" i="215"/>
  <c r="AX17" i="215"/>
  <c r="AV15" i="215"/>
  <c r="AV12" i="215"/>
  <c r="AX9" i="215"/>
  <c r="AV7" i="215"/>
  <c r="AV4" i="215"/>
  <c r="AX1" i="215"/>
  <c r="AW25" i="215"/>
  <c r="AX22" i="215"/>
  <c r="AY19" i="215"/>
  <c r="AW17" i="215"/>
  <c r="AX14" i="215"/>
  <c r="AY11" i="215"/>
  <c r="AW9" i="215"/>
  <c r="AX6" i="215"/>
  <c r="AY3" i="215"/>
  <c r="AW1" i="215"/>
  <c r="AV25" i="215"/>
  <c r="AV22" i="215"/>
  <c r="AX19" i="215"/>
  <c r="AV17" i="215"/>
  <c r="AV14" i="215"/>
  <c r="AX11" i="215"/>
  <c r="AV9" i="215"/>
  <c r="AV6" i="215"/>
  <c r="AX3" i="215"/>
  <c r="AV1" i="215"/>
  <c r="AY21" i="215"/>
  <c r="K18" i="196"/>
  <c r="N10" i="196"/>
  <c r="AA14" i="200"/>
  <c r="AB7" i="200"/>
  <c r="AD12" i="200"/>
  <c r="AE4" i="200"/>
  <c r="M8" i="200"/>
  <c r="M19" i="200"/>
  <c r="J13" i="201"/>
  <c r="AC20" i="88"/>
  <c r="N4" i="147"/>
  <c r="AI6" i="147"/>
  <c r="AG10" i="147"/>
  <c r="AG14" i="147"/>
  <c r="AI17" i="147"/>
  <c r="AI20" i="147"/>
  <c r="M62" i="147"/>
  <c r="AF62" i="147"/>
  <c r="AH64" i="147"/>
  <c r="AF67" i="147"/>
  <c r="AF70" i="147"/>
  <c r="AH72" i="147"/>
  <c r="AF75" i="147"/>
  <c r="AF78" i="147"/>
  <c r="L92" i="147"/>
  <c r="M106" i="147"/>
  <c r="F23" i="53"/>
  <c r="S8" i="163"/>
  <c r="S11" i="163"/>
  <c r="U13" i="163"/>
  <c r="Q18" i="163"/>
  <c r="N20" i="163"/>
  <c r="O11" i="142"/>
  <c r="M4" i="168"/>
  <c r="R6" i="168"/>
  <c r="S11" i="168"/>
  <c r="M17" i="168"/>
  <c r="P18" i="168"/>
  <c r="Q5" i="146"/>
  <c r="Q11" i="146"/>
  <c r="P14" i="146"/>
  <c r="Q22" i="146"/>
  <c r="H20" i="159"/>
  <c r="J14" i="159"/>
  <c r="N4" i="155"/>
  <c r="M15" i="156"/>
  <c r="Q17" i="156"/>
  <c r="M4" i="166"/>
  <c r="M18" i="166"/>
  <c r="Q4" i="157"/>
  <c r="Q9" i="157"/>
  <c r="S11" i="157"/>
  <c r="L10" i="157"/>
  <c r="N4" i="167"/>
  <c r="E9" i="180"/>
  <c r="F6" i="180"/>
  <c r="F17" i="180"/>
  <c r="F32" i="180"/>
  <c r="T35" i="180"/>
  <c r="T36" i="180"/>
  <c r="P21" i="178"/>
  <c r="AD16" i="178"/>
  <c r="AE13" i="178"/>
  <c r="AE12" i="178"/>
  <c r="AD12" i="178"/>
  <c r="AE11" i="178"/>
  <c r="AD11" i="178"/>
  <c r="AD9" i="178"/>
  <c r="G12" i="198"/>
  <c r="AW3" i="215"/>
  <c r="AX24" i="215"/>
  <c r="Q12" i="163"/>
  <c r="I9" i="162"/>
  <c r="K11" i="199"/>
  <c r="I11" i="196"/>
  <c r="K5" i="196"/>
  <c r="N16" i="196"/>
  <c r="AA6" i="200"/>
  <c r="AA16" i="200"/>
  <c r="AB9" i="200"/>
  <c r="AE12" i="200"/>
  <c r="AI7" i="147"/>
  <c r="AI11" i="147"/>
  <c r="AI14" i="147"/>
  <c r="AG18" i="147"/>
  <c r="AG22" i="147"/>
  <c r="AH62" i="147"/>
  <c r="AF65" i="147"/>
  <c r="AF68" i="147"/>
  <c r="AH70" i="147"/>
  <c r="AF73" i="147"/>
  <c r="AF76" i="147"/>
  <c r="AH78" i="147"/>
  <c r="Q10" i="163"/>
  <c r="R12" i="163"/>
  <c r="O11" i="163"/>
  <c r="M6" i="142"/>
  <c r="N16" i="142"/>
  <c r="R12" i="168"/>
  <c r="L4" i="165"/>
  <c r="Q4" i="156"/>
  <c r="M18" i="156"/>
  <c r="L5" i="166"/>
  <c r="L4" i="157"/>
  <c r="Q5" i="157"/>
  <c r="E19" i="180"/>
  <c r="P30" i="178"/>
  <c r="V30" i="179"/>
  <c r="V27" i="179"/>
  <c r="V25" i="179"/>
  <c r="V19" i="179"/>
  <c r="V16" i="179"/>
  <c r="V11" i="179"/>
  <c r="V41" i="179"/>
  <c r="V9" i="179"/>
  <c r="V35" i="179"/>
  <c r="V6" i="179"/>
  <c r="AX8" i="215"/>
  <c r="V6" i="160"/>
  <c r="I5" i="162"/>
  <c r="J9" i="162"/>
  <c r="O7" i="199"/>
  <c r="P11" i="199"/>
  <c r="J4" i="199"/>
  <c r="K12" i="199"/>
  <c r="S4" i="199"/>
  <c r="I12" i="196"/>
  <c r="K9" i="196"/>
  <c r="N18" i="196"/>
  <c r="AA7" i="200"/>
  <c r="AA17" i="200"/>
  <c r="AB13" i="200"/>
  <c r="M12" i="200"/>
  <c r="J19" i="201"/>
  <c r="AD21" i="88"/>
  <c r="N5" i="147"/>
  <c r="AF8" i="147"/>
  <c r="AF12" i="147"/>
  <c r="AG15" i="147"/>
  <c r="AH18" i="147"/>
  <c r="AH22" i="147"/>
  <c r="L34" i="147"/>
  <c r="AI62" i="147"/>
  <c r="AH65" i="147"/>
  <c r="AG68" i="147"/>
  <c r="AI70" i="147"/>
  <c r="AH73" i="147"/>
  <c r="AG76" i="147"/>
  <c r="AI78" i="147"/>
  <c r="M93" i="147"/>
  <c r="B19" i="53"/>
  <c r="S10" i="163"/>
  <c r="S12" i="163"/>
  <c r="Q21" i="163"/>
  <c r="N6" i="142"/>
  <c r="N17" i="142"/>
  <c r="M11" i="164"/>
  <c r="Q4" i="168"/>
  <c r="P9" i="168"/>
  <c r="Q13" i="168"/>
  <c r="P21" i="168"/>
  <c r="R12" i="146"/>
  <c r="T14" i="146"/>
  <c r="P17" i="146"/>
  <c r="H14" i="159"/>
  <c r="I6" i="159"/>
  <c r="J7" i="159"/>
  <c r="J17" i="159"/>
  <c r="Q4" i="155"/>
  <c r="N4" i="165"/>
  <c r="Q5" i="156"/>
  <c r="P20" i="156"/>
  <c r="M5" i="166"/>
  <c r="M4" i="157"/>
  <c r="R5" i="157"/>
  <c r="P10" i="157"/>
  <c r="S12" i="157"/>
  <c r="L10" i="167"/>
  <c r="E25" i="180"/>
  <c r="F9" i="180"/>
  <c r="D10" i="194"/>
  <c r="T36" i="194"/>
  <c r="V32" i="179"/>
  <c r="AW11" i="215"/>
  <c r="AI8" i="147"/>
  <c r="AG12" i="147"/>
  <c r="AI15" i="147"/>
  <c r="AI19" i="147"/>
  <c r="AI22" i="147"/>
  <c r="M34" i="147"/>
  <c r="AF63" i="147"/>
  <c r="AF66" i="147"/>
  <c r="AH68" i="147"/>
  <c r="AF71" i="147"/>
  <c r="AF74" i="147"/>
  <c r="AH76" i="147"/>
  <c r="N93" i="147"/>
  <c r="B20" i="53"/>
  <c r="T10" i="163"/>
  <c r="T12" i="163"/>
  <c r="R15" i="163"/>
  <c r="R21" i="163"/>
  <c r="N18" i="142"/>
  <c r="O11" i="164"/>
  <c r="N20" i="164"/>
  <c r="R4" i="168"/>
  <c r="R9" i="168"/>
  <c r="T13" i="168"/>
  <c r="P15" i="168"/>
  <c r="Q21" i="168"/>
  <c r="P10" i="146"/>
  <c r="S12" i="146"/>
  <c r="R15" i="146"/>
  <c r="Q17" i="146"/>
  <c r="I8" i="159"/>
  <c r="R4" i="155"/>
  <c r="N4" i="157"/>
  <c r="Q6" i="157"/>
  <c r="S10" i="157"/>
  <c r="T12" i="157"/>
  <c r="M10" i="167"/>
  <c r="D19" i="194"/>
  <c r="W7" i="182"/>
  <c r="W6" i="182"/>
  <c r="W5" i="182"/>
  <c r="V5" i="182"/>
  <c r="W4" i="182"/>
  <c r="V4" i="182"/>
  <c r="P43" i="178"/>
  <c r="P38" i="178"/>
  <c r="P29" i="178"/>
  <c r="P20" i="178"/>
  <c r="P10" i="178"/>
  <c r="P36" i="178"/>
  <c r="P26" i="178"/>
  <c r="P17" i="178"/>
  <c r="P8" i="178"/>
  <c r="P34" i="178"/>
  <c r="P25" i="178"/>
  <c r="P16" i="178"/>
  <c r="P7" i="178"/>
  <c r="P42" i="178"/>
  <c r="P33" i="178"/>
  <c r="P24" i="178"/>
  <c r="P15" i="178"/>
  <c r="P6" i="178"/>
  <c r="P41" i="178"/>
  <c r="P32" i="178"/>
  <c r="P23" i="178"/>
  <c r="P14" i="178"/>
  <c r="P5" i="178"/>
  <c r="P40" i="178"/>
  <c r="P31" i="178"/>
  <c r="P22" i="178"/>
  <c r="P13" i="178"/>
  <c r="P4" i="178"/>
  <c r="P39" i="178"/>
  <c r="S15" i="179"/>
  <c r="S13" i="179"/>
  <c r="S12" i="179"/>
  <c r="R12" i="179"/>
  <c r="S11" i="179"/>
  <c r="S10" i="179"/>
  <c r="S16" i="179"/>
  <c r="R9" i="179"/>
  <c r="AY13" i="215"/>
  <c r="W8" i="160"/>
  <c r="I6" i="162"/>
  <c r="J10" i="162"/>
  <c r="AB15" i="200"/>
  <c r="AG9" i="147"/>
  <c r="AH12" i="147"/>
  <c r="AF16" i="147"/>
  <c r="AF20" i="147"/>
  <c r="AH63" i="147"/>
  <c r="AG66" i="147"/>
  <c r="AI68" i="147"/>
  <c r="AH71" i="147"/>
  <c r="AG74" i="147"/>
  <c r="AI76" i="147"/>
  <c r="B21" i="53"/>
  <c r="U10" i="163"/>
  <c r="U12" i="163"/>
  <c r="R16" i="163"/>
  <c r="N20" i="142"/>
  <c r="Q5" i="168"/>
  <c r="T9" i="168"/>
  <c r="Q16" i="168"/>
  <c r="S10" i="146"/>
  <c r="T12" i="146"/>
  <c r="S15" i="146"/>
  <c r="Q18" i="146"/>
  <c r="H6" i="159"/>
  <c r="H16" i="159"/>
  <c r="I14" i="159"/>
  <c r="J9" i="159"/>
  <c r="J20" i="159"/>
  <c r="Q5" i="155"/>
  <c r="L10" i="165"/>
  <c r="L5" i="157"/>
  <c r="Q7" i="157"/>
  <c r="T10" i="157"/>
  <c r="Q13" i="157"/>
  <c r="F28" i="180"/>
  <c r="F24" i="180"/>
  <c r="F13" i="180"/>
  <c r="F14" i="180"/>
  <c r="F26" i="180"/>
  <c r="D28" i="194"/>
  <c r="V6" i="182"/>
  <c r="P9" i="178"/>
  <c r="AH33" i="179"/>
  <c r="AH41" i="179"/>
  <c r="AH32" i="179"/>
  <c r="AH27" i="179"/>
  <c r="AH25" i="179"/>
  <c r="AH16" i="179"/>
  <c r="AH11" i="179"/>
  <c r="AH9" i="179"/>
  <c r="R16" i="179"/>
  <c r="AX16" i="215"/>
  <c r="J4" i="160"/>
  <c r="V9" i="160"/>
  <c r="G7" i="162"/>
  <c r="J6" i="162"/>
  <c r="O4" i="199"/>
  <c r="P8" i="199"/>
  <c r="O13" i="199"/>
  <c r="K13" i="196"/>
  <c r="N7" i="196"/>
  <c r="AA10" i="200"/>
  <c r="AB5" i="200"/>
  <c r="AB16" i="200"/>
  <c r="AD9" i="200"/>
  <c r="AD18" i="200"/>
  <c r="AF18" i="200"/>
  <c r="J11" i="201"/>
  <c r="AG6" i="147"/>
  <c r="AI9" i="147"/>
  <c r="AI12" i="147"/>
  <c r="AI16" i="147"/>
  <c r="L35" i="147"/>
  <c r="N64" i="147"/>
  <c r="AF64" i="147"/>
  <c r="AH66" i="147"/>
  <c r="AF69" i="147"/>
  <c r="AF72" i="147"/>
  <c r="AH74" i="147"/>
  <c r="AF77" i="147"/>
  <c r="B22" i="53"/>
  <c r="N13" i="140"/>
  <c r="R7" i="163"/>
  <c r="Q11" i="163"/>
  <c r="N16" i="163"/>
  <c r="R5" i="168"/>
  <c r="R10" i="168"/>
  <c r="P17" i="168"/>
  <c r="T10" i="146"/>
  <c r="Q13" i="146"/>
  <c r="T15" i="146"/>
  <c r="P20" i="146"/>
  <c r="I16" i="159"/>
  <c r="R5" i="155"/>
  <c r="N5" i="157"/>
  <c r="P11" i="157"/>
  <c r="T13" i="157"/>
  <c r="F4" i="180"/>
  <c r="F15" i="180"/>
  <c r="F30" i="180"/>
  <c r="P14" i="180"/>
  <c r="O14" i="180"/>
  <c r="V8" i="182"/>
  <c r="P12" i="178"/>
  <c r="AW19" i="215"/>
  <c r="AH10" i="178"/>
  <c r="AH28" i="178"/>
  <c r="AN28" i="178"/>
  <c r="AP11" i="178"/>
  <c r="J27" i="179"/>
  <c r="AJ10" i="179"/>
  <c r="AQ14" i="179"/>
  <c r="Y20" i="185"/>
  <c r="P20" i="186"/>
  <c r="P26" i="186"/>
  <c r="Q3" i="177"/>
  <c r="P8" i="177"/>
  <c r="H6" i="177"/>
  <c r="I9" i="198"/>
  <c r="I18" i="198"/>
  <c r="M18" i="198"/>
  <c r="H9" i="202"/>
  <c r="I15" i="202"/>
  <c r="AE8" i="202"/>
  <c r="U2" i="210"/>
  <c r="T8" i="210"/>
  <c r="U8" i="211"/>
  <c r="V16" i="211"/>
  <c r="AW18" i="211"/>
  <c r="U7" i="212"/>
  <c r="V16" i="212"/>
  <c r="AI20" i="212"/>
  <c r="AF4" i="213"/>
  <c r="AE19" i="213"/>
  <c r="P19" i="214"/>
  <c r="W27" i="28"/>
  <c r="R30" i="28"/>
  <c r="T32" i="28"/>
  <c r="O4" i="29"/>
  <c r="K7" i="29"/>
  <c r="J9" i="29"/>
  <c r="V5" i="29"/>
  <c r="T8" i="29"/>
  <c r="M12" i="29"/>
  <c r="O17" i="29"/>
  <c r="T15" i="29"/>
  <c r="C17" i="203"/>
  <c r="G5" i="184"/>
  <c r="J16" i="178"/>
  <c r="J32" i="178"/>
  <c r="V9" i="178"/>
  <c r="V21" i="178"/>
  <c r="V31" i="178"/>
  <c r="V41" i="178"/>
  <c r="AB17" i="178"/>
  <c r="AB36" i="178"/>
  <c r="AH11" i="178"/>
  <c r="AH29" i="178"/>
  <c r="AN4" i="178"/>
  <c r="AN30" i="178"/>
  <c r="X10" i="178"/>
  <c r="AJ9" i="178"/>
  <c r="AQ11" i="178"/>
  <c r="J6" i="179"/>
  <c r="J31" i="179"/>
  <c r="Z21" i="185"/>
  <c r="AH25" i="212"/>
  <c r="AF20" i="213"/>
  <c r="R28" i="28"/>
  <c r="T30" i="28"/>
  <c r="V32" i="28"/>
  <c r="V15" i="29"/>
  <c r="E13" i="194"/>
  <c r="E28" i="194"/>
  <c r="Q9" i="194"/>
  <c r="I27" i="194"/>
  <c r="J17" i="178"/>
  <c r="J33" i="178"/>
  <c r="V12" i="178"/>
  <c r="V22" i="178"/>
  <c r="V32" i="178"/>
  <c r="V44" i="178"/>
  <c r="AB18" i="178"/>
  <c r="AB41" i="178"/>
  <c r="AH17" i="178"/>
  <c r="AH35" i="178"/>
  <c r="AN10" i="178"/>
  <c r="AN32" i="178"/>
  <c r="Y10" i="178"/>
  <c r="AK12" i="178"/>
  <c r="AP12" i="178"/>
  <c r="J8" i="179"/>
  <c r="J33" i="179"/>
  <c r="L11" i="179"/>
  <c r="Y12" i="179"/>
  <c r="AJ14" i="179"/>
  <c r="P22" i="185"/>
  <c r="Z22" i="185"/>
  <c r="P22" i="186"/>
  <c r="Q4" i="177"/>
  <c r="P9" i="177"/>
  <c r="H9" i="177"/>
  <c r="I12" i="198"/>
  <c r="I21" i="198"/>
  <c r="M19" i="198"/>
  <c r="H12" i="202"/>
  <c r="AH4" i="202"/>
  <c r="AY25" i="202"/>
  <c r="V3" i="210"/>
  <c r="U9" i="210"/>
  <c r="U2" i="211"/>
  <c r="V10" i="211"/>
  <c r="T10" i="212"/>
  <c r="AG2" i="212"/>
  <c r="Z17" i="212"/>
  <c r="AF8" i="213"/>
  <c r="AE23" i="213"/>
  <c r="P23" i="214"/>
  <c r="Z17" i="215"/>
  <c r="R26" i="28"/>
  <c r="T28" i="28"/>
  <c r="V30" i="28"/>
  <c r="X32" i="28"/>
  <c r="M5" i="29"/>
  <c r="M7" i="29"/>
  <c r="O9" i="29"/>
  <c r="T6" i="29"/>
  <c r="X8" i="29"/>
  <c r="O13" i="29"/>
  <c r="V12" i="29"/>
  <c r="X15" i="29"/>
  <c r="L28" i="194"/>
  <c r="C6" i="203"/>
  <c r="J6" i="178"/>
  <c r="J22" i="178"/>
  <c r="J38" i="178"/>
  <c r="V13" i="178"/>
  <c r="V23" i="178"/>
  <c r="V33" i="178"/>
  <c r="V45" i="178"/>
  <c r="AB20" i="178"/>
  <c r="AB42" i="178"/>
  <c r="AH18" i="178"/>
  <c r="AH36" i="178"/>
  <c r="AN11" i="178"/>
  <c r="AN38" i="178"/>
  <c r="L11" i="178"/>
  <c r="M16" i="178"/>
  <c r="R14" i="178"/>
  <c r="X12" i="178"/>
  <c r="AJ13" i="178"/>
  <c r="AP13" i="178"/>
  <c r="J14" i="179"/>
  <c r="J39" i="179"/>
  <c r="AB8" i="179"/>
  <c r="L12" i="179"/>
  <c r="X13" i="179"/>
  <c r="P23" i="185"/>
  <c r="Q22" i="186"/>
  <c r="P5" i="177"/>
  <c r="G8" i="177"/>
  <c r="H11" i="177"/>
  <c r="L10" i="177"/>
  <c r="I4" i="198"/>
  <c r="I13" i="198"/>
  <c r="I22" i="198"/>
  <c r="H19" i="202"/>
  <c r="AI4" i="202"/>
  <c r="U17" i="209"/>
  <c r="U4" i="210"/>
  <c r="V3" i="211"/>
  <c r="U11" i="211"/>
  <c r="AI6" i="212"/>
  <c r="AG9" i="213"/>
  <c r="AF24" i="213"/>
  <c r="Q25" i="214"/>
  <c r="Z18" i="215"/>
  <c r="S26" i="28"/>
  <c r="U28" i="28"/>
  <c r="W30" i="28"/>
  <c r="V6" i="29"/>
  <c r="T9" i="29"/>
  <c r="O14" i="29"/>
  <c r="X12" i="29"/>
  <c r="V16" i="29"/>
  <c r="E18" i="194"/>
  <c r="F6" i="194"/>
  <c r="O14" i="194"/>
  <c r="I31" i="194"/>
  <c r="D6" i="203"/>
  <c r="J7" i="178"/>
  <c r="J23" i="178"/>
  <c r="J39" i="178"/>
  <c r="AB25" i="178"/>
  <c r="AB45" i="178"/>
  <c r="AH19" i="178"/>
  <c r="AH37" i="178"/>
  <c r="AN14" i="178"/>
  <c r="AN39" i="178"/>
  <c r="S14" i="178"/>
  <c r="Y14" i="178"/>
  <c r="AQ14" i="178"/>
  <c r="J15" i="179"/>
  <c r="J40" i="179"/>
  <c r="AB19" i="179"/>
  <c r="Q26" i="185"/>
  <c r="P18" i="186"/>
  <c r="Q13" i="186" s="1"/>
  <c r="P23" i="186"/>
  <c r="P6" i="177"/>
  <c r="F6" i="177"/>
  <c r="G10" i="177"/>
  <c r="K11" i="177"/>
  <c r="I5" i="198"/>
  <c r="I14" i="198"/>
  <c r="AD15" i="198"/>
  <c r="G13" i="202"/>
  <c r="H20" i="202"/>
  <c r="AI5" i="202"/>
  <c r="T5" i="210"/>
  <c r="V4" i="211"/>
  <c r="W12" i="211"/>
  <c r="V2" i="212"/>
  <c r="V12" i="212"/>
  <c r="AH9" i="212"/>
  <c r="AF12" i="213"/>
  <c r="AG25" i="213"/>
  <c r="Y19" i="215"/>
  <c r="V26" i="28"/>
  <c r="X28" i="28"/>
  <c r="S31" i="28"/>
  <c r="J6" i="29"/>
  <c r="K8" i="29"/>
  <c r="T4" i="29"/>
  <c r="X6" i="29"/>
  <c r="V9" i="29"/>
  <c r="K15" i="29"/>
  <c r="T13" i="29"/>
  <c r="X16" i="29"/>
  <c r="AH20" i="178"/>
  <c r="AH38" i="178"/>
  <c r="AN19" i="178"/>
  <c r="AN41" i="178"/>
  <c r="AP15" i="178"/>
  <c r="AB24" i="179"/>
  <c r="Q18" i="186"/>
  <c r="Q23" i="186"/>
  <c r="I15" i="198"/>
  <c r="H21" i="202"/>
  <c r="V5" i="210"/>
  <c r="I17" i="210"/>
  <c r="U5" i="211"/>
  <c r="V13" i="211"/>
  <c r="AH11" i="212"/>
  <c r="AG13" i="213"/>
  <c r="L17" i="215"/>
  <c r="Z19" i="215"/>
  <c r="X26" i="28"/>
  <c r="S29" i="28"/>
  <c r="U31" i="28"/>
  <c r="K4" i="29"/>
  <c r="K6" i="29"/>
  <c r="M8" i="29"/>
  <c r="U4" i="29"/>
  <c r="Y6" i="29"/>
  <c r="W9" i="29"/>
  <c r="K16" i="29"/>
  <c r="X13" i="29"/>
  <c r="T17" i="29"/>
  <c r="E8" i="194"/>
  <c r="F22" i="194"/>
  <c r="F4" i="184"/>
  <c r="J9" i="178"/>
  <c r="J25" i="178"/>
  <c r="J41" i="178"/>
  <c r="V6" i="178"/>
  <c r="V16" i="178"/>
  <c r="V28" i="178"/>
  <c r="V38" i="178"/>
  <c r="AB9" i="178"/>
  <c r="AB28" i="178"/>
  <c r="AH7" i="178"/>
  <c r="AH26" i="178"/>
  <c r="R10" i="178"/>
  <c r="Y16" i="178"/>
  <c r="AP9" i="178"/>
  <c r="AQ15" i="178"/>
  <c r="AB35" i="179"/>
  <c r="AQ10" i="179"/>
  <c r="Y18" i="185"/>
  <c r="Z13" i="185" s="1"/>
  <c r="P19" i="186"/>
  <c r="P24" i="186"/>
  <c r="Q2" i="177"/>
  <c r="P7" i="177"/>
  <c r="I8" i="177"/>
  <c r="I7" i="198"/>
  <c r="I16" i="198"/>
  <c r="AI4" i="198"/>
  <c r="M17" i="198"/>
  <c r="N12" i="198" s="1"/>
  <c r="H5" i="202"/>
  <c r="T1" i="210"/>
  <c r="U6" i="210"/>
  <c r="I18" i="210"/>
  <c r="V6" i="211"/>
  <c r="U14" i="211"/>
  <c r="I18" i="211"/>
  <c r="AV17" i="211"/>
  <c r="U5" i="212"/>
  <c r="T14" i="212"/>
  <c r="AI16" i="212"/>
  <c r="AG1" i="213"/>
  <c r="AE15" i="213"/>
  <c r="S27" i="28"/>
  <c r="U29" i="28"/>
  <c r="W31" i="28"/>
  <c r="M16" i="29"/>
  <c r="T14" i="29"/>
  <c r="X17" i="29"/>
  <c r="G11" i="169"/>
  <c r="X15" i="50"/>
  <c r="E11" i="131"/>
  <c r="E22" i="131"/>
  <c r="E13" i="130"/>
  <c r="E23" i="130"/>
  <c r="U15" i="149"/>
  <c r="M8" i="160"/>
  <c r="G17" i="162"/>
  <c r="G4" i="199"/>
  <c r="AM11" i="88"/>
  <c r="AL22" i="88"/>
  <c r="AL35" i="88"/>
  <c r="AK50" i="88"/>
  <c r="AK64" i="88"/>
  <c r="AK78" i="88"/>
  <c r="AM92" i="88"/>
  <c r="E8" i="169"/>
  <c r="K19" i="50"/>
  <c r="E13" i="131"/>
  <c r="E14" i="130"/>
  <c r="E24" i="130"/>
  <c r="H20" i="152"/>
  <c r="G19" i="152"/>
  <c r="H14" i="152" s="1"/>
  <c r="L10" i="162"/>
  <c r="L6" i="162"/>
  <c r="M9" i="162"/>
  <c r="M5" i="162"/>
  <c r="L9" i="162"/>
  <c r="L5" i="162"/>
  <c r="M7" i="162"/>
  <c r="F18" i="162"/>
  <c r="G6" i="199"/>
  <c r="J18" i="199"/>
  <c r="J10" i="199"/>
  <c r="J17" i="199"/>
  <c r="J9" i="199"/>
  <c r="J16" i="199"/>
  <c r="J8" i="199"/>
  <c r="J15" i="199"/>
  <c r="J7" i="199"/>
  <c r="J13" i="199"/>
  <c r="J5" i="199"/>
  <c r="K6" i="199"/>
  <c r="S18" i="199"/>
  <c r="S10" i="199"/>
  <c r="S17" i="199"/>
  <c r="S9" i="199"/>
  <c r="S16" i="199"/>
  <c r="S8" i="199"/>
  <c r="S15" i="199"/>
  <c r="S7" i="199"/>
  <c r="S13" i="199"/>
  <c r="S5" i="199"/>
  <c r="I6" i="196"/>
  <c r="J11" i="196"/>
  <c r="M11" i="196"/>
  <c r="AE6" i="200"/>
  <c r="AF11" i="200"/>
  <c r="AL13" i="88"/>
  <c r="AL24" i="88"/>
  <c r="AM37" i="88"/>
  <c r="AK52" i="88"/>
  <c r="AL66" i="88"/>
  <c r="AL80" i="88"/>
  <c r="U17" i="149"/>
  <c r="U13" i="149"/>
  <c r="T17" i="149"/>
  <c r="T13" i="149"/>
  <c r="U16" i="149"/>
  <c r="U12" i="149"/>
  <c r="T15" i="149"/>
  <c r="T18" i="149"/>
  <c r="U23" i="151"/>
  <c r="T23" i="151"/>
  <c r="U22" i="151"/>
  <c r="T21" i="151"/>
  <c r="AL100" i="88"/>
  <c r="AM97" i="88"/>
  <c r="AK95" i="88"/>
  <c r="AL92" i="88"/>
  <c r="AM89" i="88"/>
  <c r="AK87" i="88"/>
  <c r="AL84" i="88"/>
  <c r="AM81" i="88"/>
  <c r="AK79" i="88"/>
  <c r="AL76" i="88"/>
  <c r="AM73" i="88"/>
  <c r="AK71" i="88"/>
  <c r="AL68" i="88"/>
  <c r="AM65" i="88"/>
  <c r="AK63" i="88"/>
  <c r="AL60" i="88"/>
  <c r="AM57" i="88"/>
  <c r="AK55" i="88"/>
  <c r="AL52" i="88"/>
  <c r="AM49" i="88"/>
  <c r="AK47" i="88"/>
  <c r="AL44" i="88"/>
  <c r="AM41" i="88"/>
  <c r="AK39" i="88"/>
  <c r="AL36" i="88"/>
  <c r="AM33" i="88"/>
  <c r="AK31" i="88"/>
  <c r="AL28" i="88"/>
  <c r="AM25" i="88"/>
  <c r="AK23" i="88"/>
  <c r="AM99" i="88"/>
  <c r="AK97" i="88"/>
  <c r="AL94" i="88"/>
  <c r="AM91" i="88"/>
  <c r="AK89" i="88"/>
  <c r="AL86" i="88"/>
  <c r="AM83" i="88"/>
  <c r="AK81" i="88"/>
  <c r="AL78" i="88"/>
  <c r="AM75" i="88"/>
  <c r="AK73" i="88"/>
  <c r="AL70" i="88"/>
  <c r="AM67" i="88"/>
  <c r="AK65" i="88"/>
  <c r="AL62" i="88"/>
  <c r="AM59" i="88"/>
  <c r="AK57" i="88"/>
  <c r="AL54" i="88"/>
  <c r="AM51" i="88"/>
  <c r="AK49" i="88"/>
  <c r="AL46" i="88"/>
  <c r="AM43" i="88"/>
  <c r="AK41" i="88"/>
  <c r="AL38" i="88"/>
  <c r="AM35" i="88"/>
  <c r="AK33" i="88"/>
  <c r="AL30" i="88"/>
  <c r="AL101" i="88"/>
  <c r="AK98" i="88"/>
  <c r="AK94" i="88"/>
  <c r="AM90" i="88"/>
  <c r="AL87" i="88"/>
  <c r="AL83" i="88"/>
  <c r="AK80" i="88"/>
  <c r="AM76" i="88"/>
  <c r="AM72" i="88"/>
  <c r="AL69" i="88"/>
  <c r="AK66" i="88"/>
  <c r="AK62" i="88"/>
  <c r="AM58" i="88"/>
  <c r="AL55" i="88"/>
  <c r="AL51" i="88"/>
  <c r="AK48" i="88"/>
  <c r="AM44" i="88"/>
  <c r="AM40" i="88"/>
  <c r="AL37" i="88"/>
  <c r="AK34" i="88"/>
  <c r="AK30" i="88"/>
  <c r="AK27" i="88"/>
  <c r="AK24" i="88"/>
  <c r="AK21" i="88"/>
  <c r="AL18" i="88"/>
  <c r="AM15" i="88"/>
  <c r="AK13" i="88"/>
  <c r="AL10" i="88"/>
  <c r="AM7" i="88"/>
  <c r="AK5" i="88"/>
  <c r="AK101" i="88"/>
  <c r="AL97" i="88"/>
  <c r="AM93" i="88"/>
  <c r="AL90" i="88"/>
  <c r="AM86" i="88"/>
  <c r="AK83" i="88"/>
  <c r="AM79" i="88"/>
  <c r="AK76" i="88"/>
  <c r="AL72" i="88"/>
  <c r="AK69" i="88"/>
  <c r="AL65" i="88"/>
  <c r="AM61" i="88"/>
  <c r="AL58" i="88"/>
  <c r="AM54" i="88"/>
  <c r="AK51" i="88"/>
  <c r="AM47" i="88"/>
  <c r="AK44" i="88"/>
  <c r="AL40" i="88"/>
  <c r="AK37" i="88"/>
  <c r="AL33" i="88"/>
  <c r="AM29" i="88"/>
  <c r="AM26" i="88"/>
  <c r="AM23" i="88"/>
  <c r="AM20" i="88"/>
  <c r="AK18" i="88"/>
  <c r="AL15" i="88"/>
  <c r="AM12" i="88"/>
  <c r="AK10" i="88"/>
  <c r="AL7" i="88"/>
  <c r="AM4" i="88"/>
  <c r="AM100" i="88"/>
  <c r="AM96" i="88"/>
  <c r="AL93" i="88"/>
  <c r="AK90" i="88"/>
  <c r="AK86" i="88"/>
  <c r="AM82" i="88"/>
  <c r="AL79" i="88"/>
  <c r="AL75" i="88"/>
  <c r="AK72" i="88"/>
  <c r="AM68" i="88"/>
  <c r="AM64" i="88"/>
  <c r="AL61" i="88"/>
  <c r="AK58" i="88"/>
  <c r="AK54" i="88"/>
  <c r="AM50" i="88"/>
  <c r="AL47" i="88"/>
  <c r="AL43" i="88"/>
  <c r="AK40" i="88"/>
  <c r="AM36" i="88"/>
  <c r="AM32" i="88"/>
  <c r="AL29" i="88"/>
  <c r="AL26" i="88"/>
  <c r="AL23" i="88"/>
  <c r="AL20" i="88"/>
  <c r="AM17" i="88"/>
  <c r="AK15" i="88"/>
  <c r="AL12" i="88"/>
  <c r="AM9" i="88"/>
  <c r="AK7" i="88"/>
  <c r="AL4" i="88"/>
  <c r="AK100" i="88"/>
  <c r="AL96" i="88"/>
  <c r="AK93" i="88"/>
  <c r="AL89" i="88"/>
  <c r="AM85" i="88"/>
  <c r="AL82" i="88"/>
  <c r="AM78" i="88"/>
  <c r="AK75" i="88"/>
  <c r="AM71" i="88"/>
  <c r="AK68" i="88"/>
  <c r="AL64" i="88"/>
  <c r="AK61" i="88"/>
  <c r="AL57" i="88"/>
  <c r="AM53" i="88"/>
  <c r="AL50" i="88"/>
  <c r="AM46" i="88"/>
  <c r="AK43" i="88"/>
  <c r="AM39" i="88"/>
  <c r="AK36" i="88"/>
  <c r="AL32" i="88"/>
  <c r="AK29" i="88"/>
  <c r="AK26" i="88"/>
  <c r="AM22" i="88"/>
  <c r="AK20" i="88"/>
  <c r="AL17" i="88"/>
  <c r="AM14" i="88"/>
  <c r="AK12" i="88"/>
  <c r="AL9" i="88"/>
  <c r="AM6" i="88"/>
  <c r="AK4" i="88"/>
  <c r="AK99" i="88"/>
  <c r="AM95" i="88"/>
  <c r="AK92" i="88"/>
  <c r="AL88" i="88"/>
  <c r="AK85" i="88"/>
  <c r="AL81" i="88"/>
  <c r="AM77" i="88"/>
  <c r="AL74" i="88"/>
  <c r="AM70" i="88"/>
  <c r="AK67" i="88"/>
  <c r="AM63" i="88"/>
  <c r="AK60" i="88"/>
  <c r="AL56" i="88"/>
  <c r="AK53" i="88"/>
  <c r="AL49" i="88"/>
  <c r="AM45" i="88"/>
  <c r="AL42" i="88"/>
  <c r="AM38" i="88"/>
  <c r="AK35" i="88"/>
  <c r="AM31" i="88"/>
  <c r="AK28" i="88"/>
  <c r="AK25" i="88"/>
  <c r="AK22" i="88"/>
  <c r="AL19" i="88"/>
  <c r="AM16" i="88"/>
  <c r="AK14" i="88"/>
  <c r="AL11" i="88"/>
  <c r="AM8" i="88"/>
  <c r="AK6" i="88"/>
  <c r="AM98" i="88"/>
  <c r="AL95" i="88"/>
  <c r="AL91" i="88"/>
  <c r="AK88" i="88"/>
  <c r="AM84" i="88"/>
  <c r="AM80" i="88"/>
  <c r="AL77" i="88"/>
  <c r="AK74" i="88"/>
  <c r="AK70" i="88"/>
  <c r="AM66" i="88"/>
  <c r="AL63" i="88"/>
  <c r="AL59" i="88"/>
  <c r="AK56" i="88"/>
  <c r="AM52" i="88"/>
  <c r="AM48" i="88"/>
  <c r="AL45" i="88"/>
  <c r="AK42" i="88"/>
  <c r="AK38" i="88"/>
  <c r="AM34" i="88"/>
  <c r="AL31" i="88"/>
  <c r="AM27" i="88"/>
  <c r="AM24" i="88"/>
  <c r="AM21" i="88"/>
  <c r="AK19" i="88"/>
  <c r="AL16" i="88"/>
  <c r="AM13" i="88"/>
  <c r="AK11" i="88"/>
  <c r="AL8" i="88"/>
  <c r="AM5" i="88"/>
  <c r="AL14" i="88"/>
  <c r="AL25" i="88"/>
  <c r="AL39" i="88"/>
  <c r="AL53" i="88"/>
  <c r="AL67" i="88"/>
  <c r="AK82" i="88"/>
  <c r="AK96" i="88"/>
  <c r="I14" i="53"/>
  <c r="I12" i="53"/>
  <c r="I13" i="53"/>
  <c r="I11" i="53"/>
  <c r="I10" i="53"/>
  <c r="E25" i="130"/>
  <c r="G7" i="169"/>
  <c r="G13" i="169"/>
  <c r="G5" i="169"/>
  <c r="Y17" i="50"/>
  <c r="Y15" i="50"/>
  <c r="W17" i="50"/>
  <c r="W15" i="50"/>
  <c r="X16" i="50"/>
  <c r="E20" i="131"/>
  <c r="E12" i="131"/>
  <c r="E26" i="131"/>
  <c r="E18" i="131"/>
  <c r="E10" i="131"/>
  <c r="E15" i="131"/>
  <c r="E25" i="131"/>
  <c r="E6" i="130"/>
  <c r="E16" i="130"/>
  <c r="T11" i="149"/>
  <c r="U18" i="149"/>
  <c r="U21" i="151"/>
  <c r="N9" i="160"/>
  <c r="N5" i="160"/>
  <c r="M9" i="160"/>
  <c r="M5" i="160"/>
  <c r="N8" i="160"/>
  <c r="N4" i="160"/>
  <c r="M11" i="160"/>
  <c r="M7" i="160"/>
  <c r="N11" i="160"/>
  <c r="I18" i="199"/>
  <c r="I10" i="199"/>
  <c r="I17" i="199"/>
  <c r="I9" i="199"/>
  <c r="I16" i="199"/>
  <c r="I8" i="199"/>
  <c r="I15" i="199"/>
  <c r="I7" i="199"/>
  <c r="I13" i="199"/>
  <c r="I5" i="199"/>
  <c r="M18" i="199"/>
  <c r="M10" i="199"/>
  <c r="M17" i="199"/>
  <c r="M9" i="199"/>
  <c r="M16" i="199"/>
  <c r="M8" i="199"/>
  <c r="M15" i="199"/>
  <c r="M7" i="199"/>
  <c r="M13" i="199"/>
  <c r="M5" i="199"/>
  <c r="AL5" i="88"/>
  <c r="AK16" i="88"/>
  <c r="AL27" i="88"/>
  <c r="AL41" i="88"/>
  <c r="AM55" i="88"/>
  <c r="AM69" i="88"/>
  <c r="AK84" i="88"/>
  <c r="AL98" i="88"/>
  <c r="D4" i="184"/>
  <c r="C4" i="184"/>
  <c r="D7" i="184"/>
  <c r="D3" i="184"/>
  <c r="C7" i="184"/>
  <c r="C3" i="184"/>
  <c r="D6" i="184"/>
  <c r="C6" i="184"/>
  <c r="D5" i="184"/>
  <c r="C5" i="184"/>
  <c r="F11" i="169"/>
  <c r="F7" i="169"/>
  <c r="F10" i="169"/>
  <c r="F6" i="169"/>
  <c r="F9" i="169"/>
  <c r="G6" i="169"/>
  <c r="W14" i="50"/>
  <c r="Y16" i="50"/>
  <c r="P21" i="50"/>
  <c r="N19" i="50"/>
  <c r="N21" i="50"/>
  <c r="E6" i="131"/>
  <c r="E16" i="131"/>
  <c r="E27" i="131"/>
  <c r="E7" i="130"/>
  <c r="U11" i="149"/>
  <c r="T18" i="151"/>
  <c r="T14" i="151"/>
  <c r="U17" i="151"/>
  <c r="U13" i="151"/>
  <c r="T17" i="151"/>
  <c r="T13" i="151"/>
  <c r="U15" i="151"/>
  <c r="U11" i="151"/>
  <c r="U18" i="151"/>
  <c r="T22" i="151"/>
  <c r="M4" i="160"/>
  <c r="P9" i="160"/>
  <c r="P5" i="160"/>
  <c r="Q8" i="160"/>
  <c r="Q4" i="160"/>
  <c r="P8" i="160"/>
  <c r="P4" i="160"/>
  <c r="Q10" i="160"/>
  <c r="Q6" i="160"/>
  <c r="Q11" i="160"/>
  <c r="I4" i="199"/>
  <c r="M4" i="199"/>
  <c r="I14" i="196"/>
  <c r="AE14" i="200"/>
  <c r="AL6" i="88"/>
  <c r="AK17" i="88"/>
  <c r="AM28" i="88"/>
  <c r="AM42" i="88"/>
  <c r="AM56" i="88"/>
  <c r="AL71" i="88"/>
  <c r="AL85" i="88"/>
  <c r="AL99" i="88"/>
  <c r="M8" i="140"/>
  <c r="O8" i="140"/>
  <c r="N8" i="140"/>
  <c r="E20" i="130"/>
  <c r="E12" i="130"/>
  <c r="E26" i="130"/>
  <c r="E18" i="130"/>
  <c r="E10" i="130"/>
  <c r="E5" i="169"/>
  <c r="E10" i="169"/>
  <c r="G8" i="169"/>
  <c r="X14" i="50"/>
  <c r="Z16" i="50"/>
  <c r="O19" i="50"/>
  <c r="E7" i="131"/>
  <c r="E17" i="131"/>
  <c r="E8" i="130"/>
  <c r="E19" i="130"/>
  <c r="T12" i="149"/>
  <c r="T11" i="151"/>
  <c r="J7" i="160"/>
  <c r="K6" i="160"/>
  <c r="J6" i="160"/>
  <c r="K8" i="160"/>
  <c r="K4" i="160"/>
  <c r="M6" i="160"/>
  <c r="Q5" i="160"/>
  <c r="H18" i="199"/>
  <c r="H10" i="199"/>
  <c r="H17" i="199"/>
  <c r="H9" i="199"/>
  <c r="H16" i="199"/>
  <c r="H8" i="199"/>
  <c r="H15" i="199"/>
  <c r="H7" i="199"/>
  <c r="H13" i="199"/>
  <c r="H5" i="199"/>
  <c r="I6" i="199"/>
  <c r="L18" i="199"/>
  <c r="L10" i="199"/>
  <c r="L17" i="199"/>
  <c r="L9" i="199"/>
  <c r="L16" i="199"/>
  <c r="L8" i="199"/>
  <c r="L15" i="199"/>
  <c r="L7" i="199"/>
  <c r="L13" i="199"/>
  <c r="L5" i="199"/>
  <c r="M6" i="199"/>
  <c r="AK8" i="88"/>
  <c r="AM18" i="88"/>
  <c r="AM30" i="88"/>
  <c r="AK45" i="88"/>
  <c r="AK59" i="88"/>
  <c r="AL73" i="88"/>
  <c r="AM87" i="88"/>
  <c r="AM101" i="88"/>
  <c r="F3" i="144"/>
  <c r="F5" i="144"/>
  <c r="D3" i="144"/>
  <c r="E5" i="144"/>
  <c r="D5" i="144"/>
  <c r="F4" i="144"/>
  <c r="D4" i="144"/>
  <c r="E3" i="144"/>
  <c r="M75" i="147"/>
  <c r="M73" i="147"/>
  <c r="M77" i="147"/>
  <c r="M76" i="147"/>
  <c r="M74" i="147"/>
  <c r="F5" i="169"/>
  <c r="E11" i="169"/>
  <c r="G9" i="169"/>
  <c r="Y14" i="50"/>
  <c r="X17" i="50"/>
  <c r="P19" i="50"/>
  <c r="E8" i="131"/>
  <c r="E19" i="131"/>
  <c r="E9" i="130"/>
  <c r="E21" i="130"/>
  <c r="T14" i="149"/>
  <c r="N6" i="160"/>
  <c r="I11" i="199"/>
  <c r="M11" i="199"/>
  <c r="J17" i="196"/>
  <c r="J9" i="196"/>
  <c r="J16" i="196"/>
  <c r="J8" i="196"/>
  <c r="J15" i="196"/>
  <c r="J7" i="196"/>
  <c r="J14" i="196"/>
  <c r="J6" i="196"/>
  <c r="J12" i="196"/>
  <c r="J4" i="196"/>
  <c r="M15" i="196"/>
  <c r="M7" i="196"/>
  <c r="M14" i="196"/>
  <c r="M6" i="196"/>
  <c r="M13" i="196"/>
  <c r="M5" i="196"/>
  <c r="M12" i="196"/>
  <c r="M4" i="196"/>
  <c r="M18" i="196"/>
  <c r="M10" i="196"/>
  <c r="AF17" i="200"/>
  <c r="AF9" i="200"/>
  <c r="AF16" i="200"/>
  <c r="AF8" i="200"/>
  <c r="AF15" i="200"/>
  <c r="AF7" i="200"/>
  <c r="AF14" i="200"/>
  <c r="AF6" i="200"/>
  <c r="AF12" i="200"/>
  <c r="AF4" i="200"/>
  <c r="AK9" i="88"/>
  <c r="AM19" i="88"/>
  <c r="AK32" i="88"/>
  <c r="AK46" i="88"/>
  <c r="AM60" i="88"/>
  <c r="AM74" i="88"/>
  <c r="AM88" i="88"/>
  <c r="M15" i="147"/>
  <c r="M19" i="147"/>
  <c r="M18" i="147"/>
  <c r="M17" i="147"/>
  <c r="M16" i="147"/>
  <c r="E15" i="130"/>
  <c r="G10" i="169"/>
  <c r="Z14" i="50"/>
  <c r="Z17" i="50"/>
  <c r="E9" i="131"/>
  <c r="E21" i="131"/>
  <c r="E11" i="130"/>
  <c r="E22" i="130"/>
  <c r="U14" i="149"/>
  <c r="N7" i="160"/>
  <c r="G19" i="162"/>
  <c r="F19" i="162"/>
  <c r="G18" i="162"/>
  <c r="F21" i="162"/>
  <c r="F17" i="162"/>
  <c r="G18" i="199"/>
  <c r="G10" i="199"/>
  <c r="G17" i="199"/>
  <c r="G9" i="199"/>
  <c r="G16" i="199"/>
  <c r="G8" i="199"/>
  <c r="G15" i="199"/>
  <c r="G7" i="199"/>
  <c r="G13" i="199"/>
  <c r="G5" i="199"/>
  <c r="I12" i="199"/>
  <c r="K18" i="199"/>
  <c r="K10" i="199"/>
  <c r="K17" i="199"/>
  <c r="K9" i="199"/>
  <c r="K16" i="199"/>
  <c r="K8" i="199"/>
  <c r="K15" i="199"/>
  <c r="K7" i="199"/>
  <c r="K13" i="199"/>
  <c r="K5" i="199"/>
  <c r="M12" i="199"/>
  <c r="I18" i="196"/>
  <c r="I10" i="196"/>
  <c r="I17" i="196"/>
  <c r="I9" i="196"/>
  <c r="I16" i="196"/>
  <c r="I8" i="196"/>
  <c r="I15" i="196"/>
  <c r="I7" i="196"/>
  <c r="I13" i="196"/>
  <c r="I5" i="196"/>
  <c r="J5" i="196"/>
  <c r="M8" i="196"/>
  <c r="AE18" i="200"/>
  <c r="AE10" i="200"/>
  <c r="AE17" i="200"/>
  <c r="AE9" i="200"/>
  <c r="AE16" i="200"/>
  <c r="AE8" i="200"/>
  <c r="AE15" i="200"/>
  <c r="AE7" i="200"/>
  <c r="AE13" i="200"/>
  <c r="AE5" i="200"/>
  <c r="AF5" i="200"/>
  <c r="H7" i="201"/>
  <c r="H6" i="201"/>
  <c r="H4" i="201"/>
  <c r="AM10" i="88"/>
  <c r="AL21" i="88"/>
  <c r="AL34" i="88"/>
  <c r="AL48" i="88"/>
  <c r="AM62" i="88"/>
  <c r="AK77" i="88"/>
  <c r="AK91" i="88"/>
  <c r="AL20" i="147"/>
  <c r="AL19" i="147"/>
  <c r="AM14" i="147" s="1"/>
  <c r="AM22" i="147"/>
  <c r="AL22" i="147"/>
  <c r="AM21" i="147"/>
  <c r="AM20" i="147"/>
  <c r="AM19" i="147"/>
  <c r="F3" i="145"/>
  <c r="F5" i="145"/>
  <c r="D3" i="145"/>
  <c r="R19" i="164"/>
  <c r="R15" i="164"/>
  <c r="Q18" i="164"/>
  <c r="R21" i="164"/>
  <c r="Q17" i="164"/>
  <c r="Q21" i="164"/>
  <c r="R16" i="164"/>
  <c r="Q20" i="164"/>
  <c r="Q15" i="164"/>
  <c r="V6" i="183"/>
  <c r="W5" i="183"/>
  <c r="W4" i="183"/>
  <c r="W6" i="183"/>
  <c r="V5" i="183"/>
  <c r="V4" i="183"/>
  <c r="G8" i="162"/>
  <c r="J19" i="162"/>
  <c r="K11" i="196"/>
  <c r="K19" i="196"/>
  <c r="N9" i="196"/>
  <c r="N17" i="196"/>
  <c r="Z9" i="200"/>
  <c r="Z17" i="200"/>
  <c r="E3" i="145"/>
  <c r="O6" i="163"/>
  <c r="M6" i="163"/>
  <c r="N11" i="163"/>
  <c r="Q16" i="164"/>
  <c r="R13" i="156"/>
  <c r="T11" i="156"/>
  <c r="Q10" i="156"/>
  <c r="Q13" i="156"/>
  <c r="S11" i="156"/>
  <c r="P10" i="156"/>
  <c r="P13" i="156"/>
  <c r="R11" i="156"/>
  <c r="T9" i="156"/>
  <c r="T12" i="156"/>
  <c r="Q11" i="156"/>
  <c r="S9" i="156"/>
  <c r="S12" i="156"/>
  <c r="P11" i="156"/>
  <c r="R9" i="156"/>
  <c r="T13" i="156"/>
  <c r="Q12" i="156"/>
  <c r="S10" i="156"/>
  <c r="P9" i="156"/>
  <c r="P12" i="156"/>
  <c r="R10" i="156"/>
  <c r="Q9" i="156"/>
  <c r="J20" i="162"/>
  <c r="N11" i="196"/>
  <c r="N19" i="196"/>
  <c r="Z11" i="200"/>
  <c r="Z19" i="200"/>
  <c r="E4" i="145"/>
  <c r="B10" i="158"/>
  <c r="B7" i="158"/>
  <c r="B8" i="158"/>
  <c r="B6" i="158"/>
  <c r="M10" i="146"/>
  <c r="L10" i="146"/>
  <c r="N10" i="146"/>
  <c r="N11" i="146"/>
  <c r="R12" i="156"/>
  <c r="N10" i="166"/>
  <c r="M10" i="166"/>
  <c r="L10" i="166"/>
  <c r="P13" i="131"/>
  <c r="P17" i="131"/>
  <c r="O14" i="130"/>
  <c r="O18" i="130"/>
  <c r="R11" i="149"/>
  <c r="R19" i="149"/>
  <c r="R27" i="149"/>
  <c r="R13" i="152"/>
  <c r="R21" i="152"/>
  <c r="R29" i="152"/>
  <c r="U13" i="152"/>
  <c r="U17" i="152"/>
  <c r="R12" i="151"/>
  <c r="R20" i="151"/>
  <c r="R28" i="151"/>
  <c r="G20" i="151"/>
  <c r="T7" i="160"/>
  <c r="T11" i="160"/>
  <c r="V7" i="160"/>
  <c r="V11" i="160"/>
  <c r="D6" i="162"/>
  <c r="F6" i="162"/>
  <c r="F10" i="162"/>
  <c r="I17" i="162"/>
  <c r="I21" i="162"/>
  <c r="K6" i="196"/>
  <c r="K14" i="196"/>
  <c r="N4" i="196"/>
  <c r="N12" i="196"/>
  <c r="O11" i="196"/>
  <c r="O19" i="196"/>
  <c r="H10" i="200"/>
  <c r="H18" i="200"/>
  <c r="Z4" i="200"/>
  <c r="Z12" i="200"/>
  <c r="AA11" i="200"/>
  <c r="AA19" i="200"/>
  <c r="AB10" i="200"/>
  <c r="AB18" i="200"/>
  <c r="M10" i="200"/>
  <c r="M16" i="200"/>
  <c r="J14" i="201"/>
  <c r="F20" i="53"/>
  <c r="F4" i="145"/>
  <c r="T13" i="164"/>
  <c r="Q12" i="164"/>
  <c r="S10" i="164"/>
  <c r="T12" i="164"/>
  <c r="U10" i="164"/>
  <c r="R12" i="164"/>
  <c r="R10" i="164"/>
  <c r="U13" i="164"/>
  <c r="U11" i="164"/>
  <c r="Q10" i="164"/>
  <c r="R13" i="164"/>
  <c r="S11" i="164"/>
  <c r="S13" i="164"/>
  <c r="Q19" i="164"/>
  <c r="B9" i="158"/>
  <c r="M10" i="168"/>
  <c r="L10" i="168"/>
  <c r="L11" i="146"/>
  <c r="G21" i="159"/>
  <c r="G13" i="159"/>
  <c r="G5" i="159"/>
  <c r="G20" i="159"/>
  <c r="G12" i="159"/>
  <c r="G4" i="159"/>
  <c r="G18" i="159"/>
  <c r="G10" i="159"/>
  <c r="G17" i="159"/>
  <c r="G9" i="159"/>
  <c r="G15" i="159"/>
  <c r="G7" i="159"/>
  <c r="G19" i="159"/>
  <c r="G14" i="159"/>
  <c r="G11" i="159"/>
  <c r="G6" i="159"/>
  <c r="S13" i="156"/>
  <c r="P14" i="130"/>
  <c r="P18" i="130"/>
  <c r="R13" i="151"/>
  <c r="R21" i="151"/>
  <c r="R29" i="151"/>
  <c r="H20" i="151"/>
  <c r="W7" i="160"/>
  <c r="W11" i="160"/>
  <c r="G6" i="162"/>
  <c r="G10" i="162"/>
  <c r="J17" i="162"/>
  <c r="J21" i="162"/>
  <c r="K7" i="196"/>
  <c r="K15" i="196"/>
  <c r="N5" i="196"/>
  <c r="N13" i="196"/>
  <c r="H11" i="200"/>
  <c r="H19" i="200"/>
  <c r="Z5" i="200"/>
  <c r="Z13" i="200"/>
  <c r="AB11" i="200"/>
  <c r="AB19" i="200"/>
  <c r="M17" i="200"/>
  <c r="J15" i="201"/>
  <c r="AH21" i="147"/>
  <c r="AH19" i="147"/>
  <c r="AH17" i="147"/>
  <c r="AH15" i="147"/>
  <c r="AH13" i="147"/>
  <c r="AH11" i="147"/>
  <c r="AH9" i="147"/>
  <c r="AH7" i="147"/>
  <c r="AF21" i="147"/>
  <c r="AF19" i="147"/>
  <c r="AF17" i="147"/>
  <c r="AF15" i="147"/>
  <c r="AF13" i="147"/>
  <c r="AF11" i="147"/>
  <c r="AF9" i="147"/>
  <c r="AF7" i="147"/>
  <c r="AG8" i="147"/>
  <c r="AI10" i="147"/>
  <c r="AI13" i="147"/>
  <c r="AG16" i="147"/>
  <c r="AI18" i="147"/>
  <c r="AI21" i="147"/>
  <c r="F21" i="53"/>
  <c r="D5" i="145"/>
  <c r="N21" i="140"/>
  <c r="N18" i="140"/>
  <c r="T10" i="164"/>
  <c r="R20" i="164"/>
  <c r="N10" i="168"/>
  <c r="L5" i="146"/>
  <c r="N4" i="146"/>
  <c r="L4" i="146"/>
  <c r="M5" i="146"/>
  <c r="M4" i="146"/>
  <c r="M11" i="146"/>
  <c r="G8" i="159"/>
  <c r="N5" i="156"/>
  <c r="M5" i="156"/>
  <c r="L5" i="156"/>
  <c r="N4" i="156"/>
  <c r="L4" i="156"/>
  <c r="M4" i="156"/>
  <c r="D26" i="180"/>
  <c r="D18" i="180"/>
  <c r="D10" i="180"/>
  <c r="D25" i="180"/>
  <c r="D17" i="180"/>
  <c r="D9" i="180"/>
  <c r="D24" i="180"/>
  <c r="D16" i="180"/>
  <c r="D8" i="180"/>
  <c r="D23" i="180"/>
  <c r="D15" i="180"/>
  <c r="D7" i="180"/>
  <c r="D22" i="180"/>
  <c r="D14" i="180"/>
  <c r="D6" i="180"/>
  <c r="D28" i="180"/>
  <c r="D20" i="180"/>
  <c r="D12" i="180"/>
  <c r="D4" i="180"/>
  <c r="D21" i="180"/>
  <c r="D19" i="180"/>
  <c r="D13" i="180"/>
  <c r="D11" i="180"/>
  <c r="D5" i="180"/>
  <c r="P14" i="131"/>
  <c r="O11" i="130"/>
  <c r="R13" i="149"/>
  <c r="R21" i="149"/>
  <c r="R7" i="152"/>
  <c r="R15" i="152"/>
  <c r="U14" i="152"/>
  <c r="R6" i="151"/>
  <c r="R14" i="151"/>
  <c r="R22" i="151"/>
  <c r="T4" i="160"/>
  <c r="V4" i="160"/>
  <c r="P6" i="199"/>
  <c r="P10" i="199"/>
  <c r="K8" i="196"/>
  <c r="N6" i="196"/>
  <c r="O5" i="196"/>
  <c r="H4" i="200"/>
  <c r="Z6" i="200"/>
  <c r="AA5" i="200"/>
  <c r="AB4" i="200"/>
  <c r="AD11" i="200"/>
  <c r="J8" i="201"/>
  <c r="N6" i="147"/>
  <c r="L4" i="147"/>
  <c r="L6" i="147"/>
  <c r="AF6" i="147"/>
  <c r="AH8" i="147"/>
  <c r="AG11" i="147"/>
  <c r="AF14" i="147"/>
  <c r="AH16" i="147"/>
  <c r="AG19" i="147"/>
  <c r="AF22" i="147"/>
  <c r="M92" i="147"/>
  <c r="N91" i="147"/>
  <c r="M104" i="147"/>
  <c r="M102" i="147"/>
  <c r="F22" i="53"/>
  <c r="E5" i="145"/>
  <c r="N19" i="140"/>
  <c r="O6" i="164"/>
  <c r="M6" i="164"/>
  <c r="Q11" i="164"/>
  <c r="N5" i="146"/>
  <c r="G16" i="159"/>
  <c r="D27" i="180"/>
  <c r="M35" i="147"/>
  <c r="AG63" i="147"/>
  <c r="AG65" i="147"/>
  <c r="AG67" i="147"/>
  <c r="AG69" i="147"/>
  <c r="AG71" i="147"/>
  <c r="AG73" i="147"/>
  <c r="AG75" i="147"/>
  <c r="AG77" i="147"/>
  <c r="R8" i="163"/>
  <c r="Q19" i="163"/>
  <c r="Q15" i="163"/>
  <c r="R19" i="163"/>
  <c r="N19" i="163"/>
  <c r="S8" i="164"/>
  <c r="N4" i="168"/>
  <c r="P10" i="168"/>
  <c r="Q12" i="168"/>
  <c r="R6" i="146"/>
  <c r="N10" i="156"/>
  <c r="M10" i="156"/>
  <c r="L10" i="156"/>
  <c r="M19" i="167"/>
  <c r="M18" i="167"/>
  <c r="M17" i="167"/>
  <c r="M16" i="167"/>
  <c r="M15" i="167"/>
  <c r="E24" i="180"/>
  <c r="E16" i="180"/>
  <c r="E8" i="180"/>
  <c r="E23" i="180"/>
  <c r="E15" i="180"/>
  <c r="E7" i="180"/>
  <c r="E22" i="180"/>
  <c r="E14" i="180"/>
  <c r="E6" i="180"/>
  <c r="E21" i="180"/>
  <c r="E13" i="180"/>
  <c r="E5" i="180"/>
  <c r="E28" i="180"/>
  <c r="E20" i="180"/>
  <c r="E12" i="180"/>
  <c r="E4" i="180"/>
  <c r="E26" i="180"/>
  <c r="E18" i="180"/>
  <c r="E10" i="180"/>
  <c r="D24" i="194"/>
  <c r="D16" i="194"/>
  <c r="D8" i="194"/>
  <c r="D27" i="194"/>
  <c r="D18" i="194"/>
  <c r="D9" i="194"/>
  <c r="D26" i="194"/>
  <c r="D17" i="194"/>
  <c r="D7" i="194"/>
  <c r="D25" i="194"/>
  <c r="D15" i="194"/>
  <c r="D6" i="194"/>
  <c r="D23" i="194"/>
  <c r="D14" i="194"/>
  <c r="D5" i="194"/>
  <c r="D22" i="194"/>
  <c r="D13" i="194"/>
  <c r="D4" i="194"/>
  <c r="D20" i="194"/>
  <c r="D11" i="194"/>
  <c r="F15" i="194"/>
  <c r="K29" i="194"/>
  <c r="AI63" i="147"/>
  <c r="AI65" i="147"/>
  <c r="AI67" i="147"/>
  <c r="AI69" i="147"/>
  <c r="AI71" i="147"/>
  <c r="AI73" i="147"/>
  <c r="AI75" i="147"/>
  <c r="S13" i="163"/>
  <c r="U11" i="163"/>
  <c r="R10" i="163"/>
  <c r="T11" i="163"/>
  <c r="T13" i="163"/>
  <c r="Q16" i="163"/>
  <c r="R20" i="163"/>
  <c r="N5" i="168"/>
  <c r="S10" i="168"/>
  <c r="R7" i="146"/>
  <c r="E11" i="180"/>
  <c r="D12" i="194"/>
  <c r="R13" i="168"/>
  <c r="T11" i="168"/>
  <c r="Q10" i="168"/>
  <c r="T12" i="168"/>
  <c r="Q11" i="168"/>
  <c r="S9" i="168"/>
  <c r="T10" i="168"/>
  <c r="P13" i="168"/>
  <c r="M19" i="165"/>
  <c r="M18" i="165"/>
  <c r="M17" i="165"/>
  <c r="M16" i="165"/>
  <c r="M15" i="165"/>
  <c r="P37" i="179"/>
  <c r="P29" i="179"/>
  <c r="P21" i="179"/>
  <c r="P13" i="179"/>
  <c r="P5" i="179"/>
  <c r="P36" i="179"/>
  <c r="P28" i="179"/>
  <c r="P20" i="179"/>
  <c r="P12" i="179"/>
  <c r="P4" i="179"/>
  <c r="P42" i="179"/>
  <c r="P34" i="179"/>
  <c r="P26" i="179"/>
  <c r="P18" i="179"/>
  <c r="P10" i="179"/>
  <c r="P38" i="179"/>
  <c r="P35" i="179"/>
  <c r="P23" i="179"/>
  <c r="P9" i="179"/>
  <c r="P33" i="179"/>
  <c r="P22" i="179"/>
  <c r="P8" i="179"/>
  <c r="P32" i="179"/>
  <c r="P19" i="179"/>
  <c r="P7" i="179"/>
  <c r="P31" i="179"/>
  <c r="P17" i="179"/>
  <c r="P6" i="179"/>
  <c r="P40" i="179"/>
  <c r="P27" i="179"/>
  <c r="P15" i="179"/>
  <c r="P39" i="179"/>
  <c r="P30" i="179"/>
  <c r="P25" i="179"/>
  <c r="P24" i="179"/>
  <c r="P16" i="179"/>
  <c r="P11" i="179"/>
  <c r="M19" i="157"/>
  <c r="M18" i="157"/>
  <c r="M17" i="157"/>
  <c r="M16" i="157"/>
  <c r="M15" i="157"/>
  <c r="Q19" i="180"/>
  <c r="P19" i="180"/>
  <c r="O19" i="180"/>
  <c r="Q4" i="194"/>
  <c r="P4" i="194"/>
  <c r="O4" i="194"/>
  <c r="R7" i="164"/>
  <c r="Q9" i="168"/>
  <c r="R11" i="168"/>
  <c r="S13" i="168"/>
  <c r="Q6" i="146"/>
  <c r="R5" i="146"/>
  <c r="R8" i="146"/>
  <c r="R4" i="146"/>
  <c r="M19" i="146"/>
  <c r="M18" i="146"/>
  <c r="M16" i="146"/>
  <c r="P18" i="157"/>
  <c r="Q21" i="157"/>
  <c r="Q17" i="157"/>
  <c r="P21" i="157"/>
  <c r="P17" i="157"/>
  <c r="Q20" i="157"/>
  <c r="Q16" i="157"/>
  <c r="P20" i="157"/>
  <c r="P16" i="157"/>
  <c r="P19" i="157"/>
  <c r="P15" i="157"/>
  <c r="P4" i="180"/>
  <c r="O4" i="180"/>
  <c r="F28" i="194"/>
  <c r="F20" i="194"/>
  <c r="F12" i="194"/>
  <c r="F4" i="194"/>
  <c r="F30" i="194"/>
  <c r="F21" i="194"/>
  <c r="F11" i="194"/>
  <c r="F29" i="194"/>
  <c r="F19" i="194"/>
  <c r="F10" i="194"/>
  <c r="F27" i="194"/>
  <c r="F18" i="194"/>
  <c r="F9" i="194"/>
  <c r="F26" i="194"/>
  <c r="F17" i="194"/>
  <c r="F8" i="194"/>
  <c r="F25" i="194"/>
  <c r="F16" i="194"/>
  <c r="F7" i="194"/>
  <c r="F32" i="194"/>
  <c r="F23" i="194"/>
  <c r="F14" i="194"/>
  <c r="F5" i="194"/>
  <c r="J32" i="194"/>
  <c r="L30" i="194"/>
  <c r="I29" i="194"/>
  <c r="K27" i="194"/>
  <c r="I32" i="194"/>
  <c r="K30" i="194"/>
  <c r="H29" i="194"/>
  <c r="J27" i="194"/>
  <c r="L31" i="194"/>
  <c r="H31" i="194"/>
  <c r="K28" i="194"/>
  <c r="J30" i="194"/>
  <c r="J28" i="194"/>
  <c r="L32" i="194"/>
  <c r="I30" i="194"/>
  <c r="I28" i="194"/>
  <c r="K32" i="194"/>
  <c r="H30" i="194"/>
  <c r="H28" i="194"/>
  <c r="H32" i="194"/>
  <c r="L29" i="194"/>
  <c r="L27" i="194"/>
  <c r="J31" i="194"/>
  <c r="J29" i="194"/>
  <c r="H27" i="194"/>
  <c r="P41" i="179"/>
  <c r="AN37" i="179"/>
  <c r="AN29" i="179"/>
  <c r="AN21" i="179"/>
  <c r="AN13" i="179"/>
  <c r="AN5" i="179"/>
  <c r="AN36" i="179"/>
  <c r="AN28" i="179"/>
  <c r="AN20" i="179"/>
  <c r="AN12" i="179"/>
  <c r="AN4" i="179"/>
  <c r="AN42" i="179"/>
  <c r="AN34" i="179"/>
  <c r="AN26" i="179"/>
  <c r="AN18" i="179"/>
  <c r="AN10" i="179"/>
  <c r="AN39" i="179"/>
  <c r="AN31" i="179"/>
  <c r="AN23" i="179"/>
  <c r="AN15" i="179"/>
  <c r="AN7" i="179"/>
  <c r="AN33" i="179"/>
  <c r="AN17" i="179"/>
  <c r="AN32" i="179"/>
  <c r="AN16" i="179"/>
  <c r="AN30" i="179"/>
  <c r="AN14" i="179"/>
  <c r="AN27" i="179"/>
  <c r="AN11" i="179"/>
  <c r="AN41" i="179"/>
  <c r="AN25" i="179"/>
  <c r="AN9" i="179"/>
  <c r="AN38" i="179"/>
  <c r="AN22" i="179"/>
  <c r="AN6" i="179"/>
  <c r="AN40" i="179"/>
  <c r="AN35" i="179"/>
  <c r="AN24" i="179"/>
  <c r="AN19" i="179"/>
  <c r="AN8" i="179"/>
  <c r="Q18" i="168"/>
  <c r="R11" i="146"/>
  <c r="P13" i="146"/>
  <c r="S14" i="146"/>
  <c r="P18" i="146"/>
  <c r="P22" i="146"/>
  <c r="H11" i="159"/>
  <c r="H19" i="159"/>
  <c r="I7" i="159"/>
  <c r="I15" i="159"/>
  <c r="J11" i="159"/>
  <c r="J19" i="159"/>
  <c r="L5" i="155"/>
  <c r="Q6" i="155"/>
  <c r="M4" i="165"/>
  <c r="R4" i="156"/>
  <c r="M17" i="156"/>
  <c r="P17" i="156"/>
  <c r="P21" i="156"/>
  <c r="M17" i="166"/>
  <c r="R6" i="157"/>
  <c r="T9" i="157"/>
  <c r="R11" i="157"/>
  <c r="P13" i="157"/>
  <c r="M4" i="167"/>
  <c r="Q14" i="180"/>
  <c r="T37" i="180"/>
  <c r="E22" i="194"/>
  <c r="E14" i="194"/>
  <c r="E6" i="194"/>
  <c r="E12" i="194"/>
  <c r="E21" i="194"/>
  <c r="C9" i="203"/>
  <c r="H17" i="198"/>
  <c r="H9" i="198"/>
  <c r="H15" i="198"/>
  <c r="H7" i="198"/>
  <c r="H22" i="198"/>
  <c r="H12" i="198"/>
  <c r="H21" i="198"/>
  <c r="H11" i="198"/>
  <c r="H20" i="198"/>
  <c r="H10" i="198"/>
  <c r="H19" i="198"/>
  <c r="H8" i="198"/>
  <c r="H18" i="198"/>
  <c r="H6" i="198"/>
  <c r="H14" i="198"/>
  <c r="H4" i="198"/>
  <c r="H16" i="198"/>
  <c r="H13" i="198"/>
  <c r="H5" i="198"/>
  <c r="Q15" i="168"/>
  <c r="Q19" i="168"/>
  <c r="Q10" i="146"/>
  <c r="T11" i="146"/>
  <c r="R13" i="146"/>
  <c r="P15" i="146"/>
  <c r="P19" i="146"/>
  <c r="P23" i="146"/>
  <c r="H5" i="159"/>
  <c r="H13" i="159"/>
  <c r="I9" i="159"/>
  <c r="I17" i="159"/>
  <c r="J5" i="159"/>
  <c r="J13" i="159"/>
  <c r="N5" i="155"/>
  <c r="Q7" i="155"/>
  <c r="L5" i="165"/>
  <c r="R5" i="156"/>
  <c r="P18" i="156"/>
  <c r="Q10" i="157"/>
  <c r="T11" i="157"/>
  <c r="R13" i="157"/>
  <c r="L5" i="167"/>
  <c r="F10" i="180"/>
  <c r="F18" i="180"/>
  <c r="E5" i="194"/>
  <c r="E15" i="194"/>
  <c r="E24" i="194"/>
  <c r="P14" i="194"/>
  <c r="C10" i="203"/>
  <c r="P16" i="168"/>
  <c r="R10" i="146"/>
  <c r="P12" i="146"/>
  <c r="S13" i="146"/>
  <c r="Q19" i="146"/>
  <c r="Q23" i="146"/>
  <c r="I10" i="159"/>
  <c r="I18" i="159"/>
  <c r="M5" i="165"/>
  <c r="Q6" i="156"/>
  <c r="R10" i="157"/>
  <c r="P12" i="157"/>
  <c r="F27" i="180"/>
  <c r="F19" i="180"/>
  <c r="F11" i="180"/>
  <c r="F20" i="180"/>
  <c r="F29" i="180"/>
  <c r="E7" i="194"/>
  <c r="E16" i="194"/>
  <c r="E25" i="194"/>
  <c r="AB37" i="179"/>
  <c r="AB29" i="179"/>
  <c r="AB21" i="179"/>
  <c r="AB13" i="179"/>
  <c r="AB5" i="179"/>
  <c r="AB36" i="179"/>
  <c r="AB28" i="179"/>
  <c r="AB20" i="179"/>
  <c r="AB12" i="179"/>
  <c r="AB4" i="179"/>
  <c r="AB42" i="179"/>
  <c r="AB34" i="179"/>
  <c r="AB26" i="179"/>
  <c r="AB18" i="179"/>
  <c r="AB10" i="179"/>
  <c r="AB39" i="179"/>
  <c r="AB31" i="179"/>
  <c r="AB23" i="179"/>
  <c r="AB15" i="179"/>
  <c r="AB7" i="179"/>
  <c r="AB33" i="179"/>
  <c r="AB17" i="179"/>
  <c r="AB32" i="179"/>
  <c r="AB16" i="179"/>
  <c r="AB30" i="179"/>
  <c r="AB14" i="179"/>
  <c r="AB27" i="179"/>
  <c r="AB11" i="179"/>
  <c r="AB41" i="179"/>
  <c r="AB25" i="179"/>
  <c r="AB9" i="179"/>
  <c r="AB38" i="179"/>
  <c r="AB22" i="179"/>
  <c r="AB6" i="179"/>
  <c r="I11" i="159"/>
  <c r="I19" i="159"/>
  <c r="R6" i="156"/>
  <c r="AD14" i="179"/>
  <c r="AD10" i="179"/>
  <c r="AD16" i="179"/>
  <c r="AE11" i="179"/>
  <c r="AE15" i="179"/>
  <c r="AD11" i="179"/>
  <c r="AD15" i="179"/>
  <c r="AE10" i="179"/>
  <c r="AE14" i="179"/>
  <c r="AE9" i="179"/>
  <c r="AE12" i="179"/>
  <c r="AE16" i="179"/>
  <c r="AE13" i="179"/>
  <c r="AD13" i="179"/>
  <c r="AD12" i="179"/>
  <c r="AD9" i="179"/>
  <c r="Q20" i="146"/>
  <c r="I4" i="159"/>
  <c r="I12" i="159"/>
  <c r="I20" i="159"/>
  <c r="L4" i="155"/>
  <c r="Q7" i="156"/>
  <c r="O9" i="194"/>
  <c r="T37" i="194"/>
  <c r="T35" i="194"/>
  <c r="D8" i="203"/>
  <c r="C8" i="203"/>
  <c r="D7" i="203"/>
  <c r="C7" i="203"/>
  <c r="I5" i="159"/>
  <c r="I13" i="159"/>
  <c r="AB11" i="178"/>
  <c r="AB19" i="178"/>
  <c r="AB27" i="178"/>
  <c r="AB35" i="178"/>
  <c r="AB44" i="178"/>
  <c r="AN45" i="178"/>
  <c r="AN37" i="178"/>
  <c r="AN29" i="178"/>
  <c r="AN21" i="178"/>
  <c r="AN13" i="178"/>
  <c r="AN5" i="178"/>
  <c r="AN12" i="178"/>
  <c r="AN22" i="178"/>
  <c r="AN31" i="178"/>
  <c r="AN40" i="178"/>
  <c r="Y11" i="178"/>
  <c r="X16" i="178"/>
  <c r="AK14" i="178"/>
  <c r="AK10" i="178"/>
  <c r="AJ14" i="178"/>
  <c r="AJ10" i="178"/>
  <c r="AK13" i="178"/>
  <c r="J37" i="179"/>
  <c r="J29" i="179"/>
  <c r="J21" i="179"/>
  <c r="J13" i="179"/>
  <c r="J5" i="179"/>
  <c r="J36" i="179"/>
  <c r="J28" i="179"/>
  <c r="J20" i="179"/>
  <c r="J12" i="179"/>
  <c r="J4" i="179"/>
  <c r="J42" i="179"/>
  <c r="J34" i="179"/>
  <c r="J26" i="179"/>
  <c r="J18" i="179"/>
  <c r="J10" i="179"/>
  <c r="J16" i="179"/>
  <c r="J30" i="179"/>
  <c r="J41" i="179"/>
  <c r="V14" i="179"/>
  <c r="AH14" i="179"/>
  <c r="AH30" i="179"/>
  <c r="Y20" i="186"/>
  <c r="Y19" i="186"/>
  <c r="Z20" i="186"/>
  <c r="Z19" i="186"/>
  <c r="Z18" i="186"/>
  <c r="Y18" i="186"/>
  <c r="Z13" i="186" s="1"/>
  <c r="Z21" i="186"/>
  <c r="G8" i="209"/>
  <c r="H5" i="209"/>
  <c r="I2" i="209"/>
  <c r="H7" i="209"/>
  <c r="I4" i="209"/>
  <c r="G2" i="209"/>
  <c r="H9" i="209"/>
  <c r="I6" i="209"/>
  <c r="G4" i="209"/>
  <c r="H1" i="209"/>
  <c r="I7" i="209"/>
  <c r="H3" i="209"/>
  <c r="G7" i="209"/>
  <c r="G3" i="209"/>
  <c r="H6" i="209"/>
  <c r="H2" i="209"/>
  <c r="G6" i="209"/>
  <c r="I1" i="209"/>
  <c r="I9" i="209"/>
  <c r="I5" i="209"/>
  <c r="G1" i="209"/>
  <c r="I8" i="209"/>
  <c r="H4" i="209"/>
  <c r="J10" i="178"/>
  <c r="J18" i="178"/>
  <c r="J26" i="178"/>
  <c r="J34" i="178"/>
  <c r="J42" i="178"/>
  <c r="AB5" i="178"/>
  <c r="AB13" i="178"/>
  <c r="AB21" i="178"/>
  <c r="AB29" i="178"/>
  <c r="AB37" i="178"/>
  <c r="AH40" i="178"/>
  <c r="AH32" i="178"/>
  <c r="AH24" i="178"/>
  <c r="AH16" i="178"/>
  <c r="AH8" i="178"/>
  <c r="AH12" i="178"/>
  <c r="AH21" i="178"/>
  <c r="AH30" i="178"/>
  <c r="AH39" i="178"/>
  <c r="AN6" i="178"/>
  <c r="AN15" i="178"/>
  <c r="AN24" i="178"/>
  <c r="AN33" i="178"/>
  <c r="AN42" i="178"/>
  <c r="AD15" i="178"/>
  <c r="AE14" i="178"/>
  <c r="AE10" i="178"/>
  <c r="AD13" i="178"/>
  <c r="AK9" i="178"/>
  <c r="AK15" i="178"/>
  <c r="J7" i="179"/>
  <c r="J19" i="179"/>
  <c r="J32" i="179"/>
  <c r="V37" i="179"/>
  <c r="V29" i="179"/>
  <c r="V21" i="179"/>
  <c r="V13" i="179"/>
  <c r="V5" i="179"/>
  <c r="V36" i="179"/>
  <c r="V28" i="179"/>
  <c r="V20" i="179"/>
  <c r="V12" i="179"/>
  <c r="V4" i="179"/>
  <c r="V42" i="179"/>
  <c r="V34" i="179"/>
  <c r="V26" i="179"/>
  <c r="V18" i="179"/>
  <c r="V10" i="179"/>
  <c r="V39" i="179"/>
  <c r="V31" i="179"/>
  <c r="V23" i="179"/>
  <c r="V15" i="179"/>
  <c r="V17" i="179"/>
  <c r="V33" i="179"/>
  <c r="AH17" i="179"/>
  <c r="Y22" i="186"/>
  <c r="G5" i="209"/>
  <c r="J11" i="178"/>
  <c r="J19" i="178"/>
  <c r="J27" i="178"/>
  <c r="J35" i="178"/>
  <c r="J43" i="178"/>
  <c r="AB6" i="178"/>
  <c r="AB14" i="178"/>
  <c r="AB22" i="178"/>
  <c r="AB30" i="178"/>
  <c r="AB38" i="178"/>
  <c r="AH4" i="178"/>
  <c r="AH13" i="178"/>
  <c r="AH22" i="178"/>
  <c r="AH31" i="178"/>
  <c r="AH41" i="178"/>
  <c r="AN7" i="178"/>
  <c r="AN16" i="178"/>
  <c r="AN25" i="178"/>
  <c r="AN34" i="178"/>
  <c r="AN43" i="178"/>
  <c r="X15" i="178"/>
  <c r="X11" i="178"/>
  <c r="X13" i="178"/>
  <c r="AJ11" i="178"/>
  <c r="AJ16" i="178"/>
  <c r="AH37" i="179"/>
  <c r="AH29" i="179"/>
  <c r="AH21" i="179"/>
  <c r="AH13" i="179"/>
  <c r="AH5" i="179"/>
  <c r="AH36" i="179"/>
  <c r="AH28" i="179"/>
  <c r="AH20" i="179"/>
  <c r="AH12" i="179"/>
  <c r="AH4" i="179"/>
  <c r="AH42" i="179"/>
  <c r="AH34" i="179"/>
  <c r="AH26" i="179"/>
  <c r="AH18" i="179"/>
  <c r="AH10" i="179"/>
  <c r="AH39" i="179"/>
  <c r="AH31" i="179"/>
  <c r="AH23" i="179"/>
  <c r="AH15" i="179"/>
  <c r="AH7" i="179"/>
  <c r="AH19" i="179"/>
  <c r="AH35" i="179"/>
  <c r="Q24" i="185"/>
  <c r="Q20" i="185"/>
  <c r="P26" i="185"/>
  <c r="Q21" i="185"/>
  <c r="Q25" i="185"/>
  <c r="P21" i="185"/>
  <c r="P25" i="185"/>
  <c r="P20" i="185"/>
  <c r="P24" i="185"/>
  <c r="Q19" i="185"/>
  <c r="Q22" i="185"/>
  <c r="P18" i="185"/>
  <c r="Q13" i="185" s="1"/>
  <c r="Z22" i="186"/>
  <c r="H8" i="209"/>
  <c r="V7" i="182"/>
  <c r="D15" i="203"/>
  <c r="J4" i="178"/>
  <c r="J12" i="178"/>
  <c r="J20" i="178"/>
  <c r="J28" i="178"/>
  <c r="J36" i="178"/>
  <c r="P11" i="178"/>
  <c r="P19" i="178"/>
  <c r="P27" i="178"/>
  <c r="P35" i="178"/>
  <c r="V10" i="178"/>
  <c r="V18" i="178"/>
  <c r="V26" i="178"/>
  <c r="V34" i="178"/>
  <c r="V42" i="178"/>
  <c r="AB7" i="178"/>
  <c r="AB15" i="178"/>
  <c r="AB23" i="178"/>
  <c r="AB31" i="178"/>
  <c r="AB39" i="178"/>
  <c r="AH5" i="178"/>
  <c r="AH14" i="178"/>
  <c r="AH23" i="178"/>
  <c r="AH33" i="178"/>
  <c r="AH42" i="178"/>
  <c r="AN8" i="178"/>
  <c r="AN17" i="178"/>
  <c r="AN26" i="178"/>
  <c r="AN35" i="178"/>
  <c r="AN44" i="178"/>
  <c r="S15" i="178"/>
  <c r="S11" i="178"/>
  <c r="R13" i="178"/>
  <c r="X9" i="178"/>
  <c r="Y13" i="178"/>
  <c r="AE9" i="178"/>
  <c r="AD14" i="178"/>
  <c r="AK11" i="178"/>
  <c r="AK16" i="178"/>
  <c r="J9" i="179"/>
  <c r="J23" i="179"/>
  <c r="J35" i="179"/>
  <c r="V7" i="179"/>
  <c r="V22" i="179"/>
  <c r="V38" i="179"/>
  <c r="AH6" i="179"/>
  <c r="AH22" i="179"/>
  <c r="AH38" i="179"/>
  <c r="Y14" i="179"/>
  <c r="Y10" i="179"/>
  <c r="Y15" i="179"/>
  <c r="X11" i="179"/>
  <c r="X15" i="179"/>
  <c r="X10" i="179"/>
  <c r="X14" i="179"/>
  <c r="Y9" i="179"/>
  <c r="Y13" i="179"/>
  <c r="X9" i="179"/>
  <c r="Y16" i="179"/>
  <c r="X12" i="179"/>
  <c r="Q18" i="185"/>
  <c r="G9" i="209"/>
  <c r="J5" i="178"/>
  <c r="J13" i="178"/>
  <c r="J21" i="178"/>
  <c r="J29" i="178"/>
  <c r="V11" i="178"/>
  <c r="V19" i="178"/>
  <c r="V27" i="178"/>
  <c r="V35" i="178"/>
  <c r="AB8" i="178"/>
  <c r="AB16" i="178"/>
  <c r="AB24" i="178"/>
  <c r="AB32" i="178"/>
  <c r="AB40" i="178"/>
  <c r="AH6" i="178"/>
  <c r="AH15" i="178"/>
  <c r="AH25" i="178"/>
  <c r="AH34" i="178"/>
  <c r="AH43" i="178"/>
  <c r="AN9" i="178"/>
  <c r="AN18" i="178"/>
  <c r="AN27" i="178"/>
  <c r="AN36" i="178"/>
  <c r="L16" i="178"/>
  <c r="L12" i="178"/>
  <c r="L13" i="178"/>
  <c r="R9" i="178"/>
  <c r="S13" i="178"/>
  <c r="Y9" i="178"/>
  <c r="X14" i="178"/>
  <c r="AD10" i="178"/>
  <c r="AE15" i="178"/>
  <c r="AJ12" i="178"/>
  <c r="J11" i="179"/>
  <c r="J24" i="179"/>
  <c r="J38" i="179"/>
  <c r="V8" i="179"/>
  <c r="V24" i="179"/>
  <c r="V40" i="179"/>
  <c r="AH8" i="179"/>
  <c r="AH24" i="179"/>
  <c r="AH40" i="179"/>
  <c r="Y11" i="179"/>
  <c r="AP13" i="179"/>
  <c r="AP9" i="179"/>
  <c r="AQ12" i="179"/>
  <c r="AQ16" i="179"/>
  <c r="AP12" i="179"/>
  <c r="AP16" i="179"/>
  <c r="AQ11" i="179"/>
  <c r="AQ15" i="179"/>
  <c r="AP11" i="179"/>
  <c r="AP14" i="179"/>
  <c r="AQ9" i="179"/>
  <c r="P19" i="185"/>
  <c r="AD15" i="202"/>
  <c r="AD13" i="202"/>
  <c r="AD14" i="202"/>
  <c r="G22" i="202"/>
  <c r="G14" i="202"/>
  <c r="G6" i="202"/>
  <c r="G20" i="202"/>
  <c r="G12" i="202"/>
  <c r="G4" i="202"/>
  <c r="G18" i="202"/>
  <c r="G10" i="202"/>
  <c r="G11" i="202"/>
  <c r="G9" i="202"/>
  <c r="G21" i="202"/>
  <c r="G8" i="202"/>
  <c r="G19" i="202"/>
  <c r="G7" i="202"/>
  <c r="G17" i="202"/>
  <c r="G5" i="202"/>
  <c r="G15" i="202"/>
  <c r="M17" i="202"/>
  <c r="N12" i="202" s="1"/>
  <c r="M19" i="202"/>
  <c r="N19" i="202"/>
  <c r="N18" i="202"/>
  <c r="M18" i="202"/>
  <c r="N17" i="202"/>
  <c r="BB19" i="215"/>
  <c r="BB18" i="215"/>
  <c r="BC17" i="215"/>
  <c r="BB17" i="215"/>
  <c r="BC19" i="215"/>
  <c r="M10" i="179"/>
  <c r="L15" i="179"/>
  <c r="AK13" i="179"/>
  <c r="AK9" i="179"/>
  <c r="AJ13" i="179"/>
  <c r="Y22" i="185"/>
  <c r="I6" i="177"/>
  <c r="T18" i="209"/>
  <c r="T17" i="209"/>
  <c r="U12" i="209" s="1"/>
  <c r="AH7" i="212"/>
  <c r="BC18" i="215"/>
  <c r="E8" i="177"/>
  <c r="E4" i="177"/>
  <c r="E11" i="177"/>
  <c r="E7" i="177"/>
  <c r="E9" i="177"/>
  <c r="I22" i="202"/>
  <c r="I14" i="202"/>
  <c r="I6" i="202"/>
  <c r="I20" i="202"/>
  <c r="I12" i="202"/>
  <c r="I4" i="202"/>
  <c r="I18" i="202"/>
  <c r="I10" i="202"/>
  <c r="I16" i="202"/>
  <c r="AH24" i="212"/>
  <c r="AI21" i="212"/>
  <c r="AG19" i="212"/>
  <c r="AH16" i="212"/>
  <c r="AI13" i="212"/>
  <c r="AG11" i="212"/>
  <c r="AH8" i="212"/>
  <c r="AI5" i="212"/>
  <c r="AG3" i="212"/>
  <c r="AI23" i="212"/>
  <c r="AG21" i="212"/>
  <c r="AH18" i="212"/>
  <c r="AI15" i="212"/>
  <c r="AG13" i="212"/>
  <c r="AH10" i="212"/>
  <c r="AI7" i="212"/>
  <c r="AG5" i="212"/>
  <c r="AH2" i="212"/>
  <c r="AG24" i="212"/>
  <c r="AH20" i="212"/>
  <c r="AG17" i="212"/>
  <c r="AH13" i="212"/>
  <c r="AI9" i="212"/>
  <c r="AH6" i="212"/>
  <c r="AI2" i="212"/>
  <c r="AG23" i="212"/>
  <c r="AI19" i="212"/>
  <c r="AG16" i="212"/>
  <c r="AH12" i="212"/>
  <c r="AG9" i="212"/>
  <c r="AH5" i="212"/>
  <c r="AI1" i="212"/>
  <c r="AI22" i="212"/>
  <c r="AH19" i="212"/>
  <c r="AH15" i="212"/>
  <c r="AG12" i="212"/>
  <c r="AI8" i="212"/>
  <c r="AI4" i="212"/>
  <c r="AH1" i="212"/>
  <c r="AI25" i="212"/>
  <c r="AH22" i="212"/>
  <c r="AI18" i="212"/>
  <c r="AG15" i="212"/>
  <c r="AI11" i="212"/>
  <c r="AG8" i="212"/>
  <c r="AH4" i="212"/>
  <c r="AG1" i="212"/>
  <c r="AG25" i="212"/>
  <c r="AH21" i="212"/>
  <c r="AI17" i="212"/>
  <c r="AH14" i="212"/>
  <c r="AI10" i="212"/>
  <c r="AG7" i="212"/>
  <c r="AI3" i="212"/>
  <c r="AG10" i="212"/>
  <c r="AG20" i="212"/>
  <c r="AQ12" i="178"/>
  <c r="AQ16" i="178"/>
  <c r="R15" i="179"/>
  <c r="R11" i="179"/>
  <c r="R13" i="179"/>
  <c r="AK10" i="179"/>
  <c r="AJ15" i="179"/>
  <c r="Z19" i="185"/>
  <c r="F4" i="177"/>
  <c r="F9" i="177"/>
  <c r="I5" i="202"/>
  <c r="I17" i="202"/>
  <c r="H23" i="202"/>
  <c r="AU17" i="212"/>
  <c r="AU18" i="212"/>
  <c r="AV18" i="212"/>
  <c r="AV17" i="212"/>
  <c r="M15" i="179"/>
  <c r="M11" i="179"/>
  <c r="L13" i="179"/>
  <c r="AJ11" i="179"/>
  <c r="AK15" i="179"/>
  <c r="E5" i="177"/>
  <c r="E10" i="177"/>
  <c r="K10" i="177"/>
  <c r="K9" i="177"/>
  <c r="L12" i="177"/>
  <c r="I7" i="202"/>
  <c r="I19" i="202"/>
  <c r="H25" i="202"/>
  <c r="AH3" i="212"/>
  <c r="AI12" i="212"/>
  <c r="AG22" i="212"/>
  <c r="AQ9" i="178"/>
  <c r="AQ13" i="178"/>
  <c r="L9" i="179"/>
  <c r="M13" i="179"/>
  <c r="S9" i="179"/>
  <c r="R14" i="179"/>
  <c r="AK11" i="179"/>
  <c r="AJ16" i="179"/>
  <c r="Z20" i="185"/>
  <c r="F5" i="177"/>
  <c r="F10" i="177"/>
  <c r="I9" i="177"/>
  <c r="I7" i="177"/>
  <c r="AE8" i="198"/>
  <c r="AC8" i="198"/>
  <c r="H18" i="202"/>
  <c r="H10" i="202"/>
  <c r="H16" i="202"/>
  <c r="H8" i="202"/>
  <c r="H22" i="202"/>
  <c r="H14" i="202"/>
  <c r="H6" i="202"/>
  <c r="H15" i="202"/>
  <c r="I8" i="202"/>
  <c r="I21" i="202"/>
  <c r="Y18" i="210"/>
  <c r="Z17" i="210"/>
  <c r="Y17" i="210"/>
  <c r="AG4" i="212"/>
  <c r="AG14" i="212"/>
  <c r="AH23" i="212"/>
  <c r="AP10" i="178"/>
  <c r="M9" i="179"/>
  <c r="L14" i="179"/>
  <c r="R10" i="179"/>
  <c r="S14" i="179"/>
  <c r="AJ12" i="179"/>
  <c r="AK16" i="179"/>
  <c r="Y21" i="185"/>
  <c r="E6" i="177"/>
  <c r="F11" i="177"/>
  <c r="H10" i="177"/>
  <c r="H8" i="177"/>
  <c r="I4" i="177"/>
  <c r="L8" i="177"/>
  <c r="AD8" i="198"/>
  <c r="H4" i="202"/>
  <c r="H17" i="202"/>
  <c r="I9" i="202"/>
  <c r="Z18" i="210"/>
  <c r="AG6" i="212"/>
  <c r="AI14" i="212"/>
  <c r="AI24" i="212"/>
  <c r="Q20" i="186"/>
  <c r="Q24" i="186"/>
  <c r="Q5" i="177"/>
  <c r="G9" i="177"/>
  <c r="G11" i="198"/>
  <c r="I11" i="198"/>
  <c r="U1" i="210"/>
  <c r="T4" i="210"/>
  <c r="V6" i="210"/>
  <c r="V9" i="210"/>
  <c r="H19" i="210"/>
  <c r="W1" i="211"/>
  <c r="W4" i="211"/>
  <c r="W7" i="211"/>
  <c r="W10" i="211"/>
  <c r="W13" i="211"/>
  <c r="W16" i="211"/>
  <c r="I17" i="211"/>
  <c r="T3" i="212"/>
  <c r="V6" i="212"/>
  <c r="U10" i="212"/>
  <c r="V13" i="212"/>
  <c r="U17" i="212"/>
  <c r="AF3" i="213"/>
  <c r="AG8" i="213"/>
  <c r="AE14" i="213"/>
  <c r="AF19" i="213"/>
  <c r="AG24" i="213"/>
  <c r="Q20" i="214"/>
  <c r="Q21" i="186"/>
  <c r="T2" i="210"/>
  <c r="V4" i="210"/>
  <c r="U7" i="210"/>
  <c r="V2" i="211"/>
  <c r="V5" i="211"/>
  <c r="V8" i="211"/>
  <c r="V11" i="211"/>
  <c r="V14" i="211"/>
  <c r="W17" i="211"/>
  <c r="H19" i="211"/>
  <c r="T4" i="212"/>
  <c r="V7" i="212"/>
  <c r="T11" i="212"/>
  <c r="AE5" i="213"/>
  <c r="AF10" i="213"/>
  <c r="AG15" i="213"/>
  <c r="AE21" i="213"/>
  <c r="AP18" i="215"/>
  <c r="AP17" i="215"/>
  <c r="AO17" i="215"/>
  <c r="AP19" i="215"/>
  <c r="W2" i="211"/>
  <c r="W5" i="211"/>
  <c r="W8" i="211"/>
  <c r="W11" i="211"/>
  <c r="U15" i="211"/>
  <c r="V17" i="212"/>
  <c r="T15" i="212"/>
  <c r="U12" i="212"/>
  <c r="V9" i="212"/>
  <c r="T7" i="212"/>
  <c r="U4" i="212"/>
  <c r="V1" i="212"/>
  <c r="T17" i="212"/>
  <c r="U14" i="212"/>
  <c r="V11" i="212"/>
  <c r="T9" i="212"/>
  <c r="U6" i="212"/>
  <c r="V3" i="212"/>
  <c r="T1" i="212"/>
  <c r="V4" i="212"/>
  <c r="T8" i="212"/>
  <c r="U11" i="212"/>
  <c r="U15" i="212"/>
  <c r="Y18" i="212"/>
  <c r="Y17" i="212"/>
  <c r="AG5" i="213"/>
  <c r="AE11" i="213"/>
  <c r="AF16" i="213"/>
  <c r="V2" i="210"/>
  <c r="U5" i="210"/>
  <c r="U8" i="210"/>
  <c r="H17" i="210"/>
  <c r="I12" i="210" s="1"/>
  <c r="U3" i="211"/>
  <c r="U6" i="211"/>
  <c r="U9" i="211"/>
  <c r="V12" i="211"/>
  <c r="U1" i="212"/>
  <c r="T5" i="212"/>
  <c r="U8" i="212"/>
  <c r="T12" i="212"/>
  <c r="V15" i="212"/>
  <c r="AF23" i="213"/>
  <c r="AG20" i="213"/>
  <c r="AE18" i="213"/>
  <c r="AF15" i="213"/>
  <c r="AG12" i="213"/>
  <c r="AE10" i="213"/>
  <c r="AF7" i="213"/>
  <c r="AG4" i="213"/>
  <c r="AE2" i="213"/>
  <c r="AF25" i="213"/>
  <c r="AG22" i="213"/>
  <c r="AE20" i="213"/>
  <c r="AF17" i="213"/>
  <c r="AG14" i="213"/>
  <c r="AE12" i="213"/>
  <c r="AF9" i="213"/>
  <c r="AG6" i="213"/>
  <c r="AE4" i="213"/>
  <c r="AF1" i="213"/>
  <c r="AE25" i="213"/>
  <c r="AF22" i="213"/>
  <c r="AG19" i="213"/>
  <c r="AE17" i="213"/>
  <c r="AF14" i="213"/>
  <c r="AG11" i="213"/>
  <c r="AE9" i="213"/>
  <c r="AF6" i="213"/>
  <c r="AG3" i="213"/>
  <c r="AE1" i="213"/>
  <c r="AE24" i="213"/>
  <c r="AF21" i="213"/>
  <c r="AG18" i="213"/>
  <c r="AE16" i="213"/>
  <c r="AF13" i="213"/>
  <c r="AG10" i="213"/>
  <c r="AE8" i="213"/>
  <c r="AF5" i="213"/>
  <c r="AG2" i="213"/>
  <c r="AE6" i="213"/>
  <c r="AF11" i="213"/>
  <c r="AG16" i="213"/>
  <c r="AE22" i="213"/>
  <c r="P25" i="214"/>
  <c r="P21" i="214"/>
  <c r="P17" i="214"/>
  <c r="P24" i="214"/>
  <c r="P20" i="214"/>
  <c r="Q23" i="214"/>
  <c r="Q19" i="214"/>
  <c r="P26" i="214"/>
  <c r="P22" i="214"/>
  <c r="P18" i="214"/>
  <c r="Q24" i="214"/>
  <c r="AO19" i="215"/>
  <c r="U3" i="210"/>
  <c r="T6" i="210"/>
  <c r="T9" i="210"/>
  <c r="H18" i="210"/>
  <c r="V17" i="211"/>
  <c r="W14" i="211"/>
  <c r="U12" i="211"/>
  <c r="V9" i="211"/>
  <c r="W6" i="211"/>
  <c r="U4" i="211"/>
  <c r="V1" i="211"/>
  <c r="W3" i="211"/>
  <c r="U7" i="211"/>
  <c r="U10" i="211"/>
  <c r="U13" i="211"/>
  <c r="U16" i="211"/>
  <c r="U2" i="212"/>
  <c r="V5" i="212"/>
  <c r="U9" i="212"/>
  <c r="T13" i="212"/>
  <c r="U16" i="212"/>
  <c r="AF2" i="213"/>
  <c r="AG7" i="213"/>
  <c r="AE13" i="213"/>
  <c r="AF18" i="213"/>
  <c r="AG23" i="213"/>
  <c r="X18" i="213"/>
  <c r="X17" i="213"/>
  <c r="W17" i="213"/>
  <c r="Q18" i="214"/>
  <c r="Q26" i="214"/>
  <c r="R27" i="28"/>
  <c r="S28" i="28"/>
  <c r="T29" i="28"/>
  <c r="U30" i="28"/>
  <c r="V31" i="28"/>
  <c r="W32" i="28"/>
  <c r="U5" i="29"/>
  <c r="W6" i="29"/>
  <c r="Y7" i="29"/>
  <c r="U9" i="29"/>
  <c r="L12" i="29"/>
  <c r="N13" i="29"/>
  <c r="J15" i="29"/>
  <c r="L16" i="29"/>
  <c r="N17" i="29"/>
  <c r="Y12" i="29"/>
  <c r="U14" i="29"/>
  <c r="W15" i="29"/>
  <c r="Y16" i="29"/>
  <c r="N12" i="29"/>
  <c r="J14" i="29"/>
  <c r="L15" i="29"/>
  <c r="N16" i="29"/>
  <c r="U13" i="29"/>
  <c r="W14" i="29"/>
  <c r="Y15" i="29"/>
  <c r="U17" i="29"/>
  <c r="T26" i="28"/>
  <c r="U27" i="28"/>
  <c r="V28" i="28"/>
  <c r="W29" i="28"/>
  <c r="X30" i="28"/>
  <c r="R32" i="28"/>
  <c r="K5" i="29"/>
  <c r="M6" i="29"/>
  <c r="O7" i="29"/>
  <c r="K9" i="29"/>
  <c r="V4" i="29"/>
  <c r="X5" i="29"/>
  <c r="T7" i="29"/>
  <c r="V8" i="29"/>
  <c r="X9" i="29"/>
  <c r="O12" i="29"/>
  <c r="K14" i="29"/>
  <c r="M15" i="29"/>
  <c r="O16" i="29"/>
  <c r="T12" i="29"/>
  <c r="V13" i="29"/>
  <c r="X14" i="29"/>
  <c r="T16" i="29"/>
  <c r="V17" i="29"/>
  <c r="AW2" i="215"/>
  <c r="AW4" i="215"/>
  <c r="AW6" i="215"/>
  <c r="AW8" i="215"/>
  <c r="AW10" i="215"/>
  <c r="AW12" i="215"/>
  <c r="AW14" i="215"/>
  <c r="AW16" i="215"/>
  <c r="AW18" i="215"/>
  <c r="AW20" i="215"/>
  <c r="AW22" i="215"/>
  <c r="AW24" i="215"/>
  <c r="Y17" i="215"/>
  <c r="Z12" i="215" s="1"/>
  <c r="U26" i="28"/>
  <c r="V27" i="28"/>
  <c r="W28" i="28"/>
  <c r="X29" i="28"/>
  <c r="R31" i="28"/>
  <c r="S32" i="28"/>
  <c r="J4" i="29"/>
  <c r="L5" i="29"/>
  <c r="N6" i="29"/>
  <c r="J8" i="29"/>
  <c r="L9" i="29"/>
  <c r="W4" i="29"/>
  <c r="Y5" i="29"/>
  <c r="U7" i="29"/>
  <c r="W8" i="29"/>
  <c r="Y9" i="29"/>
  <c r="J13" i="29"/>
  <c r="L14" i="29"/>
  <c r="N15" i="29"/>
  <c r="J17" i="29"/>
  <c r="U12" i="29"/>
  <c r="W13" i="29"/>
  <c r="Y14" i="29"/>
  <c r="U16" i="29"/>
  <c r="W17" i="29"/>
  <c r="K13" i="29"/>
  <c r="M14" i="29"/>
  <c r="O15" i="29"/>
  <c r="K17" i="29"/>
  <c r="AY2" i="215"/>
  <c r="AY4" i="215"/>
  <c r="AY6" i="215"/>
  <c r="AY8" i="215"/>
  <c r="AY10" i="215"/>
  <c r="AY12" i="215"/>
  <c r="AY14" i="215"/>
  <c r="AY16" i="215"/>
  <c r="AY18" i="215"/>
  <c r="AY20" i="215"/>
  <c r="AY22" i="215"/>
  <c r="W26" i="28"/>
  <c r="X27" i="28"/>
  <c r="R29" i="28"/>
  <c r="S30" i="28"/>
  <c r="T31" i="28"/>
  <c r="L4" i="29"/>
  <c r="N5" i="29"/>
  <c r="J7" i="29"/>
  <c r="L8" i="29"/>
  <c r="Y4" i="29"/>
  <c r="U6" i="29"/>
  <c r="W7" i="29"/>
  <c r="J12" i="29"/>
  <c r="L13" i="29"/>
  <c r="N14" i="29"/>
  <c r="J16" i="29"/>
  <c r="W12" i="29"/>
  <c r="Y13" i="29"/>
  <c r="U15" i="29"/>
  <c r="W16" i="29"/>
  <c r="G7" i="218"/>
  <c r="J8" i="218" s="1"/>
  <c r="H7" i="218"/>
  <c r="I6" i="217"/>
  <c r="I9" i="217"/>
  <c r="H9" i="217"/>
  <c r="D9" i="216"/>
  <c r="A8" i="216"/>
  <c r="I8" i="216"/>
  <c r="F7" i="216"/>
  <c r="D8" i="216"/>
  <c r="G8" i="218" l="1"/>
  <c r="G9" i="217"/>
  <c r="J10" i="217" s="1"/>
  <c r="G7" i="216"/>
  <c r="H8" i="216" s="1"/>
  <c r="D10" i="216"/>
  <c r="A9" i="216"/>
  <c r="J9" i="218" l="1"/>
  <c r="H8" i="218"/>
  <c r="G9" i="218"/>
  <c r="I8" i="218"/>
  <c r="K11" i="217"/>
  <c r="G10" i="217"/>
  <c r="K8" i="216"/>
  <c r="J8" i="216"/>
  <c r="I9" i="216"/>
  <c r="A10" i="216"/>
  <c r="D11" i="216"/>
  <c r="F8" i="216"/>
  <c r="H9" i="218" l="1"/>
  <c r="J10" i="218" s="1"/>
  <c r="G10" i="218"/>
  <c r="I9" i="218"/>
  <c r="H10" i="217"/>
  <c r="J11" i="217" s="1"/>
  <c r="I10" i="217"/>
  <c r="A11" i="216"/>
  <c r="D12" i="216"/>
  <c r="G8" i="216"/>
  <c r="H9" i="216" s="1"/>
  <c r="H10" i="218" l="1"/>
  <c r="J11" i="218" s="1"/>
  <c r="I10" i="218"/>
  <c r="M11" i="217"/>
  <c r="L11" i="217"/>
  <c r="K12" i="217"/>
  <c r="G11" i="217"/>
  <c r="J9" i="216"/>
  <c r="K9" i="216"/>
  <c r="I10" i="216"/>
  <c r="D13" i="216"/>
  <c r="A12" i="216"/>
  <c r="F9" i="216"/>
  <c r="G11" i="218" l="1"/>
  <c r="H11" i="217"/>
  <c r="J12" i="217" s="1"/>
  <c r="I11" i="217"/>
  <c r="G9" i="216"/>
  <c r="H10" i="216" s="1"/>
  <c r="A13" i="216"/>
  <c r="D14" i="216"/>
  <c r="AN18" i="215"/>
  <c r="AN17" i="215" a="1"/>
  <c r="AN19" i="215" s="1"/>
  <c r="U11" i="215"/>
  <c r="O8" i="215"/>
  <c r="E25" i="214"/>
  <c r="E24" i="214"/>
  <c r="E23" i="214"/>
  <c r="E22" i="214"/>
  <c r="E21" i="214"/>
  <c r="E20" i="214"/>
  <c r="E19" i="214"/>
  <c r="E18" i="214"/>
  <c r="E17" i="214"/>
  <c r="E16" i="214"/>
  <c r="E15" i="214"/>
  <c r="Q14" i="214"/>
  <c r="E14" i="214"/>
  <c r="F13" i="214"/>
  <c r="E13" i="214"/>
  <c r="F12" i="214"/>
  <c r="E12" i="214"/>
  <c r="E11" i="214"/>
  <c r="F10" i="214"/>
  <c r="E10" i="214"/>
  <c r="F9" i="214"/>
  <c r="E9" i="214"/>
  <c r="P8" i="214"/>
  <c r="P14" i="214" s="1"/>
  <c r="F8" i="214"/>
  <c r="E8" i="214"/>
  <c r="E7" i="214"/>
  <c r="F6" i="214"/>
  <c r="E6" i="214"/>
  <c r="F5" i="214"/>
  <c r="E5" i="214"/>
  <c r="G4" i="214"/>
  <c r="F4" i="214"/>
  <c r="E4" i="214"/>
  <c r="G3" i="214"/>
  <c r="F3" i="214"/>
  <c r="E3" i="214"/>
  <c r="F2" i="214"/>
  <c r="E2" i="214"/>
  <c r="H1" i="214"/>
  <c r="H8" i="214" s="1"/>
  <c r="G1" i="214"/>
  <c r="F1" i="214"/>
  <c r="F24" i="214" s="1"/>
  <c r="I25" i="213"/>
  <c r="H25" i="213"/>
  <c r="G25" i="213"/>
  <c r="I24" i="213"/>
  <c r="H24" i="213"/>
  <c r="G24" i="213"/>
  <c r="I23" i="213"/>
  <c r="H23" i="213"/>
  <c r="G23" i="213"/>
  <c r="I22" i="213"/>
  <c r="H22" i="213"/>
  <c r="G22" i="213"/>
  <c r="I21" i="213"/>
  <c r="H21" i="213"/>
  <c r="G21" i="213"/>
  <c r="I20" i="213"/>
  <c r="H20" i="213"/>
  <c r="G20" i="213"/>
  <c r="I19" i="213"/>
  <c r="H19" i="213"/>
  <c r="G19" i="213"/>
  <c r="I18" i="213"/>
  <c r="H18" i="213"/>
  <c r="G18" i="213"/>
  <c r="V18" i="213"/>
  <c r="V17" i="213" a="1"/>
  <c r="V17" i="213" s="1"/>
  <c r="I17" i="213"/>
  <c r="H17" i="213"/>
  <c r="G17" i="213"/>
  <c r="I16" i="213"/>
  <c r="H16" i="213"/>
  <c r="G16" i="213"/>
  <c r="I15" i="213"/>
  <c r="H15" i="213"/>
  <c r="G15" i="213"/>
  <c r="I14" i="213"/>
  <c r="H14" i="213"/>
  <c r="G14" i="213"/>
  <c r="I13" i="213"/>
  <c r="H13" i="213"/>
  <c r="G13" i="213"/>
  <c r="I12" i="213"/>
  <c r="H12" i="213"/>
  <c r="G12" i="213"/>
  <c r="I11" i="213"/>
  <c r="H11" i="213"/>
  <c r="G11" i="213"/>
  <c r="I10" i="213"/>
  <c r="H10" i="213"/>
  <c r="G10" i="213"/>
  <c r="I9" i="213"/>
  <c r="H9" i="213"/>
  <c r="G9" i="213"/>
  <c r="I8" i="213"/>
  <c r="H8" i="213"/>
  <c r="G8" i="213"/>
  <c r="I7" i="213"/>
  <c r="H7" i="213"/>
  <c r="G7" i="213"/>
  <c r="I6" i="213"/>
  <c r="H6" i="213"/>
  <c r="G6" i="213"/>
  <c r="I5" i="213"/>
  <c r="H5" i="213"/>
  <c r="G5" i="213"/>
  <c r="K4" i="213"/>
  <c r="K5" i="213" s="1"/>
  <c r="K6" i="213" s="1"/>
  <c r="K7" i="213" s="1"/>
  <c r="K8" i="213" s="1"/>
  <c r="K9" i="213" s="1"/>
  <c r="I4" i="213"/>
  <c r="H4" i="213"/>
  <c r="G4" i="213"/>
  <c r="K3" i="213"/>
  <c r="I3" i="213"/>
  <c r="H3" i="213"/>
  <c r="G3" i="213"/>
  <c r="I2" i="213"/>
  <c r="H2" i="213"/>
  <c r="G2" i="213"/>
  <c r="R25" i="212"/>
  <c r="Q25" i="212"/>
  <c r="P25" i="212"/>
  <c r="R24" i="212"/>
  <c r="Q24" i="212"/>
  <c r="P24" i="212"/>
  <c r="R23" i="212"/>
  <c r="Q23" i="212"/>
  <c r="P23" i="212"/>
  <c r="R22" i="212"/>
  <c r="Q22" i="212"/>
  <c r="P22" i="212"/>
  <c r="R21" i="212"/>
  <c r="Q21" i="212"/>
  <c r="P21" i="212"/>
  <c r="R20" i="212"/>
  <c r="Q20" i="212"/>
  <c r="P20" i="212"/>
  <c r="R19" i="212"/>
  <c r="Q19" i="212"/>
  <c r="P19" i="212"/>
  <c r="R18" i="212"/>
  <c r="Q18" i="212"/>
  <c r="P18" i="212"/>
  <c r="G18" i="212"/>
  <c r="G18" i="212" a="1"/>
  <c r="G19" i="212" s="1"/>
  <c r="R17" i="212"/>
  <c r="Q17" i="212"/>
  <c r="P17" i="212"/>
  <c r="R16" i="212"/>
  <c r="Q16" i="212"/>
  <c r="P16" i="212"/>
  <c r="R15" i="212"/>
  <c r="Q15" i="212"/>
  <c r="P15" i="212"/>
  <c r="R14" i="212"/>
  <c r="Q14" i="212"/>
  <c r="P14" i="212"/>
  <c r="I14" i="212"/>
  <c r="R13" i="212"/>
  <c r="Q13" i="212"/>
  <c r="P13" i="212"/>
  <c r="R12" i="212"/>
  <c r="Q12" i="212"/>
  <c r="P12" i="212"/>
  <c r="H12" i="212"/>
  <c r="R11" i="212"/>
  <c r="Q11" i="212"/>
  <c r="P11" i="212"/>
  <c r="R10" i="212"/>
  <c r="Q10" i="212"/>
  <c r="P10" i="212"/>
  <c r="R9" i="212"/>
  <c r="Q9" i="212"/>
  <c r="P9" i="212"/>
  <c r="R8" i="212"/>
  <c r="Q8" i="212"/>
  <c r="P8" i="212"/>
  <c r="H8" i="212"/>
  <c r="R7" i="212"/>
  <c r="Q7" i="212"/>
  <c r="P7" i="212"/>
  <c r="R6" i="212"/>
  <c r="Q6" i="212"/>
  <c r="P6" i="212"/>
  <c r="R5" i="212"/>
  <c r="Q5" i="212"/>
  <c r="P5" i="212"/>
  <c r="R4" i="212"/>
  <c r="Q4" i="212"/>
  <c r="P4" i="212"/>
  <c r="R3" i="212"/>
  <c r="Q3" i="212"/>
  <c r="P3" i="212"/>
  <c r="R2" i="212"/>
  <c r="Q2" i="212"/>
  <c r="P2" i="212"/>
  <c r="G18" i="211"/>
  <c r="G18" i="211" a="1"/>
  <c r="G19" i="211" s="1"/>
  <c r="S17" i="211"/>
  <c r="R17" i="211"/>
  <c r="Q17" i="211"/>
  <c r="P17" i="211"/>
  <c r="S16" i="211"/>
  <c r="R16" i="211"/>
  <c r="Q16" i="211"/>
  <c r="P16" i="211"/>
  <c r="S15" i="211"/>
  <c r="R15" i="211"/>
  <c r="Q15" i="211"/>
  <c r="P15" i="211"/>
  <c r="S14" i="211"/>
  <c r="R14" i="211"/>
  <c r="Q14" i="211"/>
  <c r="P14" i="211"/>
  <c r="I14" i="211"/>
  <c r="S13" i="211"/>
  <c r="R13" i="211"/>
  <c r="Q13" i="211"/>
  <c r="P13" i="211"/>
  <c r="S12" i="211"/>
  <c r="R12" i="211"/>
  <c r="Q12" i="211"/>
  <c r="P12" i="211"/>
  <c r="H12" i="211"/>
  <c r="S11" i="211"/>
  <c r="R11" i="211"/>
  <c r="Q11" i="211"/>
  <c r="P11" i="211"/>
  <c r="S10" i="211"/>
  <c r="R10" i="211"/>
  <c r="Q10" i="211"/>
  <c r="P10" i="211"/>
  <c r="S9" i="211"/>
  <c r="R9" i="211"/>
  <c r="Q9" i="211"/>
  <c r="P9" i="211"/>
  <c r="S8" i="211"/>
  <c r="R8" i="211"/>
  <c r="Q8" i="211"/>
  <c r="P8" i="211"/>
  <c r="H8" i="211"/>
  <c r="H14" i="211" s="1"/>
  <c r="S7" i="211"/>
  <c r="R7" i="211"/>
  <c r="Q7" i="211"/>
  <c r="P7" i="211"/>
  <c r="S6" i="211"/>
  <c r="R6" i="211"/>
  <c r="Q6" i="211"/>
  <c r="P6" i="211"/>
  <c r="S5" i="211"/>
  <c r="R5" i="211"/>
  <c r="Q5" i="211"/>
  <c r="P5" i="211"/>
  <c r="S4" i="211"/>
  <c r="R4" i="211"/>
  <c r="Q4" i="211"/>
  <c r="P4" i="211"/>
  <c r="S3" i="211"/>
  <c r="R3" i="211"/>
  <c r="Q3" i="211"/>
  <c r="P3" i="211"/>
  <c r="P2" i="211"/>
  <c r="B2" i="211"/>
  <c r="S2" i="211" s="1"/>
  <c r="G18" i="210"/>
  <c r="G18" i="210" a="1"/>
  <c r="G19" i="210" s="1"/>
  <c r="R17" i="210"/>
  <c r="Q17" i="210"/>
  <c r="P17" i="210"/>
  <c r="R16" i="210"/>
  <c r="Q16" i="210"/>
  <c r="P16" i="210"/>
  <c r="R15" i="210"/>
  <c r="Q15" i="210"/>
  <c r="P15" i="210"/>
  <c r="R14" i="210"/>
  <c r="Q14" i="210"/>
  <c r="P14" i="210"/>
  <c r="I14" i="210"/>
  <c r="R13" i="210"/>
  <c r="Q13" i="210"/>
  <c r="P13" i="210"/>
  <c r="R12" i="210"/>
  <c r="Q12" i="210"/>
  <c r="P12" i="210"/>
  <c r="H12" i="210"/>
  <c r="R11" i="210"/>
  <c r="Q11" i="210"/>
  <c r="P11" i="210"/>
  <c r="R10" i="210"/>
  <c r="Q10" i="210"/>
  <c r="P10" i="210"/>
  <c r="R9" i="210"/>
  <c r="Q9" i="210"/>
  <c r="P9" i="210"/>
  <c r="R8" i="210"/>
  <c r="Q8" i="210"/>
  <c r="P8" i="210"/>
  <c r="H8" i="210"/>
  <c r="H14" i="210" s="1"/>
  <c r="H13" i="210" s="1"/>
  <c r="R7" i="210"/>
  <c r="Q7" i="210"/>
  <c r="P7" i="210"/>
  <c r="R6" i="210"/>
  <c r="Q6" i="210"/>
  <c r="P6" i="210"/>
  <c r="R5" i="210"/>
  <c r="Q5" i="210"/>
  <c r="P5" i="210"/>
  <c r="R4" i="210"/>
  <c r="Q4" i="210"/>
  <c r="P4" i="210"/>
  <c r="R3" i="210"/>
  <c r="Q3" i="210"/>
  <c r="P3" i="210"/>
  <c r="R2" i="210"/>
  <c r="Q2" i="210"/>
  <c r="P2" i="210"/>
  <c r="S18" i="209" a="1"/>
  <c r="S18" i="209" s="1"/>
  <c r="U14" i="209"/>
  <c r="T12" i="209"/>
  <c r="T8" i="209"/>
  <c r="T14" i="209" s="1"/>
  <c r="T13" i="209" s="1"/>
  <c r="E22" i="205"/>
  <c r="E21" i="205"/>
  <c r="E20" i="205"/>
  <c r="E19" i="205"/>
  <c r="E18" i="205"/>
  <c r="E17" i="205"/>
  <c r="E16" i="205"/>
  <c r="E15" i="205"/>
  <c r="E14" i="205"/>
  <c r="E13" i="205"/>
  <c r="E12" i="205"/>
  <c r="E11" i="205"/>
  <c r="E10" i="205"/>
  <c r="E9" i="205"/>
  <c r="F8" i="205"/>
  <c r="F9" i="205" s="1"/>
  <c r="E8" i="205"/>
  <c r="D8" i="205"/>
  <c r="E7" i="205"/>
  <c r="D7" i="205"/>
  <c r="A5" i="205"/>
  <c r="D9" i="205" s="1"/>
  <c r="H11" i="218" l="1"/>
  <c r="J12" i="218" s="1"/>
  <c r="I11" i="218"/>
  <c r="G12" i="218"/>
  <c r="L12" i="217"/>
  <c r="M12" i="217"/>
  <c r="K13" i="217"/>
  <c r="G12" i="217"/>
  <c r="K10" i="216"/>
  <c r="J10" i="216"/>
  <c r="I11" i="216"/>
  <c r="D15" i="216"/>
  <c r="A14" i="216"/>
  <c r="F10" i="216"/>
  <c r="K18" i="209" a="1"/>
  <c r="K18" i="209" s="1"/>
  <c r="R25" i="213" a="1"/>
  <c r="R25" i="213" s="1"/>
  <c r="S23" i="213" a="1"/>
  <c r="S23" i="213" s="1"/>
  <c r="T21" i="213" a="1"/>
  <c r="T21" i="213" s="1"/>
  <c r="T16" i="213" a="1"/>
  <c r="T16" i="213" s="1"/>
  <c r="S13" i="213" a="1"/>
  <c r="S13" i="213" s="1"/>
  <c r="R11" i="213" a="1"/>
  <c r="R11" i="213" s="1"/>
  <c r="T9" i="213" a="1"/>
  <c r="T9" i="213" s="1"/>
  <c r="R8" i="213" a="1"/>
  <c r="R8" i="213" s="1"/>
  <c r="T7" i="213" a="1"/>
  <c r="T7" i="213" s="1"/>
  <c r="S6" i="213" a="1"/>
  <c r="S6" i="213" s="1"/>
  <c r="R5" i="213" a="1"/>
  <c r="R5" i="213" s="1"/>
  <c r="S2" i="213" a="1"/>
  <c r="S2" i="213" s="1"/>
  <c r="R24" i="213" a="1"/>
  <c r="R24" i="213" s="1"/>
  <c r="S22" i="213" a="1"/>
  <c r="S22" i="213" s="1"/>
  <c r="T20" i="213" a="1"/>
  <c r="T20" i="213" s="1"/>
  <c r="S18" i="213" a="1"/>
  <c r="S18" i="213" s="1"/>
  <c r="S17" i="213" a="1"/>
  <c r="S17" i="213" s="1"/>
  <c r="S14" i="213" a="1"/>
  <c r="S14" i="213" s="1"/>
  <c r="S10" i="213" a="1"/>
  <c r="S10" i="213" s="1"/>
  <c r="R23" i="213" a="1"/>
  <c r="R23" i="213" s="1"/>
  <c r="S21" i="213" a="1"/>
  <c r="S21" i="213" s="1"/>
  <c r="T19" i="213" a="1"/>
  <c r="T19" i="213" s="1"/>
  <c r="S16" i="213" a="1"/>
  <c r="S16" i="213" s="1"/>
  <c r="T15" i="213" a="1"/>
  <c r="T15" i="213" s="1"/>
  <c r="R13" i="213" a="1"/>
  <c r="R13" i="213" s="1"/>
  <c r="S9" i="213" a="1"/>
  <c r="S9" i="213" s="1"/>
  <c r="S7" i="213" a="1"/>
  <c r="S7" i="213" s="1"/>
  <c r="R6" i="213" a="1"/>
  <c r="R6" i="213" s="1"/>
  <c r="T4" i="213" a="1"/>
  <c r="T4" i="213" s="1"/>
  <c r="R22" i="213" a="1"/>
  <c r="R22" i="213" s="1"/>
  <c r="S20" i="213" a="1"/>
  <c r="S20" i="213" s="1"/>
  <c r="R18" i="213" a="1"/>
  <c r="R18" i="213" s="1"/>
  <c r="R17" i="213" a="1"/>
  <c r="R17" i="213" s="1"/>
  <c r="R14" i="213" a="1"/>
  <c r="R14" i="213" s="1"/>
  <c r="T12" i="213" a="1"/>
  <c r="T12" i="213" s="1"/>
  <c r="R10" i="213" a="1"/>
  <c r="R10" i="213" s="1"/>
  <c r="T25" i="213" a="1"/>
  <c r="T25" i="213" s="1"/>
  <c r="R21" i="213" a="1"/>
  <c r="R21" i="213" s="1"/>
  <c r="S19" i="213" a="1"/>
  <c r="S19" i="213" s="1"/>
  <c r="R16" i="213" a="1"/>
  <c r="R16" i="213" s="1"/>
  <c r="S15" i="213" a="1"/>
  <c r="S15" i="213" s="1"/>
  <c r="T11" i="213" a="1"/>
  <c r="T11" i="213" s="1"/>
  <c r="R9" i="213" a="1"/>
  <c r="R9" i="213" s="1"/>
  <c r="T8" i="213" a="1"/>
  <c r="T8" i="213" s="1"/>
  <c r="R7" i="213" a="1"/>
  <c r="R7" i="213" s="1"/>
  <c r="T5" i="213" a="1"/>
  <c r="T5" i="213" s="1"/>
  <c r="S4" i="213" a="1"/>
  <c r="S4" i="213" s="1"/>
  <c r="T3" i="213" a="1"/>
  <c r="T3" i="213" s="1"/>
  <c r="T24" i="213" a="1"/>
  <c r="T24" i="213" s="1"/>
  <c r="R20" i="213" a="1"/>
  <c r="R20" i="213" s="1"/>
  <c r="S12" i="213" a="1"/>
  <c r="S12" i="213" s="1"/>
  <c r="S25" i="213" a="1"/>
  <c r="S25" i="213" s="1"/>
  <c r="T23" i="213" a="1"/>
  <c r="T23" i="213" s="1"/>
  <c r="R19" i="213" a="1"/>
  <c r="R19" i="213" s="1"/>
  <c r="R15" i="213" a="1"/>
  <c r="R15" i="213" s="1"/>
  <c r="T13" i="213" a="1"/>
  <c r="T13" i="213" s="1"/>
  <c r="S11" i="213" a="1"/>
  <c r="S11" i="213" s="1"/>
  <c r="S8" i="213" a="1"/>
  <c r="S8" i="213" s="1"/>
  <c r="T6" i="213" a="1"/>
  <c r="T6" i="213" s="1"/>
  <c r="S5" i="213" a="1"/>
  <c r="S5" i="213" s="1"/>
  <c r="S3" i="213" a="1"/>
  <c r="S3" i="213" s="1"/>
  <c r="T2" i="213" a="1"/>
  <c r="T2" i="213" s="1"/>
  <c r="S24" i="213" a="1"/>
  <c r="S24" i="213" s="1"/>
  <c r="T22" i="213" a="1"/>
  <c r="T22" i="213" s="1"/>
  <c r="T18" i="213" a="1"/>
  <c r="T18" i="213" s="1"/>
  <c r="T17" i="213" a="1"/>
  <c r="T17" i="213" s="1"/>
  <c r="T14" i="213" a="1"/>
  <c r="T14" i="213" s="1"/>
  <c r="R12" i="213" a="1"/>
  <c r="R12" i="213" s="1"/>
  <c r="T10" i="213" a="1"/>
  <c r="T10" i="213" s="1"/>
  <c r="L12" i="215"/>
  <c r="K17" i="215" a="1"/>
  <c r="M14" i="215"/>
  <c r="Z14" i="215"/>
  <c r="X18" i="215" a="1"/>
  <c r="Y12" i="215"/>
  <c r="Y8" i="215"/>
  <c r="H13" i="211"/>
  <c r="Q2" i="211"/>
  <c r="R2" i="211"/>
  <c r="H14" i="212"/>
  <c r="H13" i="212" s="1"/>
  <c r="G6" i="214"/>
  <c r="G25" i="214"/>
  <c r="G23" i="214"/>
  <c r="G21" i="214"/>
  <c r="G19" i="214"/>
  <c r="G17" i="214"/>
  <c r="G16" i="214"/>
  <c r="G15" i="214"/>
  <c r="G24" i="214"/>
  <c r="G22" i="214"/>
  <c r="G20" i="214"/>
  <c r="G7" i="214"/>
  <c r="G11" i="214"/>
  <c r="F20" i="214"/>
  <c r="H25" i="214"/>
  <c r="H23" i="214"/>
  <c r="H21" i="214"/>
  <c r="H19" i="214"/>
  <c r="H17" i="214"/>
  <c r="H16" i="214"/>
  <c r="H15" i="214"/>
  <c r="H14" i="214"/>
  <c r="H24" i="214"/>
  <c r="H22" i="214"/>
  <c r="H20" i="214"/>
  <c r="H18" i="214"/>
  <c r="H7" i="214"/>
  <c r="H11" i="214"/>
  <c r="I1" i="214"/>
  <c r="G2" i="214"/>
  <c r="H2" i="214"/>
  <c r="G10" i="214"/>
  <c r="G14" i="214"/>
  <c r="H10" i="214"/>
  <c r="L8" i="215"/>
  <c r="H3" i="214"/>
  <c r="H4" i="214"/>
  <c r="G12" i="214"/>
  <c r="G13" i="214"/>
  <c r="G5" i="214"/>
  <c r="G9" i="214"/>
  <c r="H12" i="214"/>
  <c r="H13" i="214"/>
  <c r="F18" i="214"/>
  <c r="F25" i="214"/>
  <c r="F23" i="214"/>
  <c r="F21" i="214"/>
  <c r="F19" i="214"/>
  <c r="F17" i="214"/>
  <c r="F16" i="214"/>
  <c r="F15" i="214"/>
  <c r="F14" i="214"/>
  <c r="H5" i="214"/>
  <c r="H6" i="214"/>
  <c r="F7" i="214"/>
  <c r="G8" i="214"/>
  <c r="H9" i="214"/>
  <c r="F11" i="214"/>
  <c r="G18" i="214"/>
  <c r="F22" i="214"/>
  <c r="AN17" i="215"/>
  <c r="G10" i="205"/>
  <c r="F10" i="205"/>
  <c r="A6" i="205"/>
  <c r="T24" i="3"/>
  <c r="S24" i="3"/>
  <c r="R24" i="3"/>
  <c r="T12" i="3"/>
  <c r="V12" i="3" s="1"/>
  <c r="T13" i="3"/>
  <c r="V13" i="3" s="1"/>
  <c r="U13" i="3"/>
  <c r="T14" i="3"/>
  <c r="U14" i="3"/>
  <c r="V14" i="3"/>
  <c r="T15" i="3"/>
  <c r="V15" i="3" s="1"/>
  <c r="T16" i="3"/>
  <c r="U16" i="3" s="1"/>
  <c r="T17" i="3"/>
  <c r="U17" i="3"/>
  <c r="V17" i="3"/>
  <c r="T18" i="3"/>
  <c r="U18" i="3" s="1"/>
  <c r="T19" i="3"/>
  <c r="U19" i="3" s="1"/>
  <c r="V19" i="3"/>
  <c r="T20" i="3"/>
  <c r="U20" i="3" s="1"/>
  <c r="V20" i="3"/>
  <c r="T21" i="3"/>
  <c r="U21" i="3"/>
  <c r="V21" i="3"/>
  <c r="V11" i="3"/>
  <c r="U11" i="3"/>
  <c r="T11" i="3"/>
  <c r="S10" i="3"/>
  <c r="S11" i="3"/>
  <c r="S12" i="3"/>
  <c r="S13" i="3"/>
  <c r="S14" i="3"/>
  <c r="S15" i="3"/>
  <c r="S16" i="3"/>
  <c r="S17" i="3"/>
  <c r="S18" i="3"/>
  <c r="S19" i="3"/>
  <c r="S20" i="3"/>
  <c r="S21" i="3"/>
  <c r="S9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6" i="3"/>
  <c r="R5" i="3"/>
  <c r="Q5" i="3"/>
  <c r="H21" i="62"/>
  <c r="F10" i="62"/>
  <c r="F17" i="62"/>
  <c r="F18" i="62"/>
  <c r="E7" i="62"/>
  <c r="E8" i="62"/>
  <c r="F11" i="62" s="1"/>
  <c r="E9" i="62"/>
  <c r="E10" i="62"/>
  <c r="F13" i="62" s="1"/>
  <c r="E11" i="62"/>
  <c r="F14" i="62" s="1"/>
  <c r="E12" i="62"/>
  <c r="F15" i="62" s="1"/>
  <c r="E13" i="62"/>
  <c r="E14" i="62"/>
  <c r="E15" i="62"/>
  <c r="E16" i="62"/>
  <c r="F19" i="62" s="1"/>
  <c r="E17" i="62"/>
  <c r="E18" i="62"/>
  <c r="F21" i="62" s="1"/>
  <c r="E19" i="62"/>
  <c r="E20" i="62"/>
  <c r="E6" i="62"/>
  <c r="F9" i="62" s="1"/>
  <c r="D6" i="62"/>
  <c r="E5" i="62"/>
  <c r="D5" i="62"/>
  <c r="H12" i="218" l="1"/>
  <c r="J13" i="218" s="1"/>
  <c r="I12" i="218"/>
  <c r="G13" i="218"/>
  <c r="H12" i="217"/>
  <c r="I12" i="217"/>
  <c r="J13" i="217"/>
  <c r="G13" i="217"/>
  <c r="G10" i="216"/>
  <c r="H11" i="216" s="1"/>
  <c r="F11" i="216"/>
  <c r="D16" i="216"/>
  <c r="A15" i="216"/>
  <c r="X17" i="212" a="1"/>
  <c r="AI17" i="213" a="1"/>
  <c r="X17" i="210" a="1"/>
  <c r="X17" i="210" s="1"/>
  <c r="BA17" i="215" a="1"/>
  <c r="AW12" i="211"/>
  <c r="AW14" i="211"/>
  <c r="AV12" i="211"/>
  <c r="AU17" i="211" a="1"/>
  <c r="AV8" i="211"/>
  <c r="Z12" i="211"/>
  <c r="AJ12" i="211"/>
  <c r="AI12" i="211"/>
  <c r="K18" i="215"/>
  <c r="K17" i="215"/>
  <c r="Y12" i="212"/>
  <c r="Z12" i="212"/>
  <c r="M17" i="211"/>
  <c r="L17" i="211"/>
  <c r="J17" i="211"/>
  <c r="K17" i="211" s="1"/>
  <c r="N18" i="215"/>
  <c r="Z12" i="210"/>
  <c r="Y12" i="210"/>
  <c r="BB8" i="215"/>
  <c r="BC14" i="215"/>
  <c r="AL24" i="215" a="1"/>
  <c r="AL24" i="215" s="1"/>
  <c r="AK22" i="215" a="1"/>
  <c r="AK22" i="215" s="1"/>
  <c r="AJ20" i="215" a="1"/>
  <c r="AJ20" i="215" s="1"/>
  <c r="AJ14" i="215" a="1"/>
  <c r="AJ14" i="215" s="1"/>
  <c r="AK13" i="215" a="1"/>
  <c r="AK13" i="215" s="1"/>
  <c r="AL12" i="215" a="1"/>
  <c r="AL12" i="215" s="1"/>
  <c r="AJ11" i="215" a="1"/>
  <c r="AJ11" i="215" s="1"/>
  <c r="AJ10" i="215" a="1"/>
  <c r="AJ10" i="215" s="1"/>
  <c r="AK8" i="215" a="1"/>
  <c r="AK8" i="215" s="1"/>
  <c r="AK5" i="215" a="1"/>
  <c r="AK5" i="215" s="1"/>
  <c r="AL3" i="215" a="1"/>
  <c r="AL3" i="215" s="1"/>
  <c r="AL25" i="215" a="1"/>
  <c r="AL25" i="215" s="1"/>
  <c r="AK23" i="215" a="1"/>
  <c r="AK23" i="215" s="1"/>
  <c r="AJ21" i="215" a="1"/>
  <c r="AJ21" i="215" s="1"/>
  <c r="AK18" i="215" a="1"/>
  <c r="AK18" i="215" s="1"/>
  <c r="AL17" i="215" a="1"/>
  <c r="AL17" i="215" s="1"/>
  <c r="AL15" i="215" a="1"/>
  <c r="AL15" i="215" s="1"/>
  <c r="AK6" i="215" a="1"/>
  <c r="AK6" i="215" s="1"/>
  <c r="AJ4" i="215" a="1"/>
  <c r="AJ4" i="215" s="1"/>
  <c r="AK2" i="215" a="1"/>
  <c r="AK2" i="215" s="1"/>
  <c r="AK24" i="215" a="1"/>
  <c r="AK24" i="215" s="1"/>
  <c r="AJ22" i="215" a="1"/>
  <c r="AJ22" i="215" s="1"/>
  <c r="AL16" i="215" a="1"/>
  <c r="AL16" i="215" s="1"/>
  <c r="AJ13" i="215" a="1"/>
  <c r="AJ13" i="215" s="1"/>
  <c r="AK12" i="215" a="1"/>
  <c r="AK12" i="215" s="1"/>
  <c r="AJ8" i="215" a="1"/>
  <c r="AJ8" i="215" s="1"/>
  <c r="AL7" i="215" a="1"/>
  <c r="AL7" i="215" s="1"/>
  <c r="AJ5" i="215" a="1"/>
  <c r="AJ5" i="215" s="1"/>
  <c r="AK3" i="215" a="1"/>
  <c r="AK3" i="215" s="1"/>
  <c r="AK25" i="215" a="1"/>
  <c r="AK25" i="215" s="1"/>
  <c r="AJ23" i="215" a="1"/>
  <c r="AJ23" i="215" s="1"/>
  <c r="AL19" i="215" a="1"/>
  <c r="AL19" i="215" s="1"/>
  <c r="AJ18" i="215" a="1"/>
  <c r="AJ18" i="215" s="1"/>
  <c r="AK17" i="215" a="1"/>
  <c r="AK17" i="215" s="1"/>
  <c r="AK15" i="215" a="1"/>
  <c r="AK15" i="215" s="1"/>
  <c r="AL9" i="215" a="1"/>
  <c r="AL9" i="215" s="1"/>
  <c r="AR8" i="215"/>
  <c r="AJ6" i="215" a="1"/>
  <c r="AJ6" i="215" s="1"/>
  <c r="AJ2" i="215" a="1"/>
  <c r="AJ2" i="215" s="1"/>
  <c r="AJ24" i="215" a="1"/>
  <c r="AJ24" i="215" s="1"/>
  <c r="AL20" i="215" a="1"/>
  <c r="AL20" i="215" s="1"/>
  <c r="AK16" i="215" a="1"/>
  <c r="AK16" i="215" s="1"/>
  <c r="AL14" i="215" a="1"/>
  <c r="AL14" i="215" s="1"/>
  <c r="AJ12" i="215" a="1"/>
  <c r="AJ12" i="215" s="1"/>
  <c r="AL11" i="215" a="1"/>
  <c r="AL11" i="215" s="1"/>
  <c r="AL10" i="215" a="1"/>
  <c r="AL10" i="215" s="1"/>
  <c r="AK7" i="215" a="1"/>
  <c r="AK7" i="215" s="1"/>
  <c r="AJ3" i="215" a="1"/>
  <c r="AJ3" i="215" s="1"/>
  <c r="AI2" i="215"/>
  <c r="AL22" i="215" a="1"/>
  <c r="AL22" i="215" s="1"/>
  <c r="AK20" i="215" a="1"/>
  <c r="AK20" i="215" s="1"/>
  <c r="AJ16" i="215" a="1"/>
  <c r="AJ16" i="215" s="1"/>
  <c r="AK14" i="215" a="1"/>
  <c r="AK14" i="215" s="1"/>
  <c r="AL13" i="215" a="1"/>
  <c r="AL13" i="215" s="1"/>
  <c r="AK11" i="215" a="1"/>
  <c r="AK11" i="215" s="1"/>
  <c r="AK10" i="215" a="1"/>
  <c r="AK10" i="215" s="1"/>
  <c r="AL8" i="215" a="1"/>
  <c r="AL8" i="215" s="1"/>
  <c r="AJ7" i="215" a="1"/>
  <c r="AJ7" i="215" s="1"/>
  <c r="AL5" i="215" a="1"/>
  <c r="AL5" i="215" s="1"/>
  <c r="AL23" i="215" a="1"/>
  <c r="AL23" i="215" s="1"/>
  <c r="AK21" i="215" a="1"/>
  <c r="AK21" i="215" s="1"/>
  <c r="AJ19" i="215" a="1"/>
  <c r="AJ19" i="215" s="1"/>
  <c r="AL18" i="215" a="1"/>
  <c r="AL18" i="215" s="1"/>
  <c r="AJ9" i="215" a="1"/>
  <c r="AJ9" i="215" s="1"/>
  <c r="AL6" i="215" a="1"/>
  <c r="AL6" i="215" s="1"/>
  <c r="AK4" i="215" a="1"/>
  <c r="AK4" i="215" s="1"/>
  <c r="AL2" i="215" a="1"/>
  <c r="AL2" i="215" s="1"/>
  <c r="AJ25" i="215" a="1"/>
  <c r="AJ25" i="215" s="1"/>
  <c r="AJ17" i="215" a="1"/>
  <c r="AJ17" i="215" s="1"/>
  <c r="AK9" i="215" a="1"/>
  <c r="AK9" i="215" s="1"/>
  <c r="AL4" i="215" a="1"/>
  <c r="AL4" i="215" s="1"/>
  <c r="AL21" i="215" a="1"/>
  <c r="AL21" i="215" s="1"/>
  <c r="AJ15" i="215" a="1"/>
  <c r="AJ15" i="215" s="1"/>
  <c r="AK19" i="215" a="1"/>
  <c r="AK19" i="215" s="1"/>
  <c r="AJ12" i="213"/>
  <c r="V18" i="209"/>
  <c r="W18" i="209" s="1"/>
  <c r="Y18" i="209"/>
  <c r="X18" i="209"/>
  <c r="X18" i="212"/>
  <c r="X17" i="212"/>
  <c r="M19" i="210"/>
  <c r="L19" i="210"/>
  <c r="J19" i="210"/>
  <c r="K19" i="210" s="1"/>
  <c r="AK17" i="212" a="1"/>
  <c r="AT17" i="212" a="1"/>
  <c r="Y14" i="215"/>
  <c r="Y13" i="215" s="1"/>
  <c r="AC18" i="215" s="1"/>
  <c r="L12" i="209"/>
  <c r="AL12" i="212"/>
  <c r="AV12" i="212"/>
  <c r="AU12" i="212"/>
  <c r="M18" i="211"/>
  <c r="L18" i="211"/>
  <c r="J18" i="211"/>
  <c r="K18" i="211" s="1"/>
  <c r="AH17" i="211" a="1"/>
  <c r="Y17" i="211" a="1"/>
  <c r="AJ8" i="213"/>
  <c r="AK14" i="213"/>
  <c r="W8" i="213"/>
  <c r="X14" i="213"/>
  <c r="M19" i="212"/>
  <c r="L19" i="212"/>
  <c r="J19" i="212"/>
  <c r="K19" i="212" s="1"/>
  <c r="Y17" i="209"/>
  <c r="V17" i="209"/>
  <c r="W17" i="209" s="1"/>
  <c r="X17" i="209"/>
  <c r="M17" i="210"/>
  <c r="L17" i="210"/>
  <c r="J17" i="210"/>
  <c r="K17" i="210" s="1"/>
  <c r="AJ14" i="211"/>
  <c r="AJ13" i="211" s="1"/>
  <c r="AA14" i="211"/>
  <c r="AI8" i="211"/>
  <c r="Z8" i="211"/>
  <c r="AA18" i="215"/>
  <c r="AB18" i="215" s="1"/>
  <c r="AD18" i="215"/>
  <c r="I25" i="214"/>
  <c r="I23" i="214"/>
  <c r="I21" i="214"/>
  <c r="I19" i="214"/>
  <c r="I5" i="214"/>
  <c r="I14" i="214"/>
  <c r="I12" i="214"/>
  <c r="I11" i="214"/>
  <c r="I10" i="214"/>
  <c r="I9" i="214"/>
  <c r="I13" i="214"/>
  <c r="I24" i="214"/>
  <c r="I4" i="214"/>
  <c r="I3" i="214"/>
  <c r="I16" i="214"/>
  <c r="I2" i="214"/>
  <c r="J1" i="214"/>
  <c r="I7" i="214"/>
  <c r="I20" i="214"/>
  <c r="I17" i="214"/>
  <c r="I15" i="214"/>
  <c r="I8" i="214"/>
  <c r="I22" i="214"/>
  <c r="I18" i="214"/>
  <c r="I6" i="214"/>
  <c r="X19" i="215"/>
  <c r="X18" i="215"/>
  <c r="M17" i="212"/>
  <c r="L17" i="212"/>
  <c r="J17" i="212"/>
  <c r="K17" i="212" s="1"/>
  <c r="Z14" i="212"/>
  <c r="Z13" i="212" s="1"/>
  <c r="Y8" i="212"/>
  <c r="AV14" i="212"/>
  <c r="AM14" i="212"/>
  <c r="AU8" i="212"/>
  <c r="AL8" i="212"/>
  <c r="J19" i="211"/>
  <c r="K19" i="211" s="1"/>
  <c r="L19" i="211"/>
  <c r="M19" i="211"/>
  <c r="AA19" i="215"/>
  <c r="M12" i="215"/>
  <c r="L14" i="215"/>
  <c r="L13" i="215" s="1"/>
  <c r="P17" i="215" s="1"/>
  <c r="BA18" i="215"/>
  <c r="BA17" i="215"/>
  <c r="BA19" i="215"/>
  <c r="BB12" i="215"/>
  <c r="BC12" i="215"/>
  <c r="N17" i="215"/>
  <c r="R3" i="213" a="1"/>
  <c r="R3" i="213" s="1"/>
  <c r="R2" i="213" a="1"/>
  <c r="R2" i="213" s="1"/>
  <c r="R4" i="213" a="1"/>
  <c r="R4" i="213" s="1"/>
  <c r="M18" i="210"/>
  <c r="L18" i="210"/>
  <c r="J18" i="210"/>
  <c r="K18" i="210" s="1"/>
  <c r="M14" i="209"/>
  <c r="L8" i="209"/>
  <c r="AI18" i="213"/>
  <c r="AI17" i="213"/>
  <c r="M18" i="212"/>
  <c r="L18" i="212"/>
  <c r="J18" i="212"/>
  <c r="K18" i="212" s="1"/>
  <c r="Z14" i="210"/>
  <c r="Y8" i="210"/>
  <c r="AA17" i="215"/>
  <c r="D10" i="205"/>
  <c r="A7" i="205"/>
  <c r="F11" i="205"/>
  <c r="I10" i="205"/>
  <c r="H10" i="205"/>
  <c r="G11" i="205"/>
  <c r="V16" i="3"/>
  <c r="U15" i="3"/>
  <c r="U12" i="3"/>
  <c r="V18" i="3"/>
  <c r="G11" i="62"/>
  <c r="I11" i="62" s="1"/>
  <c r="G15" i="62"/>
  <c r="H15" i="62" s="1"/>
  <c r="H11" i="62"/>
  <c r="G18" i="62"/>
  <c r="H18" i="62" s="1"/>
  <c r="F16" i="62"/>
  <c r="G16" i="62" s="1"/>
  <c r="I16" i="62" s="1"/>
  <c r="G19" i="62"/>
  <c r="H19" i="62" s="1"/>
  <c r="F20" i="62"/>
  <c r="F12" i="62"/>
  <c r="G12" i="62" s="1"/>
  <c r="I12" i="62" s="1"/>
  <c r="I19" i="62"/>
  <c r="I13" i="204"/>
  <c r="I12" i="204"/>
  <c r="I11" i="204"/>
  <c r="I10" i="204"/>
  <c r="I9" i="204"/>
  <c r="U8" i="204"/>
  <c r="U9" i="204" s="1"/>
  <c r="U10" i="204" s="1"/>
  <c r="U11" i="204" s="1"/>
  <c r="U12" i="204" s="1"/>
  <c r="U13" i="204" s="1"/>
  <c r="I8" i="204"/>
  <c r="H8" i="204"/>
  <c r="V8" i="204" s="1" a="1"/>
  <c r="V8" i="204" s="1"/>
  <c r="V7" i="204" a="1"/>
  <c r="V7" i="204" s="1"/>
  <c r="I7" i="204"/>
  <c r="X18" i="210" l="1"/>
  <c r="I13" i="218"/>
  <c r="H13" i="218"/>
  <c r="J14" i="218" s="1"/>
  <c r="G14" i="218"/>
  <c r="J14" i="217"/>
  <c r="I13" i="217"/>
  <c r="H13" i="217"/>
  <c r="G14" i="217"/>
  <c r="L13" i="217"/>
  <c r="M13" i="217"/>
  <c r="K15" i="217"/>
  <c r="K14" i="217"/>
  <c r="K11" i="216"/>
  <c r="J11" i="216"/>
  <c r="I12" i="216"/>
  <c r="G11" i="216"/>
  <c r="F12" i="216" s="1"/>
  <c r="D17" i="216"/>
  <c r="A16" i="216"/>
  <c r="Z13" i="210"/>
  <c r="AB4" i="210" s="1"/>
  <c r="AB5" i="210" s="1"/>
  <c r="AV13" i="212"/>
  <c r="AX6" i="212" s="1"/>
  <c r="O17" i="215"/>
  <c r="H5" i="212"/>
  <c r="J12" i="212"/>
  <c r="I13" i="212"/>
  <c r="U13" i="209"/>
  <c r="V12" i="209"/>
  <c r="T5" i="209"/>
  <c r="H5" i="210"/>
  <c r="J12" i="210"/>
  <c r="I13" i="210"/>
  <c r="I13" i="211"/>
  <c r="H5" i="211"/>
  <c r="J12" i="211"/>
  <c r="BB14" i="215"/>
  <c r="BB13" i="215" s="1"/>
  <c r="BG19" i="215" s="1"/>
  <c r="AV5" i="211"/>
  <c r="AX12" i="211"/>
  <c r="N18" i="209"/>
  <c r="N12" i="215"/>
  <c r="L5" i="215"/>
  <c r="AW13" i="211"/>
  <c r="AY6" i="211" s="1"/>
  <c r="AA17" i="212"/>
  <c r="Z14" i="211"/>
  <c r="Z13" i="211" s="1"/>
  <c r="AE15" i="211" s="1"/>
  <c r="Z17" i="211" s="1" a="1"/>
  <c r="AI14" i="211"/>
  <c r="AI13" i="211" s="1"/>
  <c r="AN18" i="211" s="1"/>
  <c r="AL6" i="211"/>
  <c r="AL4" i="211"/>
  <c r="AL5" i="211" s="1"/>
  <c r="AW12" i="212"/>
  <c r="AU5" i="212"/>
  <c r="AK17" i="212"/>
  <c r="AK18" i="212"/>
  <c r="AA12" i="210"/>
  <c r="Y5" i="210"/>
  <c r="AA12" i="212"/>
  <c r="Y5" i="212"/>
  <c r="BD19" i="215"/>
  <c r="N17" i="209"/>
  <c r="BB5" i="215"/>
  <c r="BD12" i="215"/>
  <c r="AL14" i="212"/>
  <c r="AL13" i="212" s="1"/>
  <c r="AQ15" i="212" s="1"/>
  <c r="AL17" i="212" s="1" a="1"/>
  <c r="W14" i="213"/>
  <c r="AU14" i="212"/>
  <c r="AU13" i="212" s="1"/>
  <c r="AZ17" i="212" s="1"/>
  <c r="X12" i="213"/>
  <c r="X13" i="213" s="1"/>
  <c r="W12" i="213"/>
  <c r="AB19" i="215"/>
  <c r="AJ14" i="213"/>
  <c r="AJ13" i="213" s="1"/>
  <c r="AO15" i="213" s="1"/>
  <c r="P18" i="215"/>
  <c r="AA18" i="212"/>
  <c r="AT18" i="212"/>
  <c r="AT17" i="212"/>
  <c r="AD17" i="215"/>
  <c r="AC19" i="215"/>
  <c r="Y18" i="211"/>
  <c r="Y17" i="211"/>
  <c r="AP14" i="215"/>
  <c r="AO8" i="215"/>
  <c r="Q18" i="215"/>
  <c r="BD17" i="215"/>
  <c r="AA18" i="210"/>
  <c r="AK17" i="211"/>
  <c r="AX18" i="211"/>
  <c r="M13" i="215"/>
  <c r="AB17" i="215"/>
  <c r="AC17" i="215"/>
  <c r="L14" i="209"/>
  <c r="L13" i="209" s="1"/>
  <c r="Q17" i="209" s="1"/>
  <c r="Q17" i="215"/>
  <c r="AD19" i="215"/>
  <c r="Y14" i="212"/>
  <c r="Y13" i="212" s="1"/>
  <c r="AD18" i="212" s="1"/>
  <c r="AB6" i="212"/>
  <c r="AB4" i="212"/>
  <c r="AB5" i="212" s="1"/>
  <c r="J14" i="214"/>
  <c r="J12" i="214"/>
  <c r="J11" i="214"/>
  <c r="J10" i="214"/>
  <c r="J9" i="214"/>
  <c r="J24" i="214"/>
  <c r="J22" i="214"/>
  <c r="J20" i="214"/>
  <c r="J18" i="214"/>
  <c r="J13" i="214"/>
  <c r="J4" i="214"/>
  <c r="J3" i="214"/>
  <c r="J16" i="214"/>
  <c r="J2" i="214"/>
  <c r="J21" i="214"/>
  <c r="J19" i="214"/>
  <c r="K1" i="214"/>
  <c r="J23" i="214"/>
  <c r="J7" i="214"/>
  <c r="J25" i="214"/>
  <c r="J17" i="214"/>
  <c r="J15" i="214"/>
  <c r="J8" i="214"/>
  <c r="J6" i="214"/>
  <c r="J5" i="214"/>
  <c r="AH18" i="211"/>
  <c r="AH17" i="211"/>
  <c r="O18" i="215"/>
  <c r="AV14" i="211"/>
  <c r="AV13" i="211" s="1"/>
  <c r="BA17" i="211" s="1"/>
  <c r="AW18" i="212"/>
  <c r="Y14" i="210"/>
  <c r="Y13" i="210" s="1"/>
  <c r="AA13" i="210" s="1"/>
  <c r="Y7" i="210" s="1"/>
  <c r="AA13" i="212"/>
  <c r="Y7" i="212" s="1"/>
  <c r="AO12" i="215"/>
  <c r="AI3" i="215"/>
  <c r="AU18" i="211"/>
  <c r="AU17" i="211"/>
  <c r="BD18" i="215"/>
  <c r="AA17" i="210"/>
  <c r="AK18" i="211"/>
  <c r="AZ17" i="211"/>
  <c r="AX17" i="211"/>
  <c r="BC13" i="215"/>
  <c r="AI5" i="211"/>
  <c r="AK12" i="211"/>
  <c r="AW17" i="212"/>
  <c r="F12" i="205"/>
  <c r="G13" i="205" s="1"/>
  <c r="H11" i="205"/>
  <c r="I11" i="205"/>
  <c r="D11" i="205"/>
  <c r="A8" i="205"/>
  <c r="G12" i="205"/>
  <c r="E24" i="62"/>
  <c r="G17" i="62"/>
  <c r="G24" i="62"/>
  <c r="G13" i="62"/>
  <c r="F24" i="62"/>
  <c r="G21" i="62"/>
  <c r="H16" i="62"/>
  <c r="G20" i="62"/>
  <c r="I20" i="62" s="1"/>
  <c r="G14" i="62"/>
  <c r="I15" i="62"/>
  <c r="I18" i="62"/>
  <c r="H12" i="62"/>
  <c r="F8" i="204" a="1"/>
  <c r="F8" i="204" s="1"/>
  <c r="AC5" i="204" a="1"/>
  <c r="AB5" i="204" a="1"/>
  <c r="H9" i="204"/>
  <c r="AZ18" i="212" l="1"/>
  <c r="AM18" i="212"/>
  <c r="AL18" i="212"/>
  <c r="AM17" i="212"/>
  <c r="AL17" i="212"/>
  <c r="AY17" i="211"/>
  <c r="AY18" i="212"/>
  <c r="AW13" i="212"/>
  <c r="AU7" i="212" s="1"/>
  <c r="AX17" i="212"/>
  <c r="AY17" i="212"/>
  <c r="AB6" i="210"/>
  <c r="AX4" i="212"/>
  <c r="AX5" i="212" s="1"/>
  <c r="AD17" i="210"/>
  <c r="AX18" i="212"/>
  <c r="AA18" i="211"/>
  <c r="AA17" i="211"/>
  <c r="Z18" i="211"/>
  <c r="Z17" i="211"/>
  <c r="H14" i="218"/>
  <c r="J15" i="218" s="1"/>
  <c r="I14" i="218"/>
  <c r="G15" i="218"/>
  <c r="H14" i="217"/>
  <c r="J15" i="217" s="1"/>
  <c r="I14" i="217"/>
  <c r="L14" i="217"/>
  <c r="M14" i="217"/>
  <c r="H13" i="216"/>
  <c r="G12" i="216"/>
  <c r="F13" i="216" s="1"/>
  <c r="H12" i="216"/>
  <c r="D18" i="216"/>
  <c r="A17" i="216"/>
  <c r="BE17" i="215"/>
  <c r="BF18" i="215"/>
  <c r="BF17" i="215"/>
  <c r="BD13" i="215"/>
  <c r="BB7" i="215" s="1"/>
  <c r="BG18" i="215"/>
  <c r="BE18" i="215"/>
  <c r="BG17" i="215"/>
  <c r="BE19" i="215"/>
  <c r="BF19" i="215"/>
  <c r="AB17" i="210"/>
  <c r="AL17" i="211"/>
  <c r="AC18" i="212"/>
  <c r="AC17" i="210"/>
  <c r="AY4" i="211"/>
  <c r="AY5" i="211" s="1"/>
  <c r="BA18" i="211"/>
  <c r="AK13" i="211"/>
  <c r="AI7" i="211" s="1"/>
  <c r="AN17" i="211"/>
  <c r="AL18" i="211"/>
  <c r="AM17" i="211"/>
  <c r="AM18" i="211"/>
  <c r="AC18" i="210"/>
  <c r="AM12" i="212"/>
  <c r="L5" i="209"/>
  <c r="N12" i="209"/>
  <c r="M13" i="209"/>
  <c r="Z4" i="213"/>
  <c r="Z5" i="213" s="1"/>
  <c r="Z6" i="213"/>
  <c r="L6" i="215"/>
  <c r="L4" i="215"/>
  <c r="BE12" i="215"/>
  <c r="BF12" i="215" s="1"/>
  <c r="BG12" i="215" s="1"/>
  <c r="P17" i="209"/>
  <c r="AB12" i="212"/>
  <c r="AC12" i="212" s="1"/>
  <c r="AD12" i="212" s="1"/>
  <c r="AC17" i="212"/>
  <c r="AV6" i="211"/>
  <c r="AV4" i="211"/>
  <c r="K4" i="210"/>
  <c r="K5" i="210" s="1"/>
  <c r="J13" i="210"/>
  <c r="H7" i="210" s="1"/>
  <c r="K6" i="210"/>
  <c r="H6" i="212"/>
  <c r="H4" i="212"/>
  <c r="AD18" i="210"/>
  <c r="BB4" i="215"/>
  <c r="BB6" i="215"/>
  <c r="Y4" i="210"/>
  <c r="Y6" i="210"/>
  <c r="AD17" i="212"/>
  <c r="O18" i="209"/>
  <c r="BE6" i="215"/>
  <c r="AJ18" i="213"/>
  <c r="Y18" i="213"/>
  <c r="N13" i="215"/>
  <c r="L7" i="215" s="1"/>
  <c r="O4" i="215"/>
  <c r="O5" i="215" s="1"/>
  <c r="O6" i="215"/>
  <c r="AY18" i="211"/>
  <c r="AB18" i="210"/>
  <c r="AB12" i="210"/>
  <c r="AC12" i="210" s="1"/>
  <c r="AD12" i="210" s="1"/>
  <c r="AX13" i="211"/>
  <c r="AV7" i="211" s="1"/>
  <c r="P18" i="209"/>
  <c r="BE4" i="215"/>
  <c r="BE5" i="215" s="1"/>
  <c r="H6" i="210"/>
  <c r="H4" i="210"/>
  <c r="AK18" i="213"/>
  <c r="AI6" i="211"/>
  <c r="AI4" i="211"/>
  <c r="AI4" i="215"/>
  <c r="AZ18" i="211"/>
  <c r="AB18" i="212"/>
  <c r="W13" i="213"/>
  <c r="AB18" i="213" s="1"/>
  <c r="Q18" i="209"/>
  <c r="T6" i="209"/>
  <c r="T4" i="209"/>
  <c r="AJ17" i="213"/>
  <c r="Y17" i="213"/>
  <c r="AK17" i="213"/>
  <c r="K12" i="214"/>
  <c r="K11" i="214"/>
  <c r="K10" i="214"/>
  <c r="K9" i="214"/>
  <c r="K24" i="214"/>
  <c r="K22" i="214"/>
  <c r="K20" i="214"/>
  <c r="K18" i="214"/>
  <c r="K8" i="214"/>
  <c r="K13" i="214"/>
  <c r="K25" i="214"/>
  <c r="K23" i="214"/>
  <c r="K21" i="214"/>
  <c r="K16" i="214"/>
  <c r="K2" i="214"/>
  <c r="K19" i="214"/>
  <c r="L1" i="214"/>
  <c r="K14" i="214"/>
  <c r="K7" i="214"/>
  <c r="K17" i="214"/>
  <c r="K15" i="214"/>
  <c r="K6" i="214"/>
  <c r="K5" i="214"/>
  <c r="K4" i="214"/>
  <c r="K3" i="214"/>
  <c r="AU6" i="212"/>
  <c r="AU4" i="212"/>
  <c r="V13" i="209"/>
  <c r="T7" i="209" s="1"/>
  <c r="W6" i="209"/>
  <c r="W4" i="209"/>
  <c r="W5" i="209" s="1"/>
  <c r="W5" i="213"/>
  <c r="Y12" i="213"/>
  <c r="H6" i="211"/>
  <c r="H4" i="211"/>
  <c r="J13" i="212"/>
  <c r="H7" i="212" s="1"/>
  <c r="K4" i="212"/>
  <c r="K5" i="212" s="1"/>
  <c r="K6" i="212"/>
  <c r="AO14" i="215"/>
  <c r="AO13" i="215" s="1"/>
  <c r="O17" i="209"/>
  <c r="Y6" i="212"/>
  <c r="Y4" i="212"/>
  <c r="AB17" i="212"/>
  <c r="J13" i="211"/>
  <c r="H7" i="211" s="1"/>
  <c r="K6" i="211"/>
  <c r="K4" i="211"/>
  <c r="K5" i="211" s="1"/>
  <c r="G14" i="205"/>
  <c r="A9" i="205"/>
  <c r="D12" i="205"/>
  <c r="F13" i="205"/>
  <c r="I12" i="205"/>
  <c r="H12" i="205"/>
  <c r="I21" i="62"/>
  <c r="H13" i="62"/>
  <c r="I13" i="62"/>
  <c r="H17" i="62"/>
  <c r="I17" i="62"/>
  <c r="H14" i="62"/>
  <c r="I14" i="62"/>
  <c r="H20" i="62"/>
  <c r="H10" i="204"/>
  <c r="V9" i="204" a="1"/>
  <c r="V9" i="204" s="1"/>
  <c r="AB21" i="204"/>
  <c r="AB17" i="204"/>
  <c r="AB13" i="204"/>
  <c r="AB9" i="204"/>
  <c r="AB5" i="204"/>
  <c r="AB22" i="204"/>
  <c r="AB18" i="204"/>
  <c r="AB14" i="204"/>
  <c r="AB10" i="204"/>
  <c r="AB6" i="204"/>
  <c r="AB20" i="204"/>
  <c r="AB16" i="204"/>
  <c r="AB12" i="204"/>
  <c r="AB8" i="204"/>
  <c r="AB19" i="204"/>
  <c r="AB15" i="204"/>
  <c r="AB11" i="204"/>
  <c r="AB7" i="204"/>
  <c r="AC22" i="204"/>
  <c r="AC18" i="204"/>
  <c r="AC14" i="204"/>
  <c r="AC10" i="204"/>
  <c r="AC6" i="204"/>
  <c r="AC19" i="204"/>
  <c r="AC15" i="204"/>
  <c r="AC11" i="204"/>
  <c r="AC7" i="204"/>
  <c r="AC21" i="204"/>
  <c r="AC17" i="204"/>
  <c r="AC13" i="204"/>
  <c r="AC9" i="204"/>
  <c r="AC5" i="204"/>
  <c r="AC20" i="204"/>
  <c r="AC16" i="204"/>
  <c r="AC12" i="204"/>
  <c r="AC8" i="204"/>
  <c r="AX12" i="212" l="1"/>
  <c r="AY12" i="212" s="1"/>
  <c r="AZ12" i="212" s="1"/>
  <c r="I15" i="218"/>
  <c r="H15" i="218"/>
  <c r="J16" i="218" s="1"/>
  <c r="M15" i="217"/>
  <c r="L15" i="217"/>
  <c r="K16" i="217"/>
  <c r="G15" i="217"/>
  <c r="G13" i="216"/>
  <c r="H14" i="216" s="1"/>
  <c r="F14" i="216"/>
  <c r="J12" i="216"/>
  <c r="K12" i="216"/>
  <c r="I13" i="216"/>
  <c r="J13" i="216" s="1"/>
  <c r="D19" i="216"/>
  <c r="A18" i="216"/>
  <c r="D20" i="216" s="1"/>
  <c r="I14" i="216"/>
  <c r="AA12" i="211"/>
  <c r="AB17" i="213"/>
  <c r="K12" i="210"/>
  <c r="L12" i="210" s="1"/>
  <c r="M12" i="210" s="1"/>
  <c r="AL12" i="211"/>
  <c r="AM12" i="211" s="1"/>
  <c r="AN12" i="211" s="1"/>
  <c r="AM13" i="212"/>
  <c r="AN12" i="212"/>
  <c r="AL5" i="212"/>
  <c r="AB17" i="211"/>
  <c r="AC17" i="211" s="1"/>
  <c r="AE17" i="211"/>
  <c r="AD17" i="211"/>
  <c r="AQ18" i="212"/>
  <c r="AP18" i="212"/>
  <c r="AN18" i="212"/>
  <c r="AO18" i="212" s="1"/>
  <c r="AN17" i="212"/>
  <c r="AO17" i="212" s="1"/>
  <c r="AP17" i="212"/>
  <c r="AQ17" i="212"/>
  <c r="AE18" i="211"/>
  <c r="AB18" i="211"/>
  <c r="AC18" i="211" s="1"/>
  <c r="AD18" i="211"/>
  <c r="AO18" i="213"/>
  <c r="AN18" i="213"/>
  <c r="AL18" i="213"/>
  <c r="AM18" i="213" s="1"/>
  <c r="AY12" i="211"/>
  <c r="AZ12" i="211" s="1"/>
  <c r="BA12" i="211" s="1"/>
  <c r="Y13" i="213"/>
  <c r="W7" i="213" s="1"/>
  <c r="K12" i="211"/>
  <c r="L12" i="211" s="1"/>
  <c r="M12" i="211" s="1"/>
  <c r="K12" i="212"/>
  <c r="L12" i="212" s="1"/>
  <c r="M12" i="212" s="1"/>
  <c r="W4" i="213"/>
  <c r="W6" i="213"/>
  <c r="Z18" i="213"/>
  <c r="N13" i="209"/>
  <c r="L7" i="209" s="1"/>
  <c r="O6" i="209"/>
  <c r="O4" i="209"/>
  <c r="O5" i="209" s="1"/>
  <c r="AI5" i="215"/>
  <c r="Z17" i="213"/>
  <c r="O12" i="215"/>
  <c r="P12" i="215" s="1"/>
  <c r="Q12" i="215" s="1"/>
  <c r="AO17" i="213"/>
  <c r="AN17" i="213"/>
  <c r="AL17" i="213"/>
  <c r="AM17" i="213" s="1"/>
  <c r="AK12" i="213"/>
  <c r="AA18" i="213"/>
  <c r="L24" i="214"/>
  <c r="L22" i="214"/>
  <c r="L20" i="214"/>
  <c r="L18" i="214"/>
  <c r="L8" i="214"/>
  <c r="L13" i="214"/>
  <c r="L7" i="214"/>
  <c r="L25" i="214"/>
  <c r="L23" i="214"/>
  <c r="L21" i="214"/>
  <c r="L19" i="214"/>
  <c r="L17" i="214"/>
  <c r="L16" i="214"/>
  <c r="L15" i="214"/>
  <c r="L12" i="214"/>
  <c r="L2" i="214"/>
  <c r="L14" i="214"/>
  <c r="L10" i="214"/>
  <c r="L6" i="214"/>
  <c r="L11" i="214"/>
  <c r="L5" i="214"/>
  <c r="L4" i="214"/>
  <c r="L3" i="214"/>
  <c r="L9" i="214"/>
  <c r="O17" i="214" a="1"/>
  <c r="W12" i="209"/>
  <c r="X12" i="209" s="1"/>
  <c r="Y12" i="209" s="1"/>
  <c r="AA17" i="213"/>
  <c r="L6" i="209"/>
  <c r="L4" i="209"/>
  <c r="H13" i="205"/>
  <c r="I13" i="205"/>
  <c r="F14" i="205"/>
  <c r="D13" i="205"/>
  <c r="A10" i="205"/>
  <c r="AE5" i="204"/>
  <c r="V10" i="204" a="1"/>
  <c r="V10" i="204" s="1"/>
  <c r="H11" i="204"/>
  <c r="F7" i="204" a="1"/>
  <c r="F7" i="204" s="1"/>
  <c r="F9" i="204" s="1"/>
  <c r="F10" i="204" s="1"/>
  <c r="AV25" i="202"/>
  <c r="J25" i="202"/>
  <c r="AV24" i="202"/>
  <c r="J24" i="202"/>
  <c r="D23" i="202"/>
  <c r="D22" i="202"/>
  <c r="AY22" i="202" s="1"/>
  <c r="D21" i="202"/>
  <c r="AY21" i="202" s="1"/>
  <c r="AY20" i="202"/>
  <c r="D19" i="202"/>
  <c r="AY19" i="202" s="1"/>
  <c r="AY18" i="202"/>
  <c r="AY17" i="202"/>
  <c r="D16" i="202"/>
  <c r="AY16" i="202" s="1"/>
  <c r="AC15" i="202"/>
  <c r="D15" i="202"/>
  <c r="AY15" i="202" s="1"/>
  <c r="AY14" i="202"/>
  <c r="AC14" i="202"/>
  <c r="D14" i="202"/>
  <c r="AY13" i="202"/>
  <c r="AY12" i="202"/>
  <c r="AY11" i="202"/>
  <c r="D11" i="202"/>
  <c r="AY10" i="202"/>
  <c r="AY9" i="202"/>
  <c r="AY8" i="202"/>
  <c r="AY7" i="202"/>
  <c r="D7" i="202"/>
  <c r="F6" i="202"/>
  <c r="F7" i="202" s="1"/>
  <c r="F8" i="202" s="1"/>
  <c r="F9" i="202" s="1"/>
  <c r="F10" i="202" s="1"/>
  <c r="F11" i="202" s="1"/>
  <c r="F12" i="202" s="1"/>
  <c r="F13" i="202" s="1"/>
  <c r="F14" i="202" s="1"/>
  <c r="F15" i="202" s="1"/>
  <c r="F16" i="202" s="1"/>
  <c r="F17" i="202" s="1"/>
  <c r="F18" i="202" s="1"/>
  <c r="F19" i="202" s="1"/>
  <c r="F20" i="202" s="1"/>
  <c r="F21" i="202" s="1"/>
  <c r="F22" i="202" s="1"/>
  <c r="D6" i="202"/>
  <c r="AY6" i="202" s="1"/>
  <c r="AY5" i="202"/>
  <c r="AX5" i="202"/>
  <c r="AX6" i="202" s="1"/>
  <c r="AX7" i="202" s="1"/>
  <c r="AX8" i="202" s="1"/>
  <c r="AX9" i="202" s="1"/>
  <c r="AX10" i="202" s="1"/>
  <c r="AX11" i="202" s="1"/>
  <c r="AX12" i="202" s="1"/>
  <c r="AX13" i="202" s="1"/>
  <c r="AX14" i="202" s="1"/>
  <c r="AX15" i="202" s="1"/>
  <c r="AX16" i="202" s="1"/>
  <c r="AX17" i="202" s="1"/>
  <c r="AX18" i="202" s="1"/>
  <c r="AX19" i="202" s="1"/>
  <c r="AX20" i="202" s="1"/>
  <c r="AX21" i="202" s="1"/>
  <c r="AX22" i="202" s="1"/>
  <c r="AX23" i="202" s="1"/>
  <c r="AX24" i="202" s="1"/>
  <c r="AX25" i="202" s="1"/>
  <c r="AX26" i="202" s="1"/>
  <c r="AU5" i="202"/>
  <c r="AU6" i="202" s="1"/>
  <c r="AU7" i="202" s="1"/>
  <c r="AU8" i="202" s="1"/>
  <c r="AU9" i="202" s="1"/>
  <c r="AU10" i="202" s="1"/>
  <c r="AU11" i="202" s="1"/>
  <c r="AU12" i="202" s="1"/>
  <c r="AU13" i="202" s="1"/>
  <c r="AU14" i="202" s="1"/>
  <c r="AU15" i="202" s="1"/>
  <c r="AU16" i="202" s="1"/>
  <c r="AU17" i="202" s="1"/>
  <c r="AU18" i="202" s="1"/>
  <c r="AU19" i="202" s="1"/>
  <c r="AU20" i="202" s="1"/>
  <c r="AU21" i="202" s="1"/>
  <c r="AU22" i="202" s="1"/>
  <c r="AU23" i="202" s="1"/>
  <c r="AU24" i="202" s="1"/>
  <c r="AU25" i="202" s="1"/>
  <c r="U5" i="202"/>
  <c r="U6" i="202" s="1"/>
  <c r="F5" i="202"/>
  <c r="A5" i="202"/>
  <c r="A6" i="202" s="1"/>
  <c r="A7" i="202" s="1"/>
  <c r="A8" i="202" s="1"/>
  <c r="A9" i="202" s="1"/>
  <c r="A10" i="202" s="1"/>
  <c r="A11" i="202" s="1"/>
  <c r="A12" i="202" s="1"/>
  <c r="A13" i="202" s="1"/>
  <c r="A14" i="202" s="1"/>
  <c r="A15" i="202" s="1"/>
  <c r="A16" i="202" s="1"/>
  <c r="A17" i="202" s="1"/>
  <c r="A18" i="202" s="1"/>
  <c r="A19" i="202" s="1"/>
  <c r="A20" i="202" s="1"/>
  <c r="A21" i="202" s="1"/>
  <c r="A22" i="202" s="1"/>
  <c r="A23" i="202" s="1"/>
  <c r="AO4" i="202"/>
  <c r="AN4" i="202"/>
  <c r="AM4" i="202"/>
  <c r="D4" i="202"/>
  <c r="AY4" i="202" s="1"/>
  <c r="I3" i="202"/>
  <c r="G3" i="202" a="1"/>
  <c r="AQ2" i="202"/>
  <c r="G16" i="218" l="1"/>
  <c r="H15" i="217"/>
  <c r="G16" i="217" s="1"/>
  <c r="I15" i="217"/>
  <c r="K14" i="216"/>
  <c r="J14" i="216"/>
  <c r="I15" i="216"/>
  <c r="G14" i="216"/>
  <c r="F15" i="216" s="1"/>
  <c r="K13" i="216"/>
  <c r="AA13" i="211"/>
  <c r="Z5" i="211"/>
  <c r="AB12" i="211"/>
  <c r="O12" i="209"/>
  <c r="P12" i="209" s="1"/>
  <c r="Q12" i="209" s="1"/>
  <c r="AL4" i="212"/>
  <c r="AL6" i="212"/>
  <c r="Z12" i="213"/>
  <c r="AA12" i="213" s="1"/>
  <c r="AB12" i="213" s="1"/>
  <c r="AO4" i="212"/>
  <c r="AO5" i="212" s="1"/>
  <c r="AO6" i="212"/>
  <c r="AN13" i="212"/>
  <c r="AL7" i="212" s="1"/>
  <c r="O19" i="214"/>
  <c r="O26" i="214"/>
  <c r="O18" i="214"/>
  <c r="O25" i="214"/>
  <c r="O17" i="214"/>
  <c r="O23" i="214"/>
  <c r="O22" i="214"/>
  <c r="O21" i="214"/>
  <c r="O20" i="214"/>
  <c r="O24" i="214"/>
  <c r="P12" i="214"/>
  <c r="P13" i="214" s="1"/>
  <c r="AI6" i="215"/>
  <c r="AJ5" i="213"/>
  <c r="AL12" i="213"/>
  <c r="AK13" i="213"/>
  <c r="A11" i="205"/>
  <c r="D14" i="205"/>
  <c r="I14" i="205"/>
  <c r="H14" i="205"/>
  <c r="F15" i="205"/>
  <c r="G15" i="205"/>
  <c r="AY23" i="202"/>
  <c r="H12" i="204"/>
  <c r="V11" i="204" a="1"/>
  <c r="V11" i="204" s="1"/>
  <c r="H3" i="202"/>
  <c r="G3" i="202"/>
  <c r="AM6" i="202"/>
  <c r="U7" i="202"/>
  <c r="AM5" i="202"/>
  <c r="J25" i="198"/>
  <c r="G24" i="198"/>
  <c r="H24" i="198"/>
  <c r="G25" i="198"/>
  <c r="H25" i="198"/>
  <c r="H23" i="198"/>
  <c r="G23" i="198"/>
  <c r="AV25" i="198"/>
  <c r="AV24" i="198"/>
  <c r="J24" i="198" s="1"/>
  <c r="D23" i="198"/>
  <c r="D22" i="198"/>
  <c r="D21" i="198"/>
  <c r="D19" i="198"/>
  <c r="D16" i="198"/>
  <c r="D15" i="198"/>
  <c r="AC14" i="198"/>
  <c r="AC15" i="198" s="1"/>
  <c r="D14" i="198"/>
  <c r="D11" i="198"/>
  <c r="D7" i="198"/>
  <c r="D6" i="198"/>
  <c r="AU5" i="198"/>
  <c r="AU6" i="198" s="1"/>
  <c r="AU7" i="198" s="1"/>
  <c r="AU8" i="198" s="1"/>
  <c r="AU9" i="198" s="1"/>
  <c r="AU10" i="198" s="1"/>
  <c r="AU11" i="198" s="1"/>
  <c r="AU12" i="198" s="1"/>
  <c r="AU13" i="198" s="1"/>
  <c r="AU14" i="198" s="1"/>
  <c r="AU15" i="198" s="1"/>
  <c r="AU16" i="198" s="1"/>
  <c r="AU17" i="198" s="1"/>
  <c r="AU18" i="198" s="1"/>
  <c r="AU19" i="198" s="1"/>
  <c r="AU20" i="198" s="1"/>
  <c r="AU21" i="198" s="1"/>
  <c r="AU22" i="198" s="1"/>
  <c r="AU23" i="198" s="1"/>
  <c r="AU24" i="198" s="1"/>
  <c r="AU25" i="198" s="1"/>
  <c r="U5" i="198"/>
  <c r="F5" i="198"/>
  <c r="F6" i="198" s="1"/>
  <c r="F7" i="198" s="1"/>
  <c r="F8" i="198" s="1"/>
  <c r="F9" i="198" s="1"/>
  <c r="F10" i="198" s="1"/>
  <c r="F11" i="198" s="1"/>
  <c r="F12" i="198" s="1"/>
  <c r="F13" i="198" s="1"/>
  <c r="F14" i="198" s="1"/>
  <c r="F15" i="198" s="1"/>
  <c r="F16" i="198" s="1"/>
  <c r="F17" i="198" s="1"/>
  <c r="F18" i="198" s="1"/>
  <c r="F19" i="198" s="1"/>
  <c r="F20" i="198" s="1"/>
  <c r="F21" i="198" s="1"/>
  <c r="F22" i="198" s="1"/>
  <c r="A5" i="198"/>
  <c r="A6" i="198" s="1"/>
  <c r="A7" i="198" s="1"/>
  <c r="A8" i="198" s="1"/>
  <c r="A9" i="198" s="1"/>
  <c r="A10" i="198" s="1"/>
  <c r="A11" i="198" s="1"/>
  <c r="A12" i="198" s="1"/>
  <c r="A13" i="198" s="1"/>
  <c r="A14" i="198" s="1"/>
  <c r="A15" i="198" s="1"/>
  <c r="A16" i="198" s="1"/>
  <c r="A17" i="198" s="1"/>
  <c r="A18" i="198" s="1"/>
  <c r="A19" i="198" s="1"/>
  <c r="A20" i="198" s="1"/>
  <c r="A21" i="198" s="1"/>
  <c r="A22" i="198" s="1"/>
  <c r="A23" i="198" s="1"/>
  <c r="AO4" i="198"/>
  <c r="AN4" i="198"/>
  <c r="AM4" i="198"/>
  <c r="D4" i="198"/>
  <c r="I3" i="198"/>
  <c r="G3" i="198" a="1"/>
  <c r="AQ2" i="198"/>
  <c r="J17" i="218" l="1"/>
  <c r="H16" i="218"/>
  <c r="I16" i="218"/>
  <c r="I20" i="218" s="1"/>
  <c r="G17" i="218"/>
  <c r="H16" i="217"/>
  <c r="J17" i="217" s="1"/>
  <c r="I16" i="217"/>
  <c r="J16" i="217"/>
  <c r="G15" i="216"/>
  <c r="H16" i="216"/>
  <c r="F16" i="216"/>
  <c r="H15" i="216"/>
  <c r="Z6" i="211"/>
  <c r="Z4" i="211"/>
  <c r="AC4" i="211"/>
  <c r="AC5" i="211" s="1"/>
  <c r="AB13" i="211"/>
  <c r="Z7" i="211" s="1"/>
  <c r="AC6" i="211"/>
  <c r="AO12" i="212"/>
  <c r="AP12" i="212" s="1"/>
  <c r="AQ12" i="212" s="1"/>
  <c r="R18" i="214"/>
  <c r="S18" i="214" s="1"/>
  <c r="U18" i="214"/>
  <c r="T18" i="214"/>
  <c r="R26" i="214"/>
  <c r="S26" i="214" s="1"/>
  <c r="U26" i="214"/>
  <c r="T26" i="214"/>
  <c r="U19" i="214"/>
  <c r="T19" i="214"/>
  <c r="R19" i="214"/>
  <c r="S19" i="214" s="1"/>
  <c r="AL13" i="213"/>
  <c r="AM4" i="213"/>
  <c r="AM5" i="213" s="1"/>
  <c r="AM6" i="213"/>
  <c r="U23" i="214"/>
  <c r="T23" i="214"/>
  <c r="R23" i="214"/>
  <c r="S23" i="214" s="1"/>
  <c r="U21" i="214"/>
  <c r="T21" i="214"/>
  <c r="R21" i="214"/>
  <c r="S21" i="214" s="1"/>
  <c r="R20" i="214"/>
  <c r="S20" i="214" s="1"/>
  <c r="U20" i="214"/>
  <c r="T20" i="214"/>
  <c r="AM12" i="213"/>
  <c r="AN12" i="213" s="1"/>
  <c r="AO12" i="213" s="1"/>
  <c r="U17" i="214"/>
  <c r="T17" i="214"/>
  <c r="R17" i="214"/>
  <c r="S17" i="214" s="1"/>
  <c r="Q12" i="214"/>
  <c r="R24" i="214"/>
  <c r="S24" i="214" s="1"/>
  <c r="U24" i="214"/>
  <c r="T24" i="214"/>
  <c r="AJ6" i="213"/>
  <c r="AJ4" i="213"/>
  <c r="U25" i="214"/>
  <c r="T25" i="214"/>
  <c r="R25" i="214"/>
  <c r="S25" i="214" s="1"/>
  <c r="R22" i="214"/>
  <c r="S22" i="214" s="1"/>
  <c r="U22" i="214"/>
  <c r="T22" i="214"/>
  <c r="AI7" i="215"/>
  <c r="I15" i="205"/>
  <c r="H15" i="205"/>
  <c r="F16" i="205"/>
  <c r="G16" i="205"/>
  <c r="D15" i="205"/>
  <c r="A12" i="205"/>
  <c r="H13" i="204"/>
  <c r="V13" i="204" s="1" a="1"/>
  <c r="V13" i="204" s="1"/>
  <c r="V12" i="204" a="1"/>
  <c r="V12" i="204" s="1"/>
  <c r="AM7" i="202"/>
  <c r="U8" i="202"/>
  <c r="L18" i="202" a="1"/>
  <c r="H3" i="198"/>
  <c r="G3" i="198"/>
  <c r="L18" i="198" s="1" a="1"/>
  <c r="U6" i="198"/>
  <c r="AM5" i="198"/>
  <c r="H19" i="201"/>
  <c r="K18" i="201"/>
  <c r="H18" i="201"/>
  <c r="K17" i="201"/>
  <c r="I17" i="201"/>
  <c r="H17" i="201"/>
  <c r="K16" i="201"/>
  <c r="H16" i="201"/>
  <c r="K15" i="201"/>
  <c r="H15" i="201"/>
  <c r="H14" i="201"/>
  <c r="I18" i="201" s="1"/>
  <c r="H13" i="201"/>
  <c r="K12" i="201"/>
  <c r="H12" i="201"/>
  <c r="I16" i="201" s="1"/>
  <c r="K11" i="201"/>
  <c r="H11" i="201"/>
  <c r="I15" i="201" s="1"/>
  <c r="K10" i="201"/>
  <c r="H10" i="201"/>
  <c r="K9" i="201"/>
  <c r="H9" i="201"/>
  <c r="I13" i="201" s="1"/>
  <c r="K8" i="201"/>
  <c r="H8" i="201"/>
  <c r="F5" i="201"/>
  <c r="F6" i="201" s="1"/>
  <c r="F7" i="201" s="1"/>
  <c r="F8" i="201" s="1"/>
  <c r="F9" i="201" s="1"/>
  <c r="F10" i="201" s="1"/>
  <c r="F11" i="201" s="1"/>
  <c r="F12" i="201" s="1"/>
  <c r="F13" i="201" s="1"/>
  <c r="F14" i="201" s="1"/>
  <c r="F15" i="201" s="1"/>
  <c r="F16" i="201" s="1"/>
  <c r="F17" i="201" s="1"/>
  <c r="F18" i="201" s="1"/>
  <c r="F19" i="201" s="1"/>
  <c r="B5" i="201"/>
  <c r="B6" i="201" s="1"/>
  <c r="B7" i="201" s="1"/>
  <c r="B8" i="201" s="1"/>
  <c r="B9" i="201" s="1"/>
  <c r="B10" i="201" s="1"/>
  <c r="B11" i="201" s="1"/>
  <c r="B12" i="201" s="1"/>
  <c r="B13" i="201" s="1"/>
  <c r="B14" i="201" s="1"/>
  <c r="B15" i="201" s="1"/>
  <c r="B16" i="201" s="1"/>
  <c r="B17" i="201" s="1"/>
  <c r="B18" i="201" s="1"/>
  <c r="B19" i="201" s="1"/>
  <c r="K13" i="200"/>
  <c r="K14" i="200" s="1"/>
  <c r="K15" i="200" s="1"/>
  <c r="K16" i="200" s="1"/>
  <c r="K17" i="200" s="1"/>
  <c r="K18" i="200" s="1"/>
  <c r="K19" i="200" s="1"/>
  <c r="K9" i="200"/>
  <c r="K10" i="200" s="1"/>
  <c r="K11" i="200" s="1"/>
  <c r="J8" i="200"/>
  <c r="F5" i="200"/>
  <c r="F6" i="200" s="1"/>
  <c r="F7" i="200" s="1"/>
  <c r="F8" i="200" s="1"/>
  <c r="F9" i="200" s="1"/>
  <c r="F10" i="200" s="1"/>
  <c r="F11" i="200" s="1"/>
  <c r="F12" i="200" s="1"/>
  <c r="F13" i="200" s="1"/>
  <c r="F14" i="200" s="1"/>
  <c r="F15" i="200" s="1"/>
  <c r="F16" i="200" s="1"/>
  <c r="F17" i="200" s="1"/>
  <c r="F18" i="200" s="1"/>
  <c r="F19" i="200" s="1"/>
  <c r="B5" i="200"/>
  <c r="B6" i="200" s="1"/>
  <c r="B7" i="200" s="1"/>
  <c r="B8" i="200" s="1"/>
  <c r="B9" i="200" s="1"/>
  <c r="B10" i="200" s="1"/>
  <c r="B11" i="200" s="1"/>
  <c r="B12" i="200" s="1"/>
  <c r="B13" i="200" s="1"/>
  <c r="B14" i="200" s="1"/>
  <c r="B15" i="200" s="1"/>
  <c r="B16" i="200" s="1"/>
  <c r="B17" i="200" s="1"/>
  <c r="B18" i="200" s="1"/>
  <c r="B19" i="200" s="1"/>
  <c r="K4" i="200"/>
  <c r="K5" i="200" s="1"/>
  <c r="K6" i="200" s="1"/>
  <c r="K7" i="200" s="1"/>
  <c r="F6" i="196"/>
  <c r="F7" i="196" s="1"/>
  <c r="F8" i="196" s="1"/>
  <c r="F9" i="196" s="1"/>
  <c r="F10" i="196" s="1"/>
  <c r="F11" i="196" s="1"/>
  <c r="F12" i="196" s="1"/>
  <c r="F13" i="196" s="1"/>
  <c r="F14" i="196" s="1"/>
  <c r="F15" i="196" s="1"/>
  <c r="F16" i="196" s="1"/>
  <c r="F17" i="196" s="1"/>
  <c r="F18" i="196" s="1"/>
  <c r="F19" i="196" s="1"/>
  <c r="B6" i="196"/>
  <c r="B7" i="196" s="1"/>
  <c r="B8" i="196" s="1"/>
  <c r="B9" i="196" s="1"/>
  <c r="B10" i="196" s="1"/>
  <c r="B11" i="196" s="1"/>
  <c r="B12" i="196" s="1"/>
  <c r="B13" i="196" s="1"/>
  <c r="B14" i="196" s="1"/>
  <c r="B15" i="196" s="1"/>
  <c r="B16" i="196" s="1"/>
  <c r="B17" i="196" s="1"/>
  <c r="B18" i="196" s="1"/>
  <c r="B19" i="196" s="1"/>
  <c r="F5" i="196"/>
  <c r="B5" i="196"/>
  <c r="AD18" i="199"/>
  <c r="AD17" i="199"/>
  <c r="AH17" i="199" s="1"/>
  <c r="AD16" i="199"/>
  <c r="AH16" i="199" s="1"/>
  <c r="AD15" i="199"/>
  <c r="AG14" i="199"/>
  <c r="AD14" i="199"/>
  <c r="AF14" i="199" s="1"/>
  <c r="AD13" i="199"/>
  <c r="AD12" i="199"/>
  <c r="AF12" i="199" s="1"/>
  <c r="AD11" i="199"/>
  <c r="AH11" i="199" s="1"/>
  <c r="AD10" i="199"/>
  <c r="AD9" i="199"/>
  <c r="AG8" i="199"/>
  <c r="AD8" i="199"/>
  <c r="AF8" i="199" s="1"/>
  <c r="AD7" i="199"/>
  <c r="AH7" i="199" s="1"/>
  <c r="A7" i="199"/>
  <c r="A8" i="199" s="1"/>
  <c r="A9" i="199" s="1"/>
  <c r="A10" i="199" s="1"/>
  <c r="A11" i="199" s="1"/>
  <c r="A12" i="199" s="1"/>
  <c r="A13" i="199" s="1"/>
  <c r="A14" i="199" s="1"/>
  <c r="A15" i="199" s="1"/>
  <c r="A16" i="199" s="1"/>
  <c r="A17" i="199" s="1"/>
  <c r="A18" i="199" s="1"/>
  <c r="AD6" i="199"/>
  <c r="AH6" i="199" s="1"/>
  <c r="AD5" i="199"/>
  <c r="AH5" i="199" s="1"/>
  <c r="AC5" i="199"/>
  <c r="R5" i="199"/>
  <c r="R6" i="199" s="1"/>
  <c r="R7" i="199" s="1"/>
  <c r="R8" i="199" s="1"/>
  <c r="R9" i="199" s="1"/>
  <c r="R10" i="199" s="1"/>
  <c r="R11" i="199" s="1"/>
  <c r="R12" i="199" s="1"/>
  <c r="R13" i="199" s="1"/>
  <c r="R14" i="199" s="1"/>
  <c r="R15" i="199" s="1"/>
  <c r="R16" i="199" s="1"/>
  <c r="R17" i="199" s="1"/>
  <c r="R18" i="199" s="1"/>
  <c r="D5" i="199"/>
  <c r="D6" i="199" s="1"/>
  <c r="A5" i="199"/>
  <c r="A6" i="199" s="1"/>
  <c r="AD4" i="199"/>
  <c r="AF4" i="199" s="1"/>
  <c r="AC4" i="199"/>
  <c r="J18" i="218" l="1"/>
  <c r="H17" i="218"/>
  <c r="I17" i="218"/>
  <c r="G18" i="218"/>
  <c r="K18" i="217"/>
  <c r="M16" i="217"/>
  <c r="L16" i="217"/>
  <c r="K17" i="217"/>
  <c r="M17" i="217" s="1"/>
  <c r="G17" i="217"/>
  <c r="K15" i="216"/>
  <c r="J15" i="216"/>
  <c r="I16" i="216"/>
  <c r="G16" i="216"/>
  <c r="H17" i="216"/>
  <c r="F17" i="216"/>
  <c r="K16" i="216"/>
  <c r="J16" i="216"/>
  <c r="I17" i="216"/>
  <c r="AC12" i="211"/>
  <c r="AD12" i="211" s="1"/>
  <c r="AE12" i="211" s="1"/>
  <c r="AI8" i="215"/>
  <c r="R12" i="214"/>
  <c r="P5" i="214"/>
  <c r="Q13" i="214"/>
  <c r="U12" i="215"/>
  <c r="AJ7" i="213"/>
  <c r="I16" i="205"/>
  <c r="F17" i="205"/>
  <c r="H16" i="205"/>
  <c r="D16" i="205"/>
  <c r="A13" i="205"/>
  <c r="G17" i="205"/>
  <c r="AF5" i="199"/>
  <c r="AG12" i="199"/>
  <c r="I14" i="201"/>
  <c r="AF16" i="199"/>
  <c r="AG5" i="199"/>
  <c r="AG4" i="199"/>
  <c r="I19" i="201"/>
  <c r="AF6" i="199"/>
  <c r="I12" i="201"/>
  <c r="M8" i="202"/>
  <c r="M14" i="202" s="1"/>
  <c r="M12" i="202"/>
  <c r="O19" i="202"/>
  <c r="J4" i="202" a="1"/>
  <c r="J13" i="202" s="1"/>
  <c r="N14" i="202"/>
  <c r="AM8" i="202"/>
  <c r="U9" i="202"/>
  <c r="L18" i="202"/>
  <c r="L19" i="202"/>
  <c r="U7" i="198"/>
  <c r="AM6" i="198"/>
  <c r="M12" i="198"/>
  <c r="L19" i="198"/>
  <c r="L18" i="198"/>
  <c r="M8" i="198"/>
  <c r="J4" i="198" a="1"/>
  <c r="N14" i="198"/>
  <c r="AE18" i="199"/>
  <c r="AG18" i="199" s="1"/>
  <c r="AE14" i="199"/>
  <c r="AE10" i="199"/>
  <c r="AE6" i="199"/>
  <c r="AE17" i="199"/>
  <c r="AE13" i="199"/>
  <c r="AE9" i="199"/>
  <c r="AE5" i="199"/>
  <c r="AE16" i="199"/>
  <c r="AE8" i="199"/>
  <c r="AE15" i="199"/>
  <c r="AE7" i="199"/>
  <c r="AE12" i="199"/>
  <c r="AE4" i="199"/>
  <c r="AE11" i="199"/>
  <c r="AG13" i="199"/>
  <c r="AF13" i="199"/>
  <c r="AC6" i="199"/>
  <c r="D7" i="199"/>
  <c r="AG7" i="199"/>
  <c r="AF7" i="199"/>
  <c r="AG11" i="199"/>
  <c r="AF11" i="199"/>
  <c r="AH13" i="199"/>
  <c r="AG17" i="199"/>
  <c r="AF17" i="199"/>
  <c r="AH8" i="199"/>
  <c r="AH12" i="199"/>
  <c r="AH14" i="199"/>
  <c r="AH4" i="199"/>
  <c r="AG6" i="199"/>
  <c r="AG16" i="199"/>
  <c r="H18" i="218" l="1"/>
  <c r="J19" i="218" s="1"/>
  <c r="I18" i="218"/>
  <c r="G19" i="218"/>
  <c r="L17" i="217"/>
  <c r="I17" i="217"/>
  <c r="H17" i="217"/>
  <c r="J18" i="217" s="1"/>
  <c r="G17" i="216"/>
  <c r="H18" i="216" s="1"/>
  <c r="K17" i="216"/>
  <c r="J17" i="216"/>
  <c r="I18" i="216"/>
  <c r="S6" i="214"/>
  <c r="S4" i="214"/>
  <c r="S5" i="214" s="1"/>
  <c r="R13" i="214"/>
  <c r="P7" i="214" s="1"/>
  <c r="P6" i="214"/>
  <c r="P4" i="214"/>
  <c r="AI9" i="215"/>
  <c r="I17" i="205"/>
  <c r="H17" i="205"/>
  <c r="F18" i="205"/>
  <c r="G18" i="205"/>
  <c r="D17" i="205"/>
  <c r="A14" i="205"/>
  <c r="M13" i="202"/>
  <c r="R19" i="202" s="1"/>
  <c r="O17" i="202"/>
  <c r="O18" i="202"/>
  <c r="J14" i="202"/>
  <c r="AV14" i="202" s="1"/>
  <c r="J15" i="202"/>
  <c r="AV15" i="202" s="1"/>
  <c r="J4" i="202"/>
  <c r="AV4" i="202" s="1"/>
  <c r="J20" i="202"/>
  <c r="AV20" i="202" s="1"/>
  <c r="J17" i="202"/>
  <c r="V18" i="202" s="1"/>
  <c r="J22" i="202"/>
  <c r="J19" i="202"/>
  <c r="V20" i="202" s="1"/>
  <c r="J8" i="202"/>
  <c r="AV8" i="202" s="1"/>
  <c r="J5" i="202"/>
  <c r="AV5" i="202" s="1"/>
  <c r="J21" i="202"/>
  <c r="AV21" i="202" s="1"/>
  <c r="J7" i="202"/>
  <c r="V8" i="202" s="1"/>
  <c r="J6" i="202"/>
  <c r="V7" i="202" s="1"/>
  <c r="J12" i="202"/>
  <c r="AV12" i="202" s="1"/>
  <c r="J9" i="202"/>
  <c r="V10" i="202" s="1"/>
  <c r="J10" i="202"/>
  <c r="AV10" i="202" s="1"/>
  <c r="J11" i="202"/>
  <c r="AV11" i="202" s="1"/>
  <c r="J18" i="202"/>
  <c r="V19" i="202" s="1"/>
  <c r="J16" i="202"/>
  <c r="AV16" i="202" s="1"/>
  <c r="O12" i="202"/>
  <c r="M5" i="202"/>
  <c r="N13" i="202"/>
  <c r="AV13" i="202"/>
  <c r="V14" i="202"/>
  <c r="AM9" i="202"/>
  <c r="U10" i="202"/>
  <c r="AH18" i="199"/>
  <c r="AF18" i="199"/>
  <c r="M14" i="198"/>
  <c r="M13" i="198" s="1"/>
  <c r="Q17" i="198" s="1"/>
  <c r="U8" i="198"/>
  <c r="AM7" i="198"/>
  <c r="O18" i="198"/>
  <c r="O17" i="198"/>
  <c r="J20" i="198"/>
  <c r="J16" i="198"/>
  <c r="J12" i="198"/>
  <c r="J8" i="198"/>
  <c r="J4" i="198"/>
  <c r="J19" i="198"/>
  <c r="J15" i="198"/>
  <c r="J11" i="198"/>
  <c r="J7" i="198"/>
  <c r="J22" i="198"/>
  <c r="J18" i="198"/>
  <c r="J14" i="198"/>
  <c r="J10" i="198"/>
  <c r="J6" i="198"/>
  <c r="J21" i="198"/>
  <c r="J5" i="198"/>
  <c r="J17" i="198"/>
  <c r="J13" i="198"/>
  <c r="J9" i="198"/>
  <c r="O19" i="198"/>
  <c r="K4" i="201"/>
  <c r="I8" i="201"/>
  <c r="I11" i="201"/>
  <c r="K7" i="201"/>
  <c r="K5" i="201"/>
  <c r="I9" i="201"/>
  <c r="K6" i="201"/>
  <c r="I10" i="201"/>
  <c r="AO4" i="199"/>
  <c r="AJ4" i="199"/>
  <c r="AQ9" i="199"/>
  <c r="AL9" i="199"/>
  <c r="AQ7" i="199"/>
  <c r="AL7" i="199"/>
  <c r="AH20" i="199"/>
  <c r="AQ6" i="199"/>
  <c r="AL6" i="199"/>
  <c r="AC7" i="199"/>
  <c r="D8" i="199"/>
  <c r="AF10" i="199"/>
  <c r="AQ5" i="199"/>
  <c r="AL5" i="199"/>
  <c r="AL4" i="199"/>
  <c r="AF9" i="199"/>
  <c r="AQ4" i="199"/>
  <c r="AQ8" i="199"/>
  <c r="AL8" i="199"/>
  <c r="AQ10" i="199"/>
  <c r="AL10" i="199"/>
  <c r="AF15" i="199"/>
  <c r="J23" i="218" l="1"/>
  <c r="K23" i="218"/>
  <c r="I23" i="218"/>
  <c r="H19" i="218"/>
  <c r="J20" i="218"/>
  <c r="I19" i="218"/>
  <c r="L18" i="217"/>
  <c r="M18" i="217"/>
  <c r="K19" i="217"/>
  <c r="G18" i="217"/>
  <c r="K18" i="216"/>
  <c r="J18" i="216"/>
  <c r="I19" i="216"/>
  <c r="F18" i="216"/>
  <c r="S12" i="214"/>
  <c r="T12" i="214" s="1"/>
  <c r="U12" i="214" s="1"/>
  <c r="AI10" i="215"/>
  <c r="P19" i="202"/>
  <c r="V12" i="202"/>
  <c r="AN12" i="202" s="1"/>
  <c r="V16" i="202"/>
  <c r="AN16" i="202" s="1"/>
  <c r="R18" i="202"/>
  <c r="V15" i="202"/>
  <c r="AN15" i="202" s="1"/>
  <c r="AV18" i="202"/>
  <c r="F19" i="205"/>
  <c r="I18" i="205"/>
  <c r="H18" i="205"/>
  <c r="G19" i="205"/>
  <c r="A15" i="205"/>
  <c r="D18" i="205"/>
  <c r="P18" i="202"/>
  <c r="V22" i="202"/>
  <c r="AN22" i="202" s="1"/>
  <c r="Q18" i="202"/>
  <c r="P17" i="202"/>
  <c r="V6" i="202"/>
  <c r="AN6" i="202" s="1"/>
  <c r="Q19" i="202"/>
  <c r="R17" i="202"/>
  <c r="Q17" i="202"/>
  <c r="AV6" i="202"/>
  <c r="K19" i="201"/>
  <c r="K13" i="201"/>
  <c r="K14" i="201"/>
  <c r="Z5" i="202"/>
  <c r="AA5" i="202" s="1"/>
  <c r="AA4" i="202"/>
  <c r="V23" i="202"/>
  <c r="AN23" i="202" s="1"/>
  <c r="AV22" i="202"/>
  <c r="AV17" i="202"/>
  <c r="V13" i="202"/>
  <c r="AN13" i="202" s="1"/>
  <c r="AV9" i="202"/>
  <c r="V11" i="202"/>
  <c r="AN11" i="202" s="1"/>
  <c r="R18" i="198"/>
  <c r="AV7" i="202"/>
  <c r="V21" i="202"/>
  <c r="AN21" i="202" s="1"/>
  <c r="V9" i="202"/>
  <c r="AN9" i="202" s="1"/>
  <c r="V17" i="202"/>
  <c r="AN17" i="202" s="1"/>
  <c r="Q18" i="198"/>
  <c r="V5" i="202"/>
  <c r="AV19" i="202"/>
  <c r="P19" i="198"/>
  <c r="P17" i="198"/>
  <c r="R19" i="198"/>
  <c r="O13" i="202"/>
  <c r="M7" i="202" s="1"/>
  <c r="P4" i="202"/>
  <c r="P5" i="202" s="1"/>
  <c r="P6" i="202"/>
  <c r="AN18" i="202"/>
  <c r="AN7" i="202"/>
  <c r="AN19" i="202"/>
  <c r="AN8" i="202"/>
  <c r="AN20" i="202"/>
  <c r="M6" i="202"/>
  <c r="M4" i="202"/>
  <c r="AN14" i="202"/>
  <c r="AN10" i="202"/>
  <c r="AM10" i="202"/>
  <c r="U11" i="202"/>
  <c r="R17" i="198"/>
  <c r="P18" i="198"/>
  <c r="Q19" i="198"/>
  <c r="M5" i="198"/>
  <c r="O12" i="198"/>
  <c r="N13" i="198"/>
  <c r="V10" i="198"/>
  <c r="AV9" i="198"/>
  <c r="AV21" i="198"/>
  <c r="V22" i="198"/>
  <c r="AV18" i="198"/>
  <c r="V19" i="198"/>
  <c r="AV15" i="198"/>
  <c r="V16" i="198"/>
  <c r="V13" i="198"/>
  <c r="AV12" i="198"/>
  <c r="AM8" i="198"/>
  <c r="U9" i="198"/>
  <c r="AV13" i="198"/>
  <c r="V14" i="198"/>
  <c r="V7" i="198"/>
  <c r="AV6" i="198"/>
  <c r="V23" i="198"/>
  <c r="AV22" i="198"/>
  <c r="AV19" i="198"/>
  <c r="V20" i="198"/>
  <c r="AV16" i="198"/>
  <c r="V17" i="198"/>
  <c r="AV17" i="198"/>
  <c r="V18" i="198"/>
  <c r="V11" i="198"/>
  <c r="AV10" i="198"/>
  <c r="V8" i="198"/>
  <c r="AV7" i="198"/>
  <c r="AV4" i="198"/>
  <c r="V5" i="198"/>
  <c r="AV20" i="198"/>
  <c r="V21" i="198"/>
  <c r="V6" i="198"/>
  <c r="AV5" i="198"/>
  <c r="V15" i="198"/>
  <c r="AV14" i="198"/>
  <c r="V12" i="198"/>
  <c r="AV11" i="198"/>
  <c r="AV8" i="198"/>
  <c r="V9" i="198"/>
  <c r="D9" i="199"/>
  <c r="AC8" i="199"/>
  <c r="AO5" i="199"/>
  <c r="AJ5" i="199"/>
  <c r="AG20" i="199"/>
  <c r="I18" i="217" l="1"/>
  <c r="I22" i="217" s="1"/>
  <c r="I26" i="217" s="1"/>
  <c r="H18" i="217"/>
  <c r="J19" i="217" s="1"/>
  <c r="G18" i="216"/>
  <c r="H19" i="216" s="1"/>
  <c r="AI11" i="215"/>
  <c r="AJ5" i="202"/>
  <c r="H19" i="205"/>
  <c r="F20" i="205"/>
  <c r="I19" i="205"/>
  <c r="G20" i="205"/>
  <c r="A16" i="205"/>
  <c r="D19" i="205"/>
  <c r="AJ4" i="202"/>
  <c r="AA15" i="202"/>
  <c r="AA16" i="202"/>
  <c r="AN5" i="202"/>
  <c r="AA17" i="202"/>
  <c r="P12" i="202"/>
  <c r="Q12" i="202" s="1"/>
  <c r="R12" i="202" s="1"/>
  <c r="U12" i="202"/>
  <c r="AM11" i="202"/>
  <c r="W5" i="202"/>
  <c r="AN12" i="198"/>
  <c r="AN6" i="198"/>
  <c r="AN11" i="198"/>
  <c r="AN23" i="198"/>
  <c r="AN13" i="198"/>
  <c r="AN10" i="198"/>
  <c r="AN9" i="198"/>
  <c r="AN21" i="198"/>
  <c r="AN18" i="198"/>
  <c r="AN20" i="198"/>
  <c r="AM9" i="198"/>
  <c r="U10" i="198"/>
  <c r="AN16" i="198"/>
  <c r="AN22" i="198"/>
  <c r="AJ5" i="198"/>
  <c r="AA4" i="198"/>
  <c r="O13" i="198"/>
  <c r="M7" i="198" s="1"/>
  <c r="P4" i="198"/>
  <c r="P5" i="198" s="1"/>
  <c r="P6" i="198"/>
  <c r="AN15" i="198"/>
  <c r="AN8" i="198"/>
  <c r="AN7" i="198"/>
  <c r="AA16" i="198"/>
  <c r="AA17" i="198"/>
  <c r="AA15" i="198"/>
  <c r="AN5" i="198"/>
  <c r="AN17" i="198"/>
  <c r="AN14" i="198"/>
  <c r="AN19" i="198"/>
  <c r="Z5" i="198"/>
  <c r="AA5" i="198" s="1"/>
  <c r="AJ4" i="198"/>
  <c r="M4" i="198"/>
  <c r="M6" i="198"/>
  <c r="AO6" i="199"/>
  <c r="AJ6" i="199"/>
  <c r="AC9" i="199"/>
  <c r="D10" i="199"/>
  <c r="M19" i="217" l="1"/>
  <c r="L19" i="217"/>
  <c r="K20" i="217"/>
  <c r="G19" i="217"/>
  <c r="K19" i="216"/>
  <c r="J19" i="216"/>
  <c r="I20" i="216"/>
  <c r="F19" i="216"/>
  <c r="AI12" i="215"/>
  <c r="D20" i="205"/>
  <c r="A17" i="205"/>
  <c r="I20" i="205"/>
  <c r="H20" i="205"/>
  <c r="F21" i="205"/>
  <c r="G21" i="205"/>
  <c r="AK4" i="202"/>
  <c r="AK5" i="202"/>
  <c r="W5" i="198"/>
  <c r="P12" i="198"/>
  <c r="Q12" i="198" s="1"/>
  <c r="R12" i="198" s="1"/>
  <c r="AK5" i="198"/>
  <c r="AO5" i="202"/>
  <c r="AP5" i="202" s="1"/>
  <c r="W6" i="202"/>
  <c r="U13" i="202"/>
  <c r="AM12" i="202"/>
  <c r="AK4" i="198"/>
  <c r="AM10" i="198"/>
  <c r="U11" i="198"/>
  <c r="AC10" i="199"/>
  <c r="D11" i="199"/>
  <c r="AO7" i="199"/>
  <c r="AJ7" i="199"/>
  <c r="H19" i="217" l="1"/>
  <c r="I19" i="217"/>
  <c r="I23" i="217" s="1"/>
  <c r="I27" i="217" s="1"/>
  <c r="J20" i="217"/>
  <c r="G20" i="217"/>
  <c r="G19" i="216"/>
  <c r="H20" i="216" s="1"/>
  <c r="F20" i="216"/>
  <c r="AI13" i="215"/>
  <c r="W6" i="198"/>
  <c r="AO6" i="198" s="1"/>
  <c r="AP6" i="198" s="1"/>
  <c r="I21" i="205"/>
  <c r="F22" i="205"/>
  <c r="H21" i="205"/>
  <c r="G22" i="205"/>
  <c r="A18" i="205"/>
  <c r="D22" i="205" s="1"/>
  <c r="D21" i="205"/>
  <c r="AO5" i="198"/>
  <c r="AP5" i="198" s="1"/>
  <c r="U14" i="202"/>
  <c r="AM13" i="202"/>
  <c r="AO6" i="202"/>
  <c r="AP6" i="202" s="1"/>
  <c r="W7" i="202"/>
  <c r="U12" i="198"/>
  <c r="AM11" i="198"/>
  <c r="AP4" i="199"/>
  <c r="AK4" i="199"/>
  <c r="AP7" i="199"/>
  <c r="AR7" i="199" s="1"/>
  <c r="AK7" i="199"/>
  <c r="AM7" i="199" s="1"/>
  <c r="AP6" i="199"/>
  <c r="AR6" i="199" s="1"/>
  <c r="AK6" i="199"/>
  <c r="AM6" i="199" s="1"/>
  <c r="AP5" i="199"/>
  <c r="AR5" i="199" s="1"/>
  <c r="AK5" i="199"/>
  <c r="AM5" i="199" s="1"/>
  <c r="AC11" i="199"/>
  <c r="D12" i="199"/>
  <c r="AO8" i="199"/>
  <c r="AJ8" i="199"/>
  <c r="AP8" i="199" s="1"/>
  <c r="AR8" i="199" s="1"/>
  <c r="H20" i="217" l="1"/>
  <c r="J21" i="217"/>
  <c r="I20" i="217"/>
  <c r="I24" i="217" s="1"/>
  <c r="G21" i="217"/>
  <c r="L20" i="217"/>
  <c r="M20" i="217"/>
  <c r="K21" i="217"/>
  <c r="K20" i="216"/>
  <c r="J20" i="216"/>
  <c r="G27" i="216"/>
  <c r="I27" i="216"/>
  <c r="H27" i="216"/>
  <c r="I21" i="216"/>
  <c r="H23" i="216"/>
  <c r="H21" i="216"/>
  <c r="G20" i="216"/>
  <c r="H24" i="216" s="1"/>
  <c r="AI14" i="215"/>
  <c r="W7" i="198"/>
  <c r="AO7" i="198" s="1"/>
  <c r="AP7" i="198" s="1"/>
  <c r="H22" i="205"/>
  <c r="F23" i="205"/>
  <c r="I22" i="205"/>
  <c r="F26" i="205"/>
  <c r="E26" i="205"/>
  <c r="G23" i="205"/>
  <c r="G26" i="205"/>
  <c r="AO7" i="202"/>
  <c r="AP7" i="202" s="1"/>
  <c r="W8" i="202"/>
  <c r="U15" i="202"/>
  <c r="AM14" i="202"/>
  <c r="U13" i="198"/>
  <c r="AM12" i="198"/>
  <c r="AR4" i="199"/>
  <c r="AK8" i="199"/>
  <c r="AM8" i="199" s="1"/>
  <c r="D13" i="199"/>
  <c r="AC12" i="199"/>
  <c r="AM4" i="199"/>
  <c r="AO9" i="199"/>
  <c r="AJ9" i="199"/>
  <c r="AH9" i="199"/>
  <c r="AG9" i="199"/>
  <c r="H21" i="217" l="1"/>
  <c r="J25" i="217" s="1"/>
  <c r="J27" i="217"/>
  <c r="I21" i="217"/>
  <c r="I25" i="217" s="1"/>
  <c r="J26" i="217"/>
  <c r="J23" i="217"/>
  <c r="M21" i="217"/>
  <c r="L21" i="217"/>
  <c r="K22" i="217"/>
  <c r="J30" i="217"/>
  <c r="I30" i="217"/>
  <c r="K30" i="217"/>
  <c r="I22" i="216"/>
  <c r="I23" i="216" s="1"/>
  <c r="K21" i="216"/>
  <c r="J21" i="216"/>
  <c r="H22" i="216"/>
  <c r="W8" i="198"/>
  <c r="W9" i="198" s="1"/>
  <c r="AI15" i="215"/>
  <c r="I23" i="205"/>
  <c r="H23" i="205"/>
  <c r="AO8" i="202"/>
  <c r="AP8" i="202" s="1"/>
  <c r="W9" i="202"/>
  <c r="AM15" i="202"/>
  <c r="U16" i="202"/>
  <c r="AM13" i="198"/>
  <c r="U14" i="198"/>
  <c r="AC13" i="199"/>
  <c r="D14" i="199"/>
  <c r="AP9" i="199"/>
  <c r="AK9" i="199"/>
  <c r="AM9" i="199" s="1"/>
  <c r="AO10" i="199"/>
  <c r="AJ10" i="199"/>
  <c r="AH10" i="199"/>
  <c r="AG10" i="199"/>
  <c r="AO8" i="198" l="1"/>
  <c r="AP8" i="198" s="1"/>
  <c r="J24" i="217"/>
  <c r="J22" i="217"/>
  <c r="K23" i="217"/>
  <c r="L23" i="217" s="1"/>
  <c r="K23" i="216"/>
  <c r="I24" i="216"/>
  <c r="J23" i="216"/>
  <c r="K22" i="216"/>
  <c r="J22" i="216"/>
  <c r="AI16" i="215"/>
  <c r="AO9" i="202"/>
  <c r="AP9" i="202" s="1"/>
  <c r="W10" i="202"/>
  <c r="U17" i="202"/>
  <c r="AM16" i="202"/>
  <c r="AO9" i="198"/>
  <c r="AP9" i="198" s="1"/>
  <c r="W10" i="198"/>
  <c r="U15" i="198"/>
  <c r="AM14" i="198"/>
  <c r="AR9" i="199"/>
  <c r="D15" i="199"/>
  <c r="AC14" i="199"/>
  <c r="AK10" i="199"/>
  <c r="AP10" i="199"/>
  <c r="AR10" i="199" s="1"/>
  <c r="L22" i="217" l="1"/>
  <c r="M22" i="217"/>
  <c r="K24" i="217"/>
  <c r="K25" i="217" s="1"/>
  <c r="M23" i="217"/>
  <c r="K24" i="216"/>
  <c r="J24" i="216"/>
  <c r="AI17" i="215"/>
  <c r="AO10" i="202"/>
  <c r="AP10" i="202" s="1"/>
  <c r="W11" i="202"/>
  <c r="U18" i="202"/>
  <c r="AM17" i="202"/>
  <c r="AO10" i="198"/>
  <c r="AP10" i="198" s="1"/>
  <c r="W11" i="198"/>
  <c r="U16" i="198"/>
  <c r="AM15" i="198"/>
  <c r="AC15" i="199"/>
  <c r="D16" i="199"/>
  <c r="AP11" i="199"/>
  <c r="AM10" i="199"/>
  <c r="AM11" i="199" s="1"/>
  <c r="AM12" i="199" s="1"/>
  <c r="AK11" i="199"/>
  <c r="AR11" i="199"/>
  <c r="M24" i="217" l="1"/>
  <c r="L25" i="217"/>
  <c r="M25" i="217"/>
  <c r="K26" i="217"/>
  <c r="L24" i="217"/>
  <c r="AI18" i="215"/>
  <c r="AM18" i="202"/>
  <c r="U19" i="202"/>
  <c r="AO11" i="202"/>
  <c r="AP11" i="202" s="1"/>
  <c r="W12" i="202"/>
  <c r="AM16" i="198"/>
  <c r="U17" i="198"/>
  <c r="AO11" i="198"/>
  <c r="AP11" i="198" s="1"/>
  <c r="W12" i="198"/>
  <c r="AR12" i="199"/>
  <c r="AC16" i="199"/>
  <c r="D17" i="199"/>
  <c r="K27" i="217" l="1"/>
  <c r="M26" i="217"/>
  <c r="L26" i="217"/>
  <c r="AI19" i="215"/>
  <c r="AO12" i="202"/>
  <c r="AP12" i="202" s="1"/>
  <c r="W13" i="202"/>
  <c r="U20" i="202"/>
  <c r="AM19" i="202"/>
  <c r="AO12" i="198"/>
  <c r="AP12" i="198" s="1"/>
  <c r="W13" i="198"/>
  <c r="U18" i="198"/>
  <c r="AM17" i="198"/>
  <c r="AC17" i="199"/>
  <c r="D18" i="199"/>
  <c r="M27" i="217" l="1"/>
  <c r="L27" i="217"/>
  <c r="AI20" i="215"/>
  <c r="AO13" i="202"/>
  <c r="AP13" i="202" s="1"/>
  <c r="W14" i="202"/>
  <c r="U21" i="202"/>
  <c r="AM20" i="202"/>
  <c r="AM18" i="198"/>
  <c r="U19" i="198"/>
  <c r="AO13" i="198"/>
  <c r="AP13" i="198" s="1"/>
  <c r="W14" i="198"/>
  <c r="AC18" i="199"/>
  <c r="AG15" i="199"/>
  <c r="AH15" i="199"/>
  <c r="AI21" i="215" l="1"/>
  <c r="AO14" i="202"/>
  <c r="AP14" i="202" s="1"/>
  <c r="W15" i="202"/>
  <c r="AM21" i="202"/>
  <c r="U22" i="202"/>
  <c r="AO14" i="198"/>
  <c r="AP14" i="198" s="1"/>
  <c r="W15" i="198"/>
  <c r="U20" i="198"/>
  <c r="AM19" i="198"/>
  <c r="AI22" i="215" l="1"/>
  <c r="AO15" i="202"/>
  <c r="AP15" i="202" s="1"/>
  <c r="W16" i="202"/>
  <c r="U23" i="202"/>
  <c r="AM23" i="202" s="1"/>
  <c r="AM24" i="202" s="1"/>
  <c r="AM25" i="202" s="1"/>
  <c r="AM26" i="202" s="1"/>
  <c r="AM22" i="202"/>
  <c r="AO15" i="198"/>
  <c r="AP15" i="198" s="1"/>
  <c r="W16" i="198"/>
  <c r="U21" i="198"/>
  <c r="AM20" i="198"/>
  <c r="T5" i="194"/>
  <c r="T6" i="194"/>
  <c r="T7" i="194"/>
  <c r="T8" i="194"/>
  <c r="T9" i="194"/>
  <c r="T10" i="194"/>
  <c r="T11" i="194"/>
  <c r="T12" i="194"/>
  <c r="T13" i="194"/>
  <c r="T14" i="194"/>
  <c r="T15" i="194"/>
  <c r="T16" i="194"/>
  <c r="T17" i="194"/>
  <c r="T18" i="194"/>
  <c r="T19" i="194"/>
  <c r="T20" i="194"/>
  <c r="T21" i="194"/>
  <c r="T22" i="194"/>
  <c r="T23" i="194"/>
  <c r="T24" i="194"/>
  <c r="T25" i="194"/>
  <c r="T26" i="194"/>
  <c r="T27" i="194"/>
  <c r="T28" i="194"/>
  <c r="T29" i="194"/>
  <c r="T30" i="194"/>
  <c r="T31" i="194"/>
  <c r="T32" i="194"/>
  <c r="T33" i="194"/>
  <c r="T4" i="194"/>
  <c r="S5" i="194"/>
  <c r="S6" i="194" s="1"/>
  <c r="S7" i="194" s="1"/>
  <c r="S8" i="194" s="1"/>
  <c r="S9" i="194" s="1"/>
  <c r="S10" i="194" s="1"/>
  <c r="S11" i="194" s="1"/>
  <c r="S12" i="194" s="1"/>
  <c r="S13" i="194" s="1"/>
  <c r="S14" i="194" s="1"/>
  <c r="S15" i="194" s="1"/>
  <c r="S16" i="194" s="1"/>
  <c r="S17" i="194" s="1"/>
  <c r="S18" i="194" s="1"/>
  <c r="S19" i="194" s="1"/>
  <c r="S20" i="194" s="1"/>
  <c r="S21" i="194" s="1"/>
  <c r="S22" i="194" s="1"/>
  <c r="S23" i="194" s="1"/>
  <c r="S24" i="194" s="1"/>
  <c r="S25" i="194" s="1"/>
  <c r="S26" i="194" s="1"/>
  <c r="S27" i="194" s="1"/>
  <c r="S28" i="194" s="1"/>
  <c r="S29" i="194" s="1"/>
  <c r="S30" i="194" s="1"/>
  <c r="S31" i="194" s="1"/>
  <c r="S32" i="194" s="1"/>
  <c r="S33" i="194" s="1"/>
  <c r="S34" i="194" s="1"/>
  <c r="S35" i="194" s="1"/>
  <c r="S36" i="194" s="1"/>
  <c r="S37" i="194" s="1"/>
  <c r="M3" i="194" a="1"/>
  <c r="C5" i="194"/>
  <c r="C6" i="194" s="1"/>
  <c r="C7" i="194" s="1"/>
  <c r="C8" i="194" s="1"/>
  <c r="C9" i="194" s="1"/>
  <c r="C10" i="194" s="1"/>
  <c r="C11" i="194" s="1"/>
  <c r="C12" i="194" s="1"/>
  <c r="C13" i="194" s="1"/>
  <c r="C14" i="194" s="1"/>
  <c r="C15" i="194" s="1"/>
  <c r="C16" i="194" s="1"/>
  <c r="C17" i="194" s="1"/>
  <c r="C18" i="194" s="1"/>
  <c r="C19" i="194" s="1"/>
  <c r="C20" i="194" s="1"/>
  <c r="C21" i="194" s="1"/>
  <c r="C22" i="194" s="1"/>
  <c r="C23" i="194" s="1"/>
  <c r="C24" i="194" s="1"/>
  <c r="C25" i="194" s="1"/>
  <c r="C26" i="194" s="1"/>
  <c r="C27" i="194" s="1"/>
  <c r="C28" i="194" s="1"/>
  <c r="C29" i="194" s="1"/>
  <c r="C30" i="194" s="1"/>
  <c r="C31" i="194" s="1"/>
  <c r="C32" i="194" s="1"/>
  <c r="AI23" i="215" l="1"/>
  <c r="AO16" i="202"/>
  <c r="AP16" i="202" s="1"/>
  <c r="W17" i="202"/>
  <c r="U22" i="198"/>
  <c r="AM21" i="198"/>
  <c r="AO16" i="198"/>
  <c r="AP16" i="198" s="1"/>
  <c r="W17" i="198"/>
  <c r="M4" i="194"/>
  <c r="M5" i="194"/>
  <c r="M6" i="194"/>
  <c r="M3" i="194"/>
  <c r="M7" i="194"/>
  <c r="H27" i="193"/>
  <c r="F19" i="193"/>
  <c r="E19" i="193"/>
  <c r="F18" i="193"/>
  <c r="E18" i="193"/>
  <c r="F17" i="193"/>
  <c r="E17" i="193"/>
  <c r="F16" i="193"/>
  <c r="E16" i="193"/>
  <c r="F15" i="193"/>
  <c r="E15" i="193"/>
  <c r="F14" i="193"/>
  <c r="E14" i="193"/>
  <c r="F13" i="193"/>
  <c r="E13" i="193"/>
  <c r="F12" i="193"/>
  <c r="E12" i="193"/>
  <c r="F11" i="193"/>
  <c r="E11" i="193"/>
  <c r="F10" i="193"/>
  <c r="E10" i="193"/>
  <c r="F9" i="193"/>
  <c r="E9" i="193"/>
  <c r="F8" i="193"/>
  <c r="E8" i="193"/>
  <c r="F7" i="193"/>
  <c r="E7" i="193"/>
  <c r="F6" i="193"/>
  <c r="E6" i="193"/>
  <c r="F5" i="193"/>
  <c r="E5" i="193"/>
  <c r="A5" i="193"/>
  <c r="A6" i="193" s="1"/>
  <c r="A7" i="193" s="1"/>
  <c r="A8" i="193" s="1"/>
  <c r="A9" i="193" s="1"/>
  <c r="A10" i="193" s="1"/>
  <c r="A11" i="193" s="1"/>
  <c r="A12" i="193" s="1"/>
  <c r="A13" i="193" s="1"/>
  <c r="A14" i="193" s="1"/>
  <c r="A15" i="193" s="1"/>
  <c r="A16" i="193" s="1"/>
  <c r="A17" i="193" s="1"/>
  <c r="A18" i="193" s="1"/>
  <c r="A19" i="193" s="1"/>
  <c r="F4" i="193"/>
  <c r="E4" i="193"/>
  <c r="F3" i="193"/>
  <c r="E3" i="193"/>
  <c r="H24" i="192"/>
  <c r="F19" i="192"/>
  <c r="E19" i="192"/>
  <c r="F18" i="192"/>
  <c r="E18" i="192"/>
  <c r="F17" i="192"/>
  <c r="E17" i="192"/>
  <c r="F16" i="192"/>
  <c r="E16" i="192"/>
  <c r="F15" i="192"/>
  <c r="E15" i="192"/>
  <c r="F14" i="192"/>
  <c r="E14" i="192"/>
  <c r="F13" i="192"/>
  <c r="E13" i="192"/>
  <c r="F12" i="192"/>
  <c r="E12" i="192"/>
  <c r="F11" i="192"/>
  <c r="E11" i="192"/>
  <c r="F10" i="192"/>
  <c r="E10" i="192"/>
  <c r="F9" i="192"/>
  <c r="E9" i="192"/>
  <c r="F8" i="192"/>
  <c r="H7" i="192" s="1"/>
  <c r="E8" i="192"/>
  <c r="F7" i="192"/>
  <c r="E7" i="192"/>
  <c r="F6" i="192"/>
  <c r="I6" i="192" s="1"/>
  <c r="E6" i="192"/>
  <c r="F5" i="192"/>
  <c r="E5" i="192"/>
  <c r="A5" i="192"/>
  <c r="A6" i="192" s="1"/>
  <c r="A7" i="192" s="1"/>
  <c r="A8" i="192" s="1"/>
  <c r="A9" i="192" s="1"/>
  <c r="A10" i="192" s="1"/>
  <c r="A11" i="192" s="1"/>
  <c r="A12" i="192" s="1"/>
  <c r="A13" i="192" s="1"/>
  <c r="A14" i="192" s="1"/>
  <c r="A15" i="192" s="1"/>
  <c r="A16" i="192" s="1"/>
  <c r="A17" i="192" s="1"/>
  <c r="A18" i="192" s="1"/>
  <c r="A19" i="192" s="1"/>
  <c r="F4" i="192"/>
  <c r="I7" i="192" s="1"/>
  <c r="E4" i="192"/>
  <c r="F3" i="192"/>
  <c r="E3" i="192"/>
  <c r="H29" i="190"/>
  <c r="F19" i="190"/>
  <c r="E19" i="190"/>
  <c r="F18" i="190"/>
  <c r="E18" i="190"/>
  <c r="F17" i="190"/>
  <c r="E17" i="190"/>
  <c r="F16" i="190"/>
  <c r="E16" i="190"/>
  <c r="F15" i="190"/>
  <c r="E15" i="190"/>
  <c r="F14" i="190"/>
  <c r="E14" i="190"/>
  <c r="F13" i="190"/>
  <c r="E13" i="190"/>
  <c r="F12" i="190"/>
  <c r="E12" i="190"/>
  <c r="F11" i="190"/>
  <c r="E11" i="190"/>
  <c r="F10" i="190"/>
  <c r="E10" i="190"/>
  <c r="F9" i="190"/>
  <c r="E9" i="190"/>
  <c r="F8" i="190"/>
  <c r="E8" i="190"/>
  <c r="F7" i="190"/>
  <c r="I7" i="190" s="1"/>
  <c r="E7" i="190"/>
  <c r="F6" i="190"/>
  <c r="I6" i="190" s="1"/>
  <c r="E6" i="190"/>
  <c r="F5" i="190"/>
  <c r="I5" i="190" s="1"/>
  <c r="E5" i="190"/>
  <c r="A5" i="190"/>
  <c r="A6" i="190" s="1"/>
  <c r="A7" i="190" s="1"/>
  <c r="A8" i="190" s="1"/>
  <c r="A9" i="190" s="1"/>
  <c r="A10" i="190" s="1"/>
  <c r="A11" i="190" s="1"/>
  <c r="A12" i="190" s="1"/>
  <c r="A13" i="190" s="1"/>
  <c r="A14" i="190" s="1"/>
  <c r="A15" i="190" s="1"/>
  <c r="A16" i="190" s="1"/>
  <c r="A17" i="190" s="1"/>
  <c r="A18" i="190" s="1"/>
  <c r="A19" i="190" s="1"/>
  <c r="F4" i="190"/>
  <c r="I4" i="190" s="1"/>
  <c r="E4" i="190"/>
  <c r="F3" i="190"/>
  <c r="E3" i="190"/>
  <c r="E18" i="189"/>
  <c r="E17" i="189"/>
  <c r="E16" i="189"/>
  <c r="E15" i="189"/>
  <c r="E14" i="189"/>
  <c r="E13" i="189"/>
  <c r="E12" i="189"/>
  <c r="E11" i="189"/>
  <c r="E10" i="189"/>
  <c r="E9" i="189"/>
  <c r="E8" i="189"/>
  <c r="E7" i="189"/>
  <c r="E6" i="189"/>
  <c r="E5" i="189"/>
  <c r="A5" i="189"/>
  <c r="D5" i="189" s="1"/>
  <c r="E4" i="189"/>
  <c r="F4" i="189" s="1"/>
  <c r="H5" i="189" s="1"/>
  <c r="D4" i="189"/>
  <c r="E3" i="189"/>
  <c r="D3" i="189"/>
  <c r="E22" i="188"/>
  <c r="E21" i="188"/>
  <c r="E20" i="188"/>
  <c r="E19" i="188"/>
  <c r="E18" i="188"/>
  <c r="E17" i="188"/>
  <c r="E16" i="188"/>
  <c r="E15" i="188"/>
  <c r="E14" i="188"/>
  <c r="E13" i="188"/>
  <c r="E12" i="188"/>
  <c r="E11" i="188"/>
  <c r="E10" i="188"/>
  <c r="E9" i="188"/>
  <c r="E8" i="188"/>
  <c r="F8" i="188" s="1"/>
  <c r="F9" i="188" s="1"/>
  <c r="D8" i="188"/>
  <c r="E7" i="188"/>
  <c r="D7" i="188"/>
  <c r="A5" i="188"/>
  <c r="A6" i="188" s="1"/>
  <c r="AI24" i="215" l="1"/>
  <c r="G7" i="192"/>
  <c r="J8" i="192" s="1"/>
  <c r="I4" i="192"/>
  <c r="G7" i="190"/>
  <c r="I5" i="192"/>
  <c r="I5" i="193"/>
  <c r="AO17" i="202"/>
  <c r="AP17" i="202" s="1"/>
  <c r="W18" i="202"/>
  <c r="AO17" i="198"/>
  <c r="AP17" i="198" s="1"/>
  <c r="W18" i="198"/>
  <c r="AM22" i="198"/>
  <c r="U23" i="198"/>
  <c r="AM23" i="198" s="1"/>
  <c r="AM24" i="198" s="1"/>
  <c r="AM25" i="198" s="1"/>
  <c r="AM26" i="198" s="1"/>
  <c r="I17" i="194"/>
  <c r="I18" i="194"/>
  <c r="I16" i="194"/>
  <c r="I7" i="193"/>
  <c r="G7" i="193" s="1"/>
  <c r="I4" i="193"/>
  <c r="I6" i="193"/>
  <c r="H7" i="193"/>
  <c r="H7" i="190"/>
  <c r="G8" i="190" s="1"/>
  <c r="I8" i="190" s="1"/>
  <c r="G8" i="192"/>
  <c r="F5" i="189"/>
  <c r="A6" i="189"/>
  <c r="D10" i="188"/>
  <c r="A7" i="188"/>
  <c r="F10" i="188"/>
  <c r="F11" i="188" s="1"/>
  <c r="F12" i="188" s="1"/>
  <c r="F13" i="188" s="1"/>
  <c r="F14" i="188" s="1"/>
  <c r="F15" i="188" s="1"/>
  <c r="F16" i="188" s="1"/>
  <c r="F17" i="188" s="1"/>
  <c r="F18" i="188" s="1"/>
  <c r="F19" i="188" s="1"/>
  <c r="F20" i="188" s="1"/>
  <c r="F21" i="188" s="1"/>
  <c r="F22" i="188" s="1"/>
  <c r="F23" i="188" s="1"/>
  <c r="D9" i="188"/>
  <c r="X19" i="186" a="1"/>
  <c r="X19" i="186" s="1"/>
  <c r="C41" i="186"/>
  <c r="B41" i="186"/>
  <c r="C40" i="186"/>
  <c r="I37" i="186" s="1"/>
  <c r="B40" i="186"/>
  <c r="E37" i="186" s="1"/>
  <c r="C39" i="186"/>
  <c r="J37" i="186" s="1"/>
  <c r="B39" i="186"/>
  <c r="F37" i="186" s="1"/>
  <c r="C38" i="186"/>
  <c r="K37" i="186" s="1"/>
  <c r="B38" i="186"/>
  <c r="G37" i="186" s="1"/>
  <c r="C37" i="186"/>
  <c r="K36" i="186" s="1"/>
  <c r="B37" i="186"/>
  <c r="H37" i="186" s="1"/>
  <c r="C36" i="186"/>
  <c r="K35" i="186" s="1"/>
  <c r="B36" i="186"/>
  <c r="H36" i="186" s="1"/>
  <c r="C35" i="186"/>
  <c r="M31" i="186" s="1"/>
  <c r="B35" i="186"/>
  <c r="H35" i="186" s="1"/>
  <c r="C34" i="186"/>
  <c r="K33" i="186" s="1"/>
  <c r="B34" i="186"/>
  <c r="H34" i="186" s="1"/>
  <c r="C33" i="186"/>
  <c r="K32" i="186" s="1"/>
  <c r="B33" i="186"/>
  <c r="H33" i="186" s="1"/>
  <c r="C32" i="186"/>
  <c r="K31" i="186" s="1"/>
  <c r="B32" i="186"/>
  <c r="H32" i="186" s="1"/>
  <c r="C31" i="186"/>
  <c r="K30" i="186" s="1"/>
  <c r="B31" i="186"/>
  <c r="H31" i="186" s="1"/>
  <c r="C30" i="186"/>
  <c r="K29" i="186" s="1"/>
  <c r="B30" i="186"/>
  <c r="H30" i="186" s="1"/>
  <c r="C29" i="186"/>
  <c r="K28" i="186" s="1"/>
  <c r="B29" i="186"/>
  <c r="H29" i="186" s="1"/>
  <c r="C28" i="186"/>
  <c r="K27" i="186" s="1"/>
  <c r="B28" i="186"/>
  <c r="H28" i="186" s="1"/>
  <c r="C27" i="186"/>
  <c r="M23" i="186" s="1"/>
  <c r="B27" i="186"/>
  <c r="H27" i="186" s="1"/>
  <c r="C26" i="186"/>
  <c r="K25" i="186" s="1"/>
  <c r="B26" i="186"/>
  <c r="H26" i="186" s="1"/>
  <c r="C25" i="186"/>
  <c r="K24" i="186" s="1"/>
  <c r="B25" i="186"/>
  <c r="H25" i="186" s="1"/>
  <c r="C24" i="186"/>
  <c r="K23" i="186" s="1"/>
  <c r="B24" i="186"/>
  <c r="E21" i="186" s="1"/>
  <c r="C23" i="186"/>
  <c r="I20" i="186" s="1"/>
  <c r="B23" i="186"/>
  <c r="G22" i="186" s="1"/>
  <c r="C22" i="186"/>
  <c r="K21" i="186" s="1"/>
  <c r="B22" i="186"/>
  <c r="G21" i="186" s="1"/>
  <c r="C21" i="186"/>
  <c r="B21" i="186"/>
  <c r="G20" i="186" s="1"/>
  <c r="C20" i="186"/>
  <c r="M16" i="186" s="1"/>
  <c r="B20" i="186"/>
  <c r="G19" i="186" s="1"/>
  <c r="O19" i="186" a="1"/>
  <c r="O23" i="186" s="1"/>
  <c r="C19" i="186"/>
  <c r="K18" i="186" s="1"/>
  <c r="B19" i="186"/>
  <c r="G18" i="186" s="1"/>
  <c r="C18" i="186"/>
  <c r="K17" i="186" s="1"/>
  <c r="B18" i="186"/>
  <c r="G17" i="186" s="1"/>
  <c r="C17" i="186"/>
  <c r="K16" i="186" s="1"/>
  <c r="B17" i="186"/>
  <c r="G16" i="186" s="1"/>
  <c r="C16" i="186"/>
  <c r="L16" i="186" s="1"/>
  <c r="B16" i="186"/>
  <c r="G15" i="186" s="1"/>
  <c r="C15" i="186"/>
  <c r="K14" i="186" s="1"/>
  <c r="B15" i="186"/>
  <c r="G14" i="186" s="1"/>
  <c r="C14" i="186"/>
  <c r="K13" i="186" s="1"/>
  <c r="B14" i="186"/>
  <c r="G13" i="186" s="1"/>
  <c r="C13" i="186"/>
  <c r="K12" i="186" s="1"/>
  <c r="B13" i="186"/>
  <c r="G12" i="186" s="1"/>
  <c r="C12" i="186"/>
  <c r="L12" i="186" s="1"/>
  <c r="B12" i="186"/>
  <c r="G11" i="186" s="1"/>
  <c r="C11" i="186"/>
  <c r="K10" i="186" s="1"/>
  <c r="B11" i="186"/>
  <c r="G10" i="186" s="1"/>
  <c r="C10" i="186"/>
  <c r="K9" i="186" s="1"/>
  <c r="B10" i="186"/>
  <c r="G9" i="186" s="1"/>
  <c r="C9" i="186"/>
  <c r="K8" i="186" s="1"/>
  <c r="B9" i="186"/>
  <c r="G8" i="186" s="1"/>
  <c r="C8" i="186"/>
  <c r="L8" i="186" s="1"/>
  <c r="B8" i="186"/>
  <c r="G7" i="186" s="1"/>
  <c r="C7" i="186"/>
  <c r="K6" i="186" s="1"/>
  <c r="B7" i="186"/>
  <c r="G6" i="186" s="1"/>
  <c r="C6" i="186"/>
  <c r="K5" i="186" s="1"/>
  <c r="B6" i="186"/>
  <c r="G5" i="186" s="1"/>
  <c r="C5" i="186"/>
  <c r="K4" i="186" s="1"/>
  <c r="B5" i="186"/>
  <c r="G4" i="186" s="1"/>
  <c r="C4" i="186"/>
  <c r="K3" i="186" s="1"/>
  <c r="B4" i="186"/>
  <c r="G3" i="186" s="1"/>
  <c r="C3" i="186"/>
  <c r="L3" i="186" s="1"/>
  <c r="B3" i="186"/>
  <c r="H3" i="186" s="1"/>
  <c r="X19" i="185" a="1"/>
  <c r="X19" i="185" s="1"/>
  <c r="O19" i="185" a="1"/>
  <c r="O19" i="185" s="1"/>
  <c r="C41" i="185"/>
  <c r="B41" i="185"/>
  <c r="C40" i="185"/>
  <c r="I37" i="185" s="1"/>
  <c r="B40" i="185"/>
  <c r="M36" i="185" s="1"/>
  <c r="C39" i="185"/>
  <c r="I36" i="185" s="1"/>
  <c r="B39" i="185"/>
  <c r="E36" i="185" s="1"/>
  <c r="C38" i="185"/>
  <c r="I35" i="185" s="1"/>
  <c r="B38" i="185"/>
  <c r="F36" i="185" s="1"/>
  <c r="C37" i="185"/>
  <c r="L37" i="185" s="1"/>
  <c r="B37" i="185"/>
  <c r="M33" i="185" s="1"/>
  <c r="C36" i="185"/>
  <c r="L36" i="185" s="1"/>
  <c r="B36" i="185"/>
  <c r="H36" i="185" s="1"/>
  <c r="C35" i="185"/>
  <c r="L35" i="185" s="1"/>
  <c r="B35" i="185"/>
  <c r="H35" i="185" s="1"/>
  <c r="C34" i="185"/>
  <c r="L34" i="185" s="1"/>
  <c r="B34" i="185"/>
  <c r="H34" i="185" s="1"/>
  <c r="C33" i="185"/>
  <c r="L33" i="185" s="1"/>
  <c r="B33" i="185"/>
  <c r="M29" i="185" s="1"/>
  <c r="C32" i="185"/>
  <c r="L32" i="185" s="1"/>
  <c r="B32" i="185"/>
  <c r="H32" i="185" s="1"/>
  <c r="C31" i="185"/>
  <c r="L31" i="185" s="1"/>
  <c r="B31" i="185"/>
  <c r="H31" i="185" s="1"/>
  <c r="C30" i="185"/>
  <c r="L30" i="185" s="1"/>
  <c r="B30" i="185"/>
  <c r="H30" i="185" s="1"/>
  <c r="C29" i="185"/>
  <c r="L29" i="185" s="1"/>
  <c r="B29" i="185"/>
  <c r="M25" i="185" s="1"/>
  <c r="C28" i="185"/>
  <c r="L28" i="185" s="1"/>
  <c r="B28" i="185"/>
  <c r="H28" i="185" s="1"/>
  <c r="C27" i="185"/>
  <c r="L27" i="185" s="1"/>
  <c r="B27" i="185"/>
  <c r="H27" i="185" s="1"/>
  <c r="C26" i="185"/>
  <c r="L26" i="185" s="1"/>
  <c r="B26" i="185"/>
  <c r="H26" i="185" s="1"/>
  <c r="C25" i="185"/>
  <c r="L25" i="185" s="1"/>
  <c r="B25" i="185"/>
  <c r="M21" i="185" s="1"/>
  <c r="C24" i="185"/>
  <c r="L24" i="185" s="1"/>
  <c r="B24" i="185"/>
  <c r="H24" i="185" s="1"/>
  <c r="C23" i="185"/>
  <c r="K22" i="185" s="1"/>
  <c r="B23" i="185"/>
  <c r="E20" i="185" s="1"/>
  <c r="C22" i="185"/>
  <c r="J20" i="185" s="1"/>
  <c r="B22" i="185"/>
  <c r="F20" i="185" s="1"/>
  <c r="C21" i="185"/>
  <c r="J19" i="185" s="1"/>
  <c r="B21" i="185"/>
  <c r="G20" i="185" s="1"/>
  <c r="C20" i="185"/>
  <c r="J18" i="185" s="1"/>
  <c r="B20" i="185"/>
  <c r="F18" i="185" s="1"/>
  <c r="C19" i="185"/>
  <c r="J17" i="185" s="1"/>
  <c r="B19" i="185"/>
  <c r="F17" i="185" s="1"/>
  <c r="C18" i="185"/>
  <c r="J16" i="185" s="1"/>
  <c r="B18" i="185"/>
  <c r="F16" i="185" s="1"/>
  <c r="C17" i="185"/>
  <c r="J15" i="185" s="1"/>
  <c r="B17" i="185"/>
  <c r="G16" i="185" s="1"/>
  <c r="C16" i="185"/>
  <c r="J14" i="185" s="1"/>
  <c r="B16" i="185"/>
  <c r="F14" i="185" s="1"/>
  <c r="C15" i="185"/>
  <c r="J13" i="185" s="1"/>
  <c r="B15" i="185"/>
  <c r="F13" i="185" s="1"/>
  <c r="C14" i="185"/>
  <c r="J12" i="185" s="1"/>
  <c r="B14" i="185"/>
  <c r="F12" i="185" s="1"/>
  <c r="C13" i="185"/>
  <c r="J11" i="185" s="1"/>
  <c r="B13" i="185"/>
  <c r="G12" i="185" s="1"/>
  <c r="C12" i="185"/>
  <c r="J10" i="185" s="1"/>
  <c r="B12" i="185"/>
  <c r="F10" i="185" s="1"/>
  <c r="C11" i="185"/>
  <c r="J9" i="185" s="1"/>
  <c r="B11" i="185"/>
  <c r="F9" i="185" s="1"/>
  <c r="C10" i="185"/>
  <c r="J8" i="185" s="1"/>
  <c r="B10" i="185"/>
  <c r="F8" i="185" s="1"/>
  <c r="C9" i="185"/>
  <c r="J7" i="185" s="1"/>
  <c r="B9" i="185"/>
  <c r="G8" i="185" s="1"/>
  <c r="C8" i="185"/>
  <c r="J6" i="185" s="1"/>
  <c r="B8" i="185"/>
  <c r="F6" i="185" s="1"/>
  <c r="C7" i="185"/>
  <c r="J5" i="185" s="1"/>
  <c r="B7" i="185"/>
  <c r="F5" i="185" s="1"/>
  <c r="C6" i="185"/>
  <c r="J4" i="185" s="1"/>
  <c r="B6" i="185"/>
  <c r="F4" i="185" s="1"/>
  <c r="C5" i="185"/>
  <c r="J3" i="185" s="1"/>
  <c r="B5" i="185"/>
  <c r="G4" i="185" s="1"/>
  <c r="C4" i="185"/>
  <c r="K3" i="185" s="1"/>
  <c r="B4" i="185"/>
  <c r="G3" i="185" s="1"/>
  <c r="C3" i="185"/>
  <c r="L3" i="185" s="1"/>
  <c r="B3" i="185"/>
  <c r="H3" i="185" s="1"/>
  <c r="AI25" i="215" l="1"/>
  <c r="I20" i="185"/>
  <c r="K36" i="185"/>
  <c r="J33" i="185"/>
  <c r="G30" i="185"/>
  <c r="F27" i="185"/>
  <c r="M35" i="185"/>
  <c r="E6" i="186"/>
  <c r="E14" i="186"/>
  <c r="F21" i="186"/>
  <c r="K22" i="186"/>
  <c r="L23" i="186"/>
  <c r="L24" i="186"/>
  <c r="L25" i="186"/>
  <c r="L26" i="186"/>
  <c r="L27" i="186"/>
  <c r="L28" i="186"/>
  <c r="L29" i="186"/>
  <c r="L30" i="186"/>
  <c r="L31" i="186"/>
  <c r="L32" i="186"/>
  <c r="L33" i="186"/>
  <c r="L34" i="186"/>
  <c r="L35" i="186"/>
  <c r="L36" i="186"/>
  <c r="L37" i="186"/>
  <c r="M30" i="186"/>
  <c r="M22" i="186"/>
  <c r="E18" i="185"/>
  <c r="G36" i="185"/>
  <c r="F33" i="185"/>
  <c r="K29" i="185"/>
  <c r="K26" i="185"/>
  <c r="M31" i="185"/>
  <c r="H7" i="186"/>
  <c r="H15" i="186"/>
  <c r="I21" i="186"/>
  <c r="E23" i="186"/>
  <c r="E24" i="186"/>
  <c r="E25" i="186"/>
  <c r="E26" i="186"/>
  <c r="E27" i="186"/>
  <c r="E28" i="186"/>
  <c r="E29" i="186"/>
  <c r="E30" i="186"/>
  <c r="E31" i="186"/>
  <c r="E32" i="186"/>
  <c r="E33" i="186"/>
  <c r="E34" i="186"/>
  <c r="E35" i="186"/>
  <c r="E36" i="186"/>
  <c r="M37" i="186"/>
  <c r="M29" i="186"/>
  <c r="M21" i="186"/>
  <c r="J23" i="185"/>
  <c r="E14" i="185"/>
  <c r="K35" i="185"/>
  <c r="K32" i="185"/>
  <c r="J29" i="185"/>
  <c r="G26" i="185"/>
  <c r="M27" i="185"/>
  <c r="E8" i="186"/>
  <c r="E16" i="186"/>
  <c r="J21" i="186"/>
  <c r="F23" i="186"/>
  <c r="F24" i="186"/>
  <c r="F25" i="186"/>
  <c r="F26" i="186"/>
  <c r="F27" i="186"/>
  <c r="F28" i="186"/>
  <c r="F29" i="186"/>
  <c r="F30" i="186"/>
  <c r="F31" i="186"/>
  <c r="F32" i="186"/>
  <c r="F33" i="186"/>
  <c r="F34" i="186"/>
  <c r="F35" i="186"/>
  <c r="F36" i="186"/>
  <c r="M36" i="186"/>
  <c r="M28" i="186"/>
  <c r="M20" i="186"/>
  <c r="F23" i="185"/>
  <c r="E10" i="185"/>
  <c r="J35" i="185"/>
  <c r="G32" i="185"/>
  <c r="F29" i="185"/>
  <c r="K25" i="185"/>
  <c r="M23" i="185"/>
  <c r="H9" i="186"/>
  <c r="E17" i="186"/>
  <c r="E22" i="186"/>
  <c r="G23" i="186"/>
  <c r="G24" i="186"/>
  <c r="G25" i="186"/>
  <c r="G26" i="186"/>
  <c r="G27" i="186"/>
  <c r="G28" i="186"/>
  <c r="G29" i="186"/>
  <c r="G30" i="186"/>
  <c r="G31" i="186"/>
  <c r="G32" i="186"/>
  <c r="G33" i="186"/>
  <c r="G34" i="186"/>
  <c r="G35" i="186"/>
  <c r="G36" i="186"/>
  <c r="M35" i="186"/>
  <c r="M27" i="186"/>
  <c r="M19" i="186"/>
  <c r="O24" i="186"/>
  <c r="I22" i="185"/>
  <c r="E6" i="185"/>
  <c r="F35" i="185"/>
  <c r="K31" i="185"/>
  <c r="K28" i="185"/>
  <c r="J25" i="185"/>
  <c r="M19" i="185"/>
  <c r="E10" i="186"/>
  <c r="L18" i="186"/>
  <c r="F22" i="186"/>
  <c r="H23" i="186"/>
  <c r="H24" i="186"/>
  <c r="M34" i="186"/>
  <c r="M26" i="186"/>
  <c r="J8" i="190"/>
  <c r="M37" i="185"/>
  <c r="G22" i="185"/>
  <c r="K37" i="185"/>
  <c r="K34" i="185"/>
  <c r="J31" i="185"/>
  <c r="G28" i="185"/>
  <c r="F25" i="185"/>
  <c r="H11" i="186"/>
  <c r="E20" i="186"/>
  <c r="I23" i="186"/>
  <c r="I24" i="186"/>
  <c r="I25" i="186"/>
  <c r="I26" i="186"/>
  <c r="I27" i="186"/>
  <c r="I28" i="186"/>
  <c r="I29" i="186"/>
  <c r="I30" i="186"/>
  <c r="I31" i="186"/>
  <c r="I32" i="186"/>
  <c r="I33" i="186"/>
  <c r="I34" i="186"/>
  <c r="I35" i="186"/>
  <c r="I36" i="186"/>
  <c r="M33" i="186"/>
  <c r="M25" i="186"/>
  <c r="J21" i="185"/>
  <c r="J37" i="185"/>
  <c r="G34" i="185"/>
  <c r="F31" i="185"/>
  <c r="K27" i="185"/>
  <c r="K24" i="185"/>
  <c r="E4" i="186"/>
  <c r="E12" i="186"/>
  <c r="I22" i="186"/>
  <c r="J23" i="186"/>
  <c r="J24" i="186"/>
  <c r="J25" i="186"/>
  <c r="J26" i="186"/>
  <c r="J27" i="186"/>
  <c r="J28" i="186"/>
  <c r="J29" i="186"/>
  <c r="J30" i="186"/>
  <c r="J31" i="186"/>
  <c r="J32" i="186"/>
  <c r="J33" i="186"/>
  <c r="J34" i="186"/>
  <c r="J35" i="186"/>
  <c r="J36" i="186"/>
  <c r="M32" i="186"/>
  <c r="M24" i="186"/>
  <c r="L20" i="185"/>
  <c r="F37" i="185"/>
  <c r="K33" i="185"/>
  <c r="K30" i="185"/>
  <c r="J27" i="185"/>
  <c r="G24" i="185"/>
  <c r="H5" i="186"/>
  <c r="H13" i="186"/>
  <c r="J22" i="186"/>
  <c r="K26" i="186"/>
  <c r="K34" i="186"/>
  <c r="AO18" i="202"/>
  <c r="AP18" i="202" s="1"/>
  <c r="W19" i="202"/>
  <c r="AO18" i="198"/>
  <c r="AP18" i="198" s="1"/>
  <c r="W19" i="198"/>
  <c r="I14" i="194"/>
  <c r="I13" i="194"/>
  <c r="I10" i="194"/>
  <c r="I15" i="194" s="1"/>
  <c r="J8" i="193"/>
  <c r="H8" i="192"/>
  <c r="J9" i="192"/>
  <c r="I8" i="192"/>
  <c r="G9" i="192"/>
  <c r="H8" i="190"/>
  <c r="G9" i="190" s="1"/>
  <c r="J9" i="190"/>
  <c r="G8" i="193"/>
  <c r="G5" i="189"/>
  <c r="H6" i="189" s="1"/>
  <c r="D6" i="189"/>
  <c r="A7" i="189"/>
  <c r="E26" i="188"/>
  <c r="G26" i="188"/>
  <c r="D11" i="188"/>
  <c r="A8" i="188"/>
  <c r="F26" i="188"/>
  <c r="G35" i="185"/>
  <c r="I23" i="185"/>
  <c r="L12" i="185"/>
  <c r="L8" i="185"/>
  <c r="J36" i="185"/>
  <c r="J34" i="185"/>
  <c r="J32" i="185"/>
  <c r="F30" i="185"/>
  <c r="F28" i="185"/>
  <c r="F26" i="185"/>
  <c r="F24" i="185"/>
  <c r="L23" i="185"/>
  <c r="H23" i="185"/>
  <c r="F22" i="185"/>
  <c r="F21" i="185"/>
  <c r="E16" i="185"/>
  <c r="E12" i="185"/>
  <c r="E8" i="185"/>
  <c r="E4" i="185"/>
  <c r="E37" i="185"/>
  <c r="E35" i="185"/>
  <c r="I34" i="185"/>
  <c r="E34" i="185"/>
  <c r="I33" i="185"/>
  <c r="E33" i="185"/>
  <c r="I32" i="185"/>
  <c r="E32" i="185"/>
  <c r="I31" i="185"/>
  <c r="E31" i="185"/>
  <c r="I30" i="185"/>
  <c r="E30" i="185"/>
  <c r="I29" i="185"/>
  <c r="E29" i="185"/>
  <c r="I28" i="185"/>
  <c r="E28" i="185"/>
  <c r="I27" i="185"/>
  <c r="E27" i="185"/>
  <c r="I26" i="185"/>
  <c r="E26" i="185"/>
  <c r="I25" i="185"/>
  <c r="E25" i="185"/>
  <c r="I24" i="185"/>
  <c r="E24" i="185"/>
  <c r="M34" i="185"/>
  <c r="M30" i="185"/>
  <c r="M26" i="185"/>
  <c r="M22" i="185"/>
  <c r="M16" i="185"/>
  <c r="G37" i="185"/>
  <c r="G33" i="185"/>
  <c r="G31" i="185"/>
  <c r="G29" i="185"/>
  <c r="G27" i="185"/>
  <c r="G25" i="185"/>
  <c r="M32" i="185"/>
  <c r="M28" i="185"/>
  <c r="M24" i="185"/>
  <c r="M20" i="185"/>
  <c r="E23" i="185"/>
  <c r="I21" i="185"/>
  <c r="L16" i="185"/>
  <c r="L4" i="185"/>
  <c r="F34" i="185"/>
  <c r="F32" i="185"/>
  <c r="J30" i="185"/>
  <c r="J28" i="185"/>
  <c r="J26" i="185"/>
  <c r="J24" i="185"/>
  <c r="K23" i="185"/>
  <c r="G23" i="185"/>
  <c r="J22" i="185"/>
  <c r="E22" i="185"/>
  <c r="E21" i="185"/>
  <c r="L18" i="185"/>
  <c r="L14" i="185"/>
  <c r="L10" i="185"/>
  <c r="L6" i="185"/>
  <c r="H37" i="185"/>
  <c r="H33" i="185"/>
  <c r="H29" i="185"/>
  <c r="H25" i="185"/>
  <c r="L17" i="186"/>
  <c r="L22" i="185"/>
  <c r="H22" i="185"/>
  <c r="L21" i="185"/>
  <c r="H21" i="185"/>
  <c r="K20" i="185"/>
  <c r="L19" i="185"/>
  <c r="K18" i="185"/>
  <c r="L17" i="185"/>
  <c r="K16" i="185"/>
  <c r="L15" i="185"/>
  <c r="K14" i="185"/>
  <c r="L13" i="185"/>
  <c r="K12" i="185"/>
  <c r="L11" i="185"/>
  <c r="K10" i="185"/>
  <c r="L9" i="185"/>
  <c r="K8" i="185"/>
  <c r="L7" i="185"/>
  <c r="K6" i="185"/>
  <c r="L5" i="185"/>
  <c r="K4" i="185"/>
  <c r="M15" i="185"/>
  <c r="I3" i="186"/>
  <c r="I4" i="186"/>
  <c r="I5" i="186"/>
  <c r="I6" i="186"/>
  <c r="I7" i="186"/>
  <c r="I8" i="186"/>
  <c r="I9" i="186"/>
  <c r="I10" i="186"/>
  <c r="I11" i="186"/>
  <c r="I12" i="186"/>
  <c r="I13" i="186"/>
  <c r="I14" i="186"/>
  <c r="I15" i="186"/>
  <c r="I16" i="186"/>
  <c r="H17" i="186"/>
  <c r="E18" i="186"/>
  <c r="E19" i="186"/>
  <c r="J20" i="186"/>
  <c r="H21" i="186"/>
  <c r="M13" i="186"/>
  <c r="M7" i="186"/>
  <c r="L19" i="186"/>
  <c r="M9" i="186"/>
  <c r="K21" i="185"/>
  <c r="I19" i="185"/>
  <c r="I18" i="185"/>
  <c r="I17" i="185"/>
  <c r="I16" i="185"/>
  <c r="I15" i="185"/>
  <c r="I14" i="185"/>
  <c r="I13" i="185"/>
  <c r="I12" i="185"/>
  <c r="I11" i="185"/>
  <c r="I10" i="185"/>
  <c r="I9" i="185"/>
  <c r="I8" i="185"/>
  <c r="I7" i="185"/>
  <c r="I6" i="185"/>
  <c r="I5" i="185"/>
  <c r="I4" i="185"/>
  <c r="M11" i="185"/>
  <c r="J3" i="186"/>
  <c r="J4" i="186"/>
  <c r="J5" i="186"/>
  <c r="J6" i="186"/>
  <c r="J7" i="186"/>
  <c r="J8" i="186"/>
  <c r="J9" i="186"/>
  <c r="J10" i="186"/>
  <c r="J11" i="186"/>
  <c r="J12" i="186"/>
  <c r="J13" i="186"/>
  <c r="J14" i="186"/>
  <c r="J15" i="186"/>
  <c r="J16" i="186"/>
  <c r="I17" i="186"/>
  <c r="F18" i="186"/>
  <c r="H19" i="186"/>
  <c r="F20" i="186"/>
  <c r="L20" i="186"/>
  <c r="L22" i="186"/>
  <c r="M11" i="186"/>
  <c r="M6" i="186"/>
  <c r="M15" i="186"/>
  <c r="H19" i="185"/>
  <c r="G18" i="185"/>
  <c r="H17" i="185"/>
  <c r="H15" i="185"/>
  <c r="G14" i="185"/>
  <c r="H13" i="185"/>
  <c r="H11" i="185"/>
  <c r="G10" i="185"/>
  <c r="H9" i="185"/>
  <c r="H7" i="185"/>
  <c r="G6" i="185"/>
  <c r="H5" i="185"/>
  <c r="M6" i="185"/>
  <c r="L4" i="186"/>
  <c r="L5" i="186"/>
  <c r="L6" i="186"/>
  <c r="L7" i="186"/>
  <c r="L9" i="186"/>
  <c r="L10" i="186"/>
  <c r="L11" i="186"/>
  <c r="L13" i="186"/>
  <c r="L14" i="186"/>
  <c r="L15" i="186"/>
  <c r="J17" i="186"/>
  <c r="J18" i="186"/>
  <c r="I19" i="186"/>
  <c r="H20" i="186"/>
  <c r="M3" i="186"/>
  <c r="M18" i="186"/>
  <c r="M10" i="186"/>
  <c r="M5" i="186"/>
  <c r="G21" i="185"/>
  <c r="M10" i="185"/>
  <c r="M4" i="185"/>
  <c r="F4" i="186"/>
  <c r="F6" i="186"/>
  <c r="F8" i="186"/>
  <c r="F10" i="186"/>
  <c r="F12" i="186"/>
  <c r="F14" i="186"/>
  <c r="F16" i="186"/>
  <c r="M4" i="186"/>
  <c r="K7" i="186"/>
  <c r="M8" i="186"/>
  <c r="K11" i="186"/>
  <c r="M12" i="186"/>
  <c r="K15" i="186"/>
  <c r="K20" i="186"/>
  <c r="M17" i="186"/>
  <c r="I3" i="185"/>
  <c r="G19" i="185"/>
  <c r="G17" i="185"/>
  <c r="G15" i="185"/>
  <c r="G13" i="185"/>
  <c r="G11" i="185"/>
  <c r="G9" i="185"/>
  <c r="G7" i="185"/>
  <c r="G5" i="185"/>
  <c r="M14" i="185"/>
  <c r="M8" i="185"/>
  <c r="E3" i="186"/>
  <c r="H4" i="186"/>
  <c r="E5" i="186"/>
  <c r="H6" i="186"/>
  <c r="E7" i="186"/>
  <c r="H8" i="186"/>
  <c r="E9" i="186"/>
  <c r="H10" i="186"/>
  <c r="E11" i="186"/>
  <c r="H12" i="186"/>
  <c r="E13" i="186"/>
  <c r="H14" i="186"/>
  <c r="E15" i="186"/>
  <c r="H16" i="186"/>
  <c r="H18" i="186"/>
  <c r="J19" i="186"/>
  <c r="M14" i="186"/>
  <c r="M5" i="185"/>
  <c r="F7" i="185"/>
  <c r="M9" i="185"/>
  <c r="F11" i="185"/>
  <c r="M13" i="185"/>
  <c r="F15" i="185"/>
  <c r="M17" i="185"/>
  <c r="F19" i="185"/>
  <c r="E3" i="185"/>
  <c r="H20" i="185"/>
  <c r="K19" i="185"/>
  <c r="E19" i="185"/>
  <c r="H18" i="185"/>
  <c r="K17" i="185"/>
  <c r="E17" i="185"/>
  <c r="H16" i="185"/>
  <c r="K15" i="185"/>
  <c r="E15" i="185"/>
  <c r="H14" i="185"/>
  <c r="K13" i="185"/>
  <c r="E13" i="185"/>
  <c r="H12" i="185"/>
  <c r="K11" i="185"/>
  <c r="E11" i="185"/>
  <c r="H10" i="185"/>
  <c r="K9" i="185"/>
  <c r="E9" i="185"/>
  <c r="H8" i="185"/>
  <c r="K7" i="185"/>
  <c r="E7" i="185"/>
  <c r="H6" i="185"/>
  <c r="K5" i="185"/>
  <c r="E5" i="185"/>
  <c r="H4" i="185"/>
  <c r="M3" i="185"/>
  <c r="M18" i="185"/>
  <c r="M12" i="185"/>
  <c r="M7" i="185"/>
  <c r="F3" i="186"/>
  <c r="F5" i="186"/>
  <c r="F7" i="186"/>
  <c r="F9" i="186"/>
  <c r="F11" i="186"/>
  <c r="F13" i="186"/>
  <c r="F15" i="186"/>
  <c r="F17" i="186"/>
  <c r="I18" i="186"/>
  <c r="F19" i="186"/>
  <c r="L21" i="186"/>
  <c r="H22" i="186"/>
  <c r="K19" i="186"/>
  <c r="O20" i="186"/>
  <c r="X20" i="186"/>
  <c r="X22" i="186"/>
  <c r="X21" i="186"/>
  <c r="X22" i="185"/>
  <c r="F3" i="185"/>
  <c r="O21" i="186"/>
  <c r="O25" i="186"/>
  <c r="O22" i="186"/>
  <c r="O26" i="186"/>
  <c r="O19" i="186"/>
  <c r="X21" i="185"/>
  <c r="X20" i="185"/>
  <c r="O22" i="185"/>
  <c r="O25" i="185"/>
  <c r="O21" i="185"/>
  <c r="O24" i="185"/>
  <c r="O20" i="185"/>
  <c r="O26" i="185"/>
  <c r="O23" i="185"/>
  <c r="N2" i="177" a="1"/>
  <c r="N3" i="177" s="1"/>
  <c r="N489" i="177" l="1"/>
  <c r="N361" i="177"/>
  <c r="N161" i="177"/>
  <c r="N502" i="177"/>
  <c r="N488" i="177"/>
  <c r="N473" i="177"/>
  <c r="N460" i="177"/>
  <c r="N445" i="177"/>
  <c r="N430" i="177"/>
  <c r="N417" i="177"/>
  <c r="N402" i="177"/>
  <c r="N388" i="177"/>
  <c r="N374" i="177"/>
  <c r="N360" i="177"/>
  <c r="N345" i="177"/>
  <c r="N327" i="177"/>
  <c r="N296" i="177"/>
  <c r="N268" i="177"/>
  <c r="N241" i="177"/>
  <c r="N200" i="177"/>
  <c r="N157" i="177"/>
  <c r="N115" i="177"/>
  <c r="N72" i="177"/>
  <c r="N29" i="177"/>
  <c r="P9" i="185"/>
  <c r="N461" i="177"/>
  <c r="N418" i="177"/>
  <c r="N376" i="177"/>
  <c r="N328" i="177"/>
  <c r="N243" i="177"/>
  <c r="N76" i="177"/>
  <c r="N500" i="177"/>
  <c r="N486" i="177"/>
  <c r="N472" i="177"/>
  <c r="N457" i="177"/>
  <c r="N444" i="177"/>
  <c r="N429" i="177"/>
  <c r="N414" i="177"/>
  <c r="N401" i="177"/>
  <c r="N386" i="177"/>
  <c r="N372" i="177"/>
  <c r="N358" i="177"/>
  <c r="N344" i="177"/>
  <c r="N321" i="177"/>
  <c r="N295" i="177"/>
  <c r="N264" i="177"/>
  <c r="N236" i="177"/>
  <c r="N193" i="177"/>
  <c r="N151" i="177"/>
  <c r="N108" i="177"/>
  <c r="N65" i="177"/>
  <c r="N23" i="177"/>
  <c r="N504" i="177"/>
  <c r="N446" i="177"/>
  <c r="N404" i="177"/>
  <c r="N348" i="177"/>
  <c r="N273" i="177"/>
  <c r="N119" i="177"/>
  <c r="N498" i="177"/>
  <c r="N484" i="177"/>
  <c r="N470" i="177"/>
  <c r="N456" i="177"/>
  <c r="N441" i="177"/>
  <c r="N428" i="177"/>
  <c r="N413" i="177"/>
  <c r="N398" i="177"/>
  <c r="N385" i="177"/>
  <c r="N370" i="177"/>
  <c r="N356" i="177"/>
  <c r="N342" i="177"/>
  <c r="N317" i="177"/>
  <c r="N289" i="177"/>
  <c r="N263" i="177"/>
  <c r="N232" i="177"/>
  <c r="N189" i="177"/>
  <c r="N147" i="177"/>
  <c r="N104" i="177"/>
  <c r="N61" i="177"/>
  <c r="N19" i="177"/>
  <c r="N476" i="177"/>
  <c r="N433" i="177"/>
  <c r="N390" i="177"/>
  <c r="N300" i="177"/>
  <c r="N33" i="177"/>
  <c r="N482" i="177"/>
  <c r="N369" i="177"/>
  <c r="N225" i="177"/>
  <c r="N12" i="177"/>
  <c r="N204" i="177"/>
  <c r="N497" i="177"/>
  <c r="N468" i="177"/>
  <c r="N454" i="177"/>
  <c r="N440" i="177"/>
  <c r="N425" i="177"/>
  <c r="N412" i="177"/>
  <c r="N397" i="177"/>
  <c r="N382" i="177"/>
  <c r="N354" i="177"/>
  <c r="N340" i="177"/>
  <c r="N316" i="177"/>
  <c r="N285" i="177"/>
  <c r="N257" i="177"/>
  <c r="N183" i="177"/>
  <c r="N140" i="177"/>
  <c r="N97" i="177"/>
  <c r="N55" i="177"/>
  <c r="N494" i="177"/>
  <c r="N481" i="177"/>
  <c r="N466" i="177"/>
  <c r="N452" i="177"/>
  <c r="N438" i="177"/>
  <c r="N424" i="177"/>
  <c r="N409" i="177"/>
  <c r="N396" i="177"/>
  <c r="N381" i="177"/>
  <c r="N366" i="177"/>
  <c r="N353" i="177"/>
  <c r="N338" i="177"/>
  <c r="N311" i="177"/>
  <c r="N284" i="177"/>
  <c r="N253" i="177"/>
  <c r="N221" i="177"/>
  <c r="N179" i="177"/>
  <c r="N136" i="177"/>
  <c r="N93" i="177"/>
  <c r="N51" i="177"/>
  <c r="N8" i="177"/>
  <c r="P13" i="186"/>
  <c r="N493" i="177"/>
  <c r="N478" i="177"/>
  <c r="N465" i="177"/>
  <c r="N450" i="177"/>
  <c r="N436" i="177"/>
  <c r="N422" i="177"/>
  <c r="N408" i="177"/>
  <c r="N393" i="177"/>
  <c r="N380" i="177"/>
  <c r="N365" i="177"/>
  <c r="N350" i="177"/>
  <c r="N337" i="177"/>
  <c r="N307" i="177"/>
  <c r="N279" i="177"/>
  <c r="N252" i="177"/>
  <c r="N215" i="177"/>
  <c r="N172" i="177"/>
  <c r="N129" i="177"/>
  <c r="N87" i="177"/>
  <c r="N44" i="177"/>
  <c r="N505" i="177"/>
  <c r="N492" i="177"/>
  <c r="N477" i="177"/>
  <c r="N462" i="177"/>
  <c r="N449" i="177"/>
  <c r="N434" i="177"/>
  <c r="N420" i="177"/>
  <c r="N406" i="177"/>
  <c r="N392" i="177"/>
  <c r="N377" i="177"/>
  <c r="N364" i="177"/>
  <c r="N349" i="177"/>
  <c r="N332" i="177"/>
  <c r="N305" i="177"/>
  <c r="N275" i="177"/>
  <c r="N247" i="177"/>
  <c r="N211" i="177"/>
  <c r="N168" i="177"/>
  <c r="N125" i="177"/>
  <c r="N83" i="177"/>
  <c r="N40" i="177"/>
  <c r="Q15" i="186"/>
  <c r="AO19" i="202"/>
  <c r="AP19" i="202" s="1"/>
  <c r="W20" i="202"/>
  <c r="AO19" i="198"/>
  <c r="AP19" i="198" s="1"/>
  <c r="W20" i="198"/>
  <c r="I22" i="194"/>
  <c r="I24" i="194" s="1"/>
  <c r="I21" i="194"/>
  <c r="I23" i="194" s="1"/>
  <c r="I20" i="194" s="1"/>
  <c r="J10" i="190"/>
  <c r="H9" i="190"/>
  <c r="G10" i="190" s="1"/>
  <c r="I9" i="190"/>
  <c r="H9" i="192"/>
  <c r="J10" i="192" s="1"/>
  <c r="G10" i="192"/>
  <c r="I9" i="192"/>
  <c r="I8" i="193"/>
  <c r="H8" i="193"/>
  <c r="G9" i="193" s="1"/>
  <c r="A8" i="189"/>
  <c r="D7" i="189"/>
  <c r="F6" i="189"/>
  <c r="D12" i="188"/>
  <c r="A9" i="188"/>
  <c r="AP6" i="185"/>
  <c r="AP5" i="185" s="1"/>
  <c r="AP8" i="185" s="1"/>
  <c r="AP9" i="185" s="1"/>
  <c r="Y9" i="185"/>
  <c r="Y15" i="185" s="1"/>
  <c r="Y9" i="186"/>
  <c r="Q15" i="185"/>
  <c r="Z15" i="185"/>
  <c r="Z15" i="186"/>
  <c r="P9" i="186"/>
  <c r="Y13" i="186"/>
  <c r="AI5" i="186" s="1"/>
  <c r="P13" i="185"/>
  <c r="Y13" i="185"/>
  <c r="AI5" i="185" s="1"/>
  <c r="P15" i="185"/>
  <c r="N231" i="177"/>
  <c r="N220" i="177"/>
  <c r="N209" i="177"/>
  <c r="N199" i="177"/>
  <c r="N188" i="177"/>
  <c r="N177" i="177"/>
  <c r="N167" i="177"/>
  <c r="N156" i="177"/>
  <c r="N145" i="177"/>
  <c r="N135" i="177"/>
  <c r="N124" i="177"/>
  <c r="N113" i="177"/>
  <c r="N103" i="177"/>
  <c r="N92" i="177"/>
  <c r="N81" i="177"/>
  <c r="N71" i="177"/>
  <c r="N60" i="177"/>
  <c r="N49" i="177"/>
  <c r="N39" i="177"/>
  <c r="N28" i="177"/>
  <c r="N17" i="177"/>
  <c r="N7" i="177"/>
  <c r="N501" i="177"/>
  <c r="N496" i="177"/>
  <c r="N490" i="177"/>
  <c r="N485" i="177"/>
  <c r="N480" i="177"/>
  <c r="N474" i="177"/>
  <c r="N469" i="177"/>
  <c r="N464" i="177"/>
  <c r="N458" i="177"/>
  <c r="N453" i="177"/>
  <c r="N448" i="177"/>
  <c r="N442" i="177"/>
  <c r="N437" i="177"/>
  <c r="N432" i="177"/>
  <c r="N426" i="177"/>
  <c r="N421" i="177"/>
  <c r="N416" i="177"/>
  <c r="N410" i="177"/>
  <c r="N405" i="177"/>
  <c r="N400" i="177"/>
  <c r="N394" i="177"/>
  <c r="N389" i="177"/>
  <c r="N384" i="177"/>
  <c r="N378" i="177"/>
  <c r="N373" i="177"/>
  <c r="N368" i="177"/>
  <c r="N362" i="177"/>
  <c r="N357" i="177"/>
  <c r="N352" i="177"/>
  <c r="N346" i="177"/>
  <c r="N341" i="177"/>
  <c r="N333" i="177"/>
  <c r="N323" i="177"/>
  <c r="N312" i="177"/>
  <c r="N301" i="177"/>
  <c r="N291" i="177"/>
  <c r="N280" i="177"/>
  <c r="N269" i="177"/>
  <c r="N259" i="177"/>
  <c r="N248" i="177"/>
  <c r="N237" i="177"/>
  <c r="N227" i="177"/>
  <c r="N216" i="177"/>
  <c r="N205" i="177"/>
  <c r="N195" i="177"/>
  <c r="N184" i="177"/>
  <c r="N173" i="177"/>
  <c r="N163" i="177"/>
  <c r="N152" i="177"/>
  <c r="N141" i="177"/>
  <c r="N131" i="177"/>
  <c r="N120" i="177"/>
  <c r="N109" i="177"/>
  <c r="N99" i="177"/>
  <c r="N88" i="177"/>
  <c r="N77" i="177"/>
  <c r="N67" i="177"/>
  <c r="N56" i="177"/>
  <c r="N45" i="177"/>
  <c r="N35" i="177"/>
  <c r="N24" i="177"/>
  <c r="N13" i="177"/>
  <c r="N2" i="177"/>
  <c r="N6" i="177"/>
  <c r="N10" i="177"/>
  <c r="N14" i="177"/>
  <c r="N18" i="177"/>
  <c r="N22" i="177"/>
  <c r="N26" i="177"/>
  <c r="N30" i="177"/>
  <c r="N34" i="177"/>
  <c r="N38" i="177"/>
  <c r="N42" i="177"/>
  <c r="N46" i="177"/>
  <c r="N50" i="177"/>
  <c r="N54" i="177"/>
  <c r="N58" i="177"/>
  <c r="N62" i="177"/>
  <c r="N66" i="177"/>
  <c r="N70" i="177"/>
  <c r="N74" i="177"/>
  <c r="N78" i="177"/>
  <c r="N82" i="177"/>
  <c r="N86" i="177"/>
  <c r="N90" i="177"/>
  <c r="N94" i="177"/>
  <c r="N98" i="177"/>
  <c r="N102" i="177"/>
  <c r="N106" i="177"/>
  <c r="N110" i="177"/>
  <c r="N114" i="177"/>
  <c r="N118" i="177"/>
  <c r="N122" i="177"/>
  <c r="N126" i="177"/>
  <c r="N130" i="177"/>
  <c r="N134" i="177"/>
  <c r="N138" i="177"/>
  <c r="N142" i="177"/>
  <c r="N146" i="177"/>
  <c r="N150" i="177"/>
  <c r="N154" i="177"/>
  <c r="N158" i="177"/>
  <c r="N162" i="177"/>
  <c r="N166" i="177"/>
  <c r="N170" i="177"/>
  <c r="N174" i="177"/>
  <c r="N178" i="177"/>
  <c r="N182" i="177"/>
  <c r="N186" i="177"/>
  <c r="N190" i="177"/>
  <c r="N194" i="177"/>
  <c r="N198" i="177"/>
  <c r="N202" i="177"/>
  <c r="N206" i="177"/>
  <c r="N210" i="177"/>
  <c r="N214" i="177"/>
  <c r="N218" i="177"/>
  <c r="N222" i="177"/>
  <c r="N226" i="177"/>
  <c r="N230" i="177"/>
  <c r="N234" i="177"/>
  <c r="N238" i="177"/>
  <c r="N242" i="177"/>
  <c r="N246" i="177"/>
  <c r="N250" i="177"/>
  <c r="N254" i="177"/>
  <c r="N258" i="177"/>
  <c r="N262" i="177"/>
  <c r="N266" i="177"/>
  <c r="N270" i="177"/>
  <c r="N274" i="177"/>
  <c r="N278" i="177"/>
  <c r="N282" i="177"/>
  <c r="N286" i="177"/>
  <c r="N290" i="177"/>
  <c r="N294" i="177"/>
  <c r="N298" i="177"/>
  <c r="N302" i="177"/>
  <c r="N306" i="177"/>
  <c r="N310" i="177"/>
  <c r="N314" i="177"/>
  <c r="N318" i="177"/>
  <c r="N322" i="177"/>
  <c r="N326" i="177"/>
  <c r="N330" i="177"/>
  <c r="N334" i="177"/>
  <c r="N4" i="177"/>
  <c r="N9" i="177"/>
  <c r="N15" i="177"/>
  <c r="N20" i="177"/>
  <c r="N25" i="177"/>
  <c r="N31" i="177"/>
  <c r="N36" i="177"/>
  <c r="N41" i="177"/>
  <c r="N47" i="177"/>
  <c r="N52" i="177"/>
  <c r="N57" i="177"/>
  <c r="N63" i="177"/>
  <c r="N68" i="177"/>
  <c r="N73" i="177"/>
  <c r="N79" i="177"/>
  <c r="N84" i="177"/>
  <c r="N89" i="177"/>
  <c r="N95" i="177"/>
  <c r="N100" i="177"/>
  <c r="N105" i="177"/>
  <c r="N111" i="177"/>
  <c r="N116" i="177"/>
  <c r="N121" i="177"/>
  <c r="N127" i="177"/>
  <c r="N132" i="177"/>
  <c r="N137" i="177"/>
  <c r="N143" i="177"/>
  <c r="N148" i="177"/>
  <c r="N153" i="177"/>
  <c r="N159" i="177"/>
  <c r="N164" i="177"/>
  <c r="N169" i="177"/>
  <c r="N175" i="177"/>
  <c r="N180" i="177"/>
  <c r="N185" i="177"/>
  <c r="N191" i="177"/>
  <c r="N196" i="177"/>
  <c r="N201" i="177"/>
  <c r="N207" i="177"/>
  <c r="N212" i="177"/>
  <c r="N217" i="177"/>
  <c r="N223" i="177"/>
  <c r="N228" i="177"/>
  <c r="N233" i="177"/>
  <c r="N239" i="177"/>
  <c r="N244" i="177"/>
  <c r="N249" i="177"/>
  <c r="N255" i="177"/>
  <c r="N260" i="177"/>
  <c r="N265" i="177"/>
  <c r="N271" i="177"/>
  <c r="N276" i="177"/>
  <c r="N281" i="177"/>
  <c r="N287" i="177"/>
  <c r="N292" i="177"/>
  <c r="N297" i="177"/>
  <c r="N303" i="177"/>
  <c r="N308" i="177"/>
  <c r="N313" i="177"/>
  <c r="N319" i="177"/>
  <c r="N324" i="177"/>
  <c r="N329" i="177"/>
  <c r="N335" i="177"/>
  <c r="N339" i="177"/>
  <c r="N343" i="177"/>
  <c r="N347" i="177"/>
  <c r="N351" i="177"/>
  <c r="N355" i="177"/>
  <c r="N359" i="177"/>
  <c r="N363" i="177"/>
  <c r="N367" i="177"/>
  <c r="N371" i="177"/>
  <c r="N375" i="177"/>
  <c r="N379" i="177"/>
  <c r="N383" i="177"/>
  <c r="N387" i="177"/>
  <c r="N391" i="177"/>
  <c r="N395" i="177"/>
  <c r="N399" i="177"/>
  <c r="N403" i="177"/>
  <c r="N407" i="177"/>
  <c r="N411" i="177"/>
  <c r="N415" i="177"/>
  <c r="N419" i="177"/>
  <c r="N423" i="177"/>
  <c r="N427" i="177"/>
  <c r="N431" i="177"/>
  <c r="N435" i="177"/>
  <c r="N439" i="177"/>
  <c r="N443" i="177"/>
  <c r="N447" i="177"/>
  <c r="N451" i="177"/>
  <c r="N455" i="177"/>
  <c r="N459" i="177"/>
  <c r="N463" i="177"/>
  <c r="N467" i="177"/>
  <c r="N471" i="177"/>
  <c r="N475" i="177"/>
  <c r="N479" i="177"/>
  <c r="N483" i="177"/>
  <c r="N487" i="177"/>
  <c r="N491" i="177"/>
  <c r="N495" i="177"/>
  <c r="N499" i="177"/>
  <c r="N503" i="177"/>
  <c r="N5" i="177"/>
  <c r="N11" i="177"/>
  <c r="N16" i="177"/>
  <c r="N21" i="177"/>
  <c r="N27" i="177"/>
  <c r="N32" i="177"/>
  <c r="N37" i="177"/>
  <c r="N43" i="177"/>
  <c r="N48" i="177"/>
  <c r="N53" i="177"/>
  <c r="N59" i="177"/>
  <c r="N64" i="177"/>
  <c r="N69" i="177"/>
  <c r="N75" i="177"/>
  <c r="N80" i="177"/>
  <c r="N85" i="177"/>
  <c r="N91" i="177"/>
  <c r="N96" i="177"/>
  <c r="N101" i="177"/>
  <c r="N107" i="177"/>
  <c r="N112" i="177"/>
  <c r="N117" i="177"/>
  <c r="N123" i="177"/>
  <c r="N128" i="177"/>
  <c r="N133" i="177"/>
  <c r="N139" i="177"/>
  <c r="N144" i="177"/>
  <c r="N149" i="177"/>
  <c r="N155" i="177"/>
  <c r="N160" i="177"/>
  <c r="N165" i="177"/>
  <c r="N171" i="177"/>
  <c r="N176" i="177"/>
  <c r="N181" i="177"/>
  <c r="N187" i="177"/>
  <c r="N192" i="177"/>
  <c r="N197" i="177"/>
  <c r="N203" i="177"/>
  <c r="N208" i="177"/>
  <c r="N213" i="177"/>
  <c r="N219" i="177"/>
  <c r="N224" i="177"/>
  <c r="N229" i="177"/>
  <c r="N235" i="177"/>
  <c r="N240" i="177"/>
  <c r="N245" i="177"/>
  <c r="N251" i="177"/>
  <c r="N256" i="177"/>
  <c r="N261" i="177"/>
  <c r="N267" i="177"/>
  <c r="N272" i="177"/>
  <c r="N277" i="177"/>
  <c r="N283" i="177"/>
  <c r="N288" i="177"/>
  <c r="N293" i="177"/>
  <c r="N299" i="177"/>
  <c r="N304" i="177"/>
  <c r="N309" i="177"/>
  <c r="N315" i="177"/>
  <c r="N320" i="177"/>
  <c r="N325" i="177"/>
  <c r="N331" i="177"/>
  <c r="N336" i="177"/>
  <c r="O15" i="183"/>
  <c r="C15" i="183"/>
  <c r="O14" i="183"/>
  <c r="N14" i="183"/>
  <c r="C14" i="183"/>
  <c r="O13" i="183"/>
  <c r="N13" i="183"/>
  <c r="M13" i="183"/>
  <c r="C13" i="183"/>
  <c r="O12" i="183"/>
  <c r="N12" i="183"/>
  <c r="M12" i="183"/>
  <c r="L12" i="183"/>
  <c r="C12" i="183"/>
  <c r="O11" i="183"/>
  <c r="N11" i="183"/>
  <c r="M11" i="183"/>
  <c r="L11" i="183"/>
  <c r="K11" i="183"/>
  <c r="C11" i="183"/>
  <c r="O10" i="183"/>
  <c r="N10" i="183"/>
  <c r="M10" i="183"/>
  <c r="L10" i="183"/>
  <c r="K10" i="183"/>
  <c r="J10" i="183"/>
  <c r="C10" i="183"/>
  <c r="O9" i="183"/>
  <c r="N9" i="183"/>
  <c r="M9" i="183"/>
  <c r="L9" i="183"/>
  <c r="K9" i="183"/>
  <c r="J9" i="183"/>
  <c r="I9" i="183"/>
  <c r="C9" i="183"/>
  <c r="O8" i="183"/>
  <c r="N8" i="183"/>
  <c r="M8" i="183"/>
  <c r="L8" i="183"/>
  <c r="K8" i="183"/>
  <c r="J8" i="183"/>
  <c r="I8" i="183"/>
  <c r="H8" i="183"/>
  <c r="C8" i="183"/>
  <c r="O7" i="183"/>
  <c r="N7" i="183"/>
  <c r="M7" i="183"/>
  <c r="L7" i="183"/>
  <c r="K7" i="183"/>
  <c r="J7" i="183"/>
  <c r="I7" i="183"/>
  <c r="H7" i="183"/>
  <c r="G7" i="183"/>
  <c r="C7" i="183"/>
  <c r="O6" i="183"/>
  <c r="N6" i="183"/>
  <c r="M6" i="183"/>
  <c r="L6" i="183"/>
  <c r="K6" i="183"/>
  <c r="J6" i="183"/>
  <c r="I6" i="183"/>
  <c r="H6" i="183"/>
  <c r="G6" i="183"/>
  <c r="F6" i="183"/>
  <c r="C6" i="183"/>
  <c r="O5" i="183"/>
  <c r="N5" i="183"/>
  <c r="M5" i="183"/>
  <c r="L5" i="183"/>
  <c r="K5" i="183"/>
  <c r="J5" i="183"/>
  <c r="I5" i="183"/>
  <c r="H5" i="183"/>
  <c r="G5" i="183"/>
  <c r="F5" i="183"/>
  <c r="E5" i="183"/>
  <c r="C5" i="183"/>
  <c r="O4" i="183"/>
  <c r="N4" i="183"/>
  <c r="M4" i="183"/>
  <c r="L4" i="183"/>
  <c r="K4" i="183"/>
  <c r="J4" i="183"/>
  <c r="I4" i="183"/>
  <c r="H4" i="183"/>
  <c r="G4" i="183"/>
  <c r="F4" i="183"/>
  <c r="E4" i="183"/>
  <c r="D4" i="183"/>
  <c r="C4" i="183"/>
  <c r="D3" i="183" s="1" a="1"/>
  <c r="O15" i="182"/>
  <c r="C15" i="182"/>
  <c r="O14" i="182"/>
  <c r="N14" i="182"/>
  <c r="C14" i="182"/>
  <c r="O13" i="182"/>
  <c r="N13" i="182"/>
  <c r="M13" i="182"/>
  <c r="C13" i="182"/>
  <c r="O12" i="182"/>
  <c r="N12" i="182"/>
  <c r="M12" i="182"/>
  <c r="L12" i="182"/>
  <c r="C12" i="182"/>
  <c r="O11" i="182"/>
  <c r="N11" i="182"/>
  <c r="M11" i="182"/>
  <c r="L11" i="182"/>
  <c r="K11" i="182"/>
  <c r="C11" i="182"/>
  <c r="O10" i="182"/>
  <c r="N10" i="182"/>
  <c r="M10" i="182"/>
  <c r="L10" i="182"/>
  <c r="K10" i="182"/>
  <c r="J10" i="182"/>
  <c r="C10" i="182"/>
  <c r="O9" i="182"/>
  <c r="N9" i="182"/>
  <c r="M9" i="182"/>
  <c r="L9" i="182"/>
  <c r="K9" i="182"/>
  <c r="J9" i="182"/>
  <c r="I9" i="182"/>
  <c r="C9" i="182"/>
  <c r="O8" i="182"/>
  <c r="N8" i="182"/>
  <c r="M8" i="182"/>
  <c r="L8" i="182"/>
  <c r="K8" i="182"/>
  <c r="J8" i="182"/>
  <c r="I8" i="182"/>
  <c r="H8" i="182"/>
  <c r="C8" i="182"/>
  <c r="O7" i="182"/>
  <c r="N7" i="182"/>
  <c r="M7" i="182"/>
  <c r="L7" i="182"/>
  <c r="K7" i="182"/>
  <c r="J7" i="182"/>
  <c r="I7" i="182"/>
  <c r="H7" i="182"/>
  <c r="G7" i="182"/>
  <c r="C7" i="182"/>
  <c r="O6" i="182"/>
  <c r="N6" i="182"/>
  <c r="M6" i="182"/>
  <c r="L6" i="182"/>
  <c r="K6" i="182"/>
  <c r="J6" i="182"/>
  <c r="I6" i="182"/>
  <c r="H6" i="182"/>
  <c r="G6" i="182"/>
  <c r="F6" i="182"/>
  <c r="C6" i="182"/>
  <c r="O5" i="182"/>
  <c r="N5" i="182"/>
  <c r="M5" i="182"/>
  <c r="L5" i="182"/>
  <c r="K5" i="182"/>
  <c r="J5" i="182"/>
  <c r="I5" i="182"/>
  <c r="H5" i="182"/>
  <c r="G5" i="182"/>
  <c r="F5" i="182"/>
  <c r="E5" i="182"/>
  <c r="C5" i="182"/>
  <c r="O4" i="182"/>
  <c r="N4" i="182"/>
  <c r="M4" i="182"/>
  <c r="L4" i="182"/>
  <c r="K4" i="182"/>
  <c r="J4" i="182"/>
  <c r="I4" i="182"/>
  <c r="H4" i="182"/>
  <c r="G4" i="182"/>
  <c r="F4" i="182"/>
  <c r="E4" i="182"/>
  <c r="D4" i="182"/>
  <c r="C4" i="182"/>
  <c r="AT18" i="215" l="1"/>
  <c r="AS18" i="215"/>
  <c r="AQ18" i="215"/>
  <c r="AR18" i="215" s="1"/>
  <c r="AQ19" i="215"/>
  <c r="AR19" i="215" s="1"/>
  <c r="AT19" i="215"/>
  <c r="AS19" i="215"/>
  <c r="AT17" i="215"/>
  <c r="AS17" i="215"/>
  <c r="AQ17" i="215"/>
  <c r="AR17" i="215" s="1"/>
  <c r="AP12" i="215"/>
  <c r="R7" i="177"/>
  <c r="R2" i="177"/>
  <c r="AO20" i="202"/>
  <c r="AP20" i="202" s="1"/>
  <c r="W21" i="202"/>
  <c r="AO20" i="198"/>
  <c r="AP20" i="198" s="1"/>
  <c r="W21" i="198"/>
  <c r="H9" i="193"/>
  <c r="J10" i="193"/>
  <c r="I9" i="193"/>
  <c r="G10" i="193"/>
  <c r="I10" i="190"/>
  <c r="H10" i="190"/>
  <c r="J11" i="190" s="1"/>
  <c r="G11" i="190"/>
  <c r="I10" i="192"/>
  <c r="H10" i="192"/>
  <c r="J11" i="192" s="1"/>
  <c r="J9" i="193"/>
  <c r="D8" i="189"/>
  <c r="A9" i="189"/>
  <c r="G6" i="189"/>
  <c r="F7" i="189" s="1"/>
  <c r="D13" i="188"/>
  <c r="A10" i="188"/>
  <c r="AA20" i="185"/>
  <c r="AA21" i="185"/>
  <c r="R19" i="185"/>
  <c r="R25" i="185"/>
  <c r="R21" i="185"/>
  <c r="AA19" i="185"/>
  <c r="R26" i="185"/>
  <c r="AA18" i="185"/>
  <c r="P14" i="185"/>
  <c r="AH4" i="185" s="1"/>
  <c r="U22" i="185"/>
  <c r="R20" i="185"/>
  <c r="R22" i="185"/>
  <c r="R18" i="185"/>
  <c r="S18" i="185" s="1"/>
  <c r="R24" i="185"/>
  <c r="AA22" i="185"/>
  <c r="R23" i="185"/>
  <c r="T25" i="185"/>
  <c r="Y14" i="185"/>
  <c r="AC22" i="185" s="1"/>
  <c r="AA20" i="186"/>
  <c r="R23" i="186"/>
  <c r="R18" i="186"/>
  <c r="R26" i="186"/>
  <c r="Y15" i="186"/>
  <c r="Y14" i="186" s="1"/>
  <c r="AC19" i="186" s="1"/>
  <c r="AA19" i="186"/>
  <c r="R19" i="186"/>
  <c r="R22" i="186"/>
  <c r="P15" i="186"/>
  <c r="P14" i="186" s="1"/>
  <c r="AH4" i="186" s="1"/>
  <c r="AA18" i="186"/>
  <c r="AA21" i="186"/>
  <c r="R21" i="186"/>
  <c r="T24" i="186"/>
  <c r="R24" i="186"/>
  <c r="AA22" i="186"/>
  <c r="R25" i="186"/>
  <c r="R20" i="186"/>
  <c r="G8" i="183"/>
  <c r="F10" i="183"/>
  <c r="M3" i="183"/>
  <c r="M14" i="183" s="1"/>
  <c r="I3" i="183"/>
  <c r="I15" i="183" s="1"/>
  <c r="E3" i="183"/>
  <c r="E15" i="183" s="1"/>
  <c r="F3" i="183"/>
  <c r="L3" i="183"/>
  <c r="H3" i="183"/>
  <c r="D3" i="183"/>
  <c r="N3" i="183"/>
  <c r="J3" i="183"/>
  <c r="J11" i="183" s="1"/>
  <c r="O3" i="183"/>
  <c r="K3" i="183"/>
  <c r="K13" i="183" s="1"/>
  <c r="G3" i="183"/>
  <c r="G11" i="183" s="1"/>
  <c r="D3" i="182" a="1"/>
  <c r="R4" i="182"/>
  <c r="D10" i="183"/>
  <c r="H10" i="183"/>
  <c r="H12" i="183"/>
  <c r="G10" i="183"/>
  <c r="K12" i="183"/>
  <c r="F13" i="183"/>
  <c r="G14" i="183"/>
  <c r="N15" i="183"/>
  <c r="F12" i="183"/>
  <c r="G13" i="183"/>
  <c r="T33" i="180"/>
  <c r="T32" i="180"/>
  <c r="T31" i="180"/>
  <c r="T30" i="180"/>
  <c r="T29" i="180"/>
  <c r="T28" i="180"/>
  <c r="T27" i="180"/>
  <c r="T26" i="180"/>
  <c r="T25" i="180"/>
  <c r="T24" i="180"/>
  <c r="T23" i="180"/>
  <c r="T22" i="180"/>
  <c r="T21" i="180"/>
  <c r="T20" i="180"/>
  <c r="T19" i="180"/>
  <c r="T18" i="180"/>
  <c r="T17" i="180"/>
  <c r="T16" i="180"/>
  <c r="T15" i="180"/>
  <c r="T14" i="180"/>
  <c r="T13" i="180"/>
  <c r="T12" i="180"/>
  <c r="T11" i="180"/>
  <c r="T10" i="180"/>
  <c r="T9" i="180"/>
  <c r="T8" i="180"/>
  <c r="T7" i="180"/>
  <c r="T6" i="180"/>
  <c r="S6" i="180"/>
  <c r="S7" i="180" s="1"/>
  <c r="S8" i="180" s="1"/>
  <c r="S9" i="180" s="1"/>
  <c r="S10" i="180" s="1"/>
  <c r="S11" i="180" s="1"/>
  <c r="S12" i="180" s="1"/>
  <c r="S13" i="180" s="1"/>
  <c r="S14" i="180" s="1"/>
  <c r="S15" i="180" s="1"/>
  <c r="S16" i="180" s="1"/>
  <c r="S17" i="180" s="1"/>
  <c r="S18" i="180" s="1"/>
  <c r="S19" i="180" s="1"/>
  <c r="S20" i="180" s="1"/>
  <c r="S21" i="180" s="1"/>
  <c r="S22" i="180" s="1"/>
  <c r="S23" i="180" s="1"/>
  <c r="S24" i="180" s="1"/>
  <c r="S25" i="180" s="1"/>
  <c r="S26" i="180" s="1"/>
  <c r="S27" i="180" s="1"/>
  <c r="S28" i="180" s="1"/>
  <c r="S29" i="180" s="1"/>
  <c r="S30" i="180" s="1"/>
  <c r="S31" i="180" s="1"/>
  <c r="S32" i="180" s="1"/>
  <c r="S33" i="180" s="1"/>
  <c r="S34" i="180" s="1"/>
  <c r="S35" i="180" s="1"/>
  <c r="S36" i="180" s="1"/>
  <c r="S37" i="180" s="1"/>
  <c r="C6" i="180"/>
  <c r="C7" i="180" s="1"/>
  <c r="C8" i="180" s="1"/>
  <c r="C9" i="180" s="1"/>
  <c r="C10" i="180" s="1"/>
  <c r="C11" i="180" s="1"/>
  <c r="C12" i="180" s="1"/>
  <c r="C13" i="180" s="1"/>
  <c r="C14" i="180" s="1"/>
  <c r="C15" i="180" s="1"/>
  <c r="C16" i="180" s="1"/>
  <c r="C17" i="180" s="1"/>
  <c r="C18" i="180" s="1"/>
  <c r="C19" i="180" s="1"/>
  <c r="C20" i="180" s="1"/>
  <c r="C21" i="180" s="1"/>
  <c r="C22" i="180" s="1"/>
  <c r="C23" i="180" s="1"/>
  <c r="C24" i="180" s="1"/>
  <c r="C25" i="180" s="1"/>
  <c r="C26" i="180" s="1"/>
  <c r="C27" i="180" s="1"/>
  <c r="C28" i="180" s="1"/>
  <c r="C29" i="180" s="1"/>
  <c r="C30" i="180" s="1"/>
  <c r="C31" i="180" s="1"/>
  <c r="C32" i="180" s="1"/>
  <c r="T5" i="180"/>
  <c r="S5" i="180"/>
  <c r="C5" i="180"/>
  <c r="T4" i="180"/>
  <c r="C41" i="179"/>
  <c r="B41" i="179"/>
  <c r="C40" i="179"/>
  <c r="B40" i="179"/>
  <c r="C39" i="179"/>
  <c r="B39" i="179"/>
  <c r="C38" i="179"/>
  <c r="B38" i="179"/>
  <c r="C37" i="179"/>
  <c r="B37" i="179"/>
  <c r="C36" i="179"/>
  <c r="B36" i="179"/>
  <c r="C35" i="179"/>
  <c r="B35" i="179"/>
  <c r="C34" i="179"/>
  <c r="B34" i="179"/>
  <c r="C33" i="179"/>
  <c r="B33" i="179"/>
  <c r="C32" i="179"/>
  <c r="B32" i="179"/>
  <c r="C31" i="179"/>
  <c r="B31" i="179"/>
  <c r="C30" i="179"/>
  <c r="B30" i="179"/>
  <c r="C29" i="179"/>
  <c r="B29" i="179"/>
  <c r="C28" i="179"/>
  <c r="B28" i="179"/>
  <c r="C27" i="179"/>
  <c r="B27" i="179"/>
  <c r="C26" i="179"/>
  <c r="B26" i="179"/>
  <c r="C25" i="179"/>
  <c r="B25" i="179"/>
  <c r="C24" i="179"/>
  <c r="B24" i="179"/>
  <c r="C23" i="179"/>
  <c r="B23" i="179"/>
  <c r="C22" i="179"/>
  <c r="B22" i="179"/>
  <c r="C21" i="179"/>
  <c r="B21" i="179"/>
  <c r="C20" i="179"/>
  <c r="B20" i="179"/>
  <c r="C19" i="179"/>
  <c r="B19" i="179"/>
  <c r="C18" i="179"/>
  <c r="B18" i="179"/>
  <c r="C17" i="179"/>
  <c r="B17" i="179"/>
  <c r="C16" i="179"/>
  <c r="B16" i="179"/>
  <c r="C15" i="179"/>
  <c r="B15" i="179"/>
  <c r="C14" i="179"/>
  <c r="B14" i="179"/>
  <c r="C13" i="179"/>
  <c r="B13" i="179"/>
  <c r="C12" i="179"/>
  <c r="B12" i="179"/>
  <c r="C11" i="179"/>
  <c r="B11" i="179"/>
  <c r="C10" i="179"/>
  <c r="B10" i="179"/>
  <c r="C9" i="179"/>
  <c r="B9" i="179"/>
  <c r="C8" i="179"/>
  <c r="B8" i="179"/>
  <c r="C7" i="179"/>
  <c r="B7" i="179"/>
  <c r="C6" i="179"/>
  <c r="B6" i="179"/>
  <c r="AM5" i="179"/>
  <c r="AM6" i="179" s="1"/>
  <c r="AM7" i="179" s="1"/>
  <c r="AM8" i="179" s="1"/>
  <c r="AM9" i="179" s="1"/>
  <c r="AM10" i="179" s="1"/>
  <c r="AM11" i="179" s="1"/>
  <c r="AM12" i="179" s="1"/>
  <c r="AM13" i="179" s="1"/>
  <c r="AM14" i="179" s="1"/>
  <c r="AM15" i="179" s="1"/>
  <c r="AM16" i="179" s="1"/>
  <c r="AM17" i="179" s="1"/>
  <c r="AM18" i="179" s="1"/>
  <c r="AM19" i="179" s="1"/>
  <c r="AM20" i="179" s="1"/>
  <c r="AM21" i="179" s="1"/>
  <c r="AM22" i="179" s="1"/>
  <c r="AM23" i="179" s="1"/>
  <c r="AM24" i="179" s="1"/>
  <c r="AM25" i="179" s="1"/>
  <c r="AM26" i="179" s="1"/>
  <c r="AM27" i="179" s="1"/>
  <c r="AM28" i="179" s="1"/>
  <c r="AM29" i="179" s="1"/>
  <c r="AM30" i="179" s="1"/>
  <c r="AM31" i="179" s="1"/>
  <c r="AM32" i="179" s="1"/>
  <c r="AM33" i="179" s="1"/>
  <c r="AM34" i="179" s="1"/>
  <c r="AM35" i="179" s="1"/>
  <c r="AM36" i="179" s="1"/>
  <c r="AM37" i="179" s="1"/>
  <c r="AM38" i="179" s="1"/>
  <c r="AM39" i="179" s="1"/>
  <c r="AM40" i="179" s="1"/>
  <c r="AM41" i="179" s="1"/>
  <c r="AM42" i="179" s="1"/>
  <c r="AG5" i="179"/>
  <c r="AG6" i="179" s="1"/>
  <c r="AG7" i="179" s="1"/>
  <c r="AG8" i="179" s="1"/>
  <c r="AG9" i="179" s="1"/>
  <c r="AG10" i="179" s="1"/>
  <c r="AG11" i="179" s="1"/>
  <c r="AG12" i="179" s="1"/>
  <c r="AG13" i="179" s="1"/>
  <c r="AG14" i="179" s="1"/>
  <c r="AG15" i="179" s="1"/>
  <c r="AG16" i="179" s="1"/>
  <c r="AG17" i="179" s="1"/>
  <c r="AG18" i="179" s="1"/>
  <c r="AG19" i="179" s="1"/>
  <c r="AG20" i="179" s="1"/>
  <c r="AG21" i="179" s="1"/>
  <c r="AG22" i="179" s="1"/>
  <c r="AG23" i="179" s="1"/>
  <c r="AG24" i="179" s="1"/>
  <c r="AG25" i="179" s="1"/>
  <c r="AG26" i="179" s="1"/>
  <c r="AG27" i="179" s="1"/>
  <c r="AG28" i="179" s="1"/>
  <c r="AG29" i="179" s="1"/>
  <c r="AG30" i="179" s="1"/>
  <c r="AG31" i="179" s="1"/>
  <c r="AG32" i="179" s="1"/>
  <c r="AG33" i="179" s="1"/>
  <c r="AG34" i="179" s="1"/>
  <c r="AG35" i="179" s="1"/>
  <c r="AG36" i="179" s="1"/>
  <c r="AG37" i="179" s="1"/>
  <c r="AG38" i="179" s="1"/>
  <c r="AG39" i="179" s="1"/>
  <c r="AG40" i="179" s="1"/>
  <c r="AG41" i="179" s="1"/>
  <c r="AG42" i="179" s="1"/>
  <c r="AA5" i="179"/>
  <c r="AA6" i="179" s="1"/>
  <c r="AA7" i="179" s="1"/>
  <c r="AA8" i="179" s="1"/>
  <c r="AA9" i="179" s="1"/>
  <c r="AA10" i="179" s="1"/>
  <c r="AA11" i="179" s="1"/>
  <c r="AA12" i="179" s="1"/>
  <c r="AA13" i="179" s="1"/>
  <c r="AA14" i="179" s="1"/>
  <c r="AA15" i="179" s="1"/>
  <c r="AA16" i="179" s="1"/>
  <c r="AA17" i="179" s="1"/>
  <c r="AA18" i="179" s="1"/>
  <c r="AA19" i="179" s="1"/>
  <c r="AA20" i="179" s="1"/>
  <c r="AA21" i="179" s="1"/>
  <c r="AA22" i="179" s="1"/>
  <c r="AA23" i="179" s="1"/>
  <c r="AA24" i="179" s="1"/>
  <c r="AA25" i="179" s="1"/>
  <c r="AA26" i="179" s="1"/>
  <c r="AA27" i="179" s="1"/>
  <c r="AA28" i="179" s="1"/>
  <c r="AA29" i="179" s="1"/>
  <c r="AA30" i="179" s="1"/>
  <c r="AA31" i="179" s="1"/>
  <c r="AA32" i="179" s="1"/>
  <c r="AA33" i="179" s="1"/>
  <c r="AA34" i="179" s="1"/>
  <c r="AA35" i="179" s="1"/>
  <c r="AA36" i="179" s="1"/>
  <c r="AA37" i="179" s="1"/>
  <c r="AA38" i="179" s="1"/>
  <c r="AA39" i="179" s="1"/>
  <c r="AA40" i="179" s="1"/>
  <c r="AA41" i="179" s="1"/>
  <c r="AA42" i="179" s="1"/>
  <c r="U5" i="179"/>
  <c r="U6" i="179" s="1"/>
  <c r="U7" i="179" s="1"/>
  <c r="U8" i="179" s="1"/>
  <c r="U9" i="179" s="1"/>
  <c r="U10" i="179" s="1"/>
  <c r="U11" i="179" s="1"/>
  <c r="U12" i="179" s="1"/>
  <c r="U13" i="179" s="1"/>
  <c r="U14" i="179" s="1"/>
  <c r="U15" i="179" s="1"/>
  <c r="U16" i="179" s="1"/>
  <c r="U17" i="179" s="1"/>
  <c r="U18" i="179" s="1"/>
  <c r="U19" i="179" s="1"/>
  <c r="U20" i="179" s="1"/>
  <c r="U21" i="179" s="1"/>
  <c r="U22" i="179" s="1"/>
  <c r="U23" i="179" s="1"/>
  <c r="U24" i="179" s="1"/>
  <c r="U25" i="179" s="1"/>
  <c r="U26" i="179" s="1"/>
  <c r="U27" i="179" s="1"/>
  <c r="U28" i="179" s="1"/>
  <c r="U29" i="179" s="1"/>
  <c r="U30" i="179" s="1"/>
  <c r="U31" i="179" s="1"/>
  <c r="U32" i="179" s="1"/>
  <c r="U33" i="179" s="1"/>
  <c r="U34" i="179" s="1"/>
  <c r="U35" i="179" s="1"/>
  <c r="U36" i="179" s="1"/>
  <c r="U37" i="179" s="1"/>
  <c r="U38" i="179" s="1"/>
  <c r="U39" i="179" s="1"/>
  <c r="U40" i="179" s="1"/>
  <c r="U41" i="179" s="1"/>
  <c r="U42" i="179" s="1"/>
  <c r="O5" i="179"/>
  <c r="O6" i="179" s="1"/>
  <c r="O7" i="179" s="1"/>
  <c r="O8" i="179" s="1"/>
  <c r="O9" i="179" s="1"/>
  <c r="O10" i="179" s="1"/>
  <c r="O11" i="179" s="1"/>
  <c r="O12" i="179" s="1"/>
  <c r="O13" i="179" s="1"/>
  <c r="O14" i="179" s="1"/>
  <c r="O15" i="179" s="1"/>
  <c r="O16" i="179" s="1"/>
  <c r="O17" i="179" s="1"/>
  <c r="O18" i="179" s="1"/>
  <c r="O19" i="179" s="1"/>
  <c r="O20" i="179" s="1"/>
  <c r="O21" i="179" s="1"/>
  <c r="O22" i="179" s="1"/>
  <c r="O23" i="179" s="1"/>
  <c r="O24" i="179" s="1"/>
  <c r="O25" i="179" s="1"/>
  <c r="O26" i="179" s="1"/>
  <c r="O27" i="179" s="1"/>
  <c r="O28" i="179" s="1"/>
  <c r="O29" i="179" s="1"/>
  <c r="O30" i="179" s="1"/>
  <c r="O31" i="179" s="1"/>
  <c r="O32" i="179" s="1"/>
  <c r="O33" i="179" s="1"/>
  <c r="O34" i="179" s="1"/>
  <c r="O35" i="179" s="1"/>
  <c r="O36" i="179" s="1"/>
  <c r="O37" i="179" s="1"/>
  <c r="O38" i="179" s="1"/>
  <c r="O39" i="179" s="1"/>
  <c r="O40" i="179" s="1"/>
  <c r="O41" i="179" s="1"/>
  <c r="O42" i="179" s="1"/>
  <c r="I5" i="179"/>
  <c r="I6" i="179" s="1"/>
  <c r="I7" i="179" s="1"/>
  <c r="I8" i="179" s="1"/>
  <c r="I9" i="179" s="1"/>
  <c r="I10" i="179" s="1"/>
  <c r="I11" i="179" s="1"/>
  <c r="I12" i="179" s="1"/>
  <c r="I13" i="179" s="1"/>
  <c r="I14" i="179" s="1"/>
  <c r="I15" i="179" s="1"/>
  <c r="I16" i="179" s="1"/>
  <c r="I17" i="179" s="1"/>
  <c r="I18" i="179" s="1"/>
  <c r="I19" i="179" s="1"/>
  <c r="I20" i="179" s="1"/>
  <c r="I21" i="179" s="1"/>
  <c r="I22" i="179" s="1"/>
  <c r="I23" i="179" s="1"/>
  <c r="I24" i="179" s="1"/>
  <c r="I25" i="179" s="1"/>
  <c r="I26" i="179" s="1"/>
  <c r="I27" i="179" s="1"/>
  <c r="I28" i="179" s="1"/>
  <c r="I29" i="179" s="1"/>
  <c r="I30" i="179" s="1"/>
  <c r="I31" i="179" s="1"/>
  <c r="I32" i="179" s="1"/>
  <c r="I33" i="179" s="1"/>
  <c r="I34" i="179" s="1"/>
  <c r="I35" i="179" s="1"/>
  <c r="I36" i="179" s="1"/>
  <c r="I37" i="179" s="1"/>
  <c r="I38" i="179" s="1"/>
  <c r="I39" i="179" s="1"/>
  <c r="I40" i="179" s="1"/>
  <c r="I41" i="179" s="1"/>
  <c r="I42" i="179" s="1"/>
  <c r="C5" i="179"/>
  <c r="B5" i="179"/>
  <c r="C4" i="179"/>
  <c r="B4" i="179"/>
  <c r="C3" i="179"/>
  <c r="B3" i="179"/>
  <c r="AM5" i="178"/>
  <c r="AM6" i="178" s="1"/>
  <c r="AM7" i="178" s="1"/>
  <c r="AM8" i="178" s="1"/>
  <c r="AM9" i="178" s="1"/>
  <c r="AM10" i="178" s="1"/>
  <c r="AM11" i="178" s="1"/>
  <c r="AM12" i="178" s="1"/>
  <c r="AM13" i="178" s="1"/>
  <c r="AM14" i="178" s="1"/>
  <c r="AM15" i="178" s="1"/>
  <c r="AM16" i="178" s="1"/>
  <c r="AM17" i="178" s="1"/>
  <c r="AM18" i="178" s="1"/>
  <c r="AM19" i="178" s="1"/>
  <c r="AM20" i="178" s="1"/>
  <c r="AM21" i="178" s="1"/>
  <c r="AM22" i="178" s="1"/>
  <c r="AM23" i="178" s="1"/>
  <c r="AM24" i="178" s="1"/>
  <c r="AM25" i="178" s="1"/>
  <c r="AM26" i="178" s="1"/>
  <c r="AM27" i="178" s="1"/>
  <c r="AM28" i="178" s="1"/>
  <c r="AM29" i="178" s="1"/>
  <c r="AM30" i="178" s="1"/>
  <c r="AM31" i="178" s="1"/>
  <c r="AM32" i="178" s="1"/>
  <c r="AM33" i="178" s="1"/>
  <c r="AM34" i="178" s="1"/>
  <c r="AM35" i="178" s="1"/>
  <c r="AM36" i="178" s="1"/>
  <c r="AM37" i="178" s="1"/>
  <c r="AM38" i="178" s="1"/>
  <c r="AM39" i="178" s="1"/>
  <c r="AM40" i="178" s="1"/>
  <c r="AM41" i="178" s="1"/>
  <c r="AM42" i="178" s="1"/>
  <c r="AM43" i="178" s="1"/>
  <c r="AM44" i="178" s="1"/>
  <c r="AM45" i="178" s="1"/>
  <c r="AG5" i="178"/>
  <c r="AG6" i="178" s="1"/>
  <c r="AG7" i="178" s="1"/>
  <c r="AG8" i="178" s="1"/>
  <c r="AG9" i="178" s="1"/>
  <c r="AG10" i="178" s="1"/>
  <c r="AG11" i="178" s="1"/>
  <c r="AG12" i="178" s="1"/>
  <c r="AG13" i="178" s="1"/>
  <c r="AG14" i="178" s="1"/>
  <c r="AG15" i="178" s="1"/>
  <c r="AG16" i="178" s="1"/>
  <c r="AG17" i="178" s="1"/>
  <c r="AG18" i="178" s="1"/>
  <c r="AG19" i="178" s="1"/>
  <c r="AG20" i="178" s="1"/>
  <c r="AG21" i="178" s="1"/>
  <c r="AG22" i="178" s="1"/>
  <c r="AG23" i="178" s="1"/>
  <c r="AG24" i="178" s="1"/>
  <c r="AG25" i="178" s="1"/>
  <c r="AG26" i="178" s="1"/>
  <c r="AG27" i="178" s="1"/>
  <c r="AG28" i="178" s="1"/>
  <c r="AG29" i="178" s="1"/>
  <c r="AG30" i="178" s="1"/>
  <c r="AG31" i="178" s="1"/>
  <c r="AG32" i="178" s="1"/>
  <c r="AG33" i="178" s="1"/>
  <c r="AG34" i="178" s="1"/>
  <c r="AG35" i="178" s="1"/>
  <c r="AG36" i="178" s="1"/>
  <c r="AG37" i="178" s="1"/>
  <c r="AG38" i="178" s="1"/>
  <c r="AG39" i="178" s="1"/>
  <c r="AG40" i="178" s="1"/>
  <c r="AG41" i="178" s="1"/>
  <c r="AG42" i="178" s="1"/>
  <c r="AG43" i="178" s="1"/>
  <c r="AG44" i="178" s="1"/>
  <c r="AG45" i="178" s="1"/>
  <c r="AA5" i="178"/>
  <c r="AA6" i="178" s="1"/>
  <c r="AA7" i="178" s="1"/>
  <c r="AA8" i="178" s="1"/>
  <c r="AA9" i="178" s="1"/>
  <c r="AA10" i="178" s="1"/>
  <c r="AA11" i="178" s="1"/>
  <c r="AA12" i="178" s="1"/>
  <c r="AA13" i="178" s="1"/>
  <c r="AA14" i="178" s="1"/>
  <c r="AA15" i="178" s="1"/>
  <c r="AA16" i="178" s="1"/>
  <c r="AA17" i="178" s="1"/>
  <c r="AA18" i="178" s="1"/>
  <c r="AA19" i="178" s="1"/>
  <c r="AA20" i="178" s="1"/>
  <c r="AA21" i="178" s="1"/>
  <c r="AA22" i="178" s="1"/>
  <c r="AA23" i="178" s="1"/>
  <c r="AA24" i="178" s="1"/>
  <c r="AA25" i="178" s="1"/>
  <c r="AA26" i="178" s="1"/>
  <c r="AA27" i="178" s="1"/>
  <c r="AA28" i="178" s="1"/>
  <c r="AA29" i="178" s="1"/>
  <c r="AA30" i="178" s="1"/>
  <c r="AA31" i="178" s="1"/>
  <c r="AA32" i="178" s="1"/>
  <c r="AA33" i="178" s="1"/>
  <c r="AA34" i="178" s="1"/>
  <c r="AA35" i="178" s="1"/>
  <c r="AA36" i="178" s="1"/>
  <c r="AA37" i="178" s="1"/>
  <c r="AA38" i="178" s="1"/>
  <c r="AA39" i="178" s="1"/>
  <c r="AA40" i="178" s="1"/>
  <c r="AA41" i="178" s="1"/>
  <c r="AA42" i="178" s="1"/>
  <c r="AA43" i="178" s="1"/>
  <c r="AA44" i="178" s="1"/>
  <c r="AA45" i="178" s="1"/>
  <c r="U5" i="178"/>
  <c r="U6" i="178" s="1"/>
  <c r="U7" i="178" s="1"/>
  <c r="U8" i="178" s="1"/>
  <c r="U9" i="178" s="1"/>
  <c r="U10" i="178" s="1"/>
  <c r="U11" i="178" s="1"/>
  <c r="U12" i="178" s="1"/>
  <c r="U13" i="178" s="1"/>
  <c r="U14" i="178" s="1"/>
  <c r="U15" i="178" s="1"/>
  <c r="U16" i="178" s="1"/>
  <c r="U17" i="178" s="1"/>
  <c r="U18" i="178" s="1"/>
  <c r="U19" i="178" s="1"/>
  <c r="U20" i="178" s="1"/>
  <c r="U21" i="178" s="1"/>
  <c r="U22" i="178" s="1"/>
  <c r="U23" i="178" s="1"/>
  <c r="U24" i="178" s="1"/>
  <c r="U25" i="178" s="1"/>
  <c r="U26" i="178" s="1"/>
  <c r="U27" i="178" s="1"/>
  <c r="U28" i="178" s="1"/>
  <c r="U29" i="178" s="1"/>
  <c r="U30" i="178" s="1"/>
  <c r="U31" i="178" s="1"/>
  <c r="U32" i="178" s="1"/>
  <c r="U33" i="178" s="1"/>
  <c r="U34" i="178" s="1"/>
  <c r="U35" i="178" s="1"/>
  <c r="U36" i="178" s="1"/>
  <c r="U37" i="178" s="1"/>
  <c r="U38" i="178" s="1"/>
  <c r="U39" i="178" s="1"/>
  <c r="U40" i="178" s="1"/>
  <c r="U41" i="178" s="1"/>
  <c r="U42" i="178" s="1"/>
  <c r="U43" i="178" s="1"/>
  <c r="U44" i="178" s="1"/>
  <c r="U45" i="178" s="1"/>
  <c r="O5" i="178"/>
  <c r="O6" i="178" s="1"/>
  <c r="O7" i="178" s="1"/>
  <c r="O8" i="178" s="1"/>
  <c r="O9" i="178" s="1"/>
  <c r="O10" i="178" s="1"/>
  <c r="O11" i="178" s="1"/>
  <c r="O12" i="178" s="1"/>
  <c r="O13" i="178" s="1"/>
  <c r="O14" i="178" s="1"/>
  <c r="O15" i="178" s="1"/>
  <c r="O16" i="178" s="1"/>
  <c r="O17" i="178" s="1"/>
  <c r="O18" i="178" s="1"/>
  <c r="O19" i="178" s="1"/>
  <c r="O20" i="178" s="1"/>
  <c r="O21" i="178" s="1"/>
  <c r="O22" i="178" s="1"/>
  <c r="O23" i="178" s="1"/>
  <c r="O24" i="178" s="1"/>
  <c r="O25" i="178" s="1"/>
  <c r="O26" i="178" s="1"/>
  <c r="O27" i="178" s="1"/>
  <c r="O28" i="178" s="1"/>
  <c r="O29" i="178" s="1"/>
  <c r="O30" i="178" s="1"/>
  <c r="O31" i="178" s="1"/>
  <c r="O32" i="178" s="1"/>
  <c r="O33" i="178" s="1"/>
  <c r="O34" i="178" s="1"/>
  <c r="O35" i="178" s="1"/>
  <c r="O36" i="178" s="1"/>
  <c r="O37" i="178" s="1"/>
  <c r="O38" i="178" s="1"/>
  <c r="O39" i="178" s="1"/>
  <c r="O40" i="178" s="1"/>
  <c r="O41" i="178" s="1"/>
  <c r="O42" i="178" s="1"/>
  <c r="O43" i="178" s="1"/>
  <c r="I5" i="178"/>
  <c r="I6" i="178" s="1"/>
  <c r="I7" i="178" s="1"/>
  <c r="I8" i="178" s="1"/>
  <c r="I9" i="178" s="1"/>
  <c r="I10" i="178" s="1"/>
  <c r="I11" i="178" s="1"/>
  <c r="I12" i="178" s="1"/>
  <c r="I13" i="178" s="1"/>
  <c r="I14" i="178" s="1"/>
  <c r="I15" i="178" s="1"/>
  <c r="I16" i="178" s="1"/>
  <c r="I17" i="178" s="1"/>
  <c r="I18" i="178" s="1"/>
  <c r="I19" i="178" s="1"/>
  <c r="I20" i="178" s="1"/>
  <c r="I21" i="178" s="1"/>
  <c r="I22" i="178" s="1"/>
  <c r="I23" i="178" s="1"/>
  <c r="I24" i="178" s="1"/>
  <c r="I25" i="178" s="1"/>
  <c r="I26" i="178" s="1"/>
  <c r="I27" i="178" s="1"/>
  <c r="I28" i="178" s="1"/>
  <c r="I29" i="178" s="1"/>
  <c r="I30" i="178" s="1"/>
  <c r="I31" i="178" s="1"/>
  <c r="I32" i="178" s="1"/>
  <c r="I33" i="178" s="1"/>
  <c r="I34" i="178" s="1"/>
  <c r="I35" i="178" s="1"/>
  <c r="I36" i="178" s="1"/>
  <c r="I37" i="178" s="1"/>
  <c r="I38" i="178" s="1"/>
  <c r="I39" i="178" s="1"/>
  <c r="I40" i="178" s="1"/>
  <c r="I41" i="178" s="1"/>
  <c r="I42" i="178" s="1"/>
  <c r="I43" i="178" s="1"/>
  <c r="AQ12" i="215" l="1"/>
  <c r="AO5" i="215"/>
  <c r="AP13" i="215"/>
  <c r="I12" i="183"/>
  <c r="I13" i="183"/>
  <c r="E12" i="183"/>
  <c r="E13" i="183"/>
  <c r="K15" i="183"/>
  <c r="I10" i="183"/>
  <c r="E7" i="183"/>
  <c r="E10" i="183"/>
  <c r="G11" i="192"/>
  <c r="K14" i="183"/>
  <c r="AO21" i="202"/>
  <c r="AP21" i="202" s="1"/>
  <c r="W22" i="202"/>
  <c r="AO21" i="198"/>
  <c r="AP21" i="198" s="1"/>
  <c r="W22" i="198"/>
  <c r="I11" i="190"/>
  <c r="H11" i="190"/>
  <c r="J12" i="190" s="1"/>
  <c r="G12" i="190"/>
  <c r="H10" i="193"/>
  <c r="G11" i="193" s="1"/>
  <c r="I10" i="193"/>
  <c r="G7" i="189"/>
  <c r="H8" i="189" s="1"/>
  <c r="H7" i="189"/>
  <c r="D9" i="189"/>
  <c r="A10" i="189"/>
  <c r="D14" i="188"/>
  <c r="A11" i="188"/>
  <c r="S22" i="185"/>
  <c r="T20" i="185"/>
  <c r="AC22" i="186"/>
  <c r="U20" i="185"/>
  <c r="S24" i="185"/>
  <c r="S26" i="185"/>
  <c r="S23" i="185"/>
  <c r="S25" i="185"/>
  <c r="S20" i="185"/>
  <c r="T26" i="185"/>
  <c r="T23" i="185"/>
  <c r="U23" i="185"/>
  <c r="T21" i="185"/>
  <c r="U18" i="185"/>
  <c r="T22" i="185"/>
  <c r="U26" i="185"/>
  <c r="T18" i="185"/>
  <c r="U24" i="185"/>
  <c r="U25" i="185"/>
  <c r="T19" i="185"/>
  <c r="U21" i="185"/>
  <c r="S21" i="185"/>
  <c r="T24" i="185"/>
  <c r="U19" i="185"/>
  <c r="S19" i="185"/>
  <c r="AB19" i="185"/>
  <c r="AC21" i="186"/>
  <c r="AD19" i="186"/>
  <c r="AB21" i="185"/>
  <c r="AB20" i="185"/>
  <c r="AD21" i="185"/>
  <c r="AC19" i="185"/>
  <c r="AD18" i="185"/>
  <c r="AC21" i="185"/>
  <c r="AC20" i="185"/>
  <c r="AD19" i="185"/>
  <c r="AC18" i="185"/>
  <c r="AD22" i="185"/>
  <c r="AD20" i="185"/>
  <c r="AB22" i="185"/>
  <c r="AB18" i="185"/>
  <c r="AC18" i="186"/>
  <c r="T20" i="186"/>
  <c r="AB22" i="186"/>
  <c r="T21" i="186"/>
  <c r="AD18" i="186"/>
  <c r="U26" i="186"/>
  <c r="U18" i="186"/>
  <c r="AD20" i="186"/>
  <c r="S20" i="186"/>
  <c r="T25" i="186"/>
  <c r="AD22" i="186"/>
  <c r="U21" i="186"/>
  <c r="AD21" i="186"/>
  <c r="T19" i="186"/>
  <c r="AB19" i="186"/>
  <c r="S18" i="186"/>
  <c r="S23" i="186"/>
  <c r="AC20" i="186"/>
  <c r="U22" i="186"/>
  <c r="S19" i="186"/>
  <c r="T26" i="186"/>
  <c r="T18" i="186"/>
  <c r="U23" i="186"/>
  <c r="S25" i="186"/>
  <c r="U24" i="186"/>
  <c r="S22" i="186"/>
  <c r="U20" i="186"/>
  <c r="U25" i="186"/>
  <c r="S24" i="186"/>
  <c r="S21" i="186"/>
  <c r="AB21" i="186"/>
  <c r="AB18" i="186"/>
  <c r="T22" i="186"/>
  <c r="U19" i="186"/>
  <c r="S26" i="186"/>
  <c r="T23" i="186"/>
  <c r="AB20" i="186"/>
  <c r="R4" i="177"/>
  <c r="J13" i="183"/>
  <c r="O3" i="182"/>
  <c r="K3" i="182"/>
  <c r="G3" i="182"/>
  <c r="N3" i="182"/>
  <c r="N17" i="182" s="1"/>
  <c r="J3" i="182"/>
  <c r="F3" i="182"/>
  <c r="M3" i="182"/>
  <c r="I3" i="182"/>
  <c r="E3" i="182"/>
  <c r="D3" i="182"/>
  <c r="L3" i="182"/>
  <c r="H3" i="182"/>
  <c r="F7" i="183"/>
  <c r="F9" i="183"/>
  <c r="F8" i="183"/>
  <c r="F11" i="183"/>
  <c r="D14" i="183"/>
  <c r="D13" i="183"/>
  <c r="D7" i="183"/>
  <c r="D11" i="183"/>
  <c r="D9" i="183"/>
  <c r="D8" i="183"/>
  <c r="D6" i="183"/>
  <c r="D15" i="183"/>
  <c r="E11" i="183"/>
  <c r="E9" i="183"/>
  <c r="E8" i="183"/>
  <c r="E6" i="183"/>
  <c r="E14" i="183"/>
  <c r="L14" i="183"/>
  <c r="L15" i="183"/>
  <c r="L13" i="183"/>
  <c r="J15" i="183"/>
  <c r="J14" i="183"/>
  <c r="G15" i="183"/>
  <c r="G12" i="183"/>
  <c r="F15" i="183"/>
  <c r="M15" i="183"/>
  <c r="F14" i="183"/>
  <c r="D12" i="183"/>
  <c r="D5" i="183"/>
  <c r="J12" i="183"/>
  <c r="H14" i="183"/>
  <c r="H15" i="183"/>
  <c r="H11" i="183"/>
  <c r="H9" i="183"/>
  <c r="H13" i="183"/>
  <c r="I11" i="183"/>
  <c r="I14" i="183"/>
  <c r="G9" i="183"/>
  <c r="AQ13" i="215" l="1"/>
  <c r="AO7" i="215" s="1"/>
  <c r="AR4" i="215"/>
  <c r="AR5" i="215" s="1"/>
  <c r="AR6" i="215"/>
  <c r="AO4" i="215"/>
  <c r="AO6" i="215"/>
  <c r="J12" i="192"/>
  <c r="F8" i="189"/>
  <c r="G12" i="192"/>
  <c r="H12" i="192" s="1"/>
  <c r="G13" i="192" s="1"/>
  <c r="H11" i="192"/>
  <c r="I11" i="192"/>
  <c r="AO22" i="202"/>
  <c r="AP22" i="202" s="1"/>
  <c r="W23" i="202"/>
  <c r="AO22" i="198"/>
  <c r="AP22" i="198" s="1"/>
  <c r="W23" i="198"/>
  <c r="AA12" i="198" s="1"/>
  <c r="I11" i="193"/>
  <c r="H11" i="193"/>
  <c r="J12" i="193" s="1"/>
  <c r="H12" i="190"/>
  <c r="G13" i="190" s="1"/>
  <c r="I12" i="190"/>
  <c r="J11" i="193"/>
  <c r="G8" i="189"/>
  <c r="H9" i="189" s="1"/>
  <c r="F9" i="189"/>
  <c r="D10" i="189"/>
  <c r="A11" i="189"/>
  <c r="D15" i="188"/>
  <c r="A12" i="188"/>
  <c r="L17" i="182"/>
  <c r="L18" i="182"/>
  <c r="L19" i="182" s="1"/>
  <c r="L13" i="182"/>
  <c r="L15" i="182"/>
  <c r="L14" i="182"/>
  <c r="M18" i="182"/>
  <c r="M19" i="182" s="1"/>
  <c r="M17" i="182"/>
  <c r="M15" i="182"/>
  <c r="M14" i="182"/>
  <c r="G17" i="182"/>
  <c r="G18" i="182" s="1"/>
  <c r="G19" i="182" s="1"/>
  <c r="G12" i="182"/>
  <c r="G14" i="182"/>
  <c r="G9" i="182"/>
  <c r="G15" i="182"/>
  <c r="G13" i="182"/>
  <c r="G8" i="182"/>
  <c r="G10" i="182"/>
  <c r="G11" i="182"/>
  <c r="R5" i="183"/>
  <c r="R11" i="183"/>
  <c r="D17" i="182"/>
  <c r="D18" i="182" s="1"/>
  <c r="D19" i="182" s="1"/>
  <c r="D12" i="182"/>
  <c r="D10" i="182"/>
  <c r="D6" i="182"/>
  <c r="D8" i="182"/>
  <c r="D7" i="182"/>
  <c r="D14" i="182"/>
  <c r="D15" i="182"/>
  <c r="D9" i="182"/>
  <c r="D5" i="182"/>
  <c r="D13" i="182"/>
  <c r="D11" i="182"/>
  <c r="F14" i="182"/>
  <c r="F10" i="182"/>
  <c r="F12" i="182"/>
  <c r="F8" i="182"/>
  <c r="F17" i="182"/>
  <c r="F18" i="182" s="1"/>
  <c r="F19" i="182" s="1"/>
  <c r="F7" i="182"/>
  <c r="F9" i="182"/>
  <c r="F13" i="182"/>
  <c r="F15" i="182"/>
  <c r="F11" i="182"/>
  <c r="K17" i="182"/>
  <c r="K18" i="182" s="1"/>
  <c r="K19" i="182" s="1"/>
  <c r="K15" i="182"/>
  <c r="K12" i="182"/>
  <c r="K14" i="182"/>
  <c r="K13" i="182"/>
  <c r="E17" i="182"/>
  <c r="E18" i="182" s="1"/>
  <c r="E19" i="182" s="1"/>
  <c r="E15" i="182"/>
  <c r="E12" i="182"/>
  <c r="E8" i="182"/>
  <c r="E6" i="182"/>
  <c r="E9" i="182"/>
  <c r="E7" i="182"/>
  <c r="E11" i="182"/>
  <c r="E13" i="182"/>
  <c r="E10" i="182"/>
  <c r="E14" i="182"/>
  <c r="J14" i="182"/>
  <c r="J17" i="182"/>
  <c r="J18" i="182" s="1"/>
  <c r="J19" i="182" s="1"/>
  <c r="J11" i="182"/>
  <c r="J15" i="182"/>
  <c r="J12" i="182"/>
  <c r="J13" i="182"/>
  <c r="H17" i="182"/>
  <c r="H18" i="182"/>
  <c r="H19" i="182" s="1"/>
  <c r="H12" i="182"/>
  <c r="H11" i="182"/>
  <c r="H15" i="182"/>
  <c r="H14" i="182"/>
  <c r="H9" i="182"/>
  <c r="H10" i="182"/>
  <c r="H13" i="182"/>
  <c r="I17" i="182"/>
  <c r="I18" i="182" s="1"/>
  <c r="I19" i="182" s="1"/>
  <c r="I15" i="182"/>
  <c r="I11" i="182"/>
  <c r="I12" i="182"/>
  <c r="I14" i="182"/>
  <c r="I10" i="182"/>
  <c r="I13" i="182"/>
  <c r="N18" i="182"/>
  <c r="N19" i="182" s="1"/>
  <c r="N15" i="182"/>
  <c r="I18" i="180"/>
  <c r="I17" i="180"/>
  <c r="I16" i="180"/>
  <c r="S6" i="179"/>
  <c r="M6" i="179"/>
  <c r="S6" i="178"/>
  <c r="AQ6" i="178"/>
  <c r="AK6" i="179"/>
  <c r="AE6" i="179"/>
  <c r="AQ6" i="179"/>
  <c r="AE6" i="178"/>
  <c r="Y6" i="179"/>
  <c r="AK6" i="178"/>
  <c r="Y6" i="178"/>
  <c r="M6" i="178"/>
  <c r="AR12" i="215" l="1"/>
  <c r="AS12" i="215" s="1"/>
  <c r="AT12" i="215" s="1"/>
  <c r="I12" i="192"/>
  <c r="J13" i="192"/>
  <c r="J13" i="190"/>
  <c r="G12" i="193"/>
  <c r="AO23" i="202"/>
  <c r="AA13" i="202"/>
  <c r="AA7" i="202"/>
  <c r="AA12" i="202"/>
  <c r="AO23" i="198"/>
  <c r="AA7" i="198"/>
  <c r="AA13" i="198"/>
  <c r="H13" i="190"/>
  <c r="J14" i="190" s="1"/>
  <c r="I13" i="190"/>
  <c r="G14" i="190"/>
  <c r="H13" i="192"/>
  <c r="G14" i="192" s="1"/>
  <c r="I13" i="192"/>
  <c r="H12" i="193"/>
  <c r="J13" i="193"/>
  <c r="I12" i="193"/>
  <c r="G13" i="193"/>
  <c r="G9" i="189"/>
  <c r="H10" i="189" s="1"/>
  <c r="D11" i="189"/>
  <c r="A12" i="189"/>
  <c r="D16" i="188"/>
  <c r="A13" i="188"/>
  <c r="R7" i="182"/>
  <c r="P19" i="182"/>
  <c r="R8" i="182" s="1"/>
  <c r="R6" i="183" s="1"/>
  <c r="R7" i="183" s="1"/>
  <c r="R9" i="183" s="1"/>
  <c r="R13" i="183" s="1"/>
  <c r="I10" i="180"/>
  <c r="I15" i="180" s="1"/>
  <c r="I14" i="180"/>
  <c r="I13" i="180"/>
  <c r="F10" i="189" l="1"/>
  <c r="AA14" i="202"/>
  <c r="AA20" i="202"/>
  <c r="AA22" i="202" s="1"/>
  <c r="AA19" i="202" s="1"/>
  <c r="AA21" i="202"/>
  <c r="AA23" i="202" s="1"/>
  <c r="AP24" i="202"/>
  <c r="AP23" i="202"/>
  <c r="AA14" i="198"/>
  <c r="AA21" i="198"/>
  <c r="AA23" i="198" s="1"/>
  <c r="AA20" i="198"/>
  <c r="AA22" i="198" s="1"/>
  <c r="AA19" i="198" s="1"/>
  <c r="AP24" i="198"/>
  <c r="AP23" i="198"/>
  <c r="I14" i="192"/>
  <c r="H14" i="192"/>
  <c r="J15" i="192" s="1"/>
  <c r="J15" i="190"/>
  <c r="I14" i="190"/>
  <c r="H14" i="190"/>
  <c r="G15" i="190"/>
  <c r="J14" i="192"/>
  <c r="H13" i="193"/>
  <c r="G14" i="193" s="1"/>
  <c r="I13" i="193"/>
  <c r="G10" i="189"/>
  <c r="F11" i="189" s="1"/>
  <c r="D12" i="189"/>
  <c r="A13" i="189"/>
  <c r="D17" i="188"/>
  <c r="A14" i="188"/>
  <c r="I21" i="180"/>
  <c r="I23" i="180" s="1"/>
  <c r="I20" i="180" s="1"/>
  <c r="R9" i="182"/>
  <c r="R10" i="182" s="1"/>
  <c r="R11" i="182" s="1"/>
  <c r="R8" i="183"/>
  <c r="R12" i="183" s="1"/>
  <c r="I22" i="180"/>
  <c r="I24" i="180" s="1"/>
  <c r="Z6" i="25"/>
  <c r="U6" i="25"/>
  <c r="G15" i="192" l="1"/>
  <c r="J14" i="193"/>
  <c r="AV23" i="202"/>
  <c r="J23" i="202"/>
  <c r="I23" i="202" s="1" a="1"/>
  <c r="AQ23" i="202"/>
  <c r="AS23" i="202" s="1"/>
  <c r="AQ21" i="202"/>
  <c r="AQ15" i="202"/>
  <c r="AQ13" i="202"/>
  <c r="AQ12" i="202"/>
  <c r="AQ10" i="202"/>
  <c r="AQ9" i="202"/>
  <c r="AQ8" i="202"/>
  <c r="AQ25" i="202"/>
  <c r="AQ24" i="202"/>
  <c r="AS24" i="202" s="1"/>
  <c r="AQ22" i="202"/>
  <c r="AQ20" i="202"/>
  <c r="AQ18" i="202"/>
  <c r="AQ17" i="202"/>
  <c r="AQ16" i="202"/>
  <c r="AQ26" i="202"/>
  <c r="AQ11" i="202"/>
  <c r="AQ5" i="202"/>
  <c r="AQ14" i="202"/>
  <c r="AQ19" i="202"/>
  <c r="AQ6" i="202"/>
  <c r="AQ7" i="202"/>
  <c r="AV23" i="198"/>
  <c r="J23" i="198" s="1"/>
  <c r="I23" i="198" s="1" a="1"/>
  <c r="AQ25" i="198"/>
  <c r="AQ22" i="198"/>
  <c r="AQ21" i="198"/>
  <c r="AQ20" i="198"/>
  <c r="AQ18" i="198"/>
  <c r="AQ16" i="198"/>
  <c r="AQ15" i="198"/>
  <c r="AQ13" i="198"/>
  <c r="AQ9" i="198"/>
  <c r="AQ23" i="198"/>
  <c r="AS23" i="198" s="1"/>
  <c r="AQ14" i="198"/>
  <c r="AQ7" i="198"/>
  <c r="AQ26" i="198"/>
  <c r="AQ11" i="198"/>
  <c r="AQ10" i="198"/>
  <c r="AQ5" i="198"/>
  <c r="AQ12" i="198"/>
  <c r="AQ6" i="198"/>
  <c r="AQ19" i="198"/>
  <c r="AQ8" i="198"/>
  <c r="AQ24" i="198"/>
  <c r="AS24" i="198" s="1"/>
  <c r="AQ17" i="198"/>
  <c r="H14" i="193"/>
  <c r="J15" i="193" s="1"/>
  <c r="I14" i="193"/>
  <c r="G15" i="193"/>
  <c r="I15" i="192"/>
  <c r="H15" i="192"/>
  <c r="G16" i="192" s="1"/>
  <c r="I15" i="190"/>
  <c r="H15" i="190"/>
  <c r="J16" i="190" s="1"/>
  <c r="G16" i="190"/>
  <c r="G11" i="189"/>
  <c r="H12" i="189" s="1"/>
  <c r="D13" i="189"/>
  <c r="A14" i="189"/>
  <c r="H11" i="189"/>
  <c r="D18" i="188"/>
  <c r="A15" i="188"/>
  <c r="I23" i="202" l="1"/>
  <c r="I25" i="202"/>
  <c r="I24" i="202"/>
  <c r="I23" i="198"/>
  <c r="D24" i="198" s="1"/>
  <c r="I25" i="198"/>
  <c r="I24" i="198"/>
  <c r="F12" i="189"/>
  <c r="AR5" i="202"/>
  <c r="AS5" i="202"/>
  <c r="AS17" i="202"/>
  <c r="AR17" i="202"/>
  <c r="AS18" i="202"/>
  <c r="AR18" i="202"/>
  <c r="AS12" i="202"/>
  <c r="AR12" i="202"/>
  <c r="AR24" i="202"/>
  <c r="AR25" i="202"/>
  <c r="AS25" i="202"/>
  <c r="AR19" i="202"/>
  <c r="AS19" i="202"/>
  <c r="AS26" i="202"/>
  <c r="AR26" i="202"/>
  <c r="AR20" i="202"/>
  <c r="AS20" i="202"/>
  <c r="AS8" i="202"/>
  <c r="AR8" i="202"/>
  <c r="AS13" i="202"/>
  <c r="AR13" i="202"/>
  <c r="AR23" i="202"/>
  <c r="AR7" i="202"/>
  <c r="AS7" i="202"/>
  <c r="AS10" i="202"/>
  <c r="AR10" i="202"/>
  <c r="AR21" i="202"/>
  <c r="AS21" i="202"/>
  <c r="AS6" i="202"/>
  <c r="AR6" i="202"/>
  <c r="AR11" i="202"/>
  <c r="AS11" i="202"/>
  <c r="AS14" i="202"/>
  <c r="AR14" i="202"/>
  <c r="AS16" i="202"/>
  <c r="AR16" i="202"/>
  <c r="AS22" i="202"/>
  <c r="AR22" i="202"/>
  <c r="AS9" i="202"/>
  <c r="AR9" i="202"/>
  <c r="AS15" i="202"/>
  <c r="AR15" i="202"/>
  <c r="AR23" i="198"/>
  <c r="AS19" i="198"/>
  <c r="AR19" i="198"/>
  <c r="AS10" i="198"/>
  <c r="AR10" i="198"/>
  <c r="AR14" i="198"/>
  <c r="AS14" i="198"/>
  <c r="AR15" i="198"/>
  <c r="AS15" i="198"/>
  <c r="AS21" i="198"/>
  <c r="AR21" i="198"/>
  <c r="AS17" i="198"/>
  <c r="AR17" i="198"/>
  <c r="AS6" i="198"/>
  <c r="AR6" i="198"/>
  <c r="AR11" i="198"/>
  <c r="AS11" i="198"/>
  <c r="AR16" i="198"/>
  <c r="AS16" i="198"/>
  <c r="AS22" i="198"/>
  <c r="AR22" i="198"/>
  <c r="AS12" i="198"/>
  <c r="AR12" i="198"/>
  <c r="AS26" i="198"/>
  <c r="AR26" i="198"/>
  <c r="AS9" i="198"/>
  <c r="AR9" i="198"/>
  <c r="AR18" i="198"/>
  <c r="AS18" i="198"/>
  <c r="AS25" i="198"/>
  <c r="AR25" i="198"/>
  <c r="AR24" i="198"/>
  <c r="AS8" i="198"/>
  <c r="AR8" i="198"/>
  <c r="AS5" i="198"/>
  <c r="AR5" i="198"/>
  <c r="AR7" i="198"/>
  <c r="AS7" i="198"/>
  <c r="AS13" i="198"/>
  <c r="AR13" i="198"/>
  <c r="AS20" i="198"/>
  <c r="AR20" i="198"/>
  <c r="H16" i="192"/>
  <c r="J17" i="192" s="1"/>
  <c r="I16" i="192"/>
  <c r="I20" i="192" s="1"/>
  <c r="I15" i="193"/>
  <c r="H15" i="193"/>
  <c r="G16" i="193" s="1"/>
  <c r="H16" i="190"/>
  <c r="J17" i="190" s="1"/>
  <c r="I16" i="190"/>
  <c r="I20" i="190" s="1"/>
  <c r="I24" i="190" s="1"/>
  <c r="G17" i="190"/>
  <c r="J16" i="192"/>
  <c r="G12" i="189"/>
  <c r="H13" i="189" s="1"/>
  <c r="F13" i="189"/>
  <c r="D14" i="189"/>
  <c r="A15" i="189"/>
  <c r="D19" i="188"/>
  <c r="A16" i="188"/>
  <c r="G17" i="192" l="1"/>
  <c r="H17" i="192" s="1"/>
  <c r="D25" i="198"/>
  <c r="D26" i="198" s="1"/>
  <c r="H16" i="193"/>
  <c r="J17" i="193" s="1"/>
  <c r="I16" i="193"/>
  <c r="I20" i="193" s="1"/>
  <c r="G17" i="193"/>
  <c r="J16" i="193"/>
  <c r="H17" i="190"/>
  <c r="G18" i="190" s="1"/>
  <c r="I17" i="190"/>
  <c r="I21" i="190" s="1"/>
  <c r="I25" i="190" s="1"/>
  <c r="G13" i="189"/>
  <c r="H14" i="189" s="1"/>
  <c r="D15" i="189"/>
  <c r="A16" i="189"/>
  <c r="D20" i="188"/>
  <c r="A17" i="188"/>
  <c r="J18" i="192" l="1"/>
  <c r="G18" i="192"/>
  <c r="I18" i="192" s="1"/>
  <c r="J18" i="190"/>
  <c r="I17" i="192"/>
  <c r="F14" i="189"/>
  <c r="G14" i="189" s="1"/>
  <c r="H15" i="189" s="1"/>
  <c r="H17" i="193"/>
  <c r="J18" i="193"/>
  <c r="I17" i="193"/>
  <c r="I21" i="193" s="1"/>
  <c r="G18" i="193"/>
  <c r="I18" i="190"/>
  <c r="I22" i="190" s="1"/>
  <c r="H18" i="190"/>
  <c r="J19" i="190" s="1"/>
  <c r="D16" i="189"/>
  <c r="A17" i="189"/>
  <c r="D21" i="188"/>
  <c r="A18" i="188"/>
  <c r="D22" i="188" s="1"/>
  <c r="F15" i="189" l="1"/>
  <c r="G19" i="192"/>
  <c r="H19" i="192" s="1"/>
  <c r="J20" i="192" s="1"/>
  <c r="H18" i="192"/>
  <c r="J19" i="192" s="1"/>
  <c r="G19" i="190"/>
  <c r="J23" i="192"/>
  <c r="I23" i="192"/>
  <c r="K23" i="192"/>
  <c r="K28" i="190"/>
  <c r="I28" i="190"/>
  <c r="J28" i="190"/>
  <c r="I19" i="192"/>
  <c r="H18" i="193"/>
  <c r="G19" i="193" s="1"/>
  <c r="I18" i="193"/>
  <c r="I22" i="193" s="1"/>
  <c r="I19" i="190"/>
  <c r="I23" i="190" s="1"/>
  <c r="J22" i="190"/>
  <c r="H19" i="190"/>
  <c r="J24" i="190" s="1"/>
  <c r="G15" i="189"/>
  <c r="H16" i="189" s="1"/>
  <c r="F16" i="189"/>
  <c r="D17" i="189"/>
  <c r="A18" i="189"/>
  <c r="D18" i="189" s="1"/>
  <c r="J21" i="190" l="1"/>
  <c r="I19" i="193"/>
  <c r="I23" i="193" s="1"/>
  <c r="H19" i="193"/>
  <c r="J21" i="193" s="1"/>
  <c r="J23" i="190"/>
  <c r="J20" i="190"/>
  <c r="J25" i="190"/>
  <c r="J19" i="193"/>
  <c r="G16" i="189"/>
  <c r="H17" i="189" s="1"/>
  <c r="F17" i="189"/>
  <c r="J23" i="193" l="1"/>
  <c r="J20" i="193"/>
  <c r="J22" i="193"/>
  <c r="J26" i="193"/>
  <c r="K26" i="193"/>
  <c r="I26" i="193"/>
  <c r="G17" i="189"/>
  <c r="H18" i="189" s="1"/>
  <c r="F18" i="189"/>
  <c r="G26" i="189" l="1"/>
  <c r="H26" i="189"/>
  <c r="I26" i="189"/>
  <c r="G18" i="189"/>
  <c r="H20" i="189" s="1"/>
  <c r="H22" i="189" l="1"/>
  <c r="H21" i="189"/>
  <c r="H19" i="189"/>
  <c r="H23" i="189"/>
  <c r="S7" i="173"/>
  <c r="R7" i="173" s="1"/>
  <c r="R8" i="173" s="1"/>
  <c r="R9" i="173" s="1"/>
  <c r="R10" i="173" s="1"/>
  <c r="R11" i="173" s="1"/>
  <c r="R12" i="173" s="1"/>
  <c r="R13" i="173" s="1"/>
  <c r="R14" i="173" s="1"/>
  <c r="R15" i="173" s="1"/>
  <c r="R16" i="173" s="1"/>
  <c r="R17" i="173" s="1"/>
  <c r="R18" i="173" s="1"/>
  <c r="R19" i="173" s="1"/>
  <c r="R20" i="173" s="1"/>
  <c r="R21" i="173" s="1"/>
  <c r="R22" i="173" s="1"/>
  <c r="R23" i="173" s="1"/>
  <c r="R24" i="173" s="1"/>
  <c r="R25" i="173" s="1"/>
  <c r="R26" i="173" s="1"/>
  <c r="R27" i="173" s="1"/>
  <c r="R28" i="173" s="1"/>
  <c r="R29" i="173" s="1"/>
  <c r="R30" i="173" s="1"/>
  <c r="R31" i="173" s="1"/>
  <c r="R32" i="173" s="1"/>
  <c r="R33" i="173" s="1"/>
  <c r="R34" i="173" s="1"/>
  <c r="R35" i="173" s="1"/>
  <c r="R36" i="173" s="1"/>
  <c r="P7" i="173"/>
  <c r="F7" i="173"/>
  <c r="E7" i="173" s="1"/>
  <c r="C7" i="173"/>
  <c r="E3" i="170"/>
  <c r="E5" i="170" s="1"/>
  <c r="B25" i="171"/>
  <c r="G23" i="171"/>
  <c r="F23" i="171"/>
  <c r="H23" i="171" s="1"/>
  <c r="G22" i="171"/>
  <c r="F22" i="171"/>
  <c r="G21" i="171"/>
  <c r="F21" i="171"/>
  <c r="H21" i="171" s="1"/>
  <c r="G20" i="171"/>
  <c r="F20" i="171"/>
  <c r="G19" i="171"/>
  <c r="F19" i="171"/>
  <c r="H19" i="171" s="1"/>
  <c r="G18" i="171"/>
  <c r="F18" i="171"/>
  <c r="H18" i="171" s="1"/>
  <c r="G17" i="171"/>
  <c r="F17" i="171"/>
  <c r="G16" i="171"/>
  <c r="F16" i="171"/>
  <c r="H16" i="171" s="1"/>
  <c r="H15" i="171"/>
  <c r="G15" i="171"/>
  <c r="F15" i="171"/>
  <c r="G14" i="171"/>
  <c r="F14" i="171"/>
  <c r="G13" i="171"/>
  <c r="F13" i="171"/>
  <c r="H13" i="171" s="1"/>
  <c r="G12" i="171"/>
  <c r="F12" i="171"/>
  <c r="H12" i="171" s="1"/>
  <c r="G11" i="171"/>
  <c r="F11" i="171"/>
  <c r="H11" i="171" s="1"/>
  <c r="G10" i="171"/>
  <c r="F10" i="171"/>
  <c r="G9" i="171"/>
  <c r="F9" i="171"/>
  <c r="H9" i="171" s="1"/>
  <c r="G8" i="171"/>
  <c r="H8" i="171" s="1"/>
  <c r="F8" i="171"/>
  <c r="H7" i="171"/>
  <c r="G7" i="171"/>
  <c r="F7" i="171"/>
  <c r="G6" i="171"/>
  <c r="F6" i="171"/>
  <c r="H6" i="171" s="1"/>
  <c r="E6" i="171"/>
  <c r="E7" i="171" s="1"/>
  <c r="E8" i="171" s="1"/>
  <c r="E9" i="171" s="1"/>
  <c r="E10" i="171" s="1"/>
  <c r="E11" i="171" s="1"/>
  <c r="E12" i="171" s="1"/>
  <c r="E13" i="171" s="1"/>
  <c r="E14" i="171" s="1"/>
  <c r="E15" i="171" s="1"/>
  <c r="E16" i="171" s="1"/>
  <c r="E17" i="171" s="1"/>
  <c r="E18" i="171" s="1"/>
  <c r="E19" i="171" s="1"/>
  <c r="E20" i="171" s="1"/>
  <c r="E21" i="171" s="1"/>
  <c r="E22" i="171" s="1"/>
  <c r="E23" i="171" s="1"/>
  <c r="G5" i="171"/>
  <c r="F5" i="171"/>
  <c r="E5" i="171"/>
  <c r="G4" i="171"/>
  <c r="F4" i="171"/>
  <c r="B25" i="169"/>
  <c r="P8" i="173" l="1"/>
  <c r="H4" i="171"/>
  <c r="H10" i="171"/>
  <c r="H17" i="171"/>
  <c r="H20" i="171"/>
  <c r="H14" i="171"/>
  <c r="H5" i="171"/>
  <c r="C8" i="173"/>
  <c r="H22" i="171"/>
  <c r="F8" i="173"/>
  <c r="E8" i="173" s="1"/>
  <c r="S8" i="173"/>
  <c r="S9" i="173" s="1"/>
  <c r="S10" i="173" s="1"/>
  <c r="S11" i="173" s="1"/>
  <c r="S12" i="173" s="1"/>
  <c r="S13" i="173" s="1"/>
  <c r="S14" i="173" s="1"/>
  <c r="S15" i="173" s="1"/>
  <c r="S16" i="173" s="1"/>
  <c r="S17" i="173" s="1"/>
  <c r="S18" i="173" s="1"/>
  <c r="S19" i="173" s="1"/>
  <c r="S20" i="173" s="1"/>
  <c r="S21" i="173" s="1"/>
  <c r="S22" i="173" s="1"/>
  <c r="S23" i="173" s="1"/>
  <c r="S24" i="173" s="1"/>
  <c r="S25" i="173" s="1"/>
  <c r="S26" i="173" s="1"/>
  <c r="S27" i="173" s="1"/>
  <c r="S28" i="173" s="1"/>
  <c r="S29" i="173" s="1"/>
  <c r="S30" i="173" s="1"/>
  <c r="S31" i="173" s="1"/>
  <c r="S32" i="173" s="1"/>
  <c r="S33" i="173" s="1"/>
  <c r="S34" i="173" s="1"/>
  <c r="S35" i="173" s="1"/>
  <c r="S36" i="173" s="1"/>
  <c r="E4" i="170"/>
  <c r="E6" i="170"/>
  <c r="I19" i="171" a="1"/>
  <c r="I19" i="171" s="1"/>
  <c r="I21" i="171" a="1"/>
  <c r="I21" i="171" s="1"/>
  <c r="K25" i="171"/>
  <c r="H25" i="171"/>
  <c r="F9" i="173" l="1"/>
  <c r="E9" i="173" s="1"/>
  <c r="P9" i="173"/>
  <c r="C9" i="173"/>
  <c r="E9" i="170"/>
  <c r="E7" i="170"/>
  <c r="E8" i="170" s="1"/>
  <c r="J4" i="171"/>
  <c r="K4" i="171" s="1"/>
  <c r="I17" i="171" a="1"/>
  <c r="I17" i="171" s="1"/>
  <c r="I13" i="171" a="1"/>
  <c r="I13" i="171" s="1"/>
  <c r="I5" i="171" a="1"/>
  <c r="I5" i="171" s="1"/>
  <c r="I22" i="171" a="1"/>
  <c r="I22" i="171" s="1"/>
  <c r="I18" i="171" a="1"/>
  <c r="I18" i="171" s="1"/>
  <c r="I16" i="171" a="1"/>
  <c r="I16" i="171" s="1"/>
  <c r="I14" i="171" a="1"/>
  <c r="I14" i="171" s="1"/>
  <c r="I12" i="171" a="1"/>
  <c r="I12" i="171" s="1"/>
  <c r="I8" i="171" a="1"/>
  <c r="I8" i="171" s="1"/>
  <c r="I4" i="171" a="1"/>
  <c r="I4" i="171" s="1"/>
  <c r="I15" i="171" a="1"/>
  <c r="I15" i="171" s="1"/>
  <c r="I11" i="171" a="1"/>
  <c r="I11" i="171" s="1"/>
  <c r="I9" i="171" a="1"/>
  <c r="I9" i="171" s="1"/>
  <c r="I7" i="171" a="1"/>
  <c r="I7" i="171" s="1"/>
  <c r="I10" i="171" a="1"/>
  <c r="I10" i="171" s="1"/>
  <c r="I6" i="171" a="1"/>
  <c r="I6" i="171" s="1"/>
  <c r="I20" i="171" a="1"/>
  <c r="I20" i="171" s="1"/>
  <c r="F10" i="173" l="1"/>
  <c r="E10" i="173" s="1"/>
  <c r="C10" i="173"/>
  <c r="P10" i="173"/>
  <c r="E11" i="170"/>
  <c r="E12" i="170" s="1"/>
  <c r="E14" i="170" s="1"/>
  <c r="J19" i="171"/>
  <c r="K19" i="171" s="1"/>
  <c r="J11" i="171"/>
  <c r="K11" i="171" s="1"/>
  <c r="J6" i="171"/>
  <c r="K6" i="171" s="1"/>
  <c r="J13" i="171"/>
  <c r="K13" i="171" s="1"/>
  <c r="J9" i="171"/>
  <c r="K9" i="171" s="1"/>
  <c r="J16" i="171"/>
  <c r="K16" i="171" s="1"/>
  <c r="J17" i="171"/>
  <c r="K17" i="171" s="1"/>
  <c r="J10" i="171"/>
  <c r="K10" i="171" s="1"/>
  <c r="J8" i="171"/>
  <c r="K8" i="171" s="1"/>
  <c r="J20" i="171"/>
  <c r="K20" i="171" s="1"/>
  <c r="J21" i="171"/>
  <c r="K21" i="171" s="1"/>
  <c r="J18" i="171"/>
  <c r="K18" i="171" s="1"/>
  <c r="J14" i="171"/>
  <c r="K14" i="171" s="1"/>
  <c r="J15" i="171"/>
  <c r="K15" i="171" s="1"/>
  <c r="J5" i="171"/>
  <c r="K5" i="171" s="1"/>
  <c r="J12" i="171"/>
  <c r="K12" i="171" s="1"/>
  <c r="J22" i="171"/>
  <c r="K22" i="171" s="1"/>
  <c r="J7" i="171"/>
  <c r="K7" i="171" s="1"/>
  <c r="N8" i="171" s="1"/>
  <c r="F11" i="173" l="1"/>
  <c r="E11" i="173" s="1"/>
  <c r="C11" i="173"/>
  <c r="P11" i="173"/>
  <c r="N13" i="171"/>
  <c r="N14" i="171" s="1"/>
  <c r="N9" i="171"/>
  <c r="F12" i="173" l="1"/>
  <c r="E12" i="173" s="1"/>
  <c r="C12" i="173"/>
  <c r="P12" i="173"/>
  <c r="F13" i="173" l="1"/>
  <c r="E13" i="173" s="1"/>
  <c r="P13" i="173"/>
  <c r="C13" i="173"/>
  <c r="AE6" i="168"/>
  <c r="AE7" i="168"/>
  <c r="AE8" i="168"/>
  <c r="AE9" i="168"/>
  <c r="AE10" i="168"/>
  <c r="AE11" i="168"/>
  <c r="AE12" i="168"/>
  <c r="AE13" i="168"/>
  <c r="AE14" i="168"/>
  <c r="AE15" i="168"/>
  <c r="AE16" i="168"/>
  <c r="AE17" i="168"/>
  <c r="AE18" i="168"/>
  <c r="AE19" i="168"/>
  <c r="AE20" i="168"/>
  <c r="AE21" i="168"/>
  <c r="AE22" i="168"/>
  <c r="AE23" i="168"/>
  <c r="AE24" i="168"/>
  <c r="AE25" i="168"/>
  <c r="AE26" i="168"/>
  <c r="AE27" i="168"/>
  <c r="AE28" i="168"/>
  <c r="AE29" i="168"/>
  <c r="AE30" i="168"/>
  <c r="AE31" i="168"/>
  <c r="AE32" i="168"/>
  <c r="AE33" i="168"/>
  <c r="AE34" i="168"/>
  <c r="AE35" i="168"/>
  <c r="AE36" i="168"/>
  <c r="AE37" i="168"/>
  <c r="AE38" i="168"/>
  <c r="AE39" i="168"/>
  <c r="AE40" i="168"/>
  <c r="AE41" i="168"/>
  <c r="AE42" i="168"/>
  <c r="AE43" i="168"/>
  <c r="AE44" i="168"/>
  <c r="AE45" i="168"/>
  <c r="AE46" i="168"/>
  <c r="AE47" i="168"/>
  <c r="AE48" i="168"/>
  <c r="AE49" i="168"/>
  <c r="AE50" i="168"/>
  <c r="AE51" i="168"/>
  <c r="AE52" i="168"/>
  <c r="AE53" i="168"/>
  <c r="AE54" i="168"/>
  <c r="AE55" i="168"/>
  <c r="AE56" i="168"/>
  <c r="AE57" i="168"/>
  <c r="AE58" i="168"/>
  <c r="AE59" i="168"/>
  <c r="AE60" i="168"/>
  <c r="AE61" i="168"/>
  <c r="AE62" i="168"/>
  <c r="AE63" i="168"/>
  <c r="AE64" i="168"/>
  <c r="AE65" i="168"/>
  <c r="AE66" i="168"/>
  <c r="AE67" i="168"/>
  <c r="AE68" i="168"/>
  <c r="AE69" i="168"/>
  <c r="AE70" i="168"/>
  <c r="AE71" i="168"/>
  <c r="AE72" i="168"/>
  <c r="AE73" i="168"/>
  <c r="AE74" i="168"/>
  <c r="AE75" i="168"/>
  <c r="AE76" i="168"/>
  <c r="AE77" i="168"/>
  <c r="AE78" i="168"/>
  <c r="AE79" i="168"/>
  <c r="AE80" i="168"/>
  <c r="AE81" i="168"/>
  <c r="AE82" i="168"/>
  <c r="AE83" i="168"/>
  <c r="AE84" i="168"/>
  <c r="AE85" i="168"/>
  <c r="AE86" i="168"/>
  <c r="AE87" i="168"/>
  <c r="AE88" i="168"/>
  <c r="AE89" i="168"/>
  <c r="AE90" i="168"/>
  <c r="AE91" i="168"/>
  <c r="AE92" i="168"/>
  <c r="AE93" i="168"/>
  <c r="AE94" i="168"/>
  <c r="AE95" i="168"/>
  <c r="AE96" i="168"/>
  <c r="AE97" i="168"/>
  <c r="AE98" i="168"/>
  <c r="AE99" i="168"/>
  <c r="AE100" i="168"/>
  <c r="AE101" i="168"/>
  <c r="AE102" i="168"/>
  <c r="AE103" i="168"/>
  <c r="AE104" i="168"/>
  <c r="AE105" i="168"/>
  <c r="AE106" i="168"/>
  <c r="AE107" i="168"/>
  <c r="AE108" i="168"/>
  <c r="AE5" i="168"/>
  <c r="AE4" i="168"/>
  <c r="AD5" i="168"/>
  <c r="AD6" i="168" s="1"/>
  <c r="AD7" i="168" s="1"/>
  <c r="AD8" i="168" s="1"/>
  <c r="AD9" i="168" s="1"/>
  <c r="AD10" i="168" s="1"/>
  <c r="AD11" i="168" s="1"/>
  <c r="AD12" i="168" s="1"/>
  <c r="AD13" i="168" s="1"/>
  <c r="AD14" i="168" s="1"/>
  <c r="AD15" i="168" s="1"/>
  <c r="AD16" i="168" s="1"/>
  <c r="AD17" i="168" s="1"/>
  <c r="AD18" i="168" s="1"/>
  <c r="AD19" i="168" s="1"/>
  <c r="AD20" i="168" s="1"/>
  <c r="AD21" i="168" s="1"/>
  <c r="AD22" i="168" s="1"/>
  <c r="AD23" i="168" s="1"/>
  <c r="AD24" i="168" s="1"/>
  <c r="AD25" i="168" s="1"/>
  <c r="AD26" i="168" s="1"/>
  <c r="AD27" i="168" s="1"/>
  <c r="AD28" i="168" s="1"/>
  <c r="AD29" i="168" s="1"/>
  <c r="AD30" i="168" s="1"/>
  <c r="AD31" i="168" s="1"/>
  <c r="AD32" i="168" s="1"/>
  <c r="AD33" i="168" s="1"/>
  <c r="AD34" i="168" s="1"/>
  <c r="AD35" i="168" s="1"/>
  <c r="AD36" i="168" s="1"/>
  <c r="AD37" i="168" s="1"/>
  <c r="AD38" i="168" s="1"/>
  <c r="AD39" i="168" s="1"/>
  <c r="AD40" i="168" s="1"/>
  <c r="AD41" i="168" s="1"/>
  <c r="AD42" i="168" s="1"/>
  <c r="AD43" i="168" s="1"/>
  <c r="AD44" i="168" s="1"/>
  <c r="AD45" i="168" s="1"/>
  <c r="AD46" i="168" s="1"/>
  <c r="AD47" i="168" s="1"/>
  <c r="AD48" i="168" s="1"/>
  <c r="AD49" i="168" s="1"/>
  <c r="AD50" i="168" s="1"/>
  <c r="AD51" i="168" s="1"/>
  <c r="AD52" i="168" s="1"/>
  <c r="AD53" i="168" s="1"/>
  <c r="AD54" i="168" s="1"/>
  <c r="AD55" i="168" s="1"/>
  <c r="AD56" i="168" s="1"/>
  <c r="AD57" i="168" s="1"/>
  <c r="AD58" i="168" s="1"/>
  <c r="AD59" i="168" s="1"/>
  <c r="AD60" i="168" s="1"/>
  <c r="AD61" i="168" s="1"/>
  <c r="AD62" i="168" s="1"/>
  <c r="AD63" i="168" s="1"/>
  <c r="AD64" i="168" s="1"/>
  <c r="AD65" i="168" s="1"/>
  <c r="AD66" i="168" s="1"/>
  <c r="AD67" i="168" s="1"/>
  <c r="AD68" i="168" s="1"/>
  <c r="AD69" i="168" s="1"/>
  <c r="AD70" i="168" s="1"/>
  <c r="AD71" i="168" s="1"/>
  <c r="AD72" i="168" s="1"/>
  <c r="AD73" i="168" s="1"/>
  <c r="AD74" i="168" s="1"/>
  <c r="AD75" i="168" s="1"/>
  <c r="AD76" i="168" s="1"/>
  <c r="AD77" i="168" s="1"/>
  <c r="AD78" i="168" s="1"/>
  <c r="AD79" i="168" s="1"/>
  <c r="AD80" i="168" s="1"/>
  <c r="AD81" i="168" s="1"/>
  <c r="AD82" i="168" s="1"/>
  <c r="AD83" i="168" s="1"/>
  <c r="AD84" i="168" s="1"/>
  <c r="AD85" i="168" s="1"/>
  <c r="AD86" i="168" s="1"/>
  <c r="AD87" i="168" s="1"/>
  <c r="AD88" i="168" s="1"/>
  <c r="AD89" i="168" s="1"/>
  <c r="AD90" i="168" s="1"/>
  <c r="AD91" i="168" s="1"/>
  <c r="AD92" i="168" s="1"/>
  <c r="AD93" i="168" s="1"/>
  <c r="AD94" i="168" s="1"/>
  <c r="AD95" i="168" s="1"/>
  <c r="AD96" i="168" s="1"/>
  <c r="AD97" i="168" s="1"/>
  <c r="AD98" i="168" s="1"/>
  <c r="AD99" i="168" s="1"/>
  <c r="AD100" i="168" s="1"/>
  <c r="AD101" i="168" s="1"/>
  <c r="AD102" i="168" s="1"/>
  <c r="AD103" i="168" s="1"/>
  <c r="AD104" i="168" s="1"/>
  <c r="AD105" i="168" s="1"/>
  <c r="AD106" i="168" s="1"/>
  <c r="AD107" i="168" s="1"/>
  <c r="AD108" i="168" s="1"/>
  <c r="AD109" i="168" s="1"/>
  <c r="AD110" i="168" s="1"/>
  <c r="AD111" i="168" s="1"/>
  <c r="AD112" i="168" s="1"/>
  <c r="AD113" i="168" s="1"/>
  <c r="X5" i="168"/>
  <c r="X4" i="168"/>
  <c r="V4" i="168"/>
  <c r="L16" i="168"/>
  <c r="L17" i="168" s="1"/>
  <c r="L18" i="168" s="1"/>
  <c r="L19" i="168" s="1"/>
  <c r="H5" i="168"/>
  <c r="D5" i="168"/>
  <c r="V5" i="168" s="1"/>
  <c r="A5" i="168"/>
  <c r="A6" i="168" s="1"/>
  <c r="A7" i="168" s="1"/>
  <c r="A8" i="168" s="1"/>
  <c r="A9" i="168" s="1"/>
  <c r="A10" i="168" s="1"/>
  <c r="A11" i="168" s="1"/>
  <c r="A12" i="168" s="1"/>
  <c r="A13" i="168" s="1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A42" i="168" s="1"/>
  <c r="A43" i="168" s="1"/>
  <c r="A44" i="168" s="1"/>
  <c r="A45" i="168" s="1"/>
  <c r="A46" i="168" s="1"/>
  <c r="A47" i="168" s="1"/>
  <c r="A48" i="168" s="1"/>
  <c r="A49" i="168" s="1"/>
  <c r="A50" i="168" s="1"/>
  <c r="A51" i="168" s="1"/>
  <c r="A52" i="168" s="1"/>
  <c r="A53" i="168" s="1"/>
  <c r="A54" i="168" s="1"/>
  <c r="A55" i="168" s="1"/>
  <c r="A56" i="168" s="1"/>
  <c r="A57" i="168" s="1"/>
  <c r="A58" i="168" s="1"/>
  <c r="A59" i="168" s="1"/>
  <c r="A60" i="168" s="1"/>
  <c r="A61" i="168" s="1"/>
  <c r="A62" i="168" s="1"/>
  <c r="A63" i="168" s="1"/>
  <c r="A64" i="168" s="1"/>
  <c r="A65" i="168" s="1"/>
  <c r="A66" i="168" s="1"/>
  <c r="A67" i="168" s="1"/>
  <c r="A68" i="168" s="1"/>
  <c r="A69" i="168" s="1"/>
  <c r="A70" i="168" s="1"/>
  <c r="A71" i="168" s="1"/>
  <c r="A72" i="168" s="1"/>
  <c r="A73" i="168" s="1"/>
  <c r="A74" i="168" s="1"/>
  <c r="A75" i="168" s="1"/>
  <c r="A76" i="168" s="1"/>
  <c r="A77" i="168" s="1"/>
  <c r="A78" i="168" s="1"/>
  <c r="A79" i="168" s="1"/>
  <c r="A80" i="168" s="1"/>
  <c r="A81" i="168" s="1"/>
  <c r="A82" i="168" s="1"/>
  <c r="A83" i="168" s="1"/>
  <c r="A84" i="168" s="1"/>
  <c r="A85" i="168" s="1"/>
  <c r="A86" i="168" s="1"/>
  <c r="A87" i="168" s="1"/>
  <c r="A88" i="168" s="1"/>
  <c r="A89" i="168" s="1"/>
  <c r="A90" i="168" s="1"/>
  <c r="A91" i="168" s="1"/>
  <c r="A92" i="168" s="1"/>
  <c r="A93" i="168" s="1"/>
  <c r="A94" i="168" s="1"/>
  <c r="A95" i="168" s="1"/>
  <c r="A96" i="168" s="1"/>
  <c r="A97" i="168" s="1"/>
  <c r="A98" i="168" s="1"/>
  <c r="A99" i="168" s="1"/>
  <c r="A100" i="168" s="1"/>
  <c r="A101" i="168" s="1"/>
  <c r="A102" i="168" s="1"/>
  <c r="A103" i="168" s="1"/>
  <c r="A104" i="168" s="1"/>
  <c r="A105" i="168" s="1"/>
  <c r="A106" i="168" s="1"/>
  <c r="A107" i="168" s="1"/>
  <c r="A108" i="168" s="1"/>
  <c r="F14" i="173" l="1"/>
  <c r="E14" i="173" s="1"/>
  <c r="D6" i="168"/>
  <c r="C14" i="173"/>
  <c r="P14" i="173"/>
  <c r="F15" i="173" l="1"/>
  <c r="E15" i="173" s="1"/>
  <c r="P15" i="173"/>
  <c r="C15" i="173"/>
  <c r="D7" i="168"/>
  <c r="V6" i="168"/>
  <c r="F16" i="173" l="1"/>
  <c r="E16" i="173" s="1"/>
  <c r="D8" i="168"/>
  <c r="V7" i="168"/>
  <c r="C16" i="173"/>
  <c r="P16" i="173"/>
  <c r="AE6" i="157"/>
  <c r="AE7" i="157"/>
  <c r="AE8" i="157"/>
  <c r="AE9" i="157"/>
  <c r="AE10" i="157"/>
  <c r="AE11" i="157"/>
  <c r="AE12" i="157"/>
  <c r="AE13" i="157"/>
  <c r="AE14" i="157"/>
  <c r="AE15" i="157"/>
  <c r="AE16" i="157"/>
  <c r="AE17" i="157"/>
  <c r="AE18" i="157"/>
  <c r="AE19" i="157"/>
  <c r="AE20" i="157"/>
  <c r="AE21" i="157"/>
  <c r="AE22" i="157"/>
  <c r="AE23" i="157"/>
  <c r="AE24" i="157"/>
  <c r="AE25" i="157"/>
  <c r="AE26" i="157"/>
  <c r="AE27" i="157"/>
  <c r="AE28" i="157"/>
  <c r="AE29" i="157"/>
  <c r="AE30" i="157"/>
  <c r="AE31" i="157"/>
  <c r="AE32" i="157"/>
  <c r="AE33" i="157"/>
  <c r="AE34" i="157"/>
  <c r="AE35" i="157"/>
  <c r="AE36" i="157"/>
  <c r="AE37" i="157"/>
  <c r="AE38" i="157"/>
  <c r="AE39" i="157"/>
  <c r="AE40" i="157"/>
  <c r="AE41" i="157"/>
  <c r="AE42" i="157"/>
  <c r="AE43" i="157"/>
  <c r="AE44" i="157"/>
  <c r="AE45" i="157"/>
  <c r="AE46" i="157"/>
  <c r="AE47" i="157"/>
  <c r="AE48" i="157"/>
  <c r="AE49" i="157"/>
  <c r="AE50" i="157"/>
  <c r="AE51" i="157"/>
  <c r="AE52" i="157"/>
  <c r="AE53" i="157"/>
  <c r="AE54" i="157"/>
  <c r="AE55" i="157"/>
  <c r="AE56" i="157"/>
  <c r="AE57" i="157"/>
  <c r="AE58" i="157"/>
  <c r="AE59" i="157"/>
  <c r="AE60" i="157"/>
  <c r="AE61" i="157"/>
  <c r="AE62" i="157"/>
  <c r="AE63" i="157"/>
  <c r="AE64" i="157"/>
  <c r="AE65" i="157"/>
  <c r="AE66" i="157"/>
  <c r="AE67" i="157"/>
  <c r="AE68" i="157"/>
  <c r="AE69" i="157"/>
  <c r="AE70" i="157"/>
  <c r="AE71" i="157"/>
  <c r="AE72" i="157"/>
  <c r="AE73" i="157"/>
  <c r="AE74" i="157"/>
  <c r="AE75" i="157"/>
  <c r="AE76" i="157"/>
  <c r="AE77" i="157"/>
  <c r="AE78" i="157"/>
  <c r="AE79" i="157"/>
  <c r="AE80" i="157"/>
  <c r="AE81" i="157"/>
  <c r="AE82" i="157"/>
  <c r="AE83" i="157"/>
  <c r="AE84" i="157"/>
  <c r="AE85" i="157"/>
  <c r="AE86" i="157"/>
  <c r="AE87" i="157"/>
  <c r="AE88" i="157"/>
  <c r="AE89" i="157"/>
  <c r="AE90" i="157"/>
  <c r="AE91" i="157"/>
  <c r="AE92" i="157"/>
  <c r="AE93" i="157"/>
  <c r="AE94" i="157"/>
  <c r="AE95" i="157"/>
  <c r="AE96" i="157"/>
  <c r="AE97" i="157"/>
  <c r="AE98" i="157"/>
  <c r="AE99" i="157"/>
  <c r="AE100" i="157"/>
  <c r="AE101" i="157"/>
  <c r="AE102" i="157"/>
  <c r="AE103" i="157"/>
  <c r="AE104" i="157"/>
  <c r="AE105" i="157"/>
  <c r="AE106" i="157"/>
  <c r="AE107" i="157"/>
  <c r="AE108" i="157"/>
  <c r="AE5" i="157"/>
  <c r="AE4" i="157"/>
  <c r="AD5" i="157"/>
  <c r="AD6" i="157" s="1"/>
  <c r="AD7" i="157" s="1"/>
  <c r="AD8" i="157" s="1"/>
  <c r="AD9" i="157" s="1"/>
  <c r="AD10" i="157" s="1"/>
  <c r="AD11" i="157" s="1"/>
  <c r="AD12" i="157" s="1"/>
  <c r="AD13" i="157" s="1"/>
  <c r="AD14" i="157" s="1"/>
  <c r="AD15" i="157" s="1"/>
  <c r="AD16" i="157" s="1"/>
  <c r="AD17" i="157" s="1"/>
  <c r="AD18" i="157" s="1"/>
  <c r="AD19" i="157" s="1"/>
  <c r="AD20" i="157" s="1"/>
  <c r="AD21" i="157" s="1"/>
  <c r="AD22" i="157" s="1"/>
  <c r="AD23" i="157" s="1"/>
  <c r="AD24" i="157" s="1"/>
  <c r="AD25" i="157" s="1"/>
  <c r="AD26" i="157" s="1"/>
  <c r="AD27" i="157" s="1"/>
  <c r="AD28" i="157" s="1"/>
  <c r="AD29" i="157" s="1"/>
  <c r="AD30" i="157" s="1"/>
  <c r="AD31" i="157" s="1"/>
  <c r="AD32" i="157" s="1"/>
  <c r="AD33" i="157" s="1"/>
  <c r="AD34" i="157" s="1"/>
  <c r="AD35" i="157" s="1"/>
  <c r="AD36" i="157" s="1"/>
  <c r="AD37" i="157" s="1"/>
  <c r="AD38" i="157" s="1"/>
  <c r="AD39" i="157" s="1"/>
  <c r="AD40" i="157" s="1"/>
  <c r="AD41" i="157" s="1"/>
  <c r="AD42" i="157" s="1"/>
  <c r="AD43" i="157" s="1"/>
  <c r="AD44" i="157" s="1"/>
  <c r="AD45" i="157" s="1"/>
  <c r="AD46" i="157" s="1"/>
  <c r="AD47" i="157" s="1"/>
  <c r="AD48" i="157" s="1"/>
  <c r="AD49" i="157" s="1"/>
  <c r="AD50" i="157" s="1"/>
  <c r="AD51" i="157" s="1"/>
  <c r="AD52" i="157" s="1"/>
  <c r="AD53" i="157" s="1"/>
  <c r="AD54" i="157" s="1"/>
  <c r="AD55" i="157" s="1"/>
  <c r="AD56" i="157" s="1"/>
  <c r="AD57" i="157" s="1"/>
  <c r="AD58" i="157" s="1"/>
  <c r="AD59" i="157" s="1"/>
  <c r="AD60" i="157" s="1"/>
  <c r="AD61" i="157" s="1"/>
  <c r="AD62" i="157" s="1"/>
  <c r="AD63" i="157" s="1"/>
  <c r="AD64" i="157" s="1"/>
  <c r="AD65" i="157" s="1"/>
  <c r="AD66" i="157" s="1"/>
  <c r="AD67" i="157" s="1"/>
  <c r="AD68" i="157" s="1"/>
  <c r="AD69" i="157" s="1"/>
  <c r="AD70" i="157" s="1"/>
  <c r="AD71" i="157" s="1"/>
  <c r="AD72" i="157" s="1"/>
  <c r="AD73" i="157" s="1"/>
  <c r="AD74" i="157" s="1"/>
  <c r="AD75" i="157" s="1"/>
  <c r="AD76" i="157" s="1"/>
  <c r="AD77" i="157" s="1"/>
  <c r="AD78" i="157" s="1"/>
  <c r="AD79" i="157" s="1"/>
  <c r="AD80" i="157" s="1"/>
  <c r="AD81" i="157" s="1"/>
  <c r="AD82" i="157" s="1"/>
  <c r="AD83" i="157" s="1"/>
  <c r="AD84" i="157" s="1"/>
  <c r="AD85" i="157" s="1"/>
  <c r="AD86" i="157" s="1"/>
  <c r="AD87" i="157" s="1"/>
  <c r="AD88" i="157" s="1"/>
  <c r="AD89" i="157" s="1"/>
  <c r="AD90" i="157" s="1"/>
  <c r="AD91" i="157" s="1"/>
  <c r="AD92" i="157" s="1"/>
  <c r="AD93" i="157" s="1"/>
  <c r="AD94" i="157" s="1"/>
  <c r="AD95" i="157" s="1"/>
  <c r="AD96" i="157" s="1"/>
  <c r="AD97" i="157" s="1"/>
  <c r="AD98" i="157" s="1"/>
  <c r="AD99" i="157" s="1"/>
  <c r="AD100" i="157" s="1"/>
  <c r="AD101" i="157" s="1"/>
  <c r="AD102" i="157" s="1"/>
  <c r="AD103" i="157" s="1"/>
  <c r="AD104" i="157" s="1"/>
  <c r="AD105" i="157" s="1"/>
  <c r="AD106" i="157" s="1"/>
  <c r="AD107" i="157" s="1"/>
  <c r="AD108" i="157" s="1"/>
  <c r="AD109" i="157" s="1"/>
  <c r="AD110" i="157" s="1"/>
  <c r="AD111" i="157" s="1"/>
  <c r="AD112" i="157" s="1"/>
  <c r="AD113" i="157" s="1"/>
  <c r="X5" i="157"/>
  <c r="X4" i="157"/>
  <c r="V4" i="157"/>
  <c r="L17" i="157"/>
  <c r="L18" i="157" s="1"/>
  <c r="L19" i="157" s="1"/>
  <c r="L16" i="157"/>
  <c r="H5" i="157"/>
  <c r="D5" i="157"/>
  <c r="D6" i="157" s="1"/>
  <c r="AE6" i="156"/>
  <c r="AE7" i="156"/>
  <c r="AE8" i="156"/>
  <c r="AE9" i="156"/>
  <c r="AE10" i="156"/>
  <c r="AE11" i="156"/>
  <c r="AE12" i="156"/>
  <c r="AE13" i="156"/>
  <c r="AE14" i="156"/>
  <c r="AE15" i="156"/>
  <c r="AE16" i="156"/>
  <c r="AE17" i="156"/>
  <c r="AE18" i="156"/>
  <c r="AE19" i="156"/>
  <c r="AE20" i="156"/>
  <c r="AE21" i="156"/>
  <c r="AE22" i="156"/>
  <c r="AE23" i="156"/>
  <c r="AE24" i="156"/>
  <c r="AE25" i="156"/>
  <c r="AE26" i="156"/>
  <c r="AE27" i="156"/>
  <c r="AE28" i="156"/>
  <c r="AE29" i="156"/>
  <c r="AE30" i="156"/>
  <c r="AE31" i="156"/>
  <c r="AE32" i="156"/>
  <c r="AE33" i="156"/>
  <c r="AE34" i="156"/>
  <c r="AE35" i="156"/>
  <c r="AE36" i="156"/>
  <c r="AE37" i="156"/>
  <c r="AE38" i="156"/>
  <c r="AE39" i="156"/>
  <c r="AE40" i="156"/>
  <c r="AE41" i="156"/>
  <c r="AE42" i="156"/>
  <c r="AE43" i="156"/>
  <c r="AE44" i="156"/>
  <c r="AE45" i="156"/>
  <c r="AE46" i="156"/>
  <c r="AE47" i="156"/>
  <c r="AE48" i="156"/>
  <c r="AE49" i="156"/>
  <c r="AE50" i="156"/>
  <c r="AE51" i="156"/>
  <c r="AE52" i="156"/>
  <c r="AE53" i="156"/>
  <c r="AE54" i="156"/>
  <c r="AE55" i="156"/>
  <c r="AE56" i="156"/>
  <c r="AE57" i="156"/>
  <c r="AE58" i="156"/>
  <c r="AE59" i="156"/>
  <c r="AE60" i="156"/>
  <c r="AE61" i="156"/>
  <c r="AE62" i="156"/>
  <c r="AE63" i="156"/>
  <c r="AE64" i="156"/>
  <c r="AE65" i="156"/>
  <c r="AE66" i="156"/>
  <c r="AE67" i="156"/>
  <c r="AE68" i="156"/>
  <c r="AE69" i="156"/>
  <c r="AE70" i="156"/>
  <c r="AE71" i="156"/>
  <c r="AE72" i="156"/>
  <c r="AE73" i="156"/>
  <c r="AE74" i="156"/>
  <c r="AE75" i="156"/>
  <c r="AE76" i="156"/>
  <c r="AE77" i="156"/>
  <c r="AE78" i="156"/>
  <c r="AE79" i="156"/>
  <c r="AE80" i="156"/>
  <c r="AE81" i="156"/>
  <c r="AE82" i="156"/>
  <c r="AE83" i="156"/>
  <c r="AE84" i="156"/>
  <c r="AE85" i="156"/>
  <c r="AE86" i="156"/>
  <c r="AE87" i="156"/>
  <c r="AE88" i="156"/>
  <c r="AE89" i="156"/>
  <c r="AE90" i="156"/>
  <c r="AE91" i="156"/>
  <c r="AE92" i="156"/>
  <c r="AE93" i="156"/>
  <c r="AE94" i="156"/>
  <c r="AE95" i="156"/>
  <c r="AE96" i="156"/>
  <c r="AE97" i="156"/>
  <c r="AE98" i="156"/>
  <c r="AE99" i="156"/>
  <c r="AE100" i="156"/>
  <c r="AE101" i="156"/>
  <c r="AE102" i="156"/>
  <c r="AE103" i="156"/>
  <c r="AE104" i="156"/>
  <c r="AE105" i="156"/>
  <c r="AE106" i="156"/>
  <c r="AE107" i="156"/>
  <c r="AE108" i="156"/>
  <c r="AE5" i="156"/>
  <c r="AE4" i="156"/>
  <c r="AD5" i="156"/>
  <c r="AD6" i="156" s="1"/>
  <c r="AD7" i="156" s="1"/>
  <c r="AD8" i="156" s="1"/>
  <c r="AD9" i="156" s="1"/>
  <c r="AD10" i="156" s="1"/>
  <c r="AD11" i="156" s="1"/>
  <c r="AD12" i="156" s="1"/>
  <c r="AD13" i="156" s="1"/>
  <c r="AD14" i="156" s="1"/>
  <c r="AD15" i="156" s="1"/>
  <c r="AD16" i="156" s="1"/>
  <c r="AD17" i="156" s="1"/>
  <c r="AD18" i="156" s="1"/>
  <c r="AD19" i="156" s="1"/>
  <c r="AD20" i="156" s="1"/>
  <c r="AD21" i="156" s="1"/>
  <c r="AD22" i="156" s="1"/>
  <c r="AD23" i="156" s="1"/>
  <c r="AD24" i="156" s="1"/>
  <c r="AD25" i="156" s="1"/>
  <c r="AD26" i="156" s="1"/>
  <c r="AD27" i="156" s="1"/>
  <c r="AD28" i="156" s="1"/>
  <c r="AD29" i="156" s="1"/>
  <c r="AD30" i="156" s="1"/>
  <c r="AD31" i="156" s="1"/>
  <c r="AD32" i="156" s="1"/>
  <c r="AD33" i="156" s="1"/>
  <c r="AD34" i="156" s="1"/>
  <c r="AD35" i="156" s="1"/>
  <c r="AD36" i="156" s="1"/>
  <c r="AD37" i="156" s="1"/>
  <c r="AD38" i="156" s="1"/>
  <c r="AD39" i="156" s="1"/>
  <c r="AD40" i="156" s="1"/>
  <c r="AD41" i="156" s="1"/>
  <c r="AD42" i="156" s="1"/>
  <c r="AD43" i="156" s="1"/>
  <c r="AD44" i="156" s="1"/>
  <c r="AD45" i="156" s="1"/>
  <c r="AD46" i="156" s="1"/>
  <c r="AD47" i="156" s="1"/>
  <c r="AD48" i="156" s="1"/>
  <c r="AD49" i="156" s="1"/>
  <c r="AD50" i="156" s="1"/>
  <c r="AD51" i="156" s="1"/>
  <c r="AD52" i="156" s="1"/>
  <c r="AD53" i="156" s="1"/>
  <c r="AD54" i="156" s="1"/>
  <c r="AD55" i="156" s="1"/>
  <c r="AD56" i="156" s="1"/>
  <c r="AD57" i="156" s="1"/>
  <c r="AD58" i="156" s="1"/>
  <c r="AD59" i="156" s="1"/>
  <c r="AD60" i="156" s="1"/>
  <c r="AD61" i="156" s="1"/>
  <c r="AD62" i="156" s="1"/>
  <c r="AD63" i="156" s="1"/>
  <c r="AD64" i="156" s="1"/>
  <c r="AD65" i="156" s="1"/>
  <c r="AD66" i="156" s="1"/>
  <c r="AD67" i="156" s="1"/>
  <c r="AD68" i="156" s="1"/>
  <c r="AD69" i="156" s="1"/>
  <c r="AD70" i="156" s="1"/>
  <c r="AD71" i="156" s="1"/>
  <c r="AD72" i="156" s="1"/>
  <c r="AD73" i="156" s="1"/>
  <c r="AD74" i="156" s="1"/>
  <c r="AD75" i="156" s="1"/>
  <c r="AD76" i="156" s="1"/>
  <c r="AD77" i="156" s="1"/>
  <c r="AD78" i="156" s="1"/>
  <c r="AD79" i="156" s="1"/>
  <c r="AD80" i="156" s="1"/>
  <c r="AD81" i="156" s="1"/>
  <c r="AD82" i="156" s="1"/>
  <c r="AD83" i="156" s="1"/>
  <c r="AD84" i="156" s="1"/>
  <c r="AD85" i="156" s="1"/>
  <c r="AD86" i="156" s="1"/>
  <c r="AD87" i="156" s="1"/>
  <c r="AD88" i="156" s="1"/>
  <c r="AD89" i="156" s="1"/>
  <c r="AD90" i="156" s="1"/>
  <c r="AD91" i="156" s="1"/>
  <c r="AD92" i="156" s="1"/>
  <c r="AD93" i="156" s="1"/>
  <c r="AD94" i="156" s="1"/>
  <c r="AD95" i="156" s="1"/>
  <c r="AD96" i="156" s="1"/>
  <c r="AD97" i="156" s="1"/>
  <c r="AD98" i="156" s="1"/>
  <c r="AD99" i="156" s="1"/>
  <c r="AD100" i="156" s="1"/>
  <c r="AD101" i="156" s="1"/>
  <c r="AD102" i="156" s="1"/>
  <c r="AD103" i="156" s="1"/>
  <c r="AD104" i="156" s="1"/>
  <c r="AD105" i="156" s="1"/>
  <c r="AD106" i="156" s="1"/>
  <c r="AD107" i="156" s="1"/>
  <c r="AD108" i="156" s="1"/>
  <c r="AD109" i="156" s="1"/>
  <c r="AD110" i="156" s="1"/>
  <c r="AD111" i="156" s="1"/>
  <c r="AD112" i="156" s="1"/>
  <c r="AD113" i="156" s="1"/>
  <c r="X5" i="156"/>
  <c r="X4" i="156"/>
  <c r="V4" i="156"/>
  <c r="L16" i="156"/>
  <c r="L17" i="156" s="1"/>
  <c r="L18" i="156" s="1"/>
  <c r="L19" i="156" s="1"/>
  <c r="H5" i="156"/>
  <c r="D6" i="156"/>
  <c r="D7" i="156" s="1"/>
  <c r="D8" i="156" s="1"/>
  <c r="D9" i="156" s="1"/>
  <c r="D10" i="156" s="1"/>
  <c r="D11" i="156" s="1"/>
  <c r="D12" i="156" s="1"/>
  <c r="D13" i="156" s="1"/>
  <c r="D14" i="156" s="1"/>
  <c r="D15" i="156" s="1"/>
  <c r="D16" i="156" s="1"/>
  <c r="D17" i="156" s="1"/>
  <c r="D18" i="156" s="1"/>
  <c r="D19" i="156" s="1"/>
  <c r="D20" i="156" s="1"/>
  <c r="D21" i="156" s="1"/>
  <c r="D22" i="156" s="1"/>
  <c r="D23" i="156" s="1"/>
  <c r="D24" i="156" s="1"/>
  <c r="D25" i="156" s="1"/>
  <c r="D26" i="156" s="1"/>
  <c r="D27" i="156" s="1"/>
  <c r="D28" i="156" s="1"/>
  <c r="D29" i="156" s="1"/>
  <c r="D30" i="156" s="1"/>
  <c r="D31" i="156" s="1"/>
  <c r="D32" i="156" s="1"/>
  <c r="D33" i="156" s="1"/>
  <c r="D34" i="156" s="1"/>
  <c r="D35" i="156" s="1"/>
  <c r="D36" i="156" s="1"/>
  <c r="D37" i="156" s="1"/>
  <c r="D38" i="156" s="1"/>
  <c r="D39" i="156" s="1"/>
  <c r="D40" i="156" s="1"/>
  <c r="D41" i="156" s="1"/>
  <c r="D42" i="156" s="1"/>
  <c r="D43" i="156" s="1"/>
  <c r="D44" i="156" s="1"/>
  <c r="D45" i="156" s="1"/>
  <c r="D46" i="156" s="1"/>
  <c r="D47" i="156" s="1"/>
  <c r="D48" i="156" s="1"/>
  <c r="D49" i="156" s="1"/>
  <c r="D50" i="156" s="1"/>
  <c r="D51" i="156" s="1"/>
  <c r="D52" i="156" s="1"/>
  <c r="D53" i="156" s="1"/>
  <c r="D54" i="156" s="1"/>
  <c r="D55" i="156" s="1"/>
  <c r="D56" i="156" s="1"/>
  <c r="D57" i="156" s="1"/>
  <c r="D58" i="156" s="1"/>
  <c r="D59" i="156" s="1"/>
  <c r="D60" i="156" s="1"/>
  <c r="D61" i="156" s="1"/>
  <c r="D62" i="156" s="1"/>
  <c r="D63" i="156" s="1"/>
  <c r="D64" i="156" s="1"/>
  <c r="D65" i="156" s="1"/>
  <c r="D66" i="156" s="1"/>
  <c r="D67" i="156" s="1"/>
  <c r="D68" i="156" s="1"/>
  <c r="D69" i="156" s="1"/>
  <c r="D70" i="156" s="1"/>
  <c r="D71" i="156" s="1"/>
  <c r="D72" i="156" s="1"/>
  <c r="D73" i="156" s="1"/>
  <c r="D74" i="156" s="1"/>
  <c r="D75" i="156" s="1"/>
  <c r="D76" i="156" s="1"/>
  <c r="D77" i="156" s="1"/>
  <c r="D78" i="156" s="1"/>
  <c r="D79" i="156" s="1"/>
  <c r="D80" i="156" s="1"/>
  <c r="D81" i="156" s="1"/>
  <c r="D82" i="156" s="1"/>
  <c r="D83" i="156" s="1"/>
  <c r="D84" i="156" s="1"/>
  <c r="D85" i="156" s="1"/>
  <c r="D86" i="156" s="1"/>
  <c r="D87" i="156" s="1"/>
  <c r="D88" i="156" s="1"/>
  <c r="D89" i="156" s="1"/>
  <c r="D90" i="156" s="1"/>
  <c r="D91" i="156" s="1"/>
  <c r="D92" i="156" s="1"/>
  <c r="D93" i="156" s="1"/>
  <c r="D94" i="156" s="1"/>
  <c r="D95" i="156" s="1"/>
  <c r="D96" i="156" s="1"/>
  <c r="D97" i="156" s="1"/>
  <c r="D98" i="156" s="1"/>
  <c r="D99" i="156" s="1"/>
  <c r="D100" i="156" s="1"/>
  <c r="D101" i="156" s="1"/>
  <c r="D102" i="156" s="1"/>
  <c r="D103" i="156" s="1"/>
  <c r="D104" i="156" s="1"/>
  <c r="D105" i="156" s="1"/>
  <c r="D106" i="156" s="1"/>
  <c r="D107" i="156" s="1"/>
  <c r="V107" i="156" s="1"/>
  <c r="V108" i="156" s="1"/>
  <c r="V109" i="156" s="1"/>
  <c r="V110" i="156" s="1"/>
  <c r="V111" i="156" s="1"/>
  <c r="V112" i="156" s="1"/>
  <c r="D5" i="156"/>
  <c r="V5" i="156" s="1"/>
  <c r="AE6" i="155"/>
  <c r="AE7" i="155"/>
  <c r="AE8" i="155"/>
  <c r="AE9" i="155"/>
  <c r="AE10" i="155"/>
  <c r="AE11" i="155"/>
  <c r="AE12" i="155"/>
  <c r="AE13" i="155"/>
  <c r="AE14" i="155"/>
  <c r="AE15" i="155"/>
  <c r="AE16" i="155"/>
  <c r="AE17" i="155"/>
  <c r="AE18" i="155"/>
  <c r="AE19" i="155"/>
  <c r="AE20" i="155"/>
  <c r="AE21" i="155"/>
  <c r="AE22" i="155"/>
  <c r="AE23" i="155"/>
  <c r="AE24" i="155"/>
  <c r="AE25" i="155"/>
  <c r="AE26" i="155"/>
  <c r="AE27" i="155"/>
  <c r="AE28" i="155"/>
  <c r="AE29" i="155"/>
  <c r="AE30" i="155"/>
  <c r="AE31" i="155"/>
  <c r="AE32" i="155"/>
  <c r="AE33" i="155"/>
  <c r="AE34" i="155"/>
  <c r="AE35" i="155"/>
  <c r="AE36" i="155"/>
  <c r="AE37" i="155"/>
  <c r="AE38" i="155"/>
  <c r="AE39" i="155"/>
  <c r="AE40" i="155"/>
  <c r="AE41" i="155"/>
  <c r="AE42" i="155"/>
  <c r="AE43" i="155"/>
  <c r="AE44" i="155"/>
  <c r="AE45" i="155"/>
  <c r="AE46" i="155"/>
  <c r="AE47" i="155"/>
  <c r="AE48" i="155"/>
  <c r="AE49" i="155"/>
  <c r="AE50" i="155"/>
  <c r="AE51" i="155"/>
  <c r="AE52" i="155"/>
  <c r="AE53" i="155"/>
  <c r="AE54" i="155"/>
  <c r="AE55" i="155"/>
  <c r="AE56" i="155"/>
  <c r="AE57" i="155"/>
  <c r="AE58" i="155"/>
  <c r="AE59" i="155"/>
  <c r="AE60" i="155"/>
  <c r="AE61" i="155"/>
  <c r="AE62" i="155"/>
  <c r="AE63" i="155"/>
  <c r="AE64" i="155"/>
  <c r="AE65" i="155"/>
  <c r="AE66" i="155"/>
  <c r="AE67" i="155"/>
  <c r="AE68" i="155"/>
  <c r="AE69" i="155"/>
  <c r="AE70" i="155"/>
  <c r="AE71" i="155"/>
  <c r="AE72" i="155"/>
  <c r="AE73" i="155"/>
  <c r="AE74" i="155"/>
  <c r="AE75" i="155"/>
  <c r="AE76" i="155"/>
  <c r="AE77" i="155"/>
  <c r="AE78" i="155"/>
  <c r="AE79" i="155"/>
  <c r="AE80" i="155"/>
  <c r="AE81" i="155"/>
  <c r="AE82" i="155"/>
  <c r="AE83" i="155"/>
  <c r="AE84" i="155"/>
  <c r="AE85" i="155"/>
  <c r="AE86" i="155"/>
  <c r="AE87" i="155"/>
  <c r="AE88" i="155"/>
  <c r="AE89" i="155"/>
  <c r="AE90" i="155"/>
  <c r="AE91" i="155"/>
  <c r="AE92" i="155"/>
  <c r="AE93" i="155"/>
  <c r="AE94" i="155"/>
  <c r="AE95" i="155"/>
  <c r="AE96" i="155"/>
  <c r="AE97" i="155"/>
  <c r="AE98" i="155"/>
  <c r="AE99" i="155"/>
  <c r="AE100" i="155"/>
  <c r="AE101" i="155"/>
  <c r="AE102" i="155"/>
  <c r="AE103" i="155"/>
  <c r="AE104" i="155"/>
  <c r="AE105" i="155"/>
  <c r="AE106" i="155"/>
  <c r="AE107" i="155"/>
  <c r="AE108" i="155"/>
  <c r="AE5" i="155"/>
  <c r="AE4" i="155"/>
  <c r="AD5" i="155"/>
  <c r="AD6" i="155" s="1"/>
  <c r="AD7" i="155" s="1"/>
  <c r="AD8" i="155" s="1"/>
  <c r="AD9" i="155" s="1"/>
  <c r="AD10" i="155" s="1"/>
  <c r="AD11" i="155" s="1"/>
  <c r="AD12" i="155" s="1"/>
  <c r="AD13" i="155" s="1"/>
  <c r="AD14" i="155" s="1"/>
  <c r="AD15" i="155" s="1"/>
  <c r="AD16" i="155" s="1"/>
  <c r="AD17" i="155" s="1"/>
  <c r="AD18" i="155" s="1"/>
  <c r="AD19" i="155" s="1"/>
  <c r="AD20" i="155" s="1"/>
  <c r="AD21" i="155" s="1"/>
  <c r="AD22" i="155" s="1"/>
  <c r="AD23" i="155" s="1"/>
  <c r="AD24" i="155" s="1"/>
  <c r="AD25" i="155" s="1"/>
  <c r="AD26" i="155" s="1"/>
  <c r="AD27" i="155" s="1"/>
  <c r="AD28" i="155" s="1"/>
  <c r="AD29" i="155" s="1"/>
  <c r="AD30" i="155" s="1"/>
  <c r="AD31" i="155" s="1"/>
  <c r="AD32" i="155" s="1"/>
  <c r="AD33" i="155" s="1"/>
  <c r="AD34" i="155" s="1"/>
  <c r="AD35" i="155" s="1"/>
  <c r="AD36" i="155" s="1"/>
  <c r="AD37" i="155" s="1"/>
  <c r="AD38" i="155" s="1"/>
  <c r="AD39" i="155" s="1"/>
  <c r="AD40" i="155" s="1"/>
  <c r="AD41" i="155" s="1"/>
  <c r="AD42" i="155" s="1"/>
  <c r="AD43" i="155" s="1"/>
  <c r="AD44" i="155" s="1"/>
  <c r="AD45" i="155" s="1"/>
  <c r="AD46" i="155" s="1"/>
  <c r="AD47" i="155" s="1"/>
  <c r="AD48" i="155" s="1"/>
  <c r="AD49" i="155" s="1"/>
  <c r="AD50" i="155" s="1"/>
  <c r="AD51" i="155" s="1"/>
  <c r="AD52" i="155" s="1"/>
  <c r="AD53" i="155" s="1"/>
  <c r="AD54" i="155" s="1"/>
  <c r="AD55" i="155" s="1"/>
  <c r="AD56" i="155" s="1"/>
  <c r="AD57" i="155" s="1"/>
  <c r="AD58" i="155" s="1"/>
  <c r="AD59" i="155" s="1"/>
  <c r="AD60" i="155" s="1"/>
  <c r="AD61" i="155" s="1"/>
  <c r="AD62" i="155" s="1"/>
  <c r="AD63" i="155" s="1"/>
  <c r="AD64" i="155" s="1"/>
  <c r="AD65" i="155" s="1"/>
  <c r="AD66" i="155" s="1"/>
  <c r="AD67" i="155" s="1"/>
  <c r="AD68" i="155" s="1"/>
  <c r="AD69" i="155" s="1"/>
  <c r="AD70" i="155" s="1"/>
  <c r="AD71" i="155" s="1"/>
  <c r="AD72" i="155" s="1"/>
  <c r="AD73" i="155" s="1"/>
  <c r="AD74" i="155" s="1"/>
  <c r="AD75" i="155" s="1"/>
  <c r="AD76" i="155" s="1"/>
  <c r="AD77" i="155" s="1"/>
  <c r="AD78" i="155" s="1"/>
  <c r="AD79" i="155" s="1"/>
  <c r="AD80" i="155" s="1"/>
  <c r="AD81" i="155" s="1"/>
  <c r="AD82" i="155" s="1"/>
  <c r="AD83" i="155" s="1"/>
  <c r="AD84" i="155" s="1"/>
  <c r="AD85" i="155" s="1"/>
  <c r="AD86" i="155" s="1"/>
  <c r="AD87" i="155" s="1"/>
  <c r="AD88" i="155" s="1"/>
  <c r="AD89" i="155" s="1"/>
  <c r="AD90" i="155" s="1"/>
  <c r="AD91" i="155" s="1"/>
  <c r="AD92" i="155" s="1"/>
  <c r="AD93" i="155" s="1"/>
  <c r="AD94" i="155" s="1"/>
  <c r="AD95" i="155" s="1"/>
  <c r="AD96" i="155" s="1"/>
  <c r="AD97" i="155" s="1"/>
  <c r="AD98" i="155" s="1"/>
  <c r="AD99" i="155" s="1"/>
  <c r="AD100" i="155" s="1"/>
  <c r="AD101" i="155" s="1"/>
  <c r="AD102" i="155" s="1"/>
  <c r="AD103" i="155" s="1"/>
  <c r="AD104" i="155" s="1"/>
  <c r="AD105" i="155" s="1"/>
  <c r="AD106" i="155" s="1"/>
  <c r="AD107" i="155" s="1"/>
  <c r="AD108" i="155" s="1"/>
  <c r="AD109" i="155" s="1"/>
  <c r="AD110" i="155" s="1"/>
  <c r="AD111" i="155" s="1"/>
  <c r="AD112" i="155" s="1"/>
  <c r="AD113" i="155" s="1"/>
  <c r="X5" i="155"/>
  <c r="W63" i="155"/>
  <c r="W79" i="155"/>
  <c r="X4" i="155"/>
  <c r="V4" i="155"/>
  <c r="L16" i="155"/>
  <c r="L17" i="155" s="1"/>
  <c r="L18" i="155" s="1"/>
  <c r="L19" i="155" s="1"/>
  <c r="E5" i="155"/>
  <c r="W5" i="155" s="1"/>
  <c r="Y5" i="155" s="1"/>
  <c r="E6" i="155"/>
  <c r="W6" i="155" s="1"/>
  <c r="E7" i="155"/>
  <c r="E8" i="155"/>
  <c r="E9" i="155"/>
  <c r="W9" i="155" s="1"/>
  <c r="E10" i="155"/>
  <c r="W10" i="155" s="1"/>
  <c r="E11" i="155"/>
  <c r="W11" i="155" s="1"/>
  <c r="E12" i="155"/>
  <c r="W12" i="155" s="1"/>
  <c r="E13" i="155"/>
  <c r="W13" i="155" s="1"/>
  <c r="E14" i="155"/>
  <c r="W14" i="155" s="1"/>
  <c r="E15" i="155"/>
  <c r="W15" i="155" s="1"/>
  <c r="E16" i="155"/>
  <c r="W16" i="155" s="1"/>
  <c r="E17" i="155"/>
  <c r="W17" i="155" s="1"/>
  <c r="E18" i="155"/>
  <c r="W18" i="155" s="1"/>
  <c r="E19" i="155"/>
  <c r="W19" i="155" s="1"/>
  <c r="E20" i="155"/>
  <c r="W20" i="155" s="1"/>
  <c r="E21" i="155"/>
  <c r="W21" i="155" s="1"/>
  <c r="E22" i="155"/>
  <c r="W22" i="155" s="1"/>
  <c r="E23" i="155"/>
  <c r="W23" i="155" s="1"/>
  <c r="E24" i="155"/>
  <c r="W24" i="155" s="1"/>
  <c r="E25" i="155"/>
  <c r="W25" i="155" s="1"/>
  <c r="E26" i="155"/>
  <c r="W26" i="155" s="1"/>
  <c r="E27" i="155"/>
  <c r="W27" i="155" s="1"/>
  <c r="E28" i="155"/>
  <c r="W28" i="155" s="1"/>
  <c r="E29" i="155"/>
  <c r="W29" i="155" s="1"/>
  <c r="E30" i="155"/>
  <c r="W30" i="155" s="1"/>
  <c r="E31" i="155"/>
  <c r="W31" i="155" s="1"/>
  <c r="E32" i="155"/>
  <c r="W32" i="155" s="1"/>
  <c r="E33" i="155"/>
  <c r="W33" i="155" s="1"/>
  <c r="E34" i="155"/>
  <c r="W34" i="155" s="1"/>
  <c r="E35" i="155"/>
  <c r="W35" i="155" s="1"/>
  <c r="E36" i="155"/>
  <c r="W36" i="155" s="1"/>
  <c r="E37" i="155"/>
  <c r="W37" i="155" s="1"/>
  <c r="E38" i="155"/>
  <c r="W38" i="155" s="1"/>
  <c r="E39" i="155"/>
  <c r="W39" i="155" s="1"/>
  <c r="E40" i="155"/>
  <c r="W40" i="155" s="1"/>
  <c r="E41" i="155"/>
  <c r="W41" i="155" s="1"/>
  <c r="E42" i="155"/>
  <c r="W42" i="155" s="1"/>
  <c r="E43" i="155"/>
  <c r="W43" i="155" s="1"/>
  <c r="E44" i="155"/>
  <c r="W44" i="155" s="1"/>
  <c r="E45" i="155"/>
  <c r="W45" i="155" s="1"/>
  <c r="E46" i="155"/>
  <c r="W46" i="155" s="1"/>
  <c r="E47" i="155"/>
  <c r="W47" i="155" s="1"/>
  <c r="E48" i="155"/>
  <c r="W48" i="155" s="1"/>
  <c r="E49" i="155"/>
  <c r="W49" i="155" s="1"/>
  <c r="E50" i="155"/>
  <c r="W50" i="155" s="1"/>
  <c r="E51" i="155"/>
  <c r="W51" i="155" s="1"/>
  <c r="E52" i="155"/>
  <c r="W52" i="155" s="1"/>
  <c r="E53" i="155"/>
  <c r="W53" i="155" s="1"/>
  <c r="E54" i="155"/>
  <c r="W54" i="155" s="1"/>
  <c r="E55" i="155"/>
  <c r="W55" i="155" s="1"/>
  <c r="E56" i="155"/>
  <c r="W56" i="155" s="1"/>
  <c r="E57" i="155"/>
  <c r="W57" i="155" s="1"/>
  <c r="E58" i="155"/>
  <c r="W58" i="155" s="1"/>
  <c r="E59" i="155"/>
  <c r="W59" i="155" s="1"/>
  <c r="E60" i="155"/>
  <c r="W60" i="155" s="1"/>
  <c r="E61" i="155"/>
  <c r="W61" i="155" s="1"/>
  <c r="E62" i="155"/>
  <c r="W62" i="155" s="1"/>
  <c r="E63" i="155"/>
  <c r="E64" i="155"/>
  <c r="W64" i="155" s="1"/>
  <c r="E65" i="155"/>
  <c r="W65" i="155" s="1"/>
  <c r="E66" i="155"/>
  <c r="W66" i="155" s="1"/>
  <c r="E67" i="155"/>
  <c r="W67" i="155" s="1"/>
  <c r="E68" i="155"/>
  <c r="W68" i="155" s="1"/>
  <c r="E69" i="155"/>
  <c r="W69" i="155" s="1"/>
  <c r="E70" i="155"/>
  <c r="W70" i="155" s="1"/>
  <c r="E71" i="155"/>
  <c r="W71" i="155" s="1"/>
  <c r="E72" i="155"/>
  <c r="W72" i="155" s="1"/>
  <c r="E73" i="155"/>
  <c r="W73" i="155" s="1"/>
  <c r="E74" i="155"/>
  <c r="W74" i="155" s="1"/>
  <c r="E75" i="155"/>
  <c r="W75" i="155" s="1"/>
  <c r="E76" i="155"/>
  <c r="W76" i="155" s="1"/>
  <c r="E77" i="155"/>
  <c r="W77" i="155" s="1"/>
  <c r="E78" i="155"/>
  <c r="W78" i="155" s="1"/>
  <c r="E79" i="155"/>
  <c r="E80" i="155"/>
  <c r="W80" i="155" s="1"/>
  <c r="E81" i="155"/>
  <c r="W81" i="155" s="1"/>
  <c r="E82" i="155"/>
  <c r="W82" i="155" s="1"/>
  <c r="E83" i="155"/>
  <c r="W83" i="155" s="1"/>
  <c r="E84" i="155"/>
  <c r="W84" i="155" s="1"/>
  <c r="E85" i="155"/>
  <c r="W85" i="155" s="1"/>
  <c r="E86" i="155"/>
  <c r="W86" i="155" s="1"/>
  <c r="E87" i="155"/>
  <c r="W87" i="155" s="1"/>
  <c r="E88" i="155"/>
  <c r="W88" i="155" s="1"/>
  <c r="E89" i="155"/>
  <c r="W89" i="155" s="1"/>
  <c r="E90" i="155"/>
  <c r="W90" i="155" s="1"/>
  <c r="E91" i="155"/>
  <c r="W91" i="155" s="1"/>
  <c r="E92" i="155"/>
  <c r="W92" i="155" s="1"/>
  <c r="E93" i="155"/>
  <c r="W93" i="155" s="1"/>
  <c r="E94" i="155"/>
  <c r="W94" i="155" s="1"/>
  <c r="E95" i="155"/>
  <c r="W95" i="155" s="1"/>
  <c r="E96" i="155"/>
  <c r="W96" i="155" s="1"/>
  <c r="E97" i="155"/>
  <c r="W97" i="155" s="1"/>
  <c r="E98" i="155"/>
  <c r="W98" i="155" s="1"/>
  <c r="E99" i="155"/>
  <c r="W99" i="155" s="1"/>
  <c r="E100" i="155"/>
  <c r="W100" i="155" s="1"/>
  <c r="E101" i="155"/>
  <c r="W101" i="155" s="1"/>
  <c r="E102" i="155"/>
  <c r="W102" i="155" s="1"/>
  <c r="E103" i="155"/>
  <c r="W103" i="155" s="1"/>
  <c r="E104" i="155"/>
  <c r="W104" i="155" s="1"/>
  <c r="E105" i="155"/>
  <c r="W105" i="155" s="1"/>
  <c r="E106" i="155"/>
  <c r="W106" i="155" s="1"/>
  <c r="E107" i="155"/>
  <c r="W107" i="155" s="1"/>
  <c r="E4" i="155"/>
  <c r="W4" i="155" s="1"/>
  <c r="Y4" i="155" s="1"/>
  <c r="H5" i="155"/>
  <c r="D6" i="155"/>
  <c r="D7" i="155" s="1"/>
  <c r="D8" i="155" s="1"/>
  <c r="D9" i="155" s="1"/>
  <c r="D10" i="155" s="1"/>
  <c r="D11" i="155" s="1"/>
  <c r="D12" i="155" s="1"/>
  <c r="D13" i="155" s="1"/>
  <c r="D14" i="155" s="1"/>
  <c r="D15" i="155" s="1"/>
  <c r="D16" i="155" s="1"/>
  <c r="D17" i="155" s="1"/>
  <c r="D18" i="155" s="1"/>
  <c r="D19" i="155" s="1"/>
  <c r="D20" i="155" s="1"/>
  <c r="D21" i="155" s="1"/>
  <c r="D22" i="155" s="1"/>
  <c r="D23" i="155" s="1"/>
  <c r="D24" i="155" s="1"/>
  <c r="D25" i="155" s="1"/>
  <c r="D26" i="155" s="1"/>
  <c r="D27" i="155" s="1"/>
  <c r="D28" i="155" s="1"/>
  <c r="D29" i="155" s="1"/>
  <c r="D30" i="155" s="1"/>
  <c r="D31" i="155" s="1"/>
  <c r="D32" i="155" s="1"/>
  <c r="D33" i="155" s="1"/>
  <c r="D34" i="155" s="1"/>
  <c r="D35" i="155" s="1"/>
  <c r="D36" i="155" s="1"/>
  <c r="D37" i="155" s="1"/>
  <c r="D38" i="155" s="1"/>
  <c r="D39" i="155" s="1"/>
  <c r="D40" i="155" s="1"/>
  <c r="D41" i="155" s="1"/>
  <c r="D42" i="155" s="1"/>
  <c r="D43" i="155" s="1"/>
  <c r="D44" i="155" s="1"/>
  <c r="D45" i="155" s="1"/>
  <c r="D46" i="155" s="1"/>
  <c r="D47" i="155" s="1"/>
  <c r="D48" i="155" s="1"/>
  <c r="D49" i="155" s="1"/>
  <c r="D50" i="155" s="1"/>
  <c r="D51" i="155" s="1"/>
  <c r="D52" i="155" s="1"/>
  <c r="D53" i="155" s="1"/>
  <c r="D54" i="155" s="1"/>
  <c r="D55" i="155" s="1"/>
  <c r="D56" i="155" s="1"/>
  <c r="D57" i="155" s="1"/>
  <c r="D58" i="155" s="1"/>
  <c r="D59" i="155" s="1"/>
  <c r="D60" i="155" s="1"/>
  <c r="D61" i="155" s="1"/>
  <c r="D62" i="155" s="1"/>
  <c r="D63" i="155" s="1"/>
  <c r="D64" i="155" s="1"/>
  <c r="D65" i="155" s="1"/>
  <c r="D66" i="155" s="1"/>
  <c r="D67" i="155" s="1"/>
  <c r="D68" i="155" s="1"/>
  <c r="D69" i="155" s="1"/>
  <c r="D70" i="155" s="1"/>
  <c r="D71" i="155" s="1"/>
  <c r="D72" i="155" s="1"/>
  <c r="D73" i="155" s="1"/>
  <c r="D74" i="155" s="1"/>
  <c r="D75" i="155" s="1"/>
  <c r="D76" i="155" s="1"/>
  <c r="D77" i="155" s="1"/>
  <c r="D78" i="155" s="1"/>
  <c r="D79" i="155" s="1"/>
  <c r="D80" i="155" s="1"/>
  <c r="D81" i="155" s="1"/>
  <c r="D82" i="155" s="1"/>
  <c r="D83" i="155" s="1"/>
  <c r="D84" i="155" s="1"/>
  <c r="D85" i="155" s="1"/>
  <c r="D86" i="155" s="1"/>
  <c r="D87" i="155" s="1"/>
  <c r="D88" i="155" s="1"/>
  <c r="D89" i="155" s="1"/>
  <c r="D90" i="155" s="1"/>
  <c r="D91" i="155" s="1"/>
  <c r="D92" i="155" s="1"/>
  <c r="D93" i="155" s="1"/>
  <c r="D94" i="155" s="1"/>
  <c r="D95" i="155" s="1"/>
  <c r="D96" i="155" s="1"/>
  <c r="D97" i="155" s="1"/>
  <c r="D98" i="155" s="1"/>
  <c r="D99" i="155" s="1"/>
  <c r="D100" i="155" s="1"/>
  <c r="D101" i="155" s="1"/>
  <c r="D102" i="155" s="1"/>
  <c r="D103" i="155" s="1"/>
  <c r="D104" i="155" s="1"/>
  <c r="D105" i="155" s="1"/>
  <c r="D106" i="155" s="1"/>
  <c r="D107" i="155" s="1"/>
  <c r="V107" i="155" s="1"/>
  <c r="V108" i="155" s="1"/>
  <c r="V109" i="155" s="1"/>
  <c r="V110" i="155" s="1"/>
  <c r="V111" i="155" s="1"/>
  <c r="V112" i="155" s="1"/>
  <c r="D5" i="155"/>
  <c r="V5" i="155" s="1"/>
  <c r="F17" i="173" l="1"/>
  <c r="E17" i="173" s="1"/>
  <c r="D7" i="157"/>
  <c r="V6" i="157"/>
  <c r="V104" i="156"/>
  <c r="V96" i="156"/>
  <c r="V88" i="156"/>
  <c r="V80" i="156"/>
  <c r="V72" i="156"/>
  <c r="V64" i="156"/>
  <c r="V56" i="156"/>
  <c r="V48" i="156"/>
  <c r="V40" i="156"/>
  <c r="V32" i="156"/>
  <c r="V24" i="156"/>
  <c r="V16" i="156"/>
  <c r="V8" i="156"/>
  <c r="V5" i="157"/>
  <c r="V74" i="155"/>
  <c r="V103" i="156"/>
  <c r="V95" i="156"/>
  <c r="V87" i="156"/>
  <c r="V79" i="156"/>
  <c r="V71" i="156"/>
  <c r="V63" i="156"/>
  <c r="V55" i="156"/>
  <c r="V47" i="156"/>
  <c r="V39" i="156"/>
  <c r="V31" i="156"/>
  <c r="V23" i="156"/>
  <c r="V15" i="156"/>
  <c r="V7" i="156"/>
  <c r="V68" i="155"/>
  <c r="V26" i="155"/>
  <c r="V102" i="156"/>
  <c r="V94" i="156"/>
  <c r="V86" i="156"/>
  <c r="V78" i="156"/>
  <c r="V70" i="156"/>
  <c r="V62" i="156"/>
  <c r="V54" i="156"/>
  <c r="V46" i="156"/>
  <c r="V38" i="156"/>
  <c r="V30" i="156"/>
  <c r="V22" i="156"/>
  <c r="V14" i="156"/>
  <c r="V6" i="156"/>
  <c r="V20" i="155"/>
  <c r="V101" i="156"/>
  <c r="V93" i="156"/>
  <c r="V85" i="156"/>
  <c r="V77" i="156"/>
  <c r="V69" i="156"/>
  <c r="V61" i="156"/>
  <c r="V53" i="156"/>
  <c r="V45" i="156"/>
  <c r="V37" i="156"/>
  <c r="V29" i="156"/>
  <c r="V21" i="156"/>
  <c r="V13" i="156"/>
  <c r="P17" i="173"/>
  <c r="V36" i="155"/>
  <c r="V100" i="155"/>
  <c r="V58" i="155"/>
  <c r="V100" i="156"/>
  <c r="V92" i="156"/>
  <c r="V84" i="156"/>
  <c r="V76" i="156"/>
  <c r="V68" i="156"/>
  <c r="V60" i="156"/>
  <c r="V52" i="156"/>
  <c r="V44" i="156"/>
  <c r="V36" i="156"/>
  <c r="V28" i="156"/>
  <c r="V20" i="156"/>
  <c r="V12" i="156"/>
  <c r="C17" i="173"/>
  <c r="V52" i="155"/>
  <c r="V10" i="155"/>
  <c r="V99" i="156"/>
  <c r="V91" i="156"/>
  <c r="V83" i="156"/>
  <c r="V75" i="156"/>
  <c r="V67" i="156"/>
  <c r="V59" i="156"/>
  <c r="V51" i="156"/>
  <c r="V43" i="156"/>
  <c r="V35" i="156"/>
  <c r="V27" i="156"/>
  <c r="V19" i="156"/>
  <c r="V11" i="156"/>
  <c r="V90" i="155"/>
  <c r="V7" i="155"/>
  <c r="V106" i="156"/>
  <c r="V98" i="156"/>
  <c r="V90" i="156"/>
  <c r="V82" i="156"/>
  <c r="V74" i="156"/>
  <c r="V66" i="156"/>
  <c r="V58" i="156"/>
  <c r="V50" i="156"/>
  <c r="V42" i="156"/>
  <c r="V34" i="156"/>
  <c r="V26" i="156"/>
  <c r="V18" i="156"/>
  <c r="V10" i="156"/>
  <c r="D9" i="168"/>
  <c r="V8" i="168"/>
  <c r="V84" i="155"/>
  <c r="V42" i="155"/>
  <c r="V6" i="155"/>
  <c r="V105" i="156"/>
  <c r="V97" i="156"/>
  <c r="V89" i="156"/>
  <c r="V81" i="156"/>
  <c r="V73" i="156"/>
  <c r="V65" i="156"/>
  <c r="V57" i="156"/>
  <c r="V49" i="156"/>
  <c r="V41" i="156"/>
  <c r="V33" i="156"/>
  <c r="V25" i="156"/>
  <c r="V17" i="156"/>
  <c r="V9" i="156"/>
  <c r="J16" i="155"/>
  <c r="V104" i="155"/>
  <c r="V94" i="155"/>
  <c r="V88" i="155"/>
  <c r="V78" i="155"/>
  <c r="V72" i="155"/>
  <c r="V62" i="155"/>
  <c r="V56" i="155"/>
  <c r="V46" i="155"/>
  <c r="V40" i="155"/>
  <c r="V30" i="155"/>
  <c r="V24" i="155"/>
  <c r="V14" i="155"/>
  <c r="V8" i="155"/>
  <c r="J17" i="155"/>
  <c r="V98" i="155"/>
  <c r="V92" i="155"/>
  <c r="V82" i="155"/>
  <c r="V76" i="155"/>
  <c r="V66" i="155"/>
  <c r="V60" i="155"/>
  <c r="V50" i="155"/>
  <c r="V44" i="155"/>
  <c r="V34" i="155"/>
  <c r="V28" i="155"/>
  <c r="V18" i="155"/>
  <c r="V12" i="155"/>
  <c r="W7" i="155"/>
  <c r="V106" i="155"/>
  <c r="V102" i="155"/>
  <c r="V96" i="155"/>
  <c r="V86" i="155"/>
  <c r="V80" i="155"/>
  <c r="V70" i="155"/>
  <c r="V64" i="155"/>
  <c r="V54" i="155"/>
  <c r="V48" i="155"/>
  <c r="V38" i="155"/>
  <c r="V32" i="155"/>
  <c r="V22" i="155"/>
  <c r="V16" i="155"/>
  <c r="J18" i="155"/>
  <c r="W8" i="155"/>
  <c r="V105" i="155"/>
  <c r="V103" i="155"/>
  <c r="V101" i="155"/>
  <c r="V99" i="155"/>
  <c r="V97" i="155"/>
  <c r="V95" i="155"/>
  <c r="V93" i="155"/>
  <c r="V91" i="155"/>
  <c r="V89" i="155"/>
  <c r="V87" i="155"/>
  <c r="V85" i="155"/>
  <c r="V83" i="155"/>
  <c r="V81" i="155"/>
  <c r="V79" i="155"/>
  <c r="V77" i="155"/>
  <c r="V75" i="155"/>
  <c r="V73" i="155"/>
  <c r="V71" i="155"/>
  <c r="V69" i="155"/>
  <c r="V67" i="155"/>
  <c r="V65" i="155"/>
  <c r="V63" i="155"/>
  <c r="V61" i="155"/>
  <c r="V59" i="155"/>
  <c r="V57" i="155"/>
  <c r="V55" i="155"/>
  <c r="V53" i="155"/>
  <c r="V51" i="155"/>
  <c r="V49" i="155"/>
  <c r="V47" i="155"/>
  <c r="V45" i="155"/>
  <c r="V43" i="155"/>
  <c r="V41" i="155"/>
  <c r="V39" i="155"/>
  <c r="V37" i="155"/>
  <c r="V35" i="155"/>
  <c r="V33" i="155"/>
  <c r="V31" i="155"/>
  <c r="V29" i="155"/>
  <c r="V27" i="155"/>
  <c r="V25" i="155"/>
  <c r="V23" i="155"/>
  <c r="V21" i="155"/>
  <c r="V19" i="155"/>
  <c r="V17" i="155"/>
  <c r="V15" i="155"/>
  <c r="V13" i="155"/>
  <c r="V11" i="155"/>
  <c r="V9" i="155"/>
  <c r="AE6" i="167"/>
  <c r="AE7" i="167"/>
  <c r="AE8" i="167"/>
  <c r="AE9" i="167"/>
  <c r="AE10" i="167"/>
  <c r="AE11" i="167"/>
  <c r="AE12" i="167"/>
  <c r="AE13" i="167"/>
  <c r="AE14" i="167"/>
  <c r="AE15" i="167"/>
  <c r="AE16" i="167"/>
  <c r="AE17" i="167"/>
  <c r="AE18" i="167"/>
  <c r="AE19" i="167"/>
  <c r="AE20" i="167"/>
  <c r="AE21" i="167"/>
  <c r="AE22" i="167"/>
  <c r="AE23" i="167"/>
  <c r="AE24" i="167"/>
  <c r="AE25" i="167"/>
  <c r="AE26" i="167"/>
  <c r="AE27" i="167"/>
  <c r="AE28" i="167"/>
  <c r="AE29" i="167"/>
  <c r="AE30" i="167"/>
  <c r="AE31" i="167"/>
  <c r="AE32" i="167"/>
  <c r="AE33" i="167"/>
  <c r="AE34" i="167"/>
  <c r="AE35" i="167"/>
  <c r="AE36" i="167"/>
  <c r="AE37" i="167"/>
  <c r="AE38" i="167"/>
  <c r="AE39" i="167"/>
  <c r="AE40" i="167"/>
  <c r="AE41" i="167"/>
  <c r="AE42" i="167"/>
  <c r="AE43" i="167"/>
  <c r="AE44" i="167"/>
  <c r="AE45" i="167"/>
  <c r="AE46" i="167"/>
  <c r="AE47" i="167"/>
  <c r="AE48" i="167"/>
  <c r="AE49" i="167"/>
  <c r="AE50" i="167"/>
  <c r="AE51" i="167"/>
  <c r="AE52" i="167"/>
  <c r="AE53" i="167"/>
  <c r="AE54" i="167"/>
  <c r="AE55" i="167"/>
  <c r="AE56" i="167"/>
  <c r="AE57" i="167"/>
  <c r="AE58" i="167"/>
  <c r="AE59" i="167"/>
  <c r="AE60" i="167"/>
  <c r="AE61" i="167"/>
  <c r="AE62" i="167"/>
  <c r="AE63" i="167"/>
  <c r="AE64" i="167"/>
  <c r="AE65" i="167"/>
  <c r="AE66" i="167"/>
  <c r="AE67" i="167"/>
  <c r="AE68" i="167"/>
  <c r="AE69" i="167"/>
  <c r="AE70" i="167"/>
  <c r="AE71" i="167"/>
  <c r="AE72" i="167"/>
  <c r="AE73" i="167"/>
  <c r="AE74" i="167"/>
  <c r="AE75" i="167"/>
  <c r="AE76" i="167"/>
  <c r="AE77" i="167"/>
  <c r="AE78" i="167"/>
  <c r="AE79" i="167"/>
  <c r="AE80" i="167"/>
  <c r="AE81" i="167"/>
  <c r="AE82" i="167"/>
  <c r="AE83" i="167"/>
  <c r="AE84" i="167"/>
  <c r="AE85" i="167"/>
  <c r="AE86" i="167"/>
  <c r="AE87" i="167"/>
  <c r="AE88" i="167"/>
  <c r="AE89" i="167"/>
  <c r="AE90" i="167"/>
  <c r="AE91" i="167"/>
  <c r="AE92" i="167"/>
  <c r="AE93" i="167"/>
  <c r="AE94" i="167"/>
  <c r="AE95" i="167"/>
  <c r="AE96" i="167"/>
  <c r="AE97" i="167"/>
  <c r="AE98" i="167"/>
  <c r="AE99" i="167"/>
  <c r="AE100" i="167"/>
  <c r="AE101" i="167"/>
  <c r="AE102" i="167"/>
  <c r="AE103" i="167"/>
  <c r="AE104" i="167"/>
  <c r="AE105" i="167"/>
  <c r="AE106" i="167"/>
  <c r="AE107" i="167"/>
  <c r="AE108" i="167"/>
  <c r="AE5" i="167"/>
  <c r="AE4" i="167"/>
  <c r="AD5" i="167"/>
  <c r="AD6" i="167" s="1"/>
  <c r="AD7" i="167" s="1"/>
  <c r="AD8" i="167" s="1"/>
  <c r="AD9" i="167" s="1"/>
  <c r="AD10" i="167" s="1"/>
  <c r="AD11" i="167" s="1"/>
  <c r="AD12" i="167" s="1"/>
  <c r="AD13" i="167" s="1"/>
  <c r="AD14" i="167" s="1"/>
  <c r="AD15" i="167" s="1"/>
  <c r="AD16" i="167" s="1"/>
  <c r="AD17" i="167" s="1"/>
  <c r="AD18" i="167" s="1"/>
  <c r="AD19" i="167" s="1"/>
  <c r="AD20" i="167" s="1"/>
  <c r="AD21" i="167" s="1"/>
  <c r="AD22" i="167" s="1"/>
  <c r="AD23" i="167" s="1"/>
  <c r="AD24" i="167" s="1"/>
  <c r="AD25" i="167" s="1"/>
  <c r="AD26" i="167" s="1"/>
  <c r="AD27" i="167" s="1"/>
  <c r="AD28" i="167" s="1"/>
  <c r="AD29" i="167" s="1"/>
  <c r="AD30" i="167" s="1"/>
  <c r="AD31" i="167" s="1"/>
  <c r="AD32" i="167" s="1"/>
  <c r="AD33" i="167" s="1"/>
  <c r="AD34" i="167" s="1"/>
  <c r="AD35" i="167" s="1"/>
  <c r="AD36" i="167" s="1"/>
  <c r="AD37" i="167" s="1"/>
  <c r="AD38" i="167" s="1"/>
  <c r="AD39" i="167" s="1"/>
  <c r="AD40" i="167" s="1"/>
  <c r="AD41" i="167" s="1"/>
  <c r="AD42" i="167" s="1"/>
  <c r="AD43" i="167" s="1"/>
  <c r="AD44" i="167" s="1"/>
  <c r="AD45" i="167" s="1"/>
  <c r="AD46" i="167" s="1"/>
  <c r="AD47" i="167" s="1"/>
  <c r="AD48" i="167" s="1"/>
  <c r="AD49" i="167" s="1"/>
  <c r="AD50" i="167" s="1"/>
  <c r="AD51" i="167" s="1"/>
  <c r="AD52" i="167" s="1"/>
  <c r="AD53" i="167" s="1"/>
  <c r="AD54" i="167" s="1"/>
  <c r="AD55" i="167" s="1"/>
  <c r="AD56" i="167" s="1"/>
  <c r="AD57" i="167" s="1"/>
  <c r="AD58" i="167" s="1"/>
  <c r="AD59" i="167" s="1"/>
  <c r="AD60" i="167" s="1"/>
  <c r="AD61" i="167" s="1"/>
  <c r="AD62" i="167" s="1"/>
  <c r="AD63" i="167" s="1"/>
  <c r="AD64" i="167" s="1"/>
  <c r="AD65" i="167" s="1"/>
  <c r="AD66" i="167" s="1"/>
  <c r="AD67" i="167" s="1"/>
  <c r="AD68" i="167" s="1"/>
  <c r="AD69" i="167" s="1"/>
  <c r="AD70" i="167" s="1"/>
  <c r="AD71" i="167" s="1"/>
  <c r="AD72" i="167" s="1"/>
  <c r="AD73" i="167" s="1"/>
  <c r="AD74" i="167" s="1"/>
  <c r="AD75" i="167" s="1"/>
  <c r="AD76" i="167" s="1"/>
  <c r="AD77" i="167" s="1"/>
  <c r="AD78" i="167" s="1"/>
  <c r="AD79" i="167" s="1"/>
  <c r="AD80" i="167" s="1"/>
  <c r="AD81" i="167" s="1"/>
  <c r="AD82" i="167" s="1"/>
  <c r="AD83" i="167" s="1"/>
  <c r="AD84" i="167" s="1"/>
  <c r="AD85" i="167" s="1"/>
  <c r="AD86" i="167" s="1"/>
  <c r="AD87" i="167" s="1"/>
  <c r="AD88" i="167" s="1"/>
  <c r="AD89" i="167" s="1"/>
  <c r="AD90" i="167" s="1"/>
  <c r="AD91" i="167" s="1"/>
  <c r="AD92" i="167" s="1"/>
  <c r="AD93" i="167" s="1"/>
  <c r="AD94" i="167" s="1"/>
  <c r="AD95" i="167" s="1"/>
  <c r="AD96" i="167" s="1"/>
  <c r="AD97" i="167" s="1"/>
  <c r="AD98" i="167" s="1"/>
  <c r="AD99" i="167" s="1"/>
  <c r="AD100" i="167" s="1"/>
  <c r="AD101" i="167" s="1"/>
  <c r="AD102" i="167" s="1"/>
  <c r="AD103" i="167" s="1"/>
  <c r="AD104" i="167" s="1"/>
  <c r="AD105" i="167" s="1"/>
  <c r="AD106" i="167" s="1"/>
  <c r="AD107" i="167" s="1"/>
  <c r="AD108" i="167" s="1"/>
  <c r="AD109" i="167" s="1"/>
  <c r="AD110" i="167" s="1"/>
  <c r="AD111" i="167" s="1"/>
  <c r="AD112" i="167" s="1"/>
  <c r="AD113" i="167" s="1"/>
  <c r="X5" i="167"/>
  <c r="W7" i="167"/>
  <c r="W15" i="167"/>
  <c r="W23" i="167"/>
  <c r="W31" i="167"/>
  <c r="W39" i="167"/>
  <c r="W47" i="167"/>
  <c r="W55" i="167"/>
  <c r="W63" i="167"/>
  <c r="W71" i="167"/>
  <c r="W79" i="167"/>
  <c r="W87" i="167"/>
  <c r="W95" i="167"/>
  <c r="W103" i="167"/>
  <c r="X4" i="167"/>
  <c r="V4" i="167"/>
  <c r="L16" i="167"/>
  <c r="L17" i="167" s="1"/>
  <c r="L18" i="167" s="1"/>
  <c r="L19" i="167" s="1"/>
  <c r="I6" i="167"/>
  <c r="E5" i="167"/>
  <c r="W5" i="167" s="1"/>
  <c r="Y5" i="167" s="1"/>
  <c r="E6" i="167"/>
  <c r="E7" i="167"/>
  <c r="E8" i="167"/>
  <c r="W8" i="167" s="1"/>
  <c r="E9" i="167"/>
  <c r="W9" i="167" s="1"/>
  <c r="E10" i="167"/>
  <c r="W10" i="167" s="1"/>
  <c r="E11" i="167"/>
  <c r="W11" i="167" s="1"/>
  <c r="E12" i="167"/>
  <c r="W12" i="167" s="1"/>
  <c r="E13" i="167"/>
  <c r="W13" i="167" s="1"/>
  <c r="E14" i="167"/>
  <c r="W14" i="167" s="1"/>
  <c r="E15" i="167"/>
  <c r="E16" i="167"/>
  <c r="W16" i="167" s="1"/>
  <c r="E17" i="167"/>
  <c r="W17" i="167" s="1"/>
  <c r="E18" i="167"/>
  <c r="W18" i="167" s="1"/>
  <c r="E19" i="167"/>
  <c r="W19" i="167" s="1"/>
  <c r="E20" i="167"/>
  <c r="W20" i="167" s="1"/>
  <c r="E21" i="167"/>
  <c r="W21" i="167" s="1"/>
  <c r="E22" i="167"/>
  <c r="W22" i="167" s="1"/>
  <c r="E23" i="167"/>
  <c r="E24" i="167"/>
  <c r="W24" i="167" s="1"/>
  <c r="E25" i="167"/>
  <c r="W25" i="167" s="1"/>
  <c r="E26" i="167"/>
  <c r="W26" i="167" s="1"/>
  <c r="E27" i="167"/>
  <c r="W27" i="167" s="1"/>
  <c r="E28" i="167"/>
  <c r="W28" i="167" s="1"/>
  <c r="E29" i="167"/>
  <c r="W29" i="167" s="1"/>
  <c r="E30" i="167"/>
  <c r="W30" i="167" s="1"/>
  <c r="E31" i="167"/>
  <c r="E32" i="167"/>
  <c r="W32" i="167" s="1"/>
  <c r="E33" i="167"/>
  <c r="W33" i="167" s="1"/>
  <c r="E34" i="167"/>
  <c r="W34" i="167" s="1"/>
  <c r="E35" i="167"/>
  <c r="W35" i="167" s="1"/>
  <c r="E36" i="167"/>
  <c r="W36" i="167" s="1"/>
  <c r="E37" i="167"/>
  <c r="W37" i="167" s="1"/>
  <c r="E38" i="167"/>
  <c r="W38" i="167" s="1"/>
  <c r="E39" i="167"/>
  <c r="E40" i="167"/>
  <c r="W40" i="167" s="1"/>
  <c r="E41" i="167"/>
  <c r="W41" i="167" s="1"/>
  <c r="E42" i="167"/>
  <c r="W42" i="167" s="1"/>
  <c r="E43" i="167"/>
  <c r="W43" i="167" s="1"/>
  <c r="E44" i="167"/>
  <c r="W44" i="167" s="1"/>
  <c r="E45" i="167"/>
  <c r="W45" i="167" s="1"/>
  <c r="E46" i="167"/>
  <c r="W46" i="167" s="1"/>
  <c r="E47" i="167"/>
  <c r="E48" i="167"/>
  <c r="W48" i="167" s="1"/>
  <c r="E49" i="167"/>
  <c r="W49" i="167" s="1"/>
  <c r="E50" i="167"/>
  <c r="W50" i="167" s="1"/>
  <c r="E51" i="167"/>
  <c r="W51" i="167" s="1"/>
  <c r="E52" i="167"/>
  <c r="W52" i="167" s="1"/>
  <c r="E53" i="167"/>
  <c r="W53" i="167" s="1"/>
  <c r="E54" i="167"/>
  <c r="W54" i="167" s="1"/>
  <c r="E55" i="167"/>
  <c r="E56" i="167"/>
  <c r="W56" i="167" s="1"/>
  <c r="E57" i="167"/>
  <c r="W57" i="167" s="1"/>
  <c r="E58" i="167"/>
  <c r="W58" i="167" s="1"/>
  <c r="E59" i="167"/>
  <c r="W59" i="167" s="1"/>
  <c r="E60" i="167"/>
  <c r="W60" i="167" s="1"/>
  <c r="E61" i="167"/>
  <c r="W61" i="167" s="1"/>
  <c r="E62" i="167"/>
  <c r="W62" i="167" s="1"/>
  <c r="E63" i="167"/>
  <c r="E64" i="167"/>
  <c r="W64" i="167" s="1"/>
  <c r="E65" i="167"/>
  <c r="W65" i="167" s="1"/>
  <c r="E66" i="167"/>
  <c r="W66" i="167" s="1"/>
  <c r="E67" i="167"/>
  <c r="W67" i="167" s="1"/>
  <c r="E68" i="167"/>
  <c r="W68" i="167" s="1"/>
  <c r="E69" i="167"/>
  <c r="W69" i="167" s="1"/>
  <c r="E70" i="167"/>
  <c r="W70" i="167" s="1"/>
  <c r="E71" i="167"/>
  <c r="E72" i="167"/>
  <c r="W72" i="167" s="1"/>
  <c r="E73" i="167"/>
  <c r="W73" i="167" s="1"/>
  <c r="E74" i="167"/>
  <c r="W74" i="167" s="1"/>
  <c r="E75" i="167"/>
  <c r="W75" i="167" s="1"/>
  <c r="E76" i="167"/>
  <c r="W76" i="167" s="1"/>
  <c r="E77" i="167"/>
  <c r="W77" i="167" s="1"/>
  <c r="E78" i="167"/>
  <c r="W78" i="167" s="1"/>
  <c r="E79" i="167"/>
  <c r="E80" i="167"/>
  <c r="W80" i="167" s="1"/>
  <c r="E81" i="167"/>
  <c r="W81" i="167" s="1"/>
  <c r="E82" i="167"/>
  <c r="W82" i="167" s="1"/>
  <c r="E83" i="167"/>
  <c r="W83" i="167" s="1"/>
  <c r="E84" i="167"/>
  <c r="W84" i="167" s="1"/>
  <c r="E85" i="167"/>
  <c r="W85" i="167" s="1"/>
  <c r="E86" i="167"/>
  <c r="W86" i="167" s="1"/>
  <c r="E87" i="167"/>
  <c r="E88" i="167"/>
  <c r="W88" i="167" s="1"/>
  <c r="E89" i="167"/>
  <c r="W89" i="167" s="1"/>
  <c r="E90" i="167"/>
  <c r="W90" i="167" s="1"/>
  <c r="E91" i="167"/>
  <c r="W91" i="167" s="1"/>
  <c r="E92" i="167"/>
  <c r="W92" i="167" s="1"/>
  <c r="E93" i="167"/>
  <c r="W93" i="167" s="1"/>
  <c r="E94" i="167"/>
  <c r="W94" i="167" s="1"/>
  <c r="E95" i="167"/>
  <c r="E96" i="167"/>
  <c r="W96" i="167" s="1"/>
  <c r="E97" i="167"/>
  <c r="W97" i="167" s="1"/>
  <c r="E98" i="167"/>
  <c r="W98" i="167" s="1"/>
  <c r="E99" i="167"/>
  <c r="W99" i="167" s="1"/>
  <c r="E100" i="167"/>
  <c r="W100" i="167" s="1"/>
  <c r="E101" i="167"/>
  <c r="W101" i="167" s="1"/>
  <c r="E102" i="167"/>
  <c r="W102" i="167" s="1"/>
  <c r="E103" i="167"/>
  <c r="E104" i="167"/>
  <c r="W104" i="167" s="1"/>
  <c r="E105" i="167"/>
  <c r="W105" i="167" s="1"/>
  <c r="E106" i="167"/>
  <c r="W106" i="167" s="1"/>
  <c r="E4" i="167"/>
  <c r="W4" i="167" s="1"/>
  <c r="Y4" i="167" s="1"/>
  <c r="H5" i="167"/>
  <c r="D5" i="167"/>
  <c r="A5" i="167"/>
  <c r="A6" i="167" s="1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A43" i="167" s="1"/>
  <c r="A44" i="167" s="1"/>
  <c r="A45" i="167" s="1"/>
  <c r="A46" i="167" s="1"/>
  <c r="A47" i="167" s="1"/>
  <c r="A48" i="167" s="1"/>
  <c r="A49" i="167" s="1"/>
  <c r="A50" i="167" s="1"/>
  <c r="A51" i="167" s="1"/>
  <c r="A52" i="167" s="1"/>
  <c r="A53" i="167" s="1"/>
  <c r="A54" i="167" s="1"/>
  <c r="A55" i="167" s="1"/>
  <c r="A56" i="167" s="1"/>
  <c r="A57" i="167" s="1"/>
  <c r="A58" i="167" s="1"/>
  <c r="A59" i="167" s="1"/>
  <c r="A60" i="167" s="1"/>
  <c r="A61" i="167" s="1"/>
  <c r="A62" i="167" s="1"/>
  <c r="A63" i="167" s="1"/>
  <c r="A64" i="167" s="1"/>
  <c r="A65" i="167" s="1"/>
  <c r="A66" i="167" s="1"/>
  <c r="A67" i="167" s="1"/>
  <c r="A68" i="167" s="1"/>
  <c r="A69" i="167" s="1"/>
  <c r="A70" i="167" s="1"/>
  <c r="A71" i="167" s="1"/>
  <c r="A72" i="167" s="1"/>
  <c r="A73" i="167" s="1"/>
  <c r="A74" i="167" s="1"/>
  <c r="A75" i="167" s="1"/>
  <c r="A76" i="167" s="1"/>
  <c r="A77" i="167" s="1"/>
  <c r="A78" i="167" s="1"/>
  <c r="A79" i="167" s="1"/>
  <c r="A80" i="167" s="1"/>
  <c r="A81" i="167" s="1"/>
  <c r="A82" i="167" s="1"/>
  <c r="A83" i="167" s="1"/>
  <c r="A84" i="167" s="1"/>
  <c r="A85" i="167" s="1"/>
  <c r="A86" i="167" s="1"/>
  <c r="A87" i="167" s="1"/>
  <c r="A88" i="167" s="1"/>
  <c r="A89" i="167" s="1"/>
  <c r="A90" i="167" s="1"/>
  <c r="A91" i="167" s="1"/>
  <c r="A92" i="167" s="1"/>
  <c r="A93" i="167" s="1"/>
  <c r="A94" i="167" s="1"/>
  <c r="A95" i="167" s="1"/>
  <c r="A96" i="167" s="1"/>
  <c r="A97" i="167" s="1"/>
  <c r="A98" i="167" s="1"/>
  <c r="A99" i="167" s="1"/>
  <c r="A100" i="167" s="1"/>
  <c r="A101" i="167" s="1"/>
  <c r="A102" i="167" s="1"/>
  <c r="A103" i="167" s="1"/>
  <c r="A104" i="167" s="1"/>
  <c r="A105" i="167" s="1"/>
  <c r="A106" i="167" s="1"/>
  <c r="A107" i="167" s="1"/>
  <c r="A108" i="167" s="1"/>
  <c r="AE6" i="166"/>
  <c r="AE7" i="166"/>
  <c r="AE8" i="166"/>
  <c r="AE9" i="166"/>
  <c r="AE10" i="166"/>
  <c r="AE11" i="166"/>
  <c r="AE12" i="166"/>
  <c r="AE13" i="166"/>
  <c r="AE14" i="166"/>
  <c r="AE15" i="166"/>
  <c r="AE16" i="166"/>
  <c r="AE17" i="166"/>
  <c r="AE18" i="166"/>
  <c r="AE19" i="166"/>
  <c r="AE20" i="166"/>
  <c r="AE21" i="166"/>
  <c r="AE22" i="166"/>
  <c r="AE23" i="166"/>
  <c r="AE24" i="166"/>
  <c r="AE25" i="166"/>
  <c r="AE26" i="166"/>
  <c r="AE27" i="166"/>
  <c r="AE28" i="166"/>
  <c r="AE29" i="166"/>
  <c r="AE30" i="166"/>
  <c r="AE31" i="166"/>
  <c r="AE32" i="166"/>
  <c r="AE33" i="166"/>
  <c r="AE34" i="166"/>
  <c r="AE35" i="166"/>
  <c r="AE36" i="166"/>
  <c r="AE37" i="166"/>
  <c r="AE38" i="166"/>
  <c r="AE39" i="166"/>
  <c r="AE40" i="166"/>
  <c r="AE41" i="166"/>
  <c r="AE42" i="166"/>
  <c r="AE43" i="166"/>
  <c r="AE44" i="166"/>
  <c r="AE45" i="166"/>
  <c r="AE46" i="166"/>
  <c r="AE47" i="166"/>
  <c r="AE48" i="166"/>
  <c r="AE49" i="166"/>
  <c r="AE50" i="166"/>
  <c r="AE51" i="166"/>
  <c r="AE52" i="166"/>
  <c r="AE53" i="166"/>
  <c r="AE54" i="166"/>
  <c r="AE55" i="166"/>
  <c r="AE56" i="166"/>
  <c r="AE57" i="166"/>
  <c r="AE58" i="166"/>
  <c r="AE59" i="166"/>
  <c r="AE60" i="166"/>
  <c r="AE61" i="166"/>
  <c r="AE62" i="166"/>
  <c r="AE63" i="166"/>
  <c r="AE64" i="166"/>
  <c r="AE65" i="166"/>
  <c r="AE66" i="166"/>
  <c r="AE67" i="166"/>
  <c r="AE68" i="166"/>
  <c r="AE69" i="166"/>
  <c r="AE70" i="166"/>
  <c r="AE71" i="166"/>
  <c r="AE72" i="166"/>
  <c r="AE73" i="166"/>
  <c r="AE74" i="166"/>
  <c r="AE75" i="166"/>
  <c r="AE76" i="166"/>
  <c r="AE77" i="166"/>
  <c r="AE78" i="166"/>
  <c r="AE79" i="166"/>
  <c r="AE80" i="166"/>
  <c r="AE81" i="166"/>
  <c r="AE82" i="166"/>
  <c r="AE83" i="166"/>
  <c r="AE84" i="166"/>
  <c r="AE85" i="166"/>
  <c r="AE86" i="166"/>
  <c r="AE87" i="166"/>
  <c r="AE88" i="166"/>
  <c r="AE89" i="166"/>
  <c r="AE90" i="166"/>
  <c r="AE91" i="166"/>
  <c r="AE92" i="166"/>
  <c r="AE93" i="166"/>
  <c r="AE94" i="166"/>
  <c r="AE95" i="166"/>
  <c r="AE96" i="166"/>
  <c r="AE97" i="166"/>
  <c r="AE98" i="166"/>
  <c r="AE99" i="166"/>
  <c r="AE100" i="166"/>
  <c r="AE101" i="166"/>
  <c r="AE102" i="166"/>
  <c r="AE103" i="166"/>
  <c r="AE104" i="166"/>
  <c r="AE105" i="166"/>
  <c r="AE106" i="166"/>
  <c r="AE107" i="166"/>
  <c r="AE108" i="166"/>
  <c r="AE5" i="166"/>
  <c r="AE4" i="166"/>
  <c r="AD5" i="166"/>
  <c r="AD6" i="166" s="1"/>
  <c r="AD7" i="166" s="1"/>
  <c r="AD8" i="166" s="1"/>
  <c r="AD9" i="166" s="1"/>
  <c r="AD10" i="166" s="1"/>
  <c r="AD11" i="166" s="1"/>
  <c r="AD12" i="166" s="1"/>
  <c r="AD13" i="166" s="1"/>
  <c r="AD14" i="166" s="1"/>
  <c r="AD15" i="166" s="1"/>
  <c r="AD16" i="166" s="1"/>
  <c r="AD17" i="166" s="1"/>
  <c r="AD18" i="166" s="1"/>
  <c r="AD19" i="166" s="1"/>
  <c r="AD20" i="166" s="1"/>
  <c r="AD21" i="166" s="1"/>
  <c r="AD22" i="166" s="1"/>
  <c r="AD23" i="166" s="1"/>
  <c r="AD24" i="166" s="1"/>
  <c r="AD25" i="166" s="1"/>
  <c r="AD26" i="166" s="1"/>
  <c r="AD27" i="166" s="1"/>
  <c r="AD28" i="166" s="1"/>
  <c r="AD29" i="166" s="1"/>
  <c r="AD30" i="166" s="1"/>
  <c r="AD31" i="166" s="1"/>
  <c r="AD32" i="166" s="1"/>
  <c r="AD33" i="166" s="1"/>
  <c r="AD34" i="166" s="1"/>
  <c r="AD35" i="166" s="1"/>
  <c r="AD36" i="166" s="1"/>
  <c r="AD37" i="166" s="1"/>
  <c r="AD38" i="166" s="1"/>
  <c r="AD39" i="166" s="1"/>
  <c r="AD40" i="166" s="1"/>
  <c r="AD41" i="166" s="1"/>
  <c r="AD42" i="166" s="1"/>
  <c r="AD43" i="166" s="1"/>
  <c r="AD44" i="166" s="1"/>
  <c r="AD45" i="166" s="1"/>
  <c r="AD46" i="166" s="1"/>
  <c r="AD47" i="166" s="1"/>
  <c r="AD48" i="166" s="1"/>
  <c r="AD49" i="166" s="1"/>
  <c r="AD50" i="166" s="1"/>
  <c r="AD51" i="166" s="1"/>
  <c r="AD52" i="166" s="1"/>
  <c r="AD53" i="166" s="1"/>
  <c r="AD54" i="166" s="1"/>
  <c r="AD55" i="166" s="1"/>
  <c r="AD56" i="166" s="1"/>
  <c r="AD57" i="166" s="1"/>
  <c r="AD58" i="166" s="1"/>
  <c r="AD59" i="166" s="1"/>
  <c r="AD60" i="166" s="1"/>
  <c r="AD61" i="166" s="1"/>
  <c r="AD62" i="166" s="1"/>
  <c r="AD63" i="166" s="1"/>
  <c r="AD64" i="166" s="1"/>
  <c r="AD65" i="166" s="1"/>
  <c r="AD66" i="166" s="1"/>
  <c r="AD67" i="166" s="1"/>
  <c r="AD68" i="166" s="1"/>
  <c r="AD69" i="166" s="1"/>
  <c r="AD70" i="166" s="1"/>
  <c r="AD71" i="166" s="1"/>
  <c r="AD72" i="166" s="1"/>
  <c r="AD73" i="166" s="1"/>
  <c r="AD74" i="166" s="1"/>
  <c r="AD75" i="166" s="1"/>
  <c r="AD76" i="166" s="1"/>
  <c r="AD77" i="166" s="1"/>
  <c r="AD78" i="166" s="1"/>
  <c r="AD79" i="166" s="1"/>
  <c r="AD80" i="166" s="1"/>
  <c r="AD81" i="166" s="1"/>
  <c r="AD82" i="166" s="1"/>
  <c r="AD83" i="166" s="1"/>
  <c r="AD84" i="166" s="1"/>
  <c r="AD85" i="166" s="1"/>
  <c r="AD86" i="166" s="1"/>
  <c r="AD87" i="166" s="1"/>
  <c r="AD88" i="166" s="1"/>
  <c r="AD89" i="166" s="1"/>
  <c r="AD90" i="166" s="1"/>
  <c r="AD91" i="166" s="1"/>
  <c r="AD92" i="166" s="1"/>
  <c r="AD93" i="166" s="1"/>
  <c r="AD94" i="166" s="1"/>
  <c r="AD95" i="166" s="1"/>
  <c r="AD96" i="166" s="1"/>
  <c r="AD97" i="166" s="1"/>
  <c r="AD98" i="166" s="1"/>
  <c r="AD99" i="166" s="1"/>
  <c r="AD100" i="166" s="1"/>
  <c r="AD101" i="166" s="1"/>
  <c r="AD102" i="166" s="1"/>
  <c r="AD103" i="166" s="1"/>
  <c r="AD104" i="166" s="1"/>
  <c r="AD105" i="166" s="1"/>
  <c r="AD106" i="166" s="1"/>
  <c r="AD107" i="166" s="1"/>
  <c r="AD108" i="166" s="1"/>
  <c r="AD109" i="166" s="1"/>
  <c r="AD110" i="166" s="1"/>
  <c r="AD111" i="166" s="1"/>
  <c r="AD112" i="166" s="1"/>
  <c r="AD113" i="166" s="1"/>
  <c r="X5" i="166"/>
  <c r="W8" i="166"/>
  <c r="W32" i="166"/>
  <c r="W41" i="166"/>
  <c r="W48" i="166"/>
  <c r="W50" i="166"/>
  <c r="W56" i="166"/>
  <c r="W58" i="166"/>
  <c r="W64" i="166"/>
  <c r="W66" i="166"/>
  <c r="W72" i="166"/>
  <c r="W74" i="166"/>
  <c r="W80" i="166"/>
  <c r="W82" i="166"/>
  <c r="W88" i="166"/>
  <c r="W90" i="166"/>
  <c r="W96" i="166"/>
  <c r="W98" i="166"/>
  <c r="W104" i="166"/>
  <c r="W106" i="166"/>
  <c r="X4" i="166"/>
  <c r="V4" i="166"/>
  <c r="L16" i="166"/>
  <c r="L17" i="166" s="1"/>
  <c r="L18" i="166" s="1"/>
  <c r="L19" i="166" s="1"/>
  <c r="I6" i="166"/>
  <c r="E5" i="166"/>
  <c r="W5" i="166" s="1"/>
  <c r="Y5" i="166" s="1"/>
  <c r="E6" i="166"/>
  <c r="W6" i="166" s="1"/>
  <c r="E7" i="166"/>
  <c r="W7" i="166" s="1"/>
  <c r="E8" i="166"/>
  <c r="E9" i="166"/>
  <c r="W9" i="166" s="1"/>
  <c r="E10" i="166"/>
  <c r="W10" i="166" s="1"/>
  <c r="E11" i="166"/>
  <c r="W11" i="166" s="1"/>
  <c r="E12" i="166"/>
  <c r="W12" i="166" s="1"/>
  <c r="E13" i="166"/>
  <c r="W13" i="166" s="1"/>
  <c r="E14" i="166"/>
  <c r="W14" i="166" s="1"/>
  <c r="E15" i="166"/>
  <c r="W15" i="166" s="1"/>
  <c r="E16" i="166"/>
  <c r="W16" i="166" s="1"/>
  <c r="E17" i="166"/>
  <c r="W17" i="166" s="1"/>
  <c r="E18" i="166"/>
  <c r="W18" i="166" s="1"/>
  <c r="E19" i="166"/>
  <c r="W19" i="166" s="1"/>
  <c r="E20" i="166"/>
  <c r="W20" i="166" s="1"/>
  <c r="E21" i="166"/>
  <c r="W21" i="166" s="1"/>
  <c r="E22" i="166"/>
  <c r="W22" i="166" s="1"/>
  <c r="E23" i="166"/>
  <c r="W23" i="166" s="1"/>
  <c r="E24" i="166"/>
  <c r="W24" i="166" s="1"/>
  <c r="E25" i="166"/>
  <c r="W25" i="166" s="1"/>
  <c r="E26" i="166"/>
  <c r="W26" i="166" s="1"/>
  <c r="E27" i="166"/>
  <c r="W27" i="166" s="1"/>
  <c r="E28" i="166"/>
  <c r="W28" i="166" s="1"/>
  <c r="E29" i="166"/>
  <c r="W29" i="166" s="1"/>
  <c r="E30" i="166"/>
  <c r="W30" i="166" s="1"/>
  <c r="E31" i="166"/>
  <c r="W31" i="166" s="1"/>
  <c r="E32" i="166"/>
  <c r="E33" i="166"/>
  <c r="W33" i="166" s="1"/>
  <c r="E34" i="166"/>
  <c r="W34" i="166" s="1"/>
  <c r="E35" i="166"/>
  <c r="W35" i="166" s="1"/>
  <c r="E36" i="166"/>
  <c r="W36" i="166" s="1"/>
  <c r="E37" i="166"/>
  <c r="W37" i="166" s="1"/>
  <c r="E38" i="166"/>
  <c r="W38" i="166" s="1"/>
  <c r="E39" i="166"/>
  <c r="W39" i="166" s="1"/>
  <c r="E40" i="166"/>
  <c r="W40" i="166" s="1"/>
  <c r="E41" i="166"/>
  <c r="E42" i="166"/>
  <c r="W42" i="166" s="1"/>
  <c r="E43" i="166"/>
  <c r="W43" i="166" s="1"/>
  <c r="E44" i="166"/>
  <c r="W44" i="166" s="1"/>
  <c r="E45" i="166"/>
  <c r="W45" i="166" s="1"/>
  <c r="E46" i="166"/>
  <c r="W46" i="166" s="1"/>
  <c r="E47" i="166"/>
  <c r="W47" i="166" s="1"/>
  <c r="E48" i="166"/>
  <c r="E49" i="166"/>
  <c r="W49" i="166" s="1"/>
  <c r="E50" i="166"/>
  <c r="E51" i="166"/>
  <c r="W51" i="166" s="1"/>
  <c r="E52" i="166"/>
  <c r="W52" i="166" s="1"/>
  <c r="E53" i="166"/>
  <c r="W53" i="166" s="1"/>
  <c r="E54" i="166"/>
  <c r="W54" i="166" s="1"/>
  <c r="E55" i="166"/>
  <c r="W55" i="166" s="1"/>
  <c r="E56" i="166"/>
  <c r="E57" i="166"/>
  <c r="W57" i="166" s="1"/>
  <c r="E58" i="166"/>
  <c r="E59" i="166"/>
  <c r="W59" i="166" s="1"/>
  <c r="E60" i="166"/>
  <c r="W60" i="166" s="1"/>
  <c r="E61" i="166"/>
  <c r="W61" i="166" s="1"/>
  <c r="E62" i="166"/>
  <c r="W62" i="166" s="1"/>
  <c r="E63" i="166"/>
  <c r="W63" i="166" s="1"/>
  <c r="E64" i="166"/>
  <c r="E65" i="166"/>
  <c r="W65" i="166" s="1"/>
  <c r="E66" i="166"/>
  <c r="E67" i="166"/>
  <c r="W67" i="166" s="1"/>
  <c r="E68" i="166"/>
  <c r="W68" i="166" s="1"/>
  <c r="E69" i="166"/>
  <c r="W69" i="166" s="1"/>
  <c r="E70" i="166"/>
  <c r="W70" i="166" s="1"/>
  <c r="E71" i="166"/>
  <c r="W71" i="166" s="1"/>
  <c r="E72" i="166"/>
  <c r="E73" i="166"/>
  <c r="W73" i="166" s="1"/>
  <c r="E74" i="166"/>
  <c r="E75" i="166"/>
  <c r="W75" i="166" s="1"/>
  <c r="E76" i="166"/>
  <c r="W76" i="166" s="1"/>
  <c r="E77" i="166"/>
  <c r="W77" i="166" s="1"/>
  <c r="E78" i="166"/>
  <c r="W78" i="166" s="1"/>
  <c r="E79" i="166"/>
  <c r="W79" i="166" s="1"/>
  <c r="E80" i="166"/>
  <c r="E81" i="166"/>
  <c r="W81" i="166" s="1"/>
  <c r="E82" i="166"/>
  <c r="E83" i="166"/>
  <c r="W83" i="166" s="1"/>
  <c r="E84" i="166"/>
  <c r="W84" i="166" s="1"/>
  <c r="E85" i="166"/>
  <c r="W85" i="166" s="1"/>
  <c r="E86" i="166"/>
  <c r="W86" i="166" s="1"/>
  <c r="E87" i="166"/>
  <c r="W87" i="166" s="1"/>
  <c r="E88" i="166"/>
  <c r="E89" i="166"/>
  <c r="W89" i="166" s="1"/>
  <c r="E90" i="166"/>
  <c r="E91" i="166"/>
  <c r="W91" i="166" s="1"/>
  <c r="E92" i="166"/>
  <c r="W92" i="166" s="1"/>
  <c r="E93" i="166"/>
  <c r="W93" i="166" s="1"/>
  <c r="E94" i="166"/>
  <c r="W94" i="166" s="1"/>
  <c r="E95" i="166"/>
  <c r="W95" i="166" s="1"/>
  <c r="E96" i="166"/>
  <c r="E97" i="166"/>
  <c r="W97" i="166" s="1"/>
  <c r="E98" i="166"/>
  <c r="E99" i="166"/>
  <c r="W99" i="166" s="1"/>
  <c r="E100" i="166"/>
  <c r="W100" i="166" s="1"/>
  <c r="E101" i="166"/>
  <c r="W101" i="166" s="1"/>
  <c r="E102" i="166"/>
  <c r="W102" i="166" s="1"/>
  <c r="E103" i="166"/>
  <c r="W103" i="166" s="1"/>
  <c r="E104" i="166"/>
  <c r="E105" i="166"/>
  <c r="W105" i="166" s="1"/>
  <c r="E106" i="166"/>
  <c r="E107" i="166"/>
  <c r="W107" i="166" s="1"/>
  <c r="E4" i="166"/>
  <c r="W4" i="166" s="1"/>
  <c r="Y4" i="166" s="1"/>
  <c r="H5" i="166"/>
  <c r="D6" i="166"/>
  <c r="D5" i="166"/>
  <c r="V5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A43" i="166" s="1"/>
  <c r="A44" i="166" s="1"/>
  <c r="A45" i="166" s="1"/>
  <c r="A46" i="166" s="1"/>
  <c r="A47" i="166" s="1"/>
  <c r="A48" i="166" s="1"/>
  <c r="A49" i="166" s="1"/>
  <c r="A50" i="166" s="1"/>
  <c r="A51" i="166" s="1"/>
  <c r="A52" i="166" s="1"/>
  <c r="A53" i="166" s="1"/>
  <c r="A54" i="166" s="1"/>
  <c r="A55" i="166" s="1"/>
  <c r="A56" i="166" s="1"/>
  <c r="A57" i="166" s="1"/>
  <c r="A58" i="166" s="1"/>
  <c r="A59" i="166" s="1"/>
  <c r="A60" i="166" s="1"/>
  <c r="A61" i="166" s="1"/>
  <c r="A62" i="166" s="1"/>
  <c r="A63" i="166" s="1"/>
  <c r="A64" i="166" s="1"/>
  <c r="A65" i="166" s="1"/>
  <c r="A66" i="166" s="1"/>
  <c r="A67" i="166" s="1"/>
  <c r="A68" i="166" s="1"/>
  <c r="A69" i="166" s="1"/>
  <c r="A70" i="166" s="1"/>
  <c r="A71" i="166" s="1"/>
  <c r="A72" i="166" s="1"/>
  <c r="A73" i="166" s="1"/>
  <c r="A74" i="166" s="1"/>
  <c r="A75" i="166" s="1"/>
  <c r="A76" i="166" s="1"/>
  <c r="A77" i="166" s="1"/>
  <c r="A78" i="166" s="1"/>
  <c r="A79" i="166" s="1"/>
  <c r="A80" i="166" s="1"/>
  <c r="A81" i="166" s="1"/>
  <c r="A82" i="166" s="1"/>
  <c r="A83" i="166" s="1"/>
  <c r="A84" i="166" s="1"/>
  <c r="A85" i="166" s="1"/>
  <c r="A86" i="166" s="1"/>
  <c r="A87" i="166" s="1"/>
  <c r="A88" i="166" s="1"/>
  <c r="A89" i="166" s="1"/>
  <c r="A90" i="166" s="1"/>
  <c r="A91" i="166" s="1"/>
  <c r="A92" i="166" s="1"/>
  <c r="A93" i="166" s="1"/>
  <c r="A94" i="166" s="1"/>
  <c r="A95" i="166" s="1"/>
  <c r="A96" i="166" s="1"/>
  <c r="A97" i="166" s="1"/>
  <c r="A98" i="166" s="1"/>
  <c r="A99" i="166" s="1"/>
  <c r="A100" i="166" s="1"/>
  <c r="A101" i="166" s="1"/>
  <c r="A102" i="166" s="1"/>
  <c r="A103" i="166" s="1"/>
  <c r="A104" i="166" s="1"/>
  <c r="A105" i="166" s="1"/>
  <c r="A106" i="166" s="1"/>
  <c r="A107" i="166" s="1"/>
  <c r="A108" i="166" s="1"/>
  <c r="AE6" i="165"/>
  <c r="AE7" i="165"/>
  <c r="AE8" i="165"/>
  <c r="AE9" i="165"/>
  <c r="AE10" i="165"/>
  <c r="AE11" i="165"/>
  <c r="AE12" i="165"/>
  <c r="AE13" i="165"/>
  <c r="AE14" i="165"/>
  <c r="AE15" i="165"/>
  <c r="AE16" i="165"/>
  <c r="AE17" i="165"/>
  <c r="AE18" i="165"/>
  <c r="AE19" i="165"/>
  <c r="AE20" i="165"/>
  <c r="AE21" i="165"/>
  <c r="AE22" i="165"/>
  <c r="AE23" i="165"/>
  <c r="AE24" i="165"/>
  <c r="AE25" i="165"/>
  <c r="AE26" i="165"/>
  <c r="AE27" i="165"/>
  <c r="AE28" i="165"/>
  <c r="AE29" i="165"/>
  <c r="AE30" i="165"/>
  <c r="AE31" i="165"/>
  <c r="AE32" i="165"/>
  <c r="AE33" i="165"/>
  <c r="AE34" i="165"/>
  <c r="AE35" i="165"/>
  <c r="AE36" i="165"/>
  <c r="AE37" i="165"/>
  <c r="AE38" i="165"/>
  <c r="AE39" i="165"/>
  <c r="AE40" i="165"/>
  <c r="AE41" i="165"/>
  <c r="AE42" i="165"/>
  <c r="AE43" i="165"/>
  <c r="AE44" i="165"/>
  <c r="AE45" i="165"/>
  <c r="AE46" i="165"/>
  <c r="AE47" i="165"/>
  <c r="AE48" i="165"/>
  <c r="AE49" i="165"/>
  <c r="AE50" i="165"/>
  <c r="AE51" i="165"/>
  <c r="AE52" i="165"/>
  <c r="AE53" i="165"/>
  <c r="AE54" i="165"/>
  <c r="AE55" i="165"/>
  <c r="AE56" i="165"/>
  <c r="AE57" i="165"/>
  <c r="AE58" i="165"/>
  <c r="AE59" i="165"/>
  <c r="AE60" i="165"/>
  <c r="AE61" i="165"/>
  <c r="AE62" i="165"/>
  <c r="AE63" i="165"/>
  <c r="AE64" i="165"/>
  <c r="AE65" i="165"/>
  <c r="AE66" i="165"/>
  <c r="AE67" i="165"/>
  <c r="AE68" i="165"/>
  <c r="AE69" i="165"/>
  <c r="AE70" i="165"/>
  <c r="AE71" i="165"/>
  <c r="AE72" i="165"/>
  <c r="AE73" i="165"/>
  <c r="AE74" i="165"/>
  <c r="AE75" i="165"/>
  <c r="AE76" i="165"/>
  <c r="AE77" i="165"/>
  <c r="AE78" i="165"/>
  <c r="AE79" i="165"/>
  <c r="AE80" i="165"/>
  <c r="AE81" i="165"/>
  <c r="AE82" i="165"/>
  <c r="AE83" i="165"/>
  <c r="AE84" i="165"/>
  <c r="AE85" i="165"/>
  <c r="AE86" i="165"/>
  <c r="AE87" i="165"/>
  <c r="AE88" i="165"/>
  <c r="AE89" i="165"/>
  <c r="AE90" i="165"/>
  <c r="AE91" i="165"/>
  <c r="AE92" i="165"/>
  <c r="AE93" i="165"/>
  <c r="AE94" i="165"/>
  <c r="AE95" i="165"/>
  <c r="AE96" i="165"/>
  <c r="AE97" i="165"/>
  <c r="AE98" i="165"/>
  <c r="AE99" i="165"/>
  <c r="AE100" i="165"/>
  <c r="AE101" i="165"/>
  <c r="AE102" i="165"/>
  <c r="AE103" i="165"/>
  <c r="AE104" i="165"/>
  <c r="AE105" i="165"/>
  <c r="AE106" i="165"/>
  <c r="AE107" i="165"/>
  <c r="AE108" i="165"/>
  <c r="AE5" i="165"/>
  <c r="AE4" i="165"/>
  <c r="AD5" i="165"/>
  <c r="AD6" i="165" s="1"/>
  <c r="AD7" i="165" s="1"/>
  <c r="AD8" i="165" s="1"/>
  <c r="AD9" i="165" s="1"/>
  <c r="AD10" i="165" s="1"/>
  <c r="AD11" i="165" s="1"/>
  <c r="AD12" i="165" s="1"/>
  <c r="AD13" i="165" s="1"/>
  <c r="AD14" i="165" s="1"/>
  <c r="AD15" i="165" s="1"/>
  <c r="AD16" i="165" s="1"/>
  <c r="AD17" i="165" s="1"/>
  <c r="AD18" i="165" s="1"/>
  <c r="AD19" i="165" s="1"/>
  <c r="AD20" i="165" s="1"/>
  <c r="AD21" i="165" s="1"/>
  <c r="AD22" i="165" s="1"/>
  <c r="AD23" i="165" s="1"/>
  <c r="AD24" i="165" s="1"/>
  <c r="AD25" i="165" s="1"/>
  <c r="AD26" i="165" s="1"/>
  <c r="AD27" i="165" s="1"/>
  <c r="AD28" i="165" s="1"/>
  <c r="AD29" i="165" s="1"/>
  <c r="AD30" i="165" s="1"/>
  <c r="AD31" i="165" s="1"/>
  <c r="AD32" i="165" s="1"/>
  <c r="AD33" i="165" s="1"/>
  <c r="AD34" i="165" s="1"/>
  <c r="AD35" i="165" s="1"/>
  <c r="AD36" i="165" s="1"/>
  <c r="AD37" i="165" s="1"/>
  <c r="AD38" i="165" s="1"/>
  <c r="AD39" i="165" s="1"/>
  <c r="AD40" i="165" s="1"/>
  <c r="AD41" i="165" s="1"/>
  <c r="AD42" i="165" s="1"/>
  <c r="AD43" i="165" s="1"/>
  <c r="AD44" i="165" s="1"/>
  <c r="AD45" i="165" s="1"/>
  <c r="AD46" i="165" s="1"/>
  <c r="AD47" i="165" s="1"/>
  <c r="AD48" i="165" s="1"/>
  <c r="AD49" i="165" s="1"/>
  <c r="AD50" i="165" s="1"/>
  <c r="AD51" i="165" s="1"/>
  <c r="AD52" i="165" s="1"/>
  <c r="AD53" i="165" s="1"/>
  <c r="AD54" i="165" s="1"/>
  <c r="AD55" i="165" s="1"/>
  <c r="AD56" i="165" s="1"/>
  <c r="AD57" i="165" s="1"/>
  <c r="AD58" i="165" s="1"/>
  <c r="AD59" i="165" s="1"/>
  <c r="AD60" i="165" s="1"/>
  <c r="AD61" i="165" s="1"/>
  <c r="AD62" i="165" s="1"/>
  <c r="AD63" i="165" s="1"/>
  <c r="AD64" i="165" s="1"/>
  <c r="AD65" i="165" s="1"/>
  <c r="AD66" i="165" s="1"/>
  <c r="AD67" i="165" s="1"/>
  <c r="AD68" i="165" s="1"/>
  <c r="AD69" i="165" s="1"/>
  <c r="AD70" i="165" s="1"/>
  <c r="AD71" i="165" s="1"/>
  <c r="AD72" i="165" s="1"/>
  <c r="AD73" i="165" s="1"/>
  <c r="AD74" i="165" s="1"/>
  <c r="AD75" i="165" s="1"/>
  <c r="AD76" i="165" s="1"/>
  <c r="AD77" i="165" s="1"/>
  <c r="AD78" i="165" s="1"/>
  <c r="AD79" i="165" s="1"/>
  <c r="AD80" i="165" s="1"/>
  <c r="AD81" i="165" s="1"/>
  <c r="AD82" i="165" s="1"/>
  <c r="AD83" i="165" s="1"/>
  <c r="AD84" i="165" s="1"/>
  <c r="AD85" i="165" s="1"/>
  <c r="AD86" i="165" s="1"/>
  <c r="AD87" i="165" s="1"/>
  <c r="AD88" i="165" s="1"/>
  <c r="AD89" i="165" s="1"/>
  <c r="AD90" i="165" s="1"/>
  <c r="AD91" i="165" s="1"/>
  <c r="AD92" i="165" s="1"/>
  <c r="AD93" i="165" s="1"/>
  <c r="AD94" i="165" s="1"/>
  <c r="AD95" i="165" s="1"/>
  <c r="AD96" i="165" s="1"/>
  <c r="AD97" i="165" s="1"/>
  <c r="AD98" i="165" s="1"/>
  <c r="AD99" i="165" s="1"/>
  <c r="AD100" i="165" s="1"/>
  <c r="AD101" i="165" s="1"/>
  <c r="AD102" i="165" s="1"/>
  <c r="AD103" i="165" s="1"/>
  <c r="AD104" i="165" s="1"/>
  <c r="AD105" i="165" s="1"/>
  <c r="AD106" i="165" s="1"/>
  <c r="AD107" i="165" s="1"/>
  <c r="AD108" i="165" s="1"/>
  <c r="AD109" i="165" s="1"/>
  <c r="AD110" i="165" s="1"/>
  <c r="AD111" i="165" s="1"/>
  <c r="AD112" i="165" s="1"/>
  <c r="AD113" i="165" s="1"/>
  <c r="X5" i="165"/>
  <c r="W6" i="165"/>
  <c r="W11" i="165"/>
  <c r="W22" i="165"/>
  <c r="W38" i="165"/>
  <c r="W48" i="165"/>
  <c r="W53" i="165"/>
  <c r="W55" i="165"/>
  <c r="W62" i="165"/>
  <c r="W69" i="165"/>
  <c r="W76" i="165"/>
  <c r="W80" i="165"/>
  <c r="W85" i="165"/>
  <c r="W87" i="165"/>
  <c r="W94" i="165"/>
  <c r="W101" i="165"/>
  <c r="X4" i="165"/>
  <c r="V4" i="165"/>
  <c r="L17" i="165"/>
  <c r="L18" i="165" s="1"/>
  <c r="L19" i="165" s="1"/>
  <c r="L16" i="165"/>
  <c r="E5" i="165"/>
  <c r="W5" i="165" s="1"/>
  <c r="Y5" i="165" s="1"/>
  <c r="E6" i="165"/>
  <c r="J18" i="165" s="1"/>
  <c r="E7" i="165"/>
  <c r="W7" i="165" s="1"/>
  <c r="E8" i="165"/>
  <c r="W8" i="165" s="1"/>
  <c r="E9" i="165"/>
  <c r="W9" i="165" s="1"/>
  <c r="E10" i="165"/>
  <c r="W10" i="165" s="1"/>
  <c r="E11" i="165"/>
  <c r="E12" i="165"/>
  <c r="W12" i="165" s="1"/>
  <c r="E13" i="165"/>
  <c r="W13" i="165" s="1"/>
  <c r="E14" i="165"/>
  <c r="W14" i="165" s="1"/>
  <c r="E15" i="165"/>
  <c r="W15" i="165" s="1"/>
  <c r="E16" i="165"/>
  <c r="W16" i="165" s="1"/>
  <c r="E17" i="165"/>
  <c r="W17" i="165" s="1"/>
  <c r="E18" i="165"/>
  <c r="W18" i="165" s="1"/>
  <c r="E19" i="165"/>
  <c r="W19" i="165" s="1"/>
  <c r="E20" i="165"/>
  <c r="W20" i="165" s="1"/>
  <c r="E21" i="165"/>
  <c r="W21" i="165" s="1"/>
  <c r="E22" i="165"/>
  <c r="E23" i="165"/>
  <c r="W23" i="165" s="1"/>
  <c r="E24" i="165"/>
  <c r="W24" i="165" s="1"/>
  <c r="E25" i="165"/>
  <c r="W25" i="165" s="1"/>
  <c r="E26" i="165"/>
  <c r="W26" i="165" s="1"/>
  <c r="E27" i="165"/>
  <c r="W27" i="165" s="1"/>
  <c r="E28" i="165"/>
  <c r="W28" i="165" s="1"/>
  <c r="E29" i="165"/>
  <c r="W29" i="165" s="1"/>
  <c r="E30" i="165"/>
  <c r="W30" i="165" s="1"/>
  <c r="E31" i="165"/>
  <c r="W31" i="165" s="1"/>
  <c r="E32" i="165"/>
  <c r="W32" i="165" s="1"/>
  <c r="E33" i="165"/>
  <c r="W33" i="165" s="1"/>
  <c r="E34" i="165"/>
  <c r="W34" i="165" s="1"/>
  <c r="E35" i="165"/>
  <c r="W35" i="165" s="1"/>
  <c r="E36" i="165"/>
  <c r="W36" i="165" s="1"/>
  <c r="E37" i="165"/>
  <c r="W37" i="165" s="1"/>
  <c r="E38" i="165"/>
  <c r="E39" i="165"/>
  <c r="W39" i="165" s="1"/>
  <c r="E40" i="165"/>
  <c r="W40" i="165" s="1"/>
  <c r="E41" i="165"/>
  <c r="W41" i="165" s="1"/>
  <c r="E42" i="165"/>
  <c r="W42" i="165" s="1"/>
  <c r="E43" i="165"/>
  <c r="W43" i="165" s="1"/>
  <c r="E44" i="165"/>
  <c r="W44" i="165" s="1"/>
  <c r="E45" i="165"/>
  <c r="W45" i="165" s="1"/>
  <c r="E46" i="165"/>
  <c r="W46" i="165" s="1"/>
  <c r="E47" i="165"/>
  <c r="W47" i="165" s="1"/>
  <c r="E48" i="165"/>
  <c r="E49" i="165"/>
  <c r="W49" i="165" s="1"/>
  <c r="E50" i="165"/>
  <c r="W50" i="165" s="1"/>
  <c r="E51" i="165"/>
  <c r="W51" i="165" s="1"/>
  <c r="E52" i="165"/>
  <c r="W52" i="165" s="1"/>
  <c r="E53" i="165"/>
  <c r="E54" i="165"/>
  <c r="W54" i="165" s="1"/>
  <c r="E55" i="165"/>
  <c r="E56" i="165"/>
  <c r="W56" i="165" s="1"/>
  <c r="E57" i="165"/>
  <c r="W57" i="165" s="1"/>
  <c r="E58" i="165"/>
  <c r="W58" i="165" s="1"/>
  <c r="E59" i="165"/>
  <c r="W59" i="165" s="1"/>
  <c r="E60" i="165"/>
  <c r="W60" i="165" s="1"/>
  <c r="E61" i="165"/>
  <c r="W61" i="165" s="1"/>
  <c r="E62" i="165"/>
  <c r="E63" i="165"/>
  <c r="W63" i="165" s="1"/>
  <c r="E64" i="165"/>
  <c r="W64" i="165" s="1"/>
  <c r="E65" i="165"/>
  <c r="W65" i="165" s="1"/>
  <c r="E66" i="165"/>
  <c r="W66" i="165" s="1"/>
  <c r="E67" i="165"/>
  <c r="W67" i="165" s="1"/>
  <c r="E68" i="165"/>
  <c r="W68" i="165" s="1"/>
  <c r="E69" i="165"/>
  <c r="E70" i="165"/>
  <c r="W70" i="165" s="1"/>
  <c r="E71" i="165"/>
  <c r="W71" i="165" s="1"/>
  <c r="E72" i="165"/>
  <c r="W72" i="165" s="1"/>
  <c r="E73" i="165"/>
  <c r="W73" i="165" s="1"/>
  <c r="E74" i="165"/>
  <c r="W74" i="165" s="1"/>
  <c r="E75" i="165"/>
  <c r="W75" i="165" s="1"/>
  <c r="E76" i="165"/>
  <c r="E77" i="165"/>
  <c r="W77" i="165" s="1"/>
  <c r="E78" i="165"/>
  <c r="W78" i="165" s="1"/>
  <c r="E79" i="165"/>
  <c r="W79" i="165" s="1"/>
  <c r="E80" i="165"/>
  <c r="E81" i="165"/>
  <c r="W81" i="165" s="1"/>
  <c r="E82" i="165"/>
  <c r="W82" i="165" s="1"/>
  <c r="E83" i="165"/>
  <c r="W83" i="165" s="1"/>
  <c r="E84" i="165"/>
  <c r="W84" i="165" s="1"/>
  <c r="E85" i="165"/>
  <c r="E86" i="165"/>
  <c r="W86" i="165" s="1"/>
  <c r="E87" i="165"/>
  <c r="E88" i="165"/>
  <c r="W88" i="165" s="1"/>
  <c r="E89" i="165"/>
  <c r="W89" i="165" s="1"/>
  <c r="E90" i="165"/>
  <c r="W90" i="165" s="1"/>
  <c r="E91" i="165"/>
  <c r="W91" i="165" s="1"/>
  <c r="E92" i="165"/>
  <c r="W92" i="165" s="1"/>
  <c r="E93" i="165"/>
  <c r="W93" i="165" s="1"/>
  <c r="E94" i="165"/>
  <c r="E95" i="165"/>
  <c r="W95" i="165" s="1"/>
  <c r="E96" i="165"/>
  <c r="W96" i="165" s="1"/>
  <c r="E97" i="165"/>
  <c r="W97" i="165" s="1"/>
  <c r="E98" i="165"/>
  <c r="W98" i="165" s="1"/>
  <c r="E99" i="165"/>
  <c r="W99" i="165" s="1"/>
  <c r="E100" i="165"/>
  <c r="W100" i="165" s="1"/>
  <c r="E101" i="165"/>
  <c r="E102" i="165"/>
  <c r="W102" i="165" s="1"/>
  <c r="E103" i="165"/>
  <c r="W103" i="165" s="1"/>
  <c r="E104" i="165"/>
  <c r="W104" i="165" s="1"/>
  <c r="E105" i="165"/>
  <c r="W105" i="165" s="1"/>
  <c r="E106" i="165"/>
  <c r="W106" i="165" s="1"/>
  <c r="E107" i="165"/>
  <c r="W107" i="165" s="1"/>
  <c r="E4" i="165"/>
  <c r="W4" i="165" s="1"/>
  <c r="Y4" i="165" s="1"/>
  <c r="H5" i="165"/>
  <c r="D6" i="165"/>
  <c r="D7" i="165" s="1"/>
  <c r="D5" i="165"/>
  <c r="V5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A45" i="165" s="1"/>
  <c r="A46" i="165" s="1"/>
  <c r="A47" i="165" s="1"/>
  <c r="A48" i="165" s="1"/>
  <c r="A49" i="165" s="1"/>
  <c r="A50" i="165" s="1"/>
  <c r="A51" i="165" s="1"/>
  <c r="A52" i="165" s="1"/>
  <c r="A53" i="165" s="1"/>
  <c r="A54" i="165" s="1"/>
  <c r="A55" i="165" s="1"/>
  <c r="A56" i="165" s="1"/>
  <c r="A57" i="165" s="1"/>
  <c r="A58" i="165" s="1"/>
  <c r="A59" i="165" s="1"/>
  <c r="A60" i="165" s="1"/>
  <c r="A61" i="165" s="1"/>
  <c r="A62" i="165" s="1"/>
  <c r="A63" i="165" s="1"/>
  <c r="A64" i="165" s="1"/>
  <c r="A65" i="165" s="1"/>
  <c r="A66" i="165" s="1"/>
  <c r="A67" i="165" s="1"/>
  <c r="A68" i="165" s="1"/>
  <c r="A69" i="165" s="1"/>
  <c r="A70" i="165" s="1"/>
  <c r="A71" i="165" s="1"/>
  <c r="A72" i="165" s="1"/>
  <c r="A73" i="165" s="1"/>
  <c r="A74" i="165" s="1"/>
  <c r="A75" i="165" s="1"/>
  <c r="A76" i="165" s="1"/>
  <c r="A77" i="165" s="1"/>
  <c r="A78" i="165" s="1"/>
  <c r="A79" i="165" s="1"/>
  <c r="A80" i="165" s="1"/>
  <c r="A81" i="165" s="1"/>
  <c r="A82" i="165" s="1"/>
  <c r="A83" i="165" s="1"/>
  <c r="A84" i="165" s="1"/>
  <c r="A85" i="165" s="1"/>
  <c r="A86" i="165" s="1"/>
  <c r="A87" i="165" s="1"/>
  <c r="A88" i="165" s="1"/>
  <c r="A89" i="165" s="1"/>
  <c r="A90" i="165" s="1"/>
  <c r="A91" i="165" s="1"/>
  <c r="A92" i="165" s="1"/>
  <c r="A93" i="165" s="1"/>
  <c r="A94" i="165" s="1"/>
  <c r="A95" i="165" s="1"/>
  <c r="A96" i="165" s="1"/>
  <c r="A97" i="165" s="1"/>
  <c r="A98" i="165" s="1"/>
  <c r="A99" i="165" s="1"/>
  <c r="A100" i="165" s="1"/>
  <c r="A101" i="165" s="1"/>
  <c r="A102" i="165" s="1"/>
  <c r="A103" i="165" s="1"/>
  <c r="A104" i="165" s="1"/>
  <c r="A105" i="165" s="1"/>
  <c r="A106" i="165" s="1"/>
  <c r="A107" i="165" s="1"/>
  <c r="A108" i="165" s="1"/>
  <c r="AD6" i="146"/>
  <c r="AD7" i="146" s="1"/>
  <c r="AD8" i="146" s="1"/>
  <c r="AD9" i="146" s="1"/>
  <c r="AD10" i="146" s="1"/>
  <c r="AD11" i="146" s="1"/>
  <c r="AD12" i="146" s="1"/>
  <c r="AD13" i="146" s="1"/>
  <c r="AD14" i="146" s="1"/>
  <c r="AD15" i="146" s="1"/>
  <c r="AD16" i="146" s="1"/>
  <c r="AD17" i="146" s="1"/>
  <c r="AD18" i="146" s="1"/>
  <c r="AD19" i="146" s="1"/>
  <c r="AD20" i="146" s="1"/>
  <c r="AD21" i="146" s="1"/>
  <c r="AD22" i="146" s="1"/>
  <c r="AD23" i="146" s="1"/>
  <c r="AD24" i="146" s="1"/>
  <c r="AD25" i="146" s="1"/>
  <c r="AD26" i="146" s="1"/>
  <c r="AD27" i="146" s="1"/>
  <c r="AD28" i="146" s="1"/>
  <c r="AD29" i="146" s="1"/>
  <c r="AD30" i="146" s="1"/>
  <c r="AD31" i="146" s="1"/>
  <c r="AD32" i="146" s="1"/>
  <c r="AD33" i="146" s="1"/>
  <c r="AD34" i="146" s="1"/>
  <c r="AD35" i="146" s="1"/>
  <c r="AD36" i="146" s="1"/>
  <c r="AD37" i="146" s="1"/>
  <c r="AD38" i="146" s="1"/>
  <c r="AD39" i="146" s="1"/>
  <c r="AD40" i="146" s="1"/>
  <c r="AD41" i="146" s="1"/>
  <c r="AD42" i="146" s="1"/>
  <c r="AD43" i="146" s="1"/>
  <c r="AD44" i="146" s="1"/>
  <c r="AD45" i="146" s="1"/>
  <c r="AD46" i="146" s="1"/>
  <c r="AD47" i="146" s="1"/>
  <c r="AD48" i="146" s="1"/>
  <c r="AD49" i="146" s="1"/>
  <c r="AD50" i="146" s="1"/>
  <c r="AD51" i="146" s="1"/>
  <c r="AD52" i="146" s="1"/>
  <c r="AD53" i="146" s="1"/>
  <c r="AD54" i="146" s="1"/>
  <c r="AD55" i="146" s="1"/>
  <c r="AD56" i="146" s="1"/>
  <c r="AD57" i="146" s="1"/>
  <c r="AD58" i="146" s="1"/>
  <c r="AD59" i="146" s="1"/>
  <c r="AD60" i="146" s="1"/>
  <c r="AD61" i="146" s="1"/>
  <c r="AD62" i="146" s="1"/>
  <c r="AD63" i="146" s="1"/>
  <c r="AD64" i="146" s="1"/>
  <c r="AD65" i="146" s="1"/>
  <c r="AD66" i="146" s="1"/>
  <c r="AD67" i="146" s="1"/>
  <c r="AD68" i="146" s="1"/>
  <c r="AD69" i="146" s="1"/>
  <c r="AD70" i="146" s="1"/>
  <c r="AD71" i="146" s="1"/>
  <c r="AD72" i="146" s="1"/>
  <c r="AD73" i="146" s="1"/>
  <c r="AD74" i="146" s="1"/>
  <c r="AD75" i="146" s="1"/>
  <c r="AD76" i="146" s="1"/>
  <c r="AD77" i="146" s="1"/>
  <c r="AD78" i="146" s="1"/>
  <c r="AD79" i="146" s="1"/>
  <c r="AD80" i="146" s="1"/>
  <c r="AD81" i="146" s="1"/>
  <c r="AD82" i="146" s="1"/>
  <c r="AD83" i="146" s="1"/>
  <c r="AD84" i="146" s="1"/>
  <c r="AD85" i="146" s="1"/>
  <c r="AD86" i="146" s="1"/>
  <c r="AD87" i="146" s="1"/>
  <c r="AD88" i="146" s="1"/>
  <c r="AD89" i="146" s="1"/>
  <c r="AD90" i="146" s="1"/>
  <c r="AD91" i="146" s="1"/>
  <c r="AD92" i="146" s="1"/>
  <c r="AD93" i="146" s="1"/>
  <c r="AD94" i="146" s="1"/>
  <c r="AD95" i="146" s="1"/>
  <c r="AD96" i="146" s="1"/>
  <c r="AD97" i="146" s="1"/>
  <c r="AD98" i="146" s="1"/>
  <c r="AD99" i="146" s="1"/>
  <c r="AD100" i="146" s="1"/>
  <c r="AD101" i="146" s="1"/>
  <c r="AD102" i="146" s="1"/>
  <c r="AD103" i="146" s="1"/>
  <c r="AD104" i="146" s="1"/>
  <c r="AD105" i="146" s="1"/>
  <c r="AD106" i="146" s="1"/>
  <c r="AD107" i="146" s="1"/>
  <c r="AD108" i="146" s="1"/>
  <c r="AD109" i="146" s="1"/>
  <c r="AD110" i="146" s="1"/>
  <c r="AD111" i="146" s="1"/>
  <c r="AD112" i="146" s="1"/>
  <c r="AD113" i="146" s="1"/>
  <c r="AE6" i="146"/>
  <c r="AE7" i="146"/>
  <c r="AE8" i="146"/>
  <c r="AE9" i="146"/>
  <c r="AE10" i="146"/>
  <c r="AE11" i="146"/>
  <c r="AE12" i="146"/>
  <c r="AE13" i="146"/>
  <c r="AE14" i="146"/>
  <c r="AE15" i="146"/>
  <c r="AE16" i="146"/>
  <c r="AE17" i="146"/>
  <c r="AE18" i="146"/>
  <c r="AE19" i="146"/>
  <c r="AE20" i="146"/>
  <c r="AE21" i="146"/>
  <c r="AE22" i="146"/>
  <c r="AE23" i="146"/>
  <c r="AE24" i="146"/>
  <c r="AE25" i="146"/>
  <c r="AE26" i="146"/>
  <c r="AE27" i="146"/>
  <c r="AE28" i="146"/>
  <c r="AE29" i="146"/>
  <c r="AE30" i="146"/>
  <c r="AE31" i="146"/>
  <c r="AE32" i="146"/>
  <c r="AE33" i="146"/>
  <c r="AE34" i="146"/>
  <c r="AE35" i="146"/>
  <c r="AE36" i="146"/>
  <c r="AE37" i="146"/>
  <c r="AE38" i="146"/>
  <c r="AE39" i="146"/>
  <c r="AE40" i="146"/>
  <c r="AE41" i="146"/>
  <c r="AE42" i="146"/>
  <c r="AE43" i="146"/>
  <c r="AE44" i="146"/>
  <c r="AE45" i="146"/>
  <c r="AE46" i="146"/>
  <c r="AE47" i="146"/>
  <c r="AE48" i="146"/>
  <c r="AE49" i="146"/>
  <c r="AE50" i="146"/>
  <c r="AE51" i="146"/>
  <c r="AE52" i="146"/>
  <c r="AE53" i="146"/>
  <c r="AE54" i="146"/>
  <c r="AE55" i="146"/>
  <c r="AE56" i="146"/>
  <c r="AE57" i="146"/>
  <c r="AE58" i="146"/>
  <c r="AE59" i="146"/>
  <c r="AE60" i="146"/>
  <c r="AE61" i="146"/>
  <c r="AE62" i="146"/>
  <c r="AE63" i="146"/>
  <c r="AE64" i="146"/>
  <c r="AE65" i="146"/>
  <c r="AE66" i="146"/>
  <c r="AE67" i="146"/>
  <c r="AE68" i="146"/>
  <c r="AE69" i="146"/>
  <c r="AE70" i="146"/>
  <c r="AE71" i="146"/>
  <c r="AE72" i="146"/>
  <c r="AE73" i="146"/>
  <c r="AE74" i="146"/>
  <c r="AE75" i="146"/>
  <c r="AE76" i="146"/>
  <c r="AE77" i="146"/>
  <c r="AE78" i="146"/>
  <c r="AE79" i="146"/>
  <c r="AE80" i="146"/>
  <c r="AE81" i="146"/>
  <c r="AE82" i="146"/>
  <c r="AE83" i="146"/>
  <c r="AE84" i="146"/>
  <c r="AE85" i="146"/>
  <c r="AE86" i="146"/>
  <c r="AE87" i="146"/>
  <c r="AE88" i="146"/>
  <c r="AE89" i="146"/>
  <c r="AE90" i="146"/>
  <c r="AE91" i="146"/>
  <c r="AE92" i="146"/>
  <c r="AE93" i="146"/>
  <c r="AE94" i="146"/>
  <c r="AE95" i="146"/>
  <c r="AE96" i="146"/>
  <c r="AE97" i="146"/>
  <c r="AE98" i="146"/>
  <c r="AE99" i="146"/>
  <c r="AE100" i="146"/>
  <c r="AE101" i="146"/>
  <c r="AE102" i="146"/>
  <c r="AE103" i="146"/>
  <c r="AE104" i="146"/>
  <c r="AE105" i="146"/>
  <c r="AE106" i="146"/>
  <c r="AE107" i="146"/>
  <c r="AE108" i="146"/>
  <c r="AE5" i="146"/>
  <c r="AE4" i="146"/>
  <c r="AD5" i="146"/>
  <c r="X5" i="146"/>
  <c r="X4" i="146"/>
  <c r="V4" i="146"/>
  <c r="L18" i="146"/>
  <c r="L19" i="146" s="1"/>
  <c r="L20" i="146" s="1"/>
  <c r="L17" i="146"/>
  <c r="H5" i="146"/>
  <c r="D5" i="146"/>
  <c r="D6" i="146" s="1"/>
  <c r="AE7" i="164"/>
  <c r="AE8" i="164" s="1"/>
  <c r="AE9" i="164" s="1"/>
  <c r="AE10" i="164" s="1"/>
  <c r="AE11" i="164" s="1"/>
  <c r="AE12" i="164" s="1"/>
  <c r="AE13" i="164" s="1"/>
  <c r="AE14" i="164" s="1"/>
  <c r="AE15" i="164" s="1"/>
  <c r="AE16" i="164" s="1"/>
  <c r="AE17" i="164" s="1"/>
  <c r="AE18" i="164" s="1"/>
  <c r="AE19" i="164" s="1"/>
  <c r="AE20" i="164" s="1"/>
  <c r="AE21" i="164" s="1"/>
  <c r="AE22" i="164" s="1"/>
  <c r="AE23" i="164" s="1"/>
  <c r="AE24" i="164" s="1"/>
  <c r="AE25" i="164" s="1"/>
  <c r="AE26" i="164" s="1"/>
  <c r="AE27" i="164" s="1"/>
  <c r="AE28" i="164" s="1"/>
  <c r="AE29" i="164" s="1"/>
  <c r="AE30" i="164" s="1"/>
  <c r="AE31" i="164" s="1"/>
  <c r="AE32" i="164" s="1"/>
  <c r="AE33" i="164" s="1"/>
  <c r="AE34" i="164" s="1"/>
  <c r="AE35" i="164" s="1"/>
  <c r="AE36" i="164" s="1"/>
  <c r="AE37" i="164" s="1"/>
  <c r="AE38" i="164" s="1"/>
  <c r="AE39" i="164" s="1"/>
  <c r="AE40" i="164" s="1"/>
  <c r="AE41" i="164" s="1"/>
  <c r="AE42" i="164" s="1"/>
  <c r="AE43" i="164" s="1"/>
  <c r="AE44" i="164" s="1"/>
  <c r="AE45" i="164" s="1"/>
  <c r="AE46" i="164" s="1"/>
  <c r="AE47" i="164" s="1"/>
  <c r="AE48" i="164" s="1"/>
  <c r="AE49" i="164" s="1"/>
  <c r="AE50" i="164" s="1"/>
  <c r="AE51" i="164" s="1"/>
  <c r="AE52" i="164" s="1"/>
  <c r="AE53" i="164" s="1"/>
  <c r="AE54" i="164" s="1"/>
  <c r="AE55" i="164" s="1"/>
  <c r="AE56" i="164" s="1"/>
  <c r="AE57" i="164" s="1"/>
  <c r="AE58" i="164" s="1"/>
  <c r="AE59" i="164" s="1"/>
  <c r="AE60" i="164" s="1"/>
  <c r="AE61" i="164" s="1"/>
  <c r="AE62" i="164" s="1"/>
  <c r="AE63" i="164" s="1"/>
  <c r="AE64" i="164" s="1"/>
  <c r="AE65" i="164" s="1"/>
  <c r="AE66" i="164" s="1"/>
  <c r="AE67" i="164" s="1"/>
  <c r="AE68" i="164" s="1"/>
  <c r="AE69" i="164" s="1"/>
  <c r="AE70" i="164" s="1"/>
  <c r="AE71" i="164" s="1"/>
  <c r="AE72" i="164" s="1"/>
  <c r="AE73" i="164" s="1"/>
  <c r="AE74" i="164" s="1"/>
  <c r="AE75" i="164" s="1"/>
  <c r="AE76" i="164" s="1"/>
  <c r="AE77" i="164" s="1"/>
  <c r="AE78" i="164" s="1"/>
  <c r="AE79" i="164" s="1"/>
  <c r="AE80" i="164" s="1"/>
  <c r="AE81" i="164" s="1"/>
  <c r="AE82" i="164" s="1"/>
  <c r="AE83" i="164" s="1"/>
  <c r="AE84" i="164" s="1"/>
  <c r="AE85" i="164" s="1"/>
  <c r="AE86" i="164" s="1"/>
  <c r="AE87" i="164" s="1"/>
  <c r="AE88" i="164" s="1"/>
  <c r="AE89" i="164" s="1"/>
  <c r="AE90" i="164" s="1"/>
  <c r="AE91" i="164" s="1"/>
  <c r="AE92" i="164" s="1"/>
  <c r="AE93" i="164" s="1"/>
  <c r="AE94" i="164" s="1"/>
  <c r="AE95" i="164" s="1"/>
  <c r="AE96" i="164" s="1"/>
  <c r="AE97" i="164" s="1"/>
  <c r="AE98" i="164" s="1"/>
  <c r="AE99" i="164" s="1"/>
  <c r="AE100" i="164" s="1"/>
  <c r="AE101" i="164" s="1"/>
  <c r="AE102" i="164" s="1"/>
  <c r="AE103" i="164" s="1"/>
  <c r="AE104" i="164" s="1"/>
  <c r="AE105" i="164" s="1"/>
  <c r="AE106" i="164" s="1"/>
  <c r="AE107" i="164" s="1"/>
  <c r="AE108" i="164" s="1"/>
  <c r="AE109" i="164" s="1"/>
  <c r="AE110" i="164" s="1"/>
  <c r="AE111" i="164" s="1"/>
  <c r="AE112" i="164" s="1"/>
  <c r="AE113" i="164" s="1"/>
  <c r="AE114" i="164" s="1"/>
  <c r="AE115" i="164" s="1"/>
  <c r="Y6" i="164"/>
  <c r="W6" i="164"/>
  <c r="M18" i="164"/>
  <c r="M19" i="164" s="1"/>
  <c r="M20" i="164" s="1"/>
  <c r="M17" i="164"/>
  <c r="E7" i="164"/>
  <c r="W7" i="164" s="1"/>
  <c r="A8" i="164"/>
  <c r="A9" i="164" s="1"/>
  <c r="A10" i="164" s="1"/>
  <c r="A11" i="164" s="1"/>
  <c r="A12" i="164" s="1"/>
  <c r="A13" i="164" s="1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A42" i="164" s="1"/>
  <c r="A43" i="164" s="1"/>
  <c r="A44" i="164" s="1"/>
  <c r="A45" i="164" s="1"/>
  <c r="A46" i="164" s="1"/>
  <c r="A47" i="164" s="1"/>
  <c r="A48" i="164" s="1"/>
  <c r="A49" i="164" s="1"/>
  <c r="A50" i="164" s="1"/>
  <c r="A51" i="164" s="1"/>
  <c r="A52" i="164" s="1"/>
  <c r="A53" i="164" s="1"/>
  <c r="A54" i="164" s="1"/>
  <c r="A55" i="164" s="1"/>
  <c r="A56" i="164" s="1"/>
  <c r="A57" i="164" s="1"/>
  <c r="A58" i="164" s="1"/>
  <c r="A59" i="164" s="1"/>
  <c r="A60" i="164" s="1"/>
  <c r="A61" i="164" s="1"/>
  <c r="A62" i="164" s="1"/>
  <c r="A63" i="164" s="1"/>
  <c r="A64" i="164" s="1"/>
  <c r="A65" i="164" s="1"/>
  <c r="A66" i="164" s="1"/>
  <c r="A67" i="164" s="1"/>
  <c r="A68" i="164" s="1"/>
  <c r="A69" i="164" s="1"/>
  <c r="A70" i="164" s="1"/>
  <c r="A71" i="164" s="1"/>
  <c r="A72" i="164" s="1"/>
  <c r="A73" i="164" s="1"/>
  <c r="A74" i="164" s="1"/>
  <c r="A75" i="164" s="1"/>
  <c r="A76" i="164" s="1"/>
  <c r="A77" i="164" s="1"/>
  <c r="A78" i="164" s="1"/>
  <c r="A79" i="164" s="1"/>
  <c r="A80" i="164" s="1"/>
  <c r="A81" i="164" s="1"/>
  <c r="A82" i="164" s="1"/>
  <c r="A83" i="164" s="1"/>
  <c r="A84" i="164" s="1"/>
  <c r="A85" i="164" s="1"/>
  <c r="A86" i="164" s="1"/>
  <c r="A87" i="164" s="1"/>
  <c r="A88" i="164" s="1"/>
  <c r="A89" i="164" s="1"/>
  <c r="A90" i="164" s="1"/>
  <c r="A91" i="164" s="1"/>
  <c r="A92" i="164" s="1"/>
  <c r="A93" i="164" s="1"/>
  <c r="A94" i="164" s="1"/>
  <c r="A95" i="164" s="1"/>
  <c r="A96" i="164" s="1"/>
  <c r="A97" i="164" s="1"/>
  <c r="A98" i="164" s="1"/>
  <c r="A99" i="164" s="1"/>
  <c r="A100" i="164" s="1"/>
  <c r="A101" i="164" s="1"/>
  <c r="A102" i="164" s="1"/>
  <c r="A103" i="164" s="1"/>
  <c r="A104" i="164" s="1"/>
  <c r="A105" i="164" s="1"/>
  <c r="A106" i="164" s="1"/>
  <c r="A107" i="164" s="1"/>
  <c r="A108" i="164" s="1"/>
  <c r="A109" i="164" s="1"/>
  <c r="A110" i="164" s="1"/>
  <c r="A111" i="164" s="1"/>
  <c r="C7" i="164"/>
  <c r="C8" i="164" s="1"/>
  <c r="C9" i="164" s="1"/>
  <c r="C10" i="164" s="1"/>
  <c r="C11" i="164" s="1"/>
  <c r="C12" i="164" s="1"/>
  <c r="C13" i="164" s="1"/>
  <c r="C14" i="164" s="1"/>
  <c r="C15" i="164" s="1"/>
  <c r="C16" i="164" s="1"/>
  <c r="C17" i="164" s="1"/>
  <c r="C18" i="164" s="1"/>
  <c r="C19" i="164" s="1"/>
  <c r="C20" i="164" s="1"/>
  <c r="C21" i="164" s="1"/>
  <c r="C22" i="164" s="1"/>
  <c r="C23" i="164" s="1"/>
  <c r="C24" i="164" s="1"/>
  <c r="C25" i="164" s="1"/>
  <c r="C26" i="164" s="1"/>
  <c r="C27" i="164" s="1"/>
  <c r="C28" i="164" s="1"/>
  <c r="C29" i="164" s="1"/>
  <c r="C30" i="164" s="1"/>
  <c r="C31" i="164" s="1"/>
  <c r="C32" i="164" s="1"/>
  <c r="C33" i="164" s="1"/>
  <c r="C34" i="164" s="1"/>
  <c r="C35" i="164" s="1"/>
  <c r="C36" i="164" s="1"/>
  <c r="C37" i="164" s="1"/>
  <c r="C38" i="164" s="1"/>
  <c r="C39" i="164" s="1"/>
  <c r="C40" i="164" s="1"/>
  <c r="C41" i="164" s="1"/>
  <c r="C42" i="164" s="1"/>
  <c r="C43" i="164" s="1"/>
  <c r="C44" i="164" s="1"/>
  <c r="C45" i="164" s="1"/>
  <c r="C46" i="164" s="1"/>
  <c r="C47" i="164" s="1"/>
  <c r="C48" i="164" s="1"/>
  <c r="C49" i="164" s="1"/>
  <c r="C50" i="164" s="1"/>
  <c r="C51" i="164" s="1"/>
  <c r="C52" i="164" s="1"/>
  <c r="C53" i="164" s="1"/>
  <c r="C54" i="164" s="1"/>
  <c r="C55" i="164" s="1"/>
  <c r="C56" i="164" s="1"/>
  <c r="C57" i="164" s="1"/>
  <c r="C58" i="164" s="1"/>
  <c r="C59" i="164" s="1"/>
  <c r="C60" i="164" s="1"/>
  <c r="C61" i="164" s="1"/>
  <c r="C62" i="164" s="1"/>
  <c r="C63" i="164" s="1"/>
  <c r="C64" i="164" s="1"/>
  <c r="C65" i="164" s="1"/>
  <c r="C66" i="164" s="1"/>
  <c r="C67" i="164" s="1"/>
  <c r="C68" i="164" s="1"/>
  <c r="C69" i="164" s="1"/>
  <c r="C70" i="164" s="1"/>
  <c r="C71" i="164" s="1"/>
  <c r="C72" i="164" s="1"/>
  <c r="C73" i="164" s="1"/>
  <c r="C74" i="164" s="1"/>
  <c r="C75" i="164" s="1"/>
  <c r="C76" i="164" s="1"/>
  <c r="C77" i="164" s="1"/>
  <c r="C78" i="164" s="1"/>
  <c r="C79" i="164" s="1"/>
  <c r="C80" i="164" s="1"/>
  <c r="C81" i="164" s="1"/>
  <c r="C82" i="164" s="1"/>
  <c r="C83" i="164" s="1"/>
  <c r="C84" i="164" s="1"/>
  <c r="C85" i="164" s="1"/>
  <c r="C86" i="164" s="1"/>
  <c r="C87" i="164" s="1"/>
  <c r="C88" i="164" s="1"/>
  <c r="C89" i="164" s="1"/>
  <c r="C90" i="164" s="1"/>
  <c r="C91" i="164" s="1"/>
  <c r="C92" i="164" s="1"/>
  <c r="C93" i="164" s="1"/>
  <c r="C94" i="164" s="1"/>
  <c r="C95" i="164" s="1"/>
  <c r="C96" i="164" s="1"/>
  <c r="C97" i="164" s="1"/>
  <c r="C98" i="164" s="1"/>
  <c r="C99" i="164" s="1"/>
  <c r="C100" i="164" s="1"/>
  <c r="C101" i="164" s="1"/>
  <c r="C102" i="164" s="1"/>
  <c r="C103" i="164" s="1"/>
  <c r="C104" i="164" s="1"/>
  <c r="C105" i="164" s="1"/>
  <c r="C106" i="164" s="1"/>
  <c r="C107" i="164" s="1"/>
  <c r="C108" i="164" s="1"/>
  <c r="C109" i="164" s="1"/>
  <c r="C110" i="164" s="1"/>
  <c r="C111" i="164" s="1"/>
  <c r="AF13" i="163"/>
  <c r="AF21" i="163"/>
  <c r="AF29" i="163"/>
  <c r="AF37" i="163"/>
  <c r="AF45" i="163"/>
  <c r="AF53" i="163"/>
  <c r="AF61" i="163"/>
  <c r="AF69" i="163"/>
  <c r="AF101" i="163"/>
  <c r="AE7" i="163"/>
  <c r="AE8" i="163" s="1"/>
  <c r="AE9" i="163" s="1"/>
  <c r="AE10" i="163" s="1"/>
  <c r="AE11" i="163" s="1"/>
  <c r="AE12" i="163" s="1"/>
  <c r="AE13" i="163" s="1"/>
  <c r="AE14" i="163" s="1"/>
  <c r="AE15" i="163" s="1"/>
  <c r="AE16" i="163" s="1"/>
  <c r="AE17" i="163" s="1"/>
  <c r="AE18" i="163" s="1"/>
  <c r="AE19" i="163" s="1"/>
  <c r="AE20" i="163" s="1"/>
  <c r="AE21" i="163" s="1"/>
  <c r="AE22" i="163" s="1"/>
  <c r="AE23" i="163" s="1"/>
  <c r="AE24" i="163" s="1"/>
  <c r="AE25" i="163" s="1"/>
  <c r="AE26" i="163" s="1"/>
  <c r="AE27" i="163" s="1"/>
  <c r="AE28" i="163" s="1"/>
  <c r="AE29" i="163" s="1"/>
  <c r="AE30" i="163" s="1"/>
  <c r="AE31" i="163" s="1"/>
  <c r="AE32" i="163" s="1"/>
  <c r="AE33" i="163" s="1"/>
  <c r="AE34" i="163" s="1"/>
  <c r="AE35" i="163" s="1"/>
  <c r="AE36" i="163" s="1"/>
  <c r="AE37" i="163" s="1"/>
  <c r="AE38" i="163" s="1"/>
  <c r="AE39" i="163" s="1"/>
  <c r="AE40" i="163" s="1"/>
  <c r="AE41" i="163" s="1"/>
  <c r="AE42" i="163" s="1"/>
  <c r="AE43" i="163" s="1"/>
  <c r="AE44" i="163" s="1"/>
  <c r="AE45" i="163" s="1"/>
  <c r="AE46" i="163" s="1"/>
  <c r="AE47" i="163" s="1"/>
  <c r="AE48" i="163" s="1"/>
  <c r="AE49" i="163" s="1"/>
  <c r="AE50" i="163" s="1"/>
  <c r="AE51" i="163" s="1"/>
  <c r="AE52" i="163" s="1"/>
  <c r="AE53" i="163" s="1"/>
  <c r="AE54" i="163" s="1"/>
  <c r="AE55" i="163" s="1"/>
  <c r="AE56" i="163" s="1"/>
  <c r="AE57" i="163" s="1"/>
  <c r="AE58" i="163" s="1"/>
  <c r="AE59" i="163" s="1"/>
  <c r="AE60" i="163" s="1"/>
  <c r="AE61" i="163" s="1"/>
  <c r="AE62" i="163" s="1"/>
  <c r="AE63" i="163" s="1"/>
  <c r="AE64" i="163" s="1"/>
  <c r="AE65" i="163" s="1"/>
  <c r="AE66" i="163" s="1"/>
  <c r="AE67" i="163" s="1"/>
  <c r="AE68" i="163" s="1"/>
  <c r="AE69" i="163" s="1"/>
  <c r="AE70" i="163" s="1"/>
  <c r="AE71" i="163" s="1"/>
  <c r="AE72" i="163" s="1"/>
  <c r="AE73" i="163" s="1"/>
  <c r="AE74" i="163" s="1"/>
  <c r="AE75" i="163" s="1"/>
  <c r="AE76" i="163" s="1"/>
  <c r="AE77" i="163" s="1"/>
  <c r="AE78" i="163" s="1"/>
  <c r="AE79" i="163" s="1"/>
  <c r="AE80" i="163" s="1"/>
  <c r="AE81" i="163" s="1"/>
  <c r="AE82" i="163" s="1"/>
  <c r="AE83" i="163" s="1"/>
  <c r="AE84" i="163" s="1"/>
  <c r="AE85" i="163" s="1"/>
  <c r="AE86" i="163" s="1"/>
  <c r="AE87" i="163" s="1"/>
  <c r="AE88" i="163" s="1"/>
  <c r="AE89" i="163" s="1"/>
  <c r="AE90" i="163" s="1"/>
  <c r="AE91" i="163" s="1"/>
  <c r="AE92" i="163" s="1"/>
  <c r="AE93" i="163" s="1"/>
  <c r="AE94" i="163" s="1"/>
  <c r="AE95" i="163" s="1"/>
  <c r="AE96" i="163" s="1"/>
  <c r="AE97" i="163" s="1"/>
  <c r="AE98" i="163" s="1"/>
  <c r="AE99" i="163" s="1"/>
  <c r="AE100" i="163" s="1"/>
  <c r="AE101" i="163" s="1"/>
  <c r="AE102" i="163" s="1"/>
  <c r="AE103" i="163" s="1"/>
  <c r="AE104" i="163" s="1"/>
  <c r="AE105" i="163" s="1"/>
  <c r="AE106" i="163" s="1"/>
  <c r="AE107" i="163" s="1"/>
  <c r="AE108" i="163" s="1"/>
  <c r="AE109" i="163" s="1"/>
  <c r="AE110" i="163" s="1"/>
  <c r="AE111" i="163" s="1"/>
  <c r="AE112" i="163" s="1"/>
  <c r="AE113" i="163" s="1"/>
  <c r="AE114" i="163" s="1"/>
  <c r="AE115" i="163" s="1"/>
  <c r="W7" i="163"/>
  <c r="Y6" i="163"/>
  <c r="W6" i="163"/>
  <c r="M17" i="163"/>
  <c r="M18" i="163" s="1"/>
  <c r="M19" i="163" s="1"/>
  <c r="M20" i="163" s="1"/>
  <c r="E7" i="163"/>
  <c r="E8" i="163" s="1"/>
  <c r="A8" i="163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A43" i="163" s="1"/>
  <c r="A44" i="163" s="1"/>
  <c r="A45" i="163" s="1"/>
  <c r="A46" i="163" s="1"/>
  <c r="A47" i="163" s="1"/>
  <c r="A48" i="163" s="1"/>
  <c r="A49" i="163" s="1"/>
  <c r="A50" i="163" s="1"/>
  <c r="A51" i="163" s="1"/>
  <c r="A52" i="163" s="1"/>
  <c r="A53" i="163" s="1"/>
  <c r="A54" i="163" s="1"/>
  <c r="A55" i="163" s="1"/>
  <c r="A56" i="163" s="1"/>
  <c r="A57" i="163" s="1"/>
  <c r="A58" i="163" s="1"/>
  <c r="A59" i="163" s="1"/>
  <c r="A60" i="163" s="1"/>
  <c r="A61" i="163" s="1"/>
  <c r="A62" i="163" s="1"/>
  <c r="A63" i="163" s="1"/>
  <c r="A64" i="163" s="1"/>
  <c r="A65" i="163" s="1"/>
  <c r="A66" i="163" s="1"/>
  <c r="A67" i="163" s="1"/>
  <c r="A68" i="163" s="1"/>
  <c r="A69" i="163" s="1"/>
  <c r="A70" i="163" s="1"/>
  <c r="A71" i="163" s="1"/>
  <c r="A72" i="163" s="1"/>
  <c r="A73" i="163" s="1"/>
  <c r="A74" i="163" s="1"/>
  <c r="A75" i="163" s="1"/>
  <c r="A76" i="163" s="1"/>
  <c r="A77" i="163" s="1"/>
  <c r="A78" i="163" s="1"/>
  <c r="A79" i="163" s="1"/>
  <c r="A80" i="163" s="1"/>
  <c r="A81" i="163" s="1"/>
  <c r="A82" i="163" s="1"/>
  <c r="A83" i="163" s="1"/>
  <c r="A84" i="163" s="1"/>
  <c r="A85" i="163" s="1"/>
  <c r="A86" i="163" s="1"/>
  <c r="A87" i="163" s="1"/>
  <c r="A88" i="163" s="1"/>
  <c r="A89" i="163" s="1"/>
  <c r="A90" i="163" s="1"/>
  <c r="A91" i="163" s="1"/>
  <c r="A92" i="163" s="1"/>
  <c r="A93" i="163" s="1"/>
  <c r="A94" i="163" s="1"/>
  <c r="A95" i="163" s="1"/>
  <c r="A96" i="163" s="1"/>
  <c r="A97" i="163" s="1"/>
  <c r="A98" i="163" s="1"/>
  <c r="A99" i="163" s="1"/>
  <c r="A100" i="163" s="1"/>
  <c r="A101" i="163" s="1"/>
  <c r="A102" i="163" s="1"/>
  <c r="A103" i="163" s="1"/>
  <c r="A104" i="163" s="1"/>
  <c r="A105" i="163" s="1"/>
  <c r="A106" i="163" s="1"/>
  <c r="A107" i="163" s="1"/>
  <c r="A108" i="163" s="1"/>
  <c r="A109" i="163" s="1"/>
  <c r="A110" i="163" s="1"/>
  <c r="A111" i="163" s="1"/>
  <c r="C7" i="163"/>
  <c r="C8" i="163" s="1"/>
  <c r="C9" i="163" s="1"/>
  <c r="C10" i="163" s="1"/>
  <c r="C11" i="163" s="1"/>
  <c r="C12" i="163" s="1"/>
  <c r="C13" i="163" s="1"/>
  <c r="C14" i="163" s="1"/>
  <c r="C15" i="163" s="1"/>
  <c r="C16" i="163" s="1"/>
  <c r="C17" i="163" s="1"/>
  <c r="C18" i="163" s="1"/>
  <c r="C19" i="163" s="1"/>
  <c r="C20" i="163" s="1"/>
  <c r="C21" i="163" s="1"/>
  <c r="C22" i="163" s="1"/>
  <c r="C23" i="163" s="1"/>
  <c r="C24" i="163" s="1"/>
  <c r="C25" i="163" s="1"/>
  <c r="C26" i="163" s="1"/>
  <c r="C27" i="163" s="1"/>
  <c r="C28" i="163" s="1"/>
  <c r="C29" i="163" s="1"/>
  <c r="C30" i="163" s="1"/>
  <c r="C31" i="163" s="1"/>
  <c r="C32" i="163" s="1"/>
  <c r="C33" i="163" s="1"/>
  <c r="C34" i="163" s="1"/>
  <c r="C35" i="163" s="1"/>
  <c r="C36" i="163" s="1"/>
  <c r="C37" i="163" s="1"/>
  <c r="C38" i="163" s="1"/>
  <c r="C39" i="163" s="1"/>
  <c r="C40" i="163" s="1"/>
  <c r="C41" i="163" s="1"/>
  <c r="C42" i="163" s="1"/>
  <c r="C43" i="163" s="1"/>
  <c r="C44" i="163" s="1"/>
  <c r="C45" i="163" s="1"/>
  <c r="C46" i="163" s="1"/>
  <c r="C47" i="163" s="1"/>
  <c r="C48" i="163" s="1"/>
  <c r="C49" i="163" s="1"/>
  <c r="C50" i="163" s="1"/>
  <c r="C51" i="163" s="1"/>
  <c r="C52" i="163" s="1"/>
  <c r="C53" i="163" s="1"/>
  <c r="C54" i="163" s="1"/>
  <c r="C55" i="163" s="1"/>
  <c r="C56" i="163" s="1"/>
  <c r="C57" i="163" s="1"/>
  <c r="C58" i="163" s="1"/>
  <c r="C59" i="163" s="1"/>
  <c r="C60" i="163" s="1"/>
  <c r="C61" i="163" s="1"/>
  <c r="C62" i="163" s="1"/>
  <c r="C63" i="163" s="1"/>
  <c r="C64" i="163" s="1"/>
  <c r="C65" i="163" s="1"/>
  <c r="C66" i="163" s="1"/>
  <c r="C67" i="163" s="1"/>
  <c r="C68" i="163" s="1"/>
  <c r="C69" i="163" s="1"/>
  <c r="C70" i="163" s="1"/>
  <c r="C71" i="163" s="1"/>
  <c r="C72" i="163" s="1"/>
  <c r="C73" i="163" s="1"/>
  <c r="C74" i="163" s="1"/>
  <c r="C75" i="163" s="1"/>
  <c r="C76" i="163" s="1"/>
  <c r="C77" i="163" s="1"/>
  <c r="C78" i="163" s="1"/>
  <c r="C79" i="163" s="1"/>
  <c r="C80" i="163" s="1"/>
  <c r="C81" i="163" s="1"/>
  <c r="C82" i="163" s="1"/>
  <c r="C83" i="163" s="1"/>
  <c r="C84" i="163" s="1"/>
  <c r="C85" i="163" s="1"/>
  <c r="C86" i="163" s="1"/>
  <c r="C87" i="163" s="1"/>
  <c r="C88" i="163" s="1"/>
  <c r="C89" i="163" s="1"/>
  <c r="C90" i="163" s="1"/>
  <c r="C91" i="163" s="1"/>
  <c r="C92" i="163" s="1"/>
  <c r="C93" i="163" s="1"/>
  <c r="C94" i="163" s="1"/>
  <c r="C95" i="163" s="1"/>
  <c r="C96" i="163" s="1"/>
  <c r="C97" i="163" s="1"/>
  <c r="C98" i="163" s="1"/>
  <c r="C99" i="163" s="1"/>
  <c r="C100" i="163" s="1"/>
  <c r="C101" i="163" s="1"/>
  <c r="C102" i="163" s="1"/>
  <c r="C103" i="163" s="1"/>
  <c r="C104" i="163" s="1"/>
  <c r="C105" i="163" s="1"/>
  <c r="C106" i="163" s="1"/>
  <c r="C107" i="163" s="1"/>
  <c r="C108" i="163" s="1"/>
  <c r="C109" i="163" s="1"/>
  <c r="C110" i="163" s="1"/>
  <c r="C111" i="163" s="1"/>
  <c r="F18" i="173" l="1"/>
  <c r="E18" i="173" s="1"/>
  <c r="D7" i="146"/>
  <c r="V6" i="146"/>
  <c r="E9" i="163"/>
  <c r="W8" i="163"/>
  <c r="D8" i="165"/>
  <c r="V7" i="165"/>
  <c r="F67" i="164"/>
  <c r="X67" i="164" s="1"/>
  <c r="F11" i="164"/>
  <c r="X11" i="164" s="1"/>
  <c r="AF90" i="164"/>
  <c r="AF42" i="164"/>
  <c r="F106" i="164"/>
  <c r="X106" i="164" s="1"/>
  <c r="F98" i="164"/>
  <c r="X98" i="164" s="1"/>
  <c r="F90" i="164"/>
  <c r="X90" i="164" s="1"/>
  <c r="F82" i="164"/>
  <c r="X82" i="164" s="1"/>
  <c r="F74" i="164"/>
  <c r="X74" i="164" s="1"/>
  <c r="F66" i="164"/>
  <c r="X66" i="164" s="1"/>
  <c r="F58" i="164"/>
  <c r="X58" i="164" s="1"/>
  <c r="F50" i="164"/>
  <c r="X50" i="164" s="1"/>
  <c r="F42" i="164"/>
  <c r="X42" i="164" s="1"/>
  <c r="F34" i="164"/>
  <c r="X34" i="164" s="1"/>
  <c r="F26" i="164"/>
  <c r="X26" i="164" s="1"/>
  <c r="F18" i="164"/>
  <c r="X18" i="164" s="1"/>
  <c r="F10" i="164"/>
  <c r="X10" i="164" s="1"/>
  <c r="AF105" i="164"/>
  <c r="AF97" i="164"/>
  <c r="AF89" i="164"/>
  <c r="AF81" i="164"/>
  <c r="AF73" i="164"/>
  <c r="AF65" i="164"/>
  <c r="AF57" i="164"/>
  <c r="AF49" i="164"/>
  <c r="AF41" i="164"/>
  <c r="AF33" i="164"/>
  <c r="AF25" i="164"/>
  <c r="AF17" i="164"/>
  <c r="AF9" i="164"/>
  <c r="J16" i="165"/>
  <c r="Q4" i="165" s="1"/>
  <c r="V6" i="165"/>
  <c r="F91" i="164"/>
  <c r="X91" i="164" s="1"/>
  <c r="F59" i="164"/>
  <c r="X59" i="164" s="1"/>
  <c r="F35" i="164"/>
  <c r="X35" i="164" s="1"/>
  <c r="AF93" i="163"/>
  <c r="AF67" i="163"/>
  <c r="AF59" i="163"/>
  <c r="AF51" i="163"/>
  <c r="AF43" i="163"/>
  <c r="AF35" i="163"/>
  <c r="AF27" i="163"/>
  <c r="AF19" i="163"/>
  <c r="AF11" i="163"/>
  <c r="F105" i="164"/>
  <c r="X105" i="164" s="1"/>
  <c r="F97" i="164"/>
  <c r="X97" i="164" s="1"/>
  <c r="F89" i="164"/>
  <c r="X89" i="164" s="1"/>
  <c r="F81" i="164"/>
  <c r="X81" i="164" s="1"/>
  <c r="F73" i="164"/>
  <c r="X73" i="164" s="1"/>
  <c r="F65" i="164"/>
  <c r="X65" i="164" s="1"/>
  <c r="F57" i="164"/>
  <c r="X57" i="164" s="1"/>
  <c r="F49" i="164"/>
  <c r="X49" i="164" s="1"/>
  <c r="F41" i="164"/>
  <c r="X41" i="164" s="1"/>
  <c r="F33" i="164"/>
  <c r="X33" i="164" s="1"/>
  <c r="F25" i="164"/>
  <c r="X25" i="164" s="1"/>
  <c r="F17" i="164"/>
  <c r="X17" i="164" s="1"/>
  <c r="F9" i="164"/>
  <c r="X9" i="164" s="1"/>
  <c r="AF6" i="164"/>
  <c r="AF104" i="164"/>
  <c r="AF96" i="164"/>
  <c r="AF88" i="164"/>
  <c r="AF80" i="164"/>
  <c r="AF72" i="164"/>
  <c r="AF64" i="164"/>
  <c r="AF56" i="164"/>
  <c r="AF48" i="164"/>
  <c r="AF40" i="164"/>
  <c r="AF32" i="164"/>
  <c r="AF24" i="164"/>
  <c r="AF16" i="164"/>
  <c r="AF8" i="164"/>
  <c r="AF12" i="163"/>
  <c r="AF89" i="163"/>
  <c r="AF66" i="163"/>
  <c r="AF58" i="163"/>
  <c r="AF50" i="163"/>
  <c r="AF42" i="163"/>
  <c r="AF34" i="163"/>
  <c r="AF26" i="163"/>
  <c r="AF18" i="163"/>
  <c r="AF10" i="163"/>
  <c r="E8" i="164"/>
  <c r="F104" i="164"/>
  <c r="X104" i="164" s="1"/>
  <c r="F96" i="164"/>
  <c r="X96" i="164" s="1"/>
  <c r="F88" i="164"/>
  <c r="X88" i="164" s="1"/>
  <c r="F80" i="164"/>
  <c r="X80" i="164" s="1"/>
  <c r="F72" i="164"/>
  <c r="F64" i="164"/>
  <c r="X64" i="164" s="1"/>
  <c r="F56" i="164"/>
  <c r="X56" i="164" s="1"/>
  <c r="F48" i="164"/>
  <c r="X48" i="164" s="1"/>
  <c r="F40" i="164"/>
  <c r="X40" i="164" s="1"/>
  <c r="F32" i="164"/>
  <c r="X32" i="164" s="1"/>
  <c r="F24" i="164"/>
  <c r="X24" i="164" s="1"/>
  <c r="F16" i="164"/>
  <c r="X16" i="164" s="1"/>
  <c r="F8" i="164"/>
  <c r="X8" i="164" s="1"/>
  <c r="AF7" i="164"/>
  <c r="AF103" i="164"/>
  <c r="AF95" i="164"/>
  <c r="AF87" i="164"/>
  <c r="AF79" i="164"/>
  <c r="AF71" i="164"/>
  <c r="AF63" i="164"/>
  <c r="AF55" i="164"/>
  <c r="AF47" i="164"/>
  <c r="AF39" i="164"/>
  <c r="AF31" i="164"/>
  <c r="AF23" i="164"/>
  <c r="AF15" i="164"/>
  <c r="V5" i="146"/>
  <c r="F43" i="164"/>
  <c r="X43" i="164" s="1"/>
  <c r="AF66" i="164"/>
  <c r="AF26" i="164"/>
  <c r="AF20" i="163"/>
  <c r="AF6" i="163"/>
  <c r="AF85" i="163"/>
  <c r="AF65" i="163"/>
  <c r="AF57" i="163"/>
  <c r="AF49" i="163"/>
  <c r="AF41" i="163"/>
  <c r="AF33" i="163"/>
  <c r="AF25" i="163"/>
  <c r="AF17" i="163"/>
  <c r="AF9" i="163"/>
  <c r="F6" i="164"/>
  <c r="X6" i="164" s="1"/>
  <c r="Z6" i="164" s="1"/>
  <c r="F103" i="164"/>
  <c r="X103" i="164" s="1"/>
  <c r="F95" i="164"/>
  <c r="X95" i="164" s="1"/>
  <c r="F87" i="164"/>
  <c r="X87" i="164" s="1"/>
  <c r="F79" i="164"/>
  <c r="X79" i="164" s="1"/>
  <c r="F71" i="164"/>
  <c r="X71" i="164" s="1"/>
  <c r="F63" i="164"/>
  <c r="X63" i="164" s="1"/>
  <c r="F55" i="164"/>
  <c r="X55" i="164" s="1"/>
  <c r="F47" i="164"/>
  <c r="X47" i="164" s="1"/>
  <c r="F39" i="164"/>
  <c r="X39" i="164" s="1"/>
  <c r="F31" i="164"/>
  <c r="X31" i="164" s="1"/>
  <c r="F23" i="164"/>
  <c r="X23" i="164" s="1"/>
  <c r="F15" i="164"/>
  <c r="X15" i="164" s="1"/>
  <c r="F7" i="164"/>
  <c r="X7" i="164" s="1"/>
  <c r="AF110" i="164"/>
  <c r="AF102" i="164"/>
  <c r="AF94" i="164"/>
  <c r="AF86" i="164"/>
  <c r="AF78" i="164"/>
  <c r="AF70" i="164"/>
  <c r="AF62" i="164"/>
  <c r="AF54" i="164"/>
  <c r="AF46" i="164"/>
  <c r="AF38" i="164"/>
  <c r="AF30" i="164"/>
  <c r="AF22" i="164"/>
  <c r="AF14" i="164"/>
  <c r="AF97" i="163"/>
  <c r="AF36" i="163"/>
  <c r="AF7" i="163"/>
  <c r="AF81" i="163"/>
  <c r="AF64" i="163"/>
  <c r="AF56" i="163"/>
  <c r="AF48" i="163"/>
  <c r="AF40" i="163"/>
  <c r="AF32" i="163"/>
  <c r="AF24" i="163"/>
  <c r="AF16" i="163"/>
  <c r="AF8" i="163"/>
  <c r="F110" i="164"/>
  <c r="X110" i="164" s="1"/>
  <c r="F102" i="164"/>
  <c r="X102" i="164" s="1"/>
  <c r="F94" i="164"/>
  <c r="X94" i="164" s="1"/>
  <c r="F86" i="164"/>
  <c r="X86" i="164" s="1"/>
  <c r="F78" i="164"/>
  <c r="X78" i="164" s="1"/>
  <c r="F70" i="164"/>
  <c r="X70" i="164" s="1"/>
  <c r="F62" i="164"/>
  <c r="X62" i="164" s="1"/>
  <c r="F54" i="164"/>
  <c r="X54" i="164" s="1"/>
  <c r="F46" i="164"/>
  <c r="X46" i="164" s="1"/>
  <c r="F38" i="164"/>
  <c r="X38" i="164" s="1"/>
  <c r="F30" i="164"/>
  <c r="X30" i="164" s="1"/>
  <c r="F22" i="164"/>
  <c r="X22" i="164" s="1"/>
  <c r="F14" i="164"/>
  <c r="X14" i="164" s="1"/>
  <c r="AF109" i="164"/>
  <c r="AF101" i="164"/>
  <c r="AF93" i="164"/>
  <c r="AF85" i="164"/>
  <c r="AF77" i="164"/>
  <c r="AF69" i="164"/>
  <c r="AF61" i="164"/>
  <c r="AF53" i="164"/>
  <c r="AF45" i="164"/>
  <c r="AF37" i="164"/>
  <c r="AF29" i="164"/>
  <c r="AF21" i="164"/>
  <c r="AF13" i="164"/>
  <c r="J17" i="165"/>
  <c r="R4" i="165" s="1"/>
  <c r="F99" i="164"/>
  <c r="X99" i="164" s="1"/>
  <c r="F75" i="164"/>
  <c r="X75" i="164" s="1"/>
  <c r="F51" i="164"/>
  <c r="X51" i="164" s="1"/>
  <c r="F19" i="164"/>
  <c r="X19" i="164" s="1"/>
  <c r="AF106" i="164"/>
  <c r="AF82" i="164"/>
  <c r="AF58" i="164"/>
  <c r="AF34" i="164"/>
  <c r="AF10" i="164"/>
  <c r="AF68" i="163"/>
  <c r="AF60" i="163"/>
  <c r="AF52" i="163"/>
  <c r="AF44" i="163"/>
  <c r="AF28" i="163"/>
  <c r="AF109" i="163"/>
  <c r="AF77" i="163"/>
  <c r="AF63" i="163"/>
  <c r="AF55" i="163"/>
  <c r="AF47" i="163"/>
  <c r="AF39" i="163"/>
  <c r="AF31" i="163"/>
  <c r="AF23" i="163"/>
  <c r="AF15" i="163"/>
  <c r="F109" i="164"/>
  <c r="X109" i="164" s="1"/>
  <c r="F101" i="164"/>
  <c r="X101" i="164" s="1"/>
  <c r="F93" i="164"/>
  <c r="X93" i="164" s="1"/>
  <c r="F85" i="164"/>
  <c r="X85" i="164" s="1"/>
  <c r="F77" i="164"/>
  <c r="X77" i="164" s="1"/>
  <c r="F69" i="164"/>
  <c r="X69" i="164" s="1"/>
  <c r="F61" i="164"/>
  <c r="X61" i="164" s="1"/>
  <c r="F53" i="164"/>
  <c r="X53" i="164" s="1"/>
  <c r="F45" i="164"/>
  <c r="X45" i="164" s="1"/>
  <c r="F37" i="164"/>
  <c r="X37" i="164" s="1"/>
  <c r="F29" i="164"/>
  <c r="X29" i="164" s="1"/>
  <c r="F21" i="164"/>
  <c r="X21" i="164" s="1"/>
  <c r="F13" i="164"/>
  <c r="X13" i="164" s="1"/>
  <c r="AF108" i="164"/>
  <c r="AF100" i="164"/>
  <c r="AF92" i="164"/>
  <c r="AF84" i="164"/>
  <c r="AF76" i="164"/>
  <c r="AF68" i="164"/>
  <c r="AF60" i="164"/>
  <c r="AF52" i="164"/>
  <c r="AF44" i="164"/>
  <c r="AF36" i="164"/>
  <c r="AF28" i="164"/>
  <c r="AF20" i="164"/>
  <c r="AF12" i="164"/>
  <c r="F107" i="164"/>
  <c r="X107" i="164" s="1"/>
  <c r="F83" i="164"/>
  <c r="X83" i="164" s="1"/>
  <c r="F27" i="164"/>
  <c r="X27" i="164" s="1"/>
  <c r="AF98" i="164"/>
  <c r="AF74" i="164"/>
  <c r="AF50" i="164"/>
  <c r="AF18" i="164"/>
  <c r="AF105" i="163"/>
  <c r="AF73" i="163"/>
  <c r="AF62" i="163"/>
  <c r="AF54" i="163"/>
  <c r="AF46" i="163"/>
  <c r="AF38" i="163"/>
  <c r="AF30" i="163"/>
  <c r="AF22" i="163"/>
  <c r="AF14" i="163"/>
  <c r="F108" i="164"/>
  <c r="X108" i="164" s="1"/>
  <c r="F100" i="164"/>
  <c r="X100" i="164" s="1"/>
  <c r="F92" i="164"/>
  <c r="X92" i="164" s="1"/>
  <c r="F84" i="164"/>
  <c r="X84" i="164" s="1"/>
  <c r="F76" i="164"/>
  <c r="X76" i="164" s="1"/>
  <c r="F68" i="164"/>
  <c r="X68" i="164" s="1"/>
  <c r="F60" i="164"/>
  <c r="X60" i="164" s="1"/>
  <c r="F52" i="164"/>
  <c r="X52" i="164" s="1"/>
  <c r="F44" i="164"/>
  <c r="X44" i="164" s="1"/>
  <c r="F36" i="164"/>
  <c r="X36" i="164" s="1"/>
  <c r="F28" i="164"/>
  <c r="X28" i="164" s="1"/>
  <c r="F20" i="164"/>
  <c r="X20" i="164" s="1"/>
  <c r="F12" i="164"/>
  <c r="X12" i="164" s="1"/>
  <c r="AF107" i="164"/>
  <c r="AF99" i="164"/>
  <c r="AF91" i="164"/>
  <c r="AF83" i="164"/>
  <c r="AF75" i="164"/>
  <c r="AF67" i="164"/>
  <c r="AF59" i="164"/>
  <c r="AF51" i="164"/>
  <c r="AF43" i="164"/>
  <c r="AF35" i="164"/>
  <c r="AF27" i="164"/>
  <c r="AF19" i="164"/>
  <c r="AF11" i="164"/>
  <c r="F6" i="165"/>
  <c r="J16" i="166"/>
  <c r="Q4" i="166" s="1"/>
  <c r="J16" i="167"/>
  <c r="Q4" i="167" s="1"/>
  <c r="W6" i="167"/>
  <c r="J18" i="167"/>
  <c r="J17" i="167"/>
  <c r="J17" i="166"/>
  <c r="D6" i="167"/>
  <c r="V5" i="167"/>
  <c r="J18" i="166"/>
  <c r="D7" i="166"/>
  <c r="V6" i="166"/>
  <c r="C18" i="173"/>
  <c r="P18" i="173"/>
  <c r="D10" i="168"/>
  <c r="V9" i="168"/>
  <c r="D8" i="157"/>
  <c r="V7" i="157"/>
  <c r="AF108" i="163"/>
  <c r="AF104" i="163"/>
  <c r="AF100" i="163"/>
  <c r="AF96" i="163"/>
  <c r="AF92" i="163"/>
  <c r="AF88" i="163"/>
  <c r="AF84" i="163"/>
  <c r="AF80" i="163"/>
  <c r="AF76" i="163"/>
  <c r="AF72" i="163"/>
  <c r="AF107" i="163"/>
  <c r="AF103" i="163"/>
  <c r="AF99" i="163"/>
  <c r="AF95" i="163"/>
  <c r="AF91" i="163"/>
  <c r="AF87" i="163"/>
  <c r="AF83" i="163"/>
  <c r="AF79" i="163"/>
  <c r="AF75" i="163"/>
  <c r="AF71" i="163"/>
  <c r="X72" i="164"/>
  <c r="AF110" i="163"/>
  <c r="AF106" i="163"/>
  <c r="AF102" i="163"/>
  <c r="AF98" i="163"/>
  <c r="AF94" i="163"/>
  <c r="AF90" i="163"/>
  <c r="AF86" i="163"/>
  <c r="AF82" i="163"/>
  <c r="AF78" i="163"/>
  <c r="AF74" i="163"/>
  <c r="AF70" i="163"/>
  <c r="R4" i="167"/>
  <c r="S4" i="167" s="1"/>
  <c r="T4" i="167" s="1"/>
  <c r="F6" i="167"/>
  <c r="F6" i="166"/>
  <c r="F7" i="165"/>
  <c r="Y6" i="31"/>
  <c r="Y7" i="31" s="1"/>
  <c r="Y8" i="31" s="1"/>
  <c r="Y9" i="31" s="1"/>
  <c r="Y10" i="31" s="1"/>
  <c r="Y11" i="31" s="1"/>
  <c r="Y12" i="31" s="1"/>
  <c r="Y13" i="31" s="1"/>
  <c r="Y14" i="31" s="1"/>
  <c r="Y15" i="31" s="1"/>
  <c r="Y16" i="31" s="1"/>
  <c r="Y17" i="31" s="1"/>
  <c r="Y18" i="31" s="1"/>
  <c r="Y19" i="31" s="1"/>
  <c r="F19" i="173" l="1"/>
  <c r="E19" i="173" s="1"/>
  <c r="R4" i="166"/>
  <c r="S4" i="166" s="1"/>
  <c r="T4" i="166" s="1"/>
  <c r="S4" i="165"/>
  <c r="T4" i="165" s="1"/>
  <c r="D9" i="157"/>
  <c r="V8" i="157"/>
  <c r="D8" i="166"/>
  <c r="V7" i="166"/>
  <c r="K18" i="164"/>
  <c r="F7" i="166"/>
  <c r="X6" i="166"/>
  <c r="Y6" i="166" s="1"/>
  <c r="K17" i="164"/>
  <c r="D11" i="168"/>
  <c r="V10" i="168"/>
  <c r="F8" i="165"/>
  <c r="X7" i="165"/>
  <c r="Y7" i="165" s="1"/>
  <c r="F7" i="167"/>
  <c r="X6" i="167"/>
  <c r="Y6" i="167" s="1"/>
  <c r="P19" i="173"/>
  <c r="D9" i="165"/>
  <c r="V8" i="165"/>
  <c r="C19" i="173"/>
  <c r="E10" i="163"/>
  <c r="W9" i="163"/>
  <c r="D8" i="146"/>
  <c r="V7" i="146"/>
  <c r="E9" i="164"/>
  <c r="W8" i="164"/>
  <c r="K19" i="164"/>
  <c r="D7" i="167"/>
  <c r="V6" i="167"/>
  <c r="X6" i="165"/>
  <c r="Y6" i="165" s="1"/>
  <c r="J7" i="163"/>
  <c r="T6" i="163"/>
  <c r="J6" i="163"/>
  <c r="T7" i="163"/>
  <c r="J6" i="164"/>
  <c r="T7" i="164"/>
  <c r="U7" i="164" s="1"/>
  <c r="J7" i="164"/>
  <c r="T6" i="164"/>
  <c r="U6" i="164" s="1"/>
  <c r="K6" i="163"/>
  <c r="T8" i="163"/>
  <c r="K6" i="164"/>
  <c r="T8" i="164"/>
  <c r="U8" i="164" s="1"/>
  <c r="A5" i="161"/>
  <c r="A6" i="161" s="1"/>
  <c r="A7" i="161" s="1"/>
  <c r="A8" i="161" s="1"/>
  <c r="A9" i="161" s="1"/>
  <c r="A10" i="161" s="1"/>
  <c r="A11" i="161" s="1"/>
  <c r="A12" i="161" s="1"/>
  <c r="A13" i="161" s="1"/>
  <c r="A14" i="161" s="1"/>
  <c r="A15" i="161" s="1"/>
  <c r="A16" i="161" s="1"/>
  <c r="A17" i="161" s="1"/>
  <c r="A18" i="161" s="1"/>
  <c r="C4" i="161"/>
  <c r="C5" i="161" s="1"/>
  <c r="F20" i="173" l="1"/>
  <c r="E20" i="173" s="1"/>
  <c r="F8" i="166"/>
  <c r="X7" i="166"/>
  <c r="Y7" i="166" s="1"/>
  <c r="E10" i="164"/>
  <c r="W9" i="164"/>
  <c r="F9" i="165"/>
  <c r="X8" i="165"/>
  <c r="Y8" i="165" s="1"/>
  <c r="D10" i="165"/>
  <c r="V9" i="165"/>
  <c r="D9" i="146"/>
  <c r="V8" i="146"/>
  <c r="P20" i="173"/>
  <c r="V11" i="168"/>
  <c r="D12" i="168"/>
  <c r="D9" i="166"/>
  <c r="V8" i="166"/>
  <c r="E11" i="163"/>
  <c r="W10" i="163"/>
  <c r="D10" i="157"/>
  <c r="V9" i="157"/>
  <c r="D8" i="167"/>
  <c r="V7" i="167"/>
  <c r="C20" i="173"/>
  <c r="F8" i="167"/>
  <c r="X7" i="167"/>
  <c r="Y7" i="167" s="1"/>
  <c r="K7" i="163"/>
  <c r="F7" i="163" s="1"/>
  <c r="X7" i="163" s="1"/>
  <c r="K7" i="164"/>
  <c r="G7" i="164"/>
  <c r="Y7" i="164" s="1"/>
  <c r="Z7" i="164" s="1"/>
  <c r="D5" i="161"/>
  <c r="C6" i="161" s="1"/>
  <c r="E5" i="161"/>
  <c r="F22" i="24"/>
  <c r="F21" i="173" l="1"/>
  <c r="E21" i="173" s="1"/>
  <c r="D9" i="167"/>
  <c r="V8" i="167"/>
  <c r="D10" i="166"/>
  <c r="V9" i="166"/>
  <c r="D11" i="165"/>
  <c r="V10" i="165"/>
  <c r="D13" i="168"/>
  <c r="V12" i="168"/>
  <c r="D11" i="157"/>
  <c r="V10" i="157"/>
  <c r="F10" i="165"/>
  <c r="X9" i="165"/>
  <c r="Y9" i="165" s="1"/>
  <c r="P21" i="173"/>
  <c r="F9" i="167"/>
  <c r="X8" i="167"/>
  <c r="Y8" i="167" s="1"/>
  <c r="E11" i="164"/>
  <c r="W10" i="164"/>
  <c r="C21" i="173"/>
  <c r="D10" i="146"/>
  <c r="V9" i="146"/>
  <c r="E12" i="163"/>
  <c r="W11" i="163"/>
  <c r="F9" i="166"/>
  <c r="X8" i="166"/>
  <c r="Y8" i="166" s="1"/>
  <c r="F25" i="163"/>
  <c r="X25" i="163" s="1"/>
  <c r="F95" i="163"/>
  <c r="X95" i="163" s="1"/>
  <c r="F34" i="163"/>
  <c r="X34" i="163" s="1"/>
  <c r="F72" i="163"/>
  <c r="X72" i="163" s="1"/>
  <c r="F89" i="163"/>
  <c r="X89" i="163" s="1"/>
  <c r="F20" i="163"/>
  <c r="X20" i="163" s="1"/>
  <c r="F98" i="163"/>
  <c r="X98" i="163" s="1"/>
  <c r="F81" i="163"/>
  <c r="X81" i="163" s="1"/>
  <c r="F55" i="163"/>
  <c r="X55" i="163" s="1"/>
  <c r="F14" i="163"/>
  <c r="X14" i="163" s="1"/>
  <c r="F56" i="163"/>
  <c r="X56" i="163" s="1"/>
  <c r="F103" i="163"/>
  <c r="X103" i="163" s="1"/>
  <c r="F82" i="163"/>
  <c r="X82" i="163" s="1"/>
  <c r="F104" i="163"/>
  <c r="X104" i="163" s="1"/>
  <c r="F40" i="163"/>
  <c r="X40" i="163" s="1"/>
  <c r="F35" i="163"/>
  <c r="X35" i="163" s="1"/>
  <c r="F79" i="163"/>
  <c r="X79" i="163" s="1"/>
  <c r="F66" i="163"/>
  <c r="X66" i="163" s="1"/>
  <c r="F61" i="163"/>
  <c r="X61" i="163" s="1"/>
  <c r="F12" i="163"/>
  <c r="X12" i="163" s="1"/>
  <c r="F88" i="163"/>
  <c r="X88" i="163" s="1"/>
  <c r="F24" i="163"/>
  <c r="X24" i="163" s="1"/>
  <c r="F17" i="163"/>
  <c r="X17" i="163" s="1"/>
  <c r="F51" i="163"/>
  <c r="X51" i="163" s="1"/>
  <c r="F50" i="163"/>
  <c r="X50" i="163" s="1"/>
  <c r="F41" i="163"/>
  <c r="X41" i="163" s="1"/>
  <c r="F15" i="163"/>
  <c r="X15" i="163" s="1"/>
  <c r="F8" i="163"/>
  <c r="X8" i="163" s="1"/>
  <c r="F73" i="163"/>
  <c r="X73" i="163" s="1"/>
  <c r="F100" i="163"/>
  <c r="X100" i="163" s="1"/>
  <c r="F84" i="163"/>
  <c r="X84" i="163" s="1"/>
  <c r="F68" i="163"/>
  <c r="X68" i="163" s="1"/>
  <c r="F52" i="163"/>
  <c r="X52" i="163" s="1"/>
  <c r="F36" i="163"/>
  <c r="X36" i="163" s="1"/>
  <c r="F18" i="163"/>
  <c r="X18" i="163" s="1"/>
  <c r="F83" i="163"/>
  <c r="X83" i="163" s="1"/>
  <c r="F47" i="163"/>
  <c r="X47" i="163" s="1"/>
  <c r="F31" i="163"/>
  <c r="X31" i="163" s="1"/>
  <c r="F9" i="163"/>
  <c r="X9" i="163" s="1"/>
  <c r="F77" i="163"/>
  <c r="X77" i="163" s="1"/>
  <c r="F99" i="163"/>
  <c r="X99" i="163" s="1"/>
  <c r="F75" i="163"/>
  <c r="X75" i="163" s="1"/>
  <c r="F110" i="163"/>
  <c r="X110" i="163" s="1"/>
  <c r="F94" i="163"/>
  <c r="X94" i="163" s="1"/>
  <c r="F78" i="163"/>
  <c r="X78" i="163" s="1"/>
  <c r="F62" i="163"/>
  <c r="X62" i="163" s="1"/>
  <c r="F46" i="163"/>
  <c r="X46" i="163" s="1"/>
  <c r="F30" i="163"/>
  <c r="X30" i="163" s="1"/>
  <c r="F97" i="163"/>
  <c r="X97" i="163" s="1"/>
  <c r="F53" i="163"/>
  <c r="X53" i="163" s="1"/>
  <c r="F37" i="163"/>
  <c r="X37" i="163" s="1"/>
  <c r="F21" i="163"/>
  <c r="X21" i="163" s="1"/>
  <c r="F105" i="163"/>
  <c r="X105" i="163" s="1"/>
  <c r="F57" i="163"/>
  <c r="X57" i="163" s="1"/>
  <c r="F80" i="163"/>
  <c r="X80" i="163" s="1"/>
  <c r="F64" i="163"/>
  <c r="X64" i="163" s="1"/>
  <c r="F48" i="163"/>
  <c r="X48" i="163" s="1"/>
  <c r="F32" i="163"/>
  <c r="X32" i="163" s="1"/>
  <c r="F10" i="163"/>
  <c r="X10" i="163" s="1"/>
  <c r="F71" i="163"/>
  <c r="X71" i="163" s="1"/>
  <c r="F43" i="163"/>
  <c r="X43" i="163" s="1"/>
  <c r="F27" i="163"/>
  <c r="X27" i="163" s="1"/>
  <c r="F109" i="163"/>
  <c r="X109" i="163" s="1"/>
  <c r="F65" i="163"/>
  <c r="X65" i="163" s="1"/>
  <c r="F91" i="163"/>
  <c r="X91" i="163" s="1"/>
  <c r="F67" i="163"/>
  <c r="X67" i="163" s="1"/>
  <c r="F106" i="163"/>
  <c r="X106" i="163" s="1"/>
  <c r="F90" i="163"/>
  <c r="X90" i="163" s="1"/>
  <c r="F74" i="163"/>
  <c r="X74" i="163" s="1"/>
  <c r="F58" i="163"/>
  <c r="X58" i="163" s="1"/>
  <c r="F42" i="163"/>
  <c r="X42" i="163" s="1"/>
  <c r="F26" i="163"/>
  <c r="X26" i="163" s="1"/>
  <c r="F85" i="163"/>
  <c r="X85" i="163" s="1"/>
  <c r="F49" i="163"/>
  <c r="X49" i="163" s="1"/>
  <c r="F33" i="163"/>
  <c r="X33" i="163" s="1"/>
  <c r="F13" i="163"/>
  <c r="X13" i="163" s="1"/>
  <c r="F16" i="163"/>
  <c r="X16" i="163" s="1"/>
  <c r="F96" i="163"/>
  <c r="X96" i="163" s="1"/>
  <c r="F11" i="163"/>
  <c r="X11" i="163" s="1"/>
  <c r="F19" i="163"/>
  <c r="X19" i="163" s="1"/>
  <c r="F93" i="163"/>
  <c r="X93" i="163" s="1"/>
  <c r="F108" i="163"/>
  <c r="X108" i="163" s="1"/>
  <c r="F92" i="163"/>
  <c r="X92" i="163" s="1"/>
  <c r="F76" i="163"/>
  <c r="X76" i="163" s="1"/>
  <c r="F60" i="163"/>
  <c r="X60" i="163" s="1"/>
  <c r="F44" i="163"/>
  <c r="X44" i="163" s="1"/>
  <c r="F28" i="163"/>
  <c r="X28" i="163" s="1"/>
  <c r="F107" i="163"/>
  <c r="X107" i="163" s="1"/>
  <c r="F59" i="163"/>
  <c r="X59" i="163" s="1"/>
  <c r="F39" i="163"/>
  <c r="X39" i="163" s="1"/>
  <c r="F23" i="163"/>
  <c r="X23" i="163" s="1"/>
  <c r="F101" i="163"/>
  <c r="X101" i="163" s="1"/>
  <c r="F6" i="163"/>
  <c r="X6" i="163" s="1"/>
  <c r="Z6" i="163" s="1"/>
  <c r="F87" i="163"/>
  <c r="X87" i="163" s="1"/>
  <c r="F63" i="163"/>
  <c r="X63" i="163" s="1"/>
  <c r="F102" i="163"/>
  <c r="X102" i="163" s="1"/>
  <c r="F86" i="163"/>
  <c r="X86" i="163" s="1"/>
  <c r="F70" i="163"/>
  <c r="X70" i="163" s="1"/>
  <c r="F54" i="163"/>
  <c r="X54" i="163" s="1"/>
  <c r="F38" i="163"/>
  <c r="X38" i="163" s="1"/>
  <c r="F22" i="163"/>
  <c r="X22" i="163" s="1"/>
  <c r="F69" i="163"/>
  <c r="X69" i="163" s="1"/>
  <c r="F45" i="163"/>
  <c r="X45" i="163" s="1"/>
  <c r="F29" i="163"/>
  <c r="X29" i="163" s="1"/>
  <c r="G8" i="164"/>
  <c r="Y8" i="164" s="1"/>
  <c r="Z8" i="164" s="1"/>
  <c r="E6" i="161"/>
  <c r="G6" i="161" s="1"/>
  <c r="D6" i="161"/>
  <c r="E7" i="161" s="1"/>
  <c r="G5" i="161"/>
  <c r="F5" i="161"/>
  <c r="H3" i="159"/>
  <c r="B5" i="159"/>
  <c r="B6" i="159"/>
  <c r="B7" i="159"/>
  <c r="C6" i="159" s="1"/>
  <c r="B8" i="159"/>
  <c r="B9" i="159"/>
  <c r="C8" i="159" s="1"/>
  <c r="B10" i="159"/>
  <c r="B11" i="159"/>
  <c r="B12" i="159"/>
  <c r="B13" i="159"/>
  <c r="C12" i="159" s="1"/>
  <c r="B14" i="159"/>
  <c r="B15" i="159"/>
  <c r="C14" i="159" s="1"/>
  <c r="B16" i="159"/>
  <c r="B17" i="159"/>
  <c r="C16" i="159" s="1"/>
  <c r="B18" i="159"/>
  <c r="B19" i="159"/>
  <c r="B20" i="159"/>
  <c r="B21" i="159"/>
  <c r="C20" i="159" s="1"/>
  <c r="B22" i="159"/>
  <c r="B4" i="159"/>
  <c r="C3" i="159"/>
  <c r="D3" i="159" s="1"/>
  <c r="E3" i="159" s="1"/>
  <c r="I9" i="53"/>
  <c r="F9" i="53"/>
  <c r="F22" i="173" l="1"/>
  <c r="E22" i="173" s="1"/>
  <c r="F11" i="165"/>
  <c r="X10" i="165"/>
  <c r="Y10" i="165" s="1"/>
  <c r="D11" i="166"/>
  <c r="V10" i="166"/>
  <c r="C4" i="159"/>
  <c r="F10" i="167"/>
  <c r="X9" i="167"/>
  <c r="Y9" i="167" s="1"/>
  <c r="D12" i="157"/>
  <c r="V11" i="157"/>
  <c r="D10" i="167"/>
  <c r="V9" i="167"/>
  <c r="E12" i="164"/>
  <c r="W11" i="164"/>
  <c r="I3" i="159"/>
  <c r="D11" i="146"/>
  <c r="V10" i="146"/>
  <c r="P22" i="173"/>
  <c r="C18" i="159"/>
  <c r="C10" i="159"/>
  <c r="C22" i="173"/>
  <c r="D14" i="168"/>
  <c r="V13" i="168"/>
  <c r="D12" i="165"/>
  <c r="V11" i="165"/>
  <c r="E13" i="163"/>
  <c r="W12" i="163"/>
  <c r="F10" i="166"/>
  <c r="X9" i="166"/>
  <c r="Y9" i="166" s="1"/>
  <c r="G7" i="163"/>
  <c r="Y7" i="163" s="1"/>
  <c r="Z7" i="163" s="1"/>
  <c r="K19" i="163"/>
  <c r="U7" i="163" s="1"/>
  <c r="K17" i="163"/>
  <c r="K18" i="163"/>
  <c r="C21" i="159"/>
  <c r="D20" i="159" s="1"/>
  <c r="C17" i="159"/>
  <c r="D16" i="159" s="1"/>
  <c r="C13" i="159"/>
  <c r="D12" i="159" s="1"/>
  <c r="C9" i="159"/>
  <c r="D8" i="159" s="1"/>
  <c r="C5" i="159"/>
  <c r="D4" i="159" s="1"/>
  <c r="C19" i="159"/>
  <c r="D18" i="159" s="1"/>
  <c r="C15" i="159"/>
  <c r="D14" i="159" s="1"/>
  <c r="C11" i="159"/>
  <c r="D10" i="159" s="1"/>
  <c r="C7" i="159"/>
  <c r="D6" i="159" s="1"/>
  <c r="E5" i="159" s="1"/>
  <c r="G9" i="164"/>
  <c r="G10" i="164" s="1"/>
  <c r="F6" i="161"/>
  <c r="C7" i="161"/>
  <c r="D7" i="161" s="1"/>
  <c r="C8" i="161" s="1"/>
  <c r="G7" i="161"/>
  <c r="F7" i="161"/>
  <c r="D9" i="159"/>
  <c r="E8" i="159" s="1"/>
  <c r="D13" i="159"/>
  <c r="E12" i="159" s="1"/>
  <c r="D5" i="159"/>
  <c r="E4" i="159" s="1"/>
  <c r="F18" i="53"/>
  <c r="F11" i="53"/>
  <c r="F12" i="53" s="1"/>
  <c r="B14" i="53"/>
  <c r="B13" i="53"/>
  <c r="B12" i="53"/>
  <c r="F23" i="173" l="1"/>
  <c r="E23" i="173" s="1"/>
  <c r="F11" i="166"/>
  <c r="X10" i="166"/>
  <c r="Y10" i="166" s="1"/>
  <c r="D13" i="157"/>
  <c r="V12" i="157"/>
  <c r="J3" i="159"/>
  <c r="F11" i="167"/>
  <c r="X10" i="167"/>
  <c r="Y10" i="167" s="1"/>
  <c r="F12" i="165"/>
  <c r="X11" i="165"/>
  <c r="Y11" i="165" s="1"/>
  <c r="E9" i="159"/>
  <c r="E14" i="163"/>
  <c r="W13" i="163"/>
  <c r="D13" i="165"/>
  <c r="V12" i="165"/>
  <c r="D12" i="146"/>
  <c r="V11" i="146"/>
  <c r="D17" i="159"/>
  <c r="E16" i="159" s="1"/>
  <c r="D15" i="159"/>
  <c r="E14" i="159" s="1"/>
  <c r="E13" i="164"/>
  <c r="W12" i="164"/>
  <c r="P23" i="173"/>
  <c r="D11" i="167"/>
  <c r="V10" i="167"/>
  <c r="F13" i="53"/>
  <c r="F14" i="53" s="1"/>
  <c r="C23" i="173"/>
  <c r="V14" i="168"/>
  <c r="D15" i="168"/>
  <c r="D12" i="166"/>
  <c r="V11" i="166"/>
  <c r="G8" i="163"/>
  <c r="Y8" i="163" s="1"/>
  <c r="Z8" i="163" s="1"/>
  <c r="U6" i="163"/>
  <c r="U8" i="163"/>
  <c r="Y9" i="164"/>
  <c r="Z9" i="164" s="1"/>
  <c r="D11" i="159"/>
  <c r="E10" i="159" s="1"/>
  <c r="D19" i="159"/>
  <c r="E18" i="159" s="1"/>
  <c r="E13" i="159"/>
  <c r="D7" i="159"/>
  <c r="E6" i="159" s="1"/>
  <c r="G11" i="164"/>
  <c r="Y10" i="164"/>
  <c r="Z10" i="164" s="1"/>
  <c r="D8" i="161"/>
  <c r="C9" i="161" s="1"/>
  <c r="E8" i="161"/>
  <c r="E17" i="159"/>
  <c r="F24" i="173" l="1"/>
  <c r="E24" i="173" s="1"/>
  <c r="F12" i="167"/>
  <c r="X11" i="167"/>
  <c r="Y11" i="167" s="1"/>
  <c r="E14" i="164"/>
  <c r="W13" i="164"/>
  <c r="E15" i="163"/>
  <c r="W14" i="163"/>
  <c r="C24" i="173"/>
  <c r="F12" i="166"/>
  <c r="X11" i="166"/>
  <c r="Y11" i="166" s="1"/>
  <c r="D12" i="167"/>
  <c r="V11" i="167"/>
  <c r="D13" i="146"/>
  <c r="V12" i="146"/>
  <c r="E15" i="159"/>
  <c r="D13" i="166"/>
  <c r="V12" i="166"/>
  <c r="P24" i="173"/>
  <c r="D14" i="157"/>
  <c r="V13" i="157"/>
  <c r="F13" i="165"/>
  <c r="X12" i="165"/>
  <c r="Y12" i="165" s="1"/>
  <c r="D16" i="168"/>
  <c r="V15" i="168"/>
  <c r="D14" i="165"/>
  <c r="V13" i="165"/>
  <c r="G9" i="163"/>
  <c r="Y9" i="163" s="1"/>
  <c r="Z9" i="163" s="1"/>
  <c r="E11" i="159"/>
  <c r="E19" i="159"/>
  <c r="E7" i="159"/>
  <c r="G12" i="164"/>
  <c r="Y11" i="164"/>
  <c r="Z11" i="164" s="1"/>
  <c r="D9" i="161"/>
  <c r="E10" i="161" s="1"/>
  <c r="E9" i="161"/>
  <c r="F8" i="161"/>
  <c r="G8" i="161"/>
  <c r="A5" i="157"/>
  <c r="A6" i="157" s="1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A43" i="157" s="1"/>
  <c r="A44" i="157" s="1"/>
  <c r="A45" i="157" s="1"/>
  <c r="A46" i="157" s="1"/>
  <c r="A47" i="157" s="1"/>
  <c r="A48" i="157" s="1"/>
  <c r="A49" i="157" s="1"/>
  <c r="A50" i="157" s="1"/>
  <c r="A51" i="157" s="1"/>
  <c r="A52" i="157" s="1"/>
  <c r="A53" i="157" s="1"/>
  <c r="A54" i="157" s="1"/>
  <c r="A55" i="157" s="1"/>
  <c r="A56" i="157" s="1"/>
  <c r="A57" i="157" s="1"/>
  <c r="A58" i="157" s="1"/>
  <c r="A59" i="157" s="1"/>
  <c r="A60" i="157" s="1"/>
  <c r="A61" i="157" s="1"/>
  <c r="A62" i="157" s="1"/>
  <c r="A63" i="157" s="1"/>
  <c r="A64" i="157" s="1"/>
  <c r="A65" i="157" s="1"/>
  <c r="A66" i="157" s="1"/>
  <c r="A67" i="157" s="1"/>
  <c r="A68" i="157" s="1"/>
  <c r="A69" i="157" s="1"/>
  <c r="A70" i="157" s="1"/>
  <c r="A71" i="157" s="1"/>
  <c r="A72" i="157" s="1"/>
  <c r="A73" i="157" s="1"/>
  <c r="A74" i="157" s="1"/>
  <c r="A75" i="157" s="1"/>
  <c r="A76" i="157" s="1"/>
  <c r="A77" i="157" s="1"/>
  <c r="A78" i="157" s="1"/>
  <c r="A79" i="157" s="1"/>
  <c r="A80" i="157" s="1"/>
  <c r="A81" i="157" s="1"/>
  <c r="A82" i="157" s="1"/>
  <c r="A83" i="157" s="1"/>
  <c r="A84" i="157" s="1"/>
  <c r="A85" i="157" s="1"/>
  <c r="A86" i="157" s="1"/>
  <c r="A87" i="157" s="1"/>
  <c r="A88" i="157" s="1"/>
  <c r="A89" i="157" s="1"/>
  <c r="A90" i="157" s="1"/>
  <c r="A91" i="157" s="1"/>
  <c r="A92" i="157" s="1"/>
  <c r="A93" i="157" s="1"/>
  <c r="A94" i="157" s="1"/>
  <c r="A95" i="157" s="1"/>
  <c r="A96" i="157" s="1"/>
  <c r="A97" i="157" s="1"/>
  <c r="A98" i="157" s="1"/>
  <c r="A99" i="157" s="1"/>
  <c r="A100" i="157" s="1"/>
  <c r="A101" i="157" s="1"/>
  <c r="A102" i="157" s="1"/>
  <c r="A103" i="157" s="1"/>
  <c r="A104" i="157" s="1"/>
  <c r="A105" i="157" s="1"/>
  <c r="A106" i="157" s="1"/>
  <c r="A107" i="157" s="1"/>
  <c r="A108" i="157" s="1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A43" i="156" s="1"/>
  <c r="A44" i="156" s="1"/>
  <c r="A45" i="156" s="1"/>
  <c r="A46" i="156" s="1"/>
  <c r="A47" i="156" s="1"/>
  <c r="A48" i="156" s="1"/>
  <c r="A49" i="156" s="1"/>
  <c r="A50" i="156" s="1"/>
  <c r="A51" i="156" s="1"/>
  <c r="A52" i="156" s="1"/>
  <c r="A53" i="156" s="1"/>
  <c r="A54" i="156" s="1"/>
  <c r="A55" i="156" s="1"/>
  <c r="A56" i="156" s="1"/>
  <c r="A57" i="156" s="1"/>
  <c r="A58" i="156" s="1"/>
  <c r="A59" i="156" s="1"/>
  <c r="A60" i="156" s="1"/>
  <c r="A61" i="156" s="1"/>
  <c r="A62" i="156" s="1"/>
  <c r="A63" i="156" s="1"/>
  <c r="A64" i="156" s="1"/>
  <c r="A65" i="156" s="1"/>
  <c r="A66" i="156" s="1"/>
  <c r="A67" i="156" s="1"/>
  <c r="A68" i="156" s="1"/>
  <c r="A69" i="156" s="1"/>
  <c r="A70" i="156" s="1"/>
  <c r="A71" i="156" s="1"/>
  <c r="A72" i="156" s="1"/>
  <c r="A73" i="156" s="1"/>
  <c r="A74" i="156" s="1"/>
  <c r="A75" i="156" s="1"/>
  <c r="A76" i="156" s="1"/>
  <c r="A77" i="156" s="1"/>
  <c r="A78" i="156" s="1"/>
  <c r="A79" i="156" s="1"/>
  <c r="A80" i="156" s="1"/>
  <c r="A81" i="156" s="1"/>
  <c r="A82" i="156" s="1"/>
  <c r="A83" i="156" s="1"/>
  <c r="A84" i="156" s="1"/>
  <c r="A85" i="156" s="1"/>
  <c r="A86" i="156" s="1"/>
  <c r="A87" i="156" s="1"/>
  <c r="A88" i="156" s="1"/>
  <c r="A89" i="156" s="1"/>
  <c r="A90" i="156" s="1"/>
  <c r="A91" i="156" s="1"/>
  <c r="A92" i="156" s="1"/>
  <c r="A93" i="156" s="1"/>
  <c r="A94" i="156" s="1"/>
  <c r="A95" i="156" s="1"/>
  <c r="A96" i="156" s="1"/>
  <c r="A97" i="156" s="1"/>
  <c r="A98" i="156" s="1"/>
  <c r="A99" i="156" s="1"/>
  <c r="A100" i="156" s="1"/>
  <c r="A101" i="156" s="1"/>
  <c r="A102" i="156" s="1"/>
  <c r="A103" i="156" s="1"/>
  <c r="A104" i="156" s="1"/>
  <c r="A105" i="156" s="1"/>
  <c r="A106" i="156" s="1"/>
  <c r="A107" i="156" s="1"/>
  <c r="A108" i="156" s="1"/>
  <c r="F25" i="173" l="1"/>
  <c r="E25" i="173" s="1"/>
  <c r="D17" i="168"/>
  <c r="V16" i="168"/>
  <c r="D14" i="166"/>
  <c r="V13" i="166"/>
  <c r="C25" i="173"/>
  <c r="F13" i="167"/>
  <c r="X12" i="167"/>
  <c r="Y12" i="167" s="1"/>
  <c r="F14" i="165"/>
  <c r="X13" i="165"/>
  <c r="Y13" i="165" s="1"/>
  <c r="D14" i="146"/>
  <c r="V13" i="146"/>
  <c r="F13" i="166"/>
  <c r="X12" i="166"/>
  <c r="Y12" i="166" s="1"/>
  <c r="D15" i="157"/>
  <c r="V14" i="157"/>
  <c r="E16" i="163"/>
  <c r="W15" i="163"/>
  <c r="D15" i="165"/>
  <c r="V14" i="165"/>
  <c r="D13" i="167"/>
  <c r="V12" i="167"/>
  <c r="P25" i="173"/>
  <c r="E15" i="164"/>
  <c r="W14" i="164"/>
  <c r="G10" i="163"/>
  <c r="Y10" i="163" s="1"/>
  <c r="Z10" i="163" s="1"/>
  <c r="G13" i="164"/>
  <c r="Y12" i="164"/>
  <c r="Z12" i="164" s="1"/>
  <c r="C10" i="161"/>
  <c r="D10" i="161" s="1"/>
  <c r="C11" i="161" s="1"/>
  <c r="G9" i="161"/>
  <c r="F9" i="161"/>
  <c r="F10" i="161"/>
  <c r="G10" i="16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A44" i="155" s="1"/>
  <c r="A45" i="155" s="1"/>
  <c r="A46" i="155" s="1"/>
  <c r="A47" i="155" s="1"/>
  <c r="A48" i="155" s="1"/>
  <c r="A49" i="155" s="1"/>
  <c r="A50" i="155" s="1"/>
  <c r="A51" i="155" s="1"/>
  <c r="A52" i="155" s="1"/>
  <c r="A53" i="155" s="1"/>
  <c r="A54" i="155" s="1"/>
  <c r="A55" i="155" s="1"/>
  <c r="A56" i="155" s="1"/>
  <c r="A57" i="155" s="1"/>
  <c r="A58" i="155" s="1"/>
  <c r="A59" i="155" s="1"/>
  <c r="A60" i="155" s="1"/>
  <c r="A61" i="155" s="1"/>
  <c r="A62" i="155" s="1"/>
  <c r="A63" i="155" s="1"/>
  <c r="A64" i="155" s="1"/>
  <c r="A65" i="155" s="1"/>
  <c r="A66" i="155" s="1"/>
  <c r="A67" i="155" s="1"/>
  <c r="A68" i="155" s="1"/>
  <c r="A69" i="155" s="1"/>
  <c r="A70" i="155" s="1"/>
  <c r="A71" i="155" s="1"/>
  <c r="A72" i="155" s="1"/>
  <c r="A73" i="155" s="1"/>
  <c r="A74" i="155" s="1"/>
  <c r="A75" i="155" s="1"/>
  <c r="A76" i="155" s="1"/>
  <c r="A77" i="155" s="1"/>
  <c r="A78" i="155" s="1"/>
  <c r="A79" i="155" s="1"/>
  <c r="A80" i="155" s="1"/>
  <c r="A81" i="155" s="1"/>
  <c r="A82" i="155" s="1"/>
  <c r="A83" i="155" s="1"/>
  <c r="A84" i="155" s="1"/>
  <c r="A85" i="155" s="1"/>
  <c r="A86" i="155" s="1"/>
  <c r="A87" i="155" s="1"/>
  <c r="A88" i="155" s="1"/>
  <c r="A89" i="155" s="1"/>
  <c r="A90" i="155" s="1"/>
  <c r="A91" i="155" s="1"/>
  <c r="A92" i="155" s="1"/>
  <c r="A93" i="155" s="1"/>
  <c r="A94" i="155" s="1"/>
  <c r="A95" i="155" s="1"/>
  <c r="A96" i="155" s="1"/>
  <c r="A97" i="155" s="1"/>
  <c r="A98" i="155" s="1"/>
  <c r="A99" i="155" s="1"/>
  <c r="A100" i="155" s="1"/>
  <c r="A101" i="155" s="1"/>
  <c r="A102" i="155" s="1"/>
  <c r="A103" i="155" s="1"/>
  <c r="A104" i="155" s="1"/>
  <c r="A105" i="155" s="1"/>
  <c r="A106" i="155" s="1"/>
  <c r="A107" i="155" s="1"/>
  <c r="A108" i="155" s="1"/>
  <c r="F26" i="173" l="1"/>
  <c r="E26" i="173" s="1"/>
  <c r="D16" i="165"/>
  <c r="V15" i="165"/>
  <c r="F14" i="166"/>
  <c r="X13" i="166"/>
  <c r="Y13" i="166" s="1"/>
  <c r="E17" i="163"/>
  <c r="W16" i="163"/>
  <c r="D15" i="146"/>
  <c r="V14" i="146"/>
  <c r="D15" i="166"/>
  <c r="V14" i="166"/>
  <c r="E16" i="164"/>
  <c r="W15" i="164"/>
  <c r="F14" i="167"/>
  <c r="X13" i="167"/>
  <c r="Y13" i="167" s="1"/>
  <c r="F15" i="165"/>
  <c r="X14" i="165"/>
  <c r="Y14" i="165" s="1"/>
  <c r="P26" i="173"/>
  <c r="D16" i="157"/>
  <c r="V15" i="157"/>
  <c r="C26" i="173"/>
  <c r="D18" i="168"/>
  <c r="V17" i="168"/>
  <c r="D14" i="167"/>
  <c r="V13" i="167"/>
  <c r="G11" i="163"/>
  <c r="G12" i="163" s="1"/>
  <c r="G14" i="164"/>
  <c r="Y13" i="164"/>
  <c r="Z13" i="164" s="1"/>
  <c r="E11" i="161"/>
  <c r="F11" i="161" s="1"/>
  <c r="D11" i="161"/>
  <c r="E12" i="161" s="1"/>
  <c r="F27" i="173" l="1"/>
  <c r="E27" i="173" s="1"/>
  <c r="E17" i="164"/>
  <c r="W16" i="164"/>
  <c r="D16" i="146"/>
  <c r="V15" i="146"/>
  <c r="D17" i="157"/>
  <c r="V16" i="157"/>
  <c r="D15" i="167"/>
  <c r="V14" i="167"/>
  <c r="P27" i="173"/>
  <c r="E18" i="163"/>
  <c r="W17" i="163"/>
  <c r="F15" i="166"/>
  <c r="X14" i="166"/>
  <c r="Y14" i="166" s="1"/>
  <c r="D19" i="168"/>
  <c r="V18" i="168"/>
  <c r="F16" i="165"/>
  <c r="X15" i="165"/>
  <c r="Y15" i="165" s="1"/>
  <c r="D16" i="166"/>
  <c r="V15" i="166"/>
  <c r="C27" i="173"/>
  <c r="F15" i="167"/>
  <c r="X14" i="167"/>
  <c r="Y14" i="167" s="1"/>
  <c r="D17" i="165"/>
  <c r="V16" i="165"/>
  <c r="Y11" i="163"/>
  <c r="Z11" i="163" s="1"/>
  <c r="G13" i="163"/>
  <c r="Y12" i="163"/>
  <c r="Z12" i="163" s="1"/>
  <c r="G15" i="164"/>
  <c r="Y14" i="164"/>
  <c r="Z14" i="164" s="1"/>
  <c r="G11" i="161"/>
  <c r="F12" i="161"/>
  <c r="G12" i="161"/>
  <c r="C12" i="161"/>
  <c r="F28" i="173" l="1"/>
  <c r="E28" i="173" s="1"/>
  <c r="F16" i="166"/>
  <c r="X15" i="166"/>
  <c r="Y15" i="166" s="1"/>
  <c r="D16" i="167"/>
  <c r="V15" i="167"/>
  <c r="D17" i="166"/>
  <c r="V16" i="166"/>
  <c r="D18" i="165"/>
  <c r="V17" i="165"/>
  <c r="F17" i="165"/>
  <c r="X16" i="165"/>
  <c r="Y16" i="165" s="1"/>
  <c r="D18" i="157"/>
  <c r="V17" i="157"/>
  <c r="D17" i="146"/>
  <c r="V16" i="146"/>
  <c r="F16" i="167"/>
  <c r="X15" i="167"/>
  <c r="Y15" i="167" s="1"/>
  <c r="E19" i="163"/>
  <c r="W18" i="163"/>
  <c r="C28" i="173"/>
  <c r="V19" i="168"/>
  <c r="D20" i="168"/>
  <c r="P28" i="173"/>
  <c r="E18" i="164"/>
  <c r="W17" i="164"/>
  <c r="G14" i="163"/>
  <c r="Y13" i="163"/>
  <c r="Z13" i="163" s="1"/>
  <c r="G16" i="164"/>
  <c r="Y15" i="164"/>
  <c r="Z15" i="164" s="1"/>
  <c r="D12" i="161"/>
  <c r="C13" i="161" s="1"/>
  <c r="F29" i="173" l="1"/>
  <c r="E29" i="173" s="1"/>
  <c r="E20" i="163"/>
  <c r="W19" i="163"/>
  <c r="D19" i="157"/>
  <c r="V18" i="157"/>
  <c r="D18" i="166"/>
  <c r="V17" i="166"/>
  <c r="E19" i="164"/>
  <c r="W18" i="164"/>
  <c r="P29" i="173"/>
  <c r="F18" i="165"/>
  <c r="X17" i="165"/>
  <c r="Y17" i="165" s="1"/>
  <c r="D21" i="168"/>
  <c r="V20" i="168"/>
  <c r="D18" i="146"/>
  <c r="V17" i="146"/>
  <c r="F17" i="166"/>
  <c r="X16" i="166"/>
  <c r="Y16" i="166" s="1"/>
  <c r="F17" i="167"/>
  <c r="X16" i="167"/>
  <c r="Y16" i="167" s="1"/>
  <c r="D17" i="167"/>
  <c r="V16" i="167"/>
  <c r="D19" i="165"/>
  <c r="V18" i="165"/>
  <c r="C29" i="173"/>
  <c r="I5" i="155"/>
  <c r="S5" i="155"/>
  <c r="T5" i="155" s="1"/>
  <c r="I4" i="155"/>
  <c r="I4" i="157"/>
  <c r="J5" i="157"/>
  <c r="I6" i="157"/>
  <c r="S7" i="157"/>
  <c r="S6" i="157"/>
  <c r="S4" i="156"/>
  <c r="I6" i="156"/>
  <c r="D10" i="162"/>
  <c r="K10" i="160"/>
  <c r="S7" i="168"/>
  <c r="J5" i="168"/>
  <c r="S7" i="146"/>
  <c r="I5" i="146"/>
  <c r="J4" i="146"/>
  <c r="S4" i="146"/>
  <c r="I6" i="146"/>
  <c r="J5" i="146"/>
  <c r="J5" i="155"/>
  <c r="S7" i="155"/>
  <c r="T7" i="155" s="1"/>
  <c r="I4" i="146"/>
  <c r="S6" i="146"/>
  <c r="S7" i="156"/>
  <c r="J5" i="156"/>
  <c r="G15" i="163"/>
  <c r="Y14" i="163"/>
  <c r="Z14" i="163" s="1"/>
  <c r="G17" i="164"/>
  <c r="Y16" i="164"/>
  <c r="Z16" i="164" s="1"/>
  <c r="E13" i="161"/>
  <c r="F13" i="161" s="1"/>
  <c r="D13" i="161"/>
  <c r="E14" i="161" s="1"/>
  <c r="G14" i="151"/>
  <c r="G14" i="152"/>
  <c r="B30" i="152"/>
  <c r="D28" i="152"/>
  <c r="D27" i="152"/>
  <c r="D26" i="152"/>
  <c r="D25" i="152"/>
  <c r="D24" i="152"/>
  <c r="D23" i="152"/>
  <c r="D22" i="152"/>
  <c r="D21" i="152"/>
  <c r="D20" i="152"/>
  <c r="D19" i="152"/>
  <c r="D18" i="152"/>
  <c r="D17" i="152"/>
  <c r="D16" i="152"/>
  <c r="D15" i="152"/>
  <c r="D14" i="152"/>
  <c r="D13" i="152"/>
  <c r="D12" i="152"/>
  <c r="D11" i="152"/>
  <c r="D10" i="152"/>
  <c r="D9" i="152"/>
  <c r="D8" i="152"/>
  <c r="Q7" i="152"/>
  <c r="Q8" i="152" s="1"/>
  <c r="Q9" i="152" s="1"/>
  <c r="Q10" i="152" s="1"/>
  <c r="Q11" i="152" s="1"/>
  <c r="Q12" i="152" s="1"/>
  <c r="Q13" i="152" s="1"/>
  <c r="Q14" i="152" s="1"/>
  <c r="Q15" i="152" s="1"/>
  <c r="Q16" i="152" s="1"/>
  <c r="Q17" i="152" s="1"/>
  <c r="Q18" i="152" s="1"/>
  <c r="Q19" i="152" s="1"/>
  <c r="Q20" i="152" s="1"/>
  <c r="Q21" i="152" s="1"/>
  <c r="Q22" i="152" s="1"/>
  <c r="Q23" i="152" s="1"/>
  <c r="Q24" i="152" s="1"/>
  <c r="Q25" i="152" s="1"/>
  <c r="Q26" i="152" s="1"/>
  <c r="Q27" i="152" s="1"/>
  <c r="Q28" i="152" s="1"/>
  <c r="Q29" i="152" s="1"/>
  <c r="Q30" i="152" s="1"/>
  <c r="D7" i="152"/>
  <c r="G10" i="152" s="1"/>
  <c r="G16" i="152" s="1"/>
  <c r="G15" i="152" s="1"/>
  <c r="O6" i="152"/>
  <c r="D6" i="152"/>
  <c r="D5" i="152"/>
  <c r="A5" i="152"/>
  <c r="A6" i="152" s="1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O5" i="152" s="1"/>
  <c r="B30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Q7" i="151"/>
  <c r="Q8" i="151" s="1"/>
  <c r="Q9" i="151" s="1"/>
  <c r="Q10" i="151" s="1"/>
  <c r="Q11" i="151" s="1"/>
  <c r="Q12" i="151" s="1"/>
  <c r="Q13" i="151" s="1"/>
  <c r="Q14" i="151" s="1"/>
  <c r="Q15" i="151" s="1"/>
  <c r="Q16" i="151" s="1"/>
  <c r="Q17" i="151" s="1"/>
  <c r="Q18" i="151" s="1"/>
  <c r="Q19" i="151" s="1"/>
  <c r="Q20" i="151" s="1"/>
  <c r="Q21" i="151" s="1"/>
  <c r="Q22" i="151" s="1"/>
  <c r="Q23" i="151" s="1"/>
  <c r="Q24" i="151" s="1"/>
  <c r="Q25" i="151" s="1"/>
  <c r="Q26" i="151" s="1"/>
  <c r="Q27" i="151" s="1"/>
  <c r="Q28" i="151" s="1"/>
  <c r="Q29" i="151" s="1"/>
  <c r="Q30" i="151" s="1"/>
  <c r="D7" i="151"/>
  <c r="O6" i="151"/>
  <c r="D6" i="151"/>
  <c r="D5" i="151"/>
  <c r="G10" i="151" s="1"/>
  <c r="A5" i="151"/>
  <c r="O6" i="149"/>
  <c r="Q7" i="149"/>
  <c r="Q8" i="149" s="1"/>
  <c r="Q9" i="149" s="1"/>
  <c r="Q10" i="149" s="1"/>
  <c r="Q11" i="149" s="1"/>
  <c r="Q12" i="149" s="1"/>
  <c r="Q13" i="149" s="1"/>
  <c r="Q14" i="149" s="1"/>
  <c r="Q15" i="149" s="1"/>
  <c r="Q16" i="149" s="1"/>
  <c r="Q17" i="149" s="1"/>
  <c r="Q18" i="149" s="1"/>
  <c r="Q19" i="149" s="1"/>
  <c r="Q20" i="149" s="1"/>
  <c r="Q21" i="149" s="1"/>
  <c r="Q22" i="149" s="1"/>
  <c r="Q23" i="149" s="1"/>
  <c r="Q24" i="149" s="1"/>
  <c r="Q25" i="149" s="1"/>
  <c r="Q26" i="149" s="1"/>
  <c r="Q27" i="149" s="1"/>
  <c r="Q28" i="149" s="1"/>
  <c r="Q29" i="149" s="1"/>
  <c r="Q30" i="149" s="1"/>
  <c r="G14" i="149"/>
  <c r="B30" i="149"/>
  <c r="F30" i="173" l="1"/>
  <c r="E30" i="173" s="1"/>
  <c r="F18" i="167"/>
  <c r="X17" i="167"/>
  <c r="Y17" i="167" s="1"/>
  <c r="H16" i="152"/>
  <c r="F18" i="166"/>
  <c r="X17" i="166"/>
  <c r="Y17" i="166" s="1"/>
  <c r="F19" i="165"/>
  <c r="X18" i="165"/>
  <c r="Y18" i="165" s="1"/>
  <c r="C30" i="173"/>
  <c r="D20" i="165"/>
  <c r="V19" i="165"/>
  <c r="P30" i="173"/>
  <c r="D20" i="157"/>
  <c r="V19" i="157"/>
  <c r="D19" i="146"/>
  <c r="V18" i="146"/>
  <c r="D18" i="167"/>
  <c r="V17" i="167"/>
  <c r="E20" i="164"/>
  <c r="W19" i="164"/>
  <c r="E21" i="163"/>
  <c r="W20" i="163"/>
  <c r="D19" i="166"/>
  <c r="V18" i="166"/>
  <c r="A6" i="151"/>
  <c r="D22" i="168"/>
  <c r="V21" i="168"/>
  <c r="S6" i="156"/>
  <c r="I4" i="156"/>
  <c r="J6" i="146"/>
  <c r="E35" i="146" s="1"/>
  <c r="W35" i="146" s="1"/>
  <c r="I5" i="156"/>
  <c r="S5" i="156"/>
  <c r="S6" i="155"/>
  <c r="T6" i="155" s="1"/>
  <c r="I6" i="168"/>
  <c r="S4" i="168"/>
  <c r="S4" i="157"/>
  <c r="S5" i="146"/>
  <c r="I5" i="168"/>
  <c r="S5" i="168"/>
  <c r="S6" i="168"/>
  <c r="I4" i="168"/>
  <c r="S5" i="157"/>
  <c r="I5" i="157"/>
  <c r="S8" i="146"/>
  <c r="I6" i="155"/>
  <c r="J6" i="155" s="1"/>
  <c r="S4" i="155"/>
  <c r="T4" i="155" s="1"/>
  <c r="F6" i="155"/>
  <c r="Y15" i="163"/>
  <c r="Z15" i="163" s="1"/>
  <c r="G16" i="163"/>
  <c r="G18" i="164"/>
  <c r="Y17" i="164"/>
  <c r="Z17" i="164" s="1"/>
  <c r="G13" i="161"/>
  <c r="C14" i="161"/>
  <c r="D14" i="161" s="1"/>
  <c r="C15" i="161" s="1"/>
  <c r="F14" i="161"/>
  <c r="G14" i="161"/>
  <c r="H16" i="151"/>
  <c r="G16" i="151"/>
  <c r="G15" i="151" s="1"/>
  <c r="A5" i="149"/>
  <c r="A6" i="149" s="1"/>
  <c r="A7" i="149" s="1"/>
  <c r="A8" i="149" s="1"/>
  <c r="A9" i="149" s="1"/>
  <c r="A10" i="149" s="1"/>
  <c r="A11" i="149" s="1"/>
  <c r="A12" i="149" s="1"/>
  <c r="A13" i="149" s="1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O5" i="149" s="1"/>
  <c r="AC92" i="147"/>
  <c r="AC93" i="147" s="1"/>
  <c r="AC94" i="147" s="1"/>
  <c r="AC95" i="147" s="1"/>
  <c r="AC96" i="147" s="1"/>
  <c r="AC97" i="147" s="1"/>
  <c r="AC98" i="147" s="1"/>
  <c r="AC99" i="147" s="1"/>
  <c r="AC100" i="147" s="1"/>
  <c r="AC101" i="147" s="1"/>
  <c r="AC102" i="147" s="1"/>
  <c r="AC103" i="147" s="1"/>
  <c r="AC104" i="147" s="1"/>
  <c r="AC105" i="147" s="1"/>
  <c r="AC106" i="147" s="1"/>
  <c r="AC107" i="147" s="1"/>
  <c r="AC108" i="147" s="1"/>
  <c r="AC109" i="147" s="1"/>
  <c r="AC110" i="147" s="1"/>
  <c r="AC111" i="147" s="1"/>
  <c r="AC112" i="147" s="1"/>
  <c r="AC113" i="147" s="1"/>
  <c r="AC114" i="147" s="1"/>
  <c r="AC115" i="147" s="1"/>
  <c r="W92" i="147"/>
  <c r="W93" i="147"/>
  <c r="W91" i="147"/>
  <c r="U91" i="147"/>
  <c r="Q93" i="147"/>
  <c r="Q92" i="147"/>
  <c r="Q91" i="147"/>
  <c r="L103" i="147"/>
  <c r="L104" i="147" s="1"/>
  <c r="L105" i="147" s="1"/>
  <c r="L106" i="147" s="1"/>
  <c r="H92" i="147"/>
  <c r="H93" i="147" s="1"/>
  <c r="D93" i="147"/>
  <c r="D92" i="147"/>
  <c r="U92" i="147" s="1"/>
  <c r="AC63" i="147"/>
  <c r="AC64" i="147" s="1"/>
  <c r="AC65" i="147" s="1"/>
  <c r="AC66" i="147" s="1"/>
  <c r="AC67" i="147" s="1"/>
  <c r="AC68" i="147" s="1"/>
  <c r="AC69" i="147" s="1"/>
  <c r="AC70" i="147" s="1"/>
  <c r="AC71" i="147" s="1"/>
  <c r="AC72" i="147" s="1"/>
  <c r="AC73" i="147" s="1"/>
  <c r="AC74" i="147" s="1"/>
  <c r="AC75" i="147" s="1"/>
  <c r="AC76" i="147" s="1"/>
  <c r="AC77" i="147" s="1"/>
  <c r="AC78" i="147" s="1"/>
  <c r="AC79" i="147" s="1"/>
  <c r="AC80" i="147" s="1"/>
  <c r="AC81" i="147" s="1"/>
  <c r="AC82" i="147" s="1"/>
  <c r="AC83" i="147" s="1"/>
  <c r="AC84" i="147" s="1"/>
  <c r="AC85" i="147" s="1"/>
  <c r="AC86" i="147" s="1"/>
  <c r="W63" i="147"/>
  <c r="W64" i="147"/>
  <c r="W62" i="147"/>
  <c r="U62" i="147"/>
  <c r="Q64" i="147"/>
  <c r="Q63" i="147"/>
  <c r="Q62" i="147"/>
  <c r="L74" i="147"/>
  <c r="L75" i="147" s="1"/>
  <c r="L76" i="147" s="1"/>
  <c r="L77" i="147" s="1"/>
  <c r="H63" i="147"/>
  <c r="H64" i="147" s="1"/>
  <c r="D63" i="147"/>
  <c r="U63" i="147" s="1"/>
  <c r="AK20" i="147" a="1"/>
  <c r="AK20" i="147" s="1"/>
  <c r="AC34" i="147"/>
  <c r="AC35" i="147" s="1"/>
  <c r="AC36" i="147" s="1"/>
  <c r="AC37" i="147" s="1"/>
  <c r="AC38" i="147" s="1"/>
  <c r="AC39" i="147" s="1"/>
  <c r="AC40" i="147" s="1"/>
  <c r="AC41" i="147" s="1"/>
  <c r="AC42" i="147" s="1"/>
  <c r="AC43" i="147" s="1"/>
  <c r="AC44" i="147" s="1"/>
  <c r="AC45" i="147" s="1"/>
  <c r="AC46" i="147" s="1"/>
  <c r="AC47" i="147" s="1"/>
  <c r="AC48" i="147" s="1"/>
  <c r="AC49" i="147" s="1"/>
  <c r="AC50" i="147" s="1"/>
  <c r="AC51" i="147" s="1"/>
  <c r="AC52" i="147" s="1"/>
  <c r="AC53" i="147" s="1"/>
  <c r="AC54" i="147" s="1"/>
  <c r="AC55" i="147" s="1"/>
  <c r="AC56" i="147" s="1"/>
  <c r="AC57" i="147" s="1"/>
  <c r="W34" i="147"/>
  <c r="W35" i="147"/>
  <c r="W33" i="147"/>
  <c r="U33" i="147"/>
  <c r="Q35" i="147"/>
  <c r="Q34" i="147"/>
  <c r="Q33" i="147"/>
  <c r="L45" i="147"/>
  <c r="L46" i="147" s="1"/>
  <c r="L47" i="147" s="1"/>
  <c r="L48" i="147" s="1"/>
  <c r="I36" i="147"/>
  <c r="Q36" i="147" s="1"/>
  <c r="H35" i="147"/>
  <c r="H34" i="147"/>
  <c r="D35" i="147"/>
  <c r="D34" i="147"/>
  <c r="U34" i="147" s="1"/>
  <c r="AC5" i="147"/>
  <c r="AC6" i="147" s="1"/>
  <c r="AC7" i="147" s="1"/>
  <c r="AC8" i="147" s="1"/>
  <c r="AC9" i="147" s="1"/>
  <c r="AC10" i="147" s="1"/>
  <c r="AC11" i="147" s="1"/>
  <c r="AC12" i="147" s="1"/>
  <c r="AC13" i="147" s="1"/>
  <c r="AC14" i="147" s="1"/>
  <c r="AC15" i="147" s="1"/>
  <c r="AC16" i="147" s="1"/>
  <c r="AC17" i="147" s="1"/>
  <c r="AC18" i="147" s="1"/>
  <c r="AC19" i="147" s="1"/>
  <c r="AC20" i="147" s="1"/>
  <c r="AC21" i="147" s="1"/>
  <c r="AC22" i="147" s="1"/>
  <c r="AC23" i="147" s="1"/>
  <c r="AC24" i="147" s="1"/>
  <c r="AC25" i="147" s="1"/>
  <c r="AC26" i="147" s="1"/>
  <c r="AC27" i="147" s="1"/>
  <c r="AC28" i="147" s="1"/>
  <c r="W5" i="147"/>
  <c r="W6" i="147"/>
  <c r="W4" i="147"/>
  <c r="U4" i="147"/>
  <c r="Q6" i="147"/>
  <c r="Q5" i="147"/>
  <c r="Q4" i="147"/>
  <c r="L17" i="147"/>
  <c r="L18" i="147" s="1"/>
  <c r="L19" i="147" s="1"/>
  <c r="L16" i="147"/>
  <c r="I7" i="147"/>
  <c r="Q7" i="147" s="1"/>
  <c r="H5" i="147"/>
  <c r="H6" i="147" s="1"/>
  <c r="D5" i="147"/>
  <c r="U5" i="147" s="1"/>
  <c r="A5" i="147"/>
  <c r="A6" i="147" s="1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E42" i="146" l="1"/>
  <c r="W42" i="146" s="1"/>
  <c r="E62" i="146"/>
  <c r="W62" i="146" s="1"/>
  <c r="E50" i="146"/>
  <c r="W50" i="146" s="1"/>
  <c r="F31" i="173"/>
  <c r="E31" i="173" s="1"/>
  <c r="D20" i="166"/>
  <c r="V19" i="166"/>
  <c r="C31" i="173"/>
  <c r="F19" i="167"/>
  <c r="X18" i="167"/>
  <c r="Y18" i="167" s="1"/>
  <c r="E22" i="163"/>
  <c r="W21" i="163"/>
  <c r="D20" i="146"/>
  <c r="V19" i="146"/>
  <c r="F20" i="165"/>
  <c r="X19" i="165"/>
  <c r="Y19" i="165" s="1"/>
  <c r="E21" i="164"/>
  <c r="W20" i="164"/>
  <c r="D21" i="157"/>
  <c r="V20" i="157"/>
  <c r="F19" i="166"/>
  <c r="X18" i="166"/>
  <c r="Y18" i="166" s="1"/>
  <c r="D23" i="168"/>
  <c r="V22" i="168"/>
  <c r="P31" i="173"/>
  <c r="A7" i="151"/>
  <c r="D19" i="167"/>
  <c r="V18" i="167"/>
  <c r="D21" i="165"/>
  <c r="V20" i="165"/>
  <c r="E98" i="146"/>
  <c r="W98" i="146" s="1"/>
  <c r="E44" i="146"/>
  <c r="W44" i="146" s="1"/>
  <c r="E85" i="146"/>
  <c r="W85" i="146" s="1"/>
  <c r="E84" i="146"/>
  <c r="W84" i="146" s="1"/>
  <c r="E58" i="146"/>
  <c r="W58" i="146" s="1"/>
  <c r="E81" i="146"/>
  <c r="W81" i="146" s="1"/>
  <c r="E102" i="146"/>
  <c r="W102" i="146" s="1"/>
  <c r="E53" i="146"/>
  <c r="W53" i="146" s="1"/>
  <c r="E89" i="146"/>
  <c r="W89" i="146" s="1"/>
  <c r="E79" i="146"/>
  <c r="W79" i="146" s="1"/>
  <c r="E51" i="146"/>
  <c r="W51" i="146" s="1"/>
  <c r="E66" i="146"/>
  <c r="W66" i="146" s="1"/>
  <c r="E26" i="146"/>
  <c r="W26" i="146" s="1"/>
  <c r="E23" i="146"/>
  <c r="W23" i="146" s="1"/>
  <c r="E100" i="146"/>
  <c r="W100" i="146" s="1"/>
  <c r="E49" i="146"/>
  <c r="W49" i="146" s="1"/>
  <c r="E29" i="146"/>
  <c r="W29" i="146" s="1"/>
  <c r="E22" i="146"/>
  <c r="W22" i="146" s="1"/>
  <c r="E94" i="146"/>
  <c r="W94" i="146" s="1"/>
  <c r="E36" i="146"/>
  <c r="W36" i="146" s="1"/>
  <c r="E11" i="146"/>
  <c r="W11" i="146" s="1"/>
  <c r="E46" i="146"/>
  <c r="W46" i="146" s="1"/>
  <c r="E103" i="146"/>
  <c r="W103" i="146" s="1"/>
  <c r="E28" i="146"/>
  <c r="W28" i="146" s="1"/>
  <c r="E67" i="146"/>
  <c r="W67" i="146" s="1"/>
  <c r="E86" i="146"/>
  <c r="W86" i="146" s="1"/>
  <c r="E45" i="146"/>
  <c r="W45" i="146" s="1"/>
  <c r="E68" i="146"/>
  <c r="W68" i="146" s="1"/>
  <c r="E43" i="146"/>
  <c r="W43" i="146" s="1"/>
  <c r="E52" i="146"/>
  <c r="W52" i="146" s="1"/>
  <c r="E59" i="146"/>
  <c r="W59" i="146" s="1"/>
  <c r="E91" i="146"/>
  <c r="W91" i="146" s="1"/>
  <c r="E6" i="146"/>
  <c r="W6" i="146" s="1"/>
  <c r="E104" i="146"/>
  <c r="W104" i="146" s="1"/>
  <c r="E21" i="146"/>
  <c r="W21" i="146" s="1"/>
  <c r="E64" i="146"/>
  <c r="W64" i="146" s="1"/>
  <c r="E63" i="146"/>
  <c r="W63" i="146" s="1"/>
  <c r="E10" i="146"/>
  <c r="W10" i="146" s="1"/>
  <c r="J6" i="156"/>
  <c r="E57" i="156" s="1"/>
  <c r="W57" i="156" s="1"/>
  <c r="J6" i="157"/>
  <c r="E84" i="157" s="1"/>
  <c r="W84" i="157" s="1"/>
  <c r="E99" i="146"/>
  <c r="W99" i="146" s="1"/>
  <c r="E57" i="146"/>
  <c r="W57" i="146" s="1"/>
  <c r="E80" i="146"/>
  <c r="W80" i="146" s="1"/>
  <c r="E33" i="146"/>
  <c r="W33" i="146" s="1"/>
  <c r="E69" i="146"/>
  <c r="W69" i="146" s="1"/>
  <c r="E95" i="146"/>
  <c r="W95" i="146" s="1"/>
  <c r="E76" i="146"/>
  <c r="W76" i="146" s="1"/>
  <c r="E18" i="146"/>
  <c r="W18" i="146" s="1"/>
  <c r="E77" i="146"/>
  <c r="W77" i="146" s="1"/>
  <c r="E25" i="146"/>
  <c r="W25" i="146" s="1"/>
  <c r="E90" i="146"/>
  <c r="W90" i="146" s="1"/>
  <c r="E74" i="146"/>
  <c r="W74" i="146" s="1"/>
  <c r="E27" i="146"/>
  <c r="W27" i="146" s="1"/>
  <c r="E107" i="146"/>
  <c r="W107" i="146" s="1"/>
  <c r="E48" i="146"/>
  <c r="W48" i="146" s="1"/>
  <c r="E19" i="146"/>
  <c r="W19" i="146" s="1"/>
  <c r="E34" i="146"/>
  <c r="W34" i="146" s="1"/>
  <c r="E8" i="146"/>
  <c r="W8" i="146" s="1"/>
  <c r="E55" i="146"/>
  <c r="W55" i="146" s="1"/>
  <c r="E38" i="146"/>
  <c r="W38" i="146" s="1"/>
  <c r="E4" i="146"/>
  <c r="W4" i="146" s="1"/>
  <c r="Y4" i="146" s="1"/>
  <c r="E9" i="146"/>
  <c r="W9" i="146" s="1"/>
  <c r="E92" i="146"/>
  <c r="W92" i="146" s="1"/>
  <c r="E108" i="146"/>
  <c r="W108" i="146" s="1"/>
  <c r="E75" i="146"/>
  <c r="W75" i="146" s="1"/>
  <c r="E61" i="146"/>
  <c r="W61" i="146" s="1"/>
  <c r="E20" i="146"/>
  <c r="W20" i="146" s="1"/>
  <c r="E93" i="146"/>
  <c r="W93" i="146" s="1"/>
  <c r="E54" i="146"/>
  <c r="W54" i="146" s="1"/>
  <c r="E31" i="146"/>
  <c r="W31" i="146" s="1"/>
  <c r="E47" i="146"/>
  <c r="W47" i="146" s="1"/>
  <c r="E15" i="146"/>
  <c r="W15" i="146" s="1"/>
  <c r="E12" i="146"/>
  <c r="W12" i="146" s="1"/>
  <c r="E37" i="146"/>
  <c r="W37" i="146" s="1"/>
  <c r="E87" i="146"/>
  <c r="W87" i="146" s="1"/>
  <c r="E65" i="146"/>
  <c r="W65" i="146" s="1"/>
  <c r="E101" i="146"/>
  <c r="W101" i="146" s="1"/>
  <c r="E30" i="146"/>
  <c r="W30" i="146" s="1"/>
  <c r="E97" i="146"/>
  <c r="W97" i="146" s="1"/>
  <c r="E24" i="146"/>
  <c r="W24" i="146" s="1"/>
  <c r="E60" i="146"/>
  <c r="W60" i="146" s="1"/>
  <c r="E39" i="146"/>
  <c r="W39" i="146" s="1"/>
  <c r="J6" i="168"/>
  <c r="E96" i="146"/>
  <c r="W96" i="146" s="1"/>
  <c r="E17" i="146"/>
  <c r="W17" i="146" s="1"/>
  <c r="E40" i="146"/>
  <c r="W40" i="146" s="1"/>
  <c r="E82" i="146"/>
  <c r="W82" i="146" s="1"/>
  <c r="E83" i="146"/>
  <c r="W83" i="146" s="1"/>
  <c r="E16" i="146"/>
  <c r="W16" i="146" s="1"/>
  <c r="E14" i="146"/>
  <c r="W14" i="146" s="1"/>
  <c r="E56" i="146"/>
  <c r="W56" i="146" s="1"/>
  <c r="E73" i="146"/>
  <c r="W73" i="146" s="1"/>
  <c r="E106" i="146"/>
  <c r="W106" i="146" s="1"/>
  <c r="E72" i="146"/>
  <c r="W72" i="146" s="1"/>
  <c r="E88" i="146"/>
  <c r="W88" i="146" s="1"/>
  <c r="E78" i="146"/>
  <c r="W78" i="146" s="1"/>
  <c r="E71" i="146"/>
  <c r="W71" i="146" s="1"/>
  <c r="E41" i="146"/>
  <c r="W41" i="146" s="1"/>
  <c r="E105" i="146"/>
  <c r="W105" i="146" s="1"/>
  <c r="E70" i="146"/>
  <c r="W70" i="146" s="1"/>
  <c r="E13" i="146"/>
  <c r="W13" i="146" s="1"/>
  <c r="E32" i="146"/>
  <c r="W32" i="146" s="1"/>
  <c r="E5" i="146"/>
  <c r="W5" i="146" s="1"/>
  <c r="Y5" i="146" s="1"/>
  <c r="E7" i="146"/>
  <c r="X6" i="155"/>
  <c r="Y6" i="155" s="1"/>
  <c r="F7" i="155"/>
  <c r="G17" i="163"/>
  <c r="Y16" i="163"/>
  <c r="Z16" i="163" s="1"/>
  <c r="G19" i="164"/>
  <c r="Y18" i="164"/>
  <c r="Z18" i="164" s="1"/>
  <c r="D15" i="161"/>
  <c r="E16" i="161" s="1"/>
  <c r="E15" i="161"/>
  <c r="L20" i="152"/>
  <c r="I20" i="152"/>
  <c r="K20" i="152"/>
  <c r="I19" i="152"/>
  <c r="J19" i="152" s="1"/>
  <c r="L19" i="152"/>
  <c r="K19" i="152"/>
  <c r="D19" i="149"/>
  <c r="D5" i="149"/>
  <c r="D6" i="147"/>
  <c r="U35" i="147"/>
  <c r="D36" i="147"/>
  <c r="D94" i="147"/>
  <c r="U93" i="147"/>
  <c r="D64" i="147"/>
  <c r="AK22" i="147"/>
  <c r="AK21" i="147"/>
  <c r="A5" i="146"/>
  <c r="A6" i="146" s="1"/>
  <c r="A7" i="146" s="1"/>
  <c r="A8" i="146" s="1"/>
  <c r="A9" i="146" s="1"/>
  <c r="A10" i="146" s="1"/>
  <c r="A11" i="146" s="1"/>
  <c r="A12" i="146" s="1"/>
  <c r="A13" i="146" s="1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A45" i="146" s="1"/>
  <c r="A46" i="146" s="1"/>
  <c r="A47" i="146" s="1"/>
  <c r="A48" i="146" s="1"/>
  <c r="A49" i="146" s="1"/>
  <c r="A50" i="146" s="1"/>
  <c r="A51" i="146" s="1"/>
  <c r="A52" i="146" s="1"/>
  <c r="A53" i="146" s="1"/>
  <c r="A54" i="146" s="1"/>
  <c r="A55" i="146" s="1"/>
  <c r="A56" i="146" s="1"/>
  <c r="A57" i="146" s="1"/>
  <c r="A58" i="146" s="1"/>
  <c r="A59" i="146" s="1"/>
  <c r="A60" i="146" s="1"/>
  <c r="A61" i="146" s="1"/>
  <c r="A62" i="146" s="1"/>
  <c r="A63" i="146" s="1"/>
  <c r="A64" i="146" s="1"/>
  <c r="A65" i="146" s="1"/>
  <c r="A66" i="146" s="1"/>
  <c r="A67" i="146" s="1"/>
  <c r="A68" i="146" s="1"/>
  <c r="A69" i="146" s="1"/>
  <c r="A70" i="146" s="1"/>
  <c r="A71" i="146" s="1"/>
  <c r="A72" i="146" s="1"/>
  <c r="A73" i="146" s="1"/>
  <c r="A74" i="146" s="1"/>
  <c r="A75" i="146" s="1"/>
  <c r="A76" i="146" s="1"/>
  <c r="A77" i="146" s="1"/>
  <c r="A78" i="146" s="1"/>
  <c r="A79" i="146" s="1"/>
  <c r="A80" i="146" s="1"/>
  <c r="A81" i="146" s="1"/>
  <c r="A82" i="146" s="1"/>
  <c r="A83" i="146" s="1"/>
  <c r="A84" i="146" s="1"/>
  <c r="A85" i="146" s="1"/>
  <c r="A86" i="146" s="1"/>
  <c r="A87" i="146" s="1"/>
  <c r="A88" i="146" s="1"/>
  <c r="A89" i="146" s="1"/>
  <c r="A90" i="146" s="1"/>
  <c r="A91" i="146" s="1"/>
  <c r="A92" i="146" s="1"/>
  <c r="A93" i="146" s="1"/>
  <c r="A94" i="146" s="1"/>
  <c r="A95" i="146" s="1"/>
  <c r="A96" i="146" s="1"/>
  <c r="A97" i="146" s="1"/>
  <c r="A98" i="146" s="1"/>
  <c r="A99" i="146" s="1"/>
  <c r="A100" i="146" s="1"/>
  <c r="A101" i="146" s="1"/>
  <c r="A102" i="146" s="1"/>
  <c r="A103" i="146" s="1"/>
  <c r="A104" i="146" s="1"/>
  <c r="A105" i="146" s="1"/>
  <c r="A106" i="146" s="1"/>
  <c r="A107" i="146" s="1"/>
  <c r="A108" i="146" s="1"/>
  <c r="E90" i="157" l="1"/>
  <c r="W90" i="157" s="1"/>
  <c r="E93" i="157"/>
  <c r="W93" i="157" s="1"/>
  <c r="E95" i="156"/>
  <c r="W95" i="156" s="1"/>
  <c r="E10" i="157"/>
  <c r="W10" i="157" s="1"/>
  <c r="E68" i="157"/>
  <c r="W68" i="157" s="1"/>
  <c r="E51" i="157"/>
  <c r="W51" i="157" s="1"/>
  <c r="E83" i="157"/>
  <c r="W83" i="157" s="1"/>
  <c r="E94" i="157"/>
  <c r="W94" i="157" s="1"/>
  <c r="E68" i="156"/>
  <c r="W68" i="156" s="1"/>
  <c r="E15" i="157"/>
  <c r="W15" i="157" s="1"/>
  <c r="E100" i="157"/>
  <c r="W100" i="157" s="1"/>
  <c r="E59" i="157"/>
  <c r="W59" i="157" s="1"/>
  <c r="F32" i="173"/>
  <c r="E32" i="173" s="1"/>
  <c r="E39" i="156"/>
  <c r="W39" i="156" s="1"/>
  <c r="E30" i="156"/>
  <c r="W30" i="156" s="1"/>
  <c r="D24" i="168"/>
  <c r="V23" i="168"/>
  <c r="F20" i="167"/>
  <c r="X19" i="167"/>
  <c r="Y19" i="167" s="1"/>
  <c r="E54" i="156"/>
  <c r="W54" i="156" s="1"/>
  <c r="E73" i="156"/>
  <c r="W73" i="156" s="1"/>
  <c r="E70" i="156"/>
  <c r="W70" i="156" s="1"/>
  <c r="E22" i="156"/>
  <c r="W22" i="156" s="1"/>
  <c r="D22" i="165"/>
  <c r="V21" i="165"/>
  <c r="F20" i="166"/>
  <c r="X19" i="166"/>
  <c r="Y19" i="166" s="1"/>
  <c r="F21" i="165"/>
  <c r="X20" i="165"/>
  <c r="Y20" i="165" s="1"/>
  <c r="C32" i="173"/>
  <c r="E46" i="156"/>
  <c r="W46" i="156" s="1"/>
  <c r="E80" i="156"/>
  <c r="W80" i="156" s="1"/>
  <c r="E97" i="156"/>
  <c r="W97" i="156" s="1"/>
  <c r="D20" i="167"/>
  <c r="V19" i="167"/>
  <c r="D22" i="157"/>
  <c r="V21" i="157"/>
  <c r="D21" i="146"/>
  <c r="V20" i="146"/>
  <c r="D21" i="166"/>
  <c r="V20" i="166"/>
  <c r="E21" i="156"/>
  <c r="W21" i="156" s="1"/>
  <c r="A8" i="151"/>
  <c r="E92" i="156"/>
  <c r="W92" i="156" s="1"/>
  <c r="P32" i="173"/>
  <c r="E22" i="164"/>
  <c r="W21" i="164"/>
  <c r="E23" i="163"/>
  <c r="W22" i="163"/>
  <c r="E64" i="156"/>
  <c r="W64" i="156" s="1"/>
  <c r="E74" i="156"/>
  <c r="W74" i="156" s="1"/>
  <c r="E89" i="156"/>
  <c r="W89" i="156" s="1"/>
  <c r="E93" i="156"/>
  <c r="W93" i="156" s="1"/>
  <c r="E106" i="156"/>
  <c r="W106" i="156" s="1"/>
  <c r="E82" i="156"/>
  <c r="W82" i="156" s="1"/>
  <c r="E38" i="156"/>
  <c r="W38" i="156" s="1"/>
  <c r="E77" i="156"/>
  <c r="W77" i="156" s="1"/>
  <c r="E55" i="156"/>
  <c r="W55" i="156" s="1"/>
  <c r="E76" i="156"/>
  <c r="W76" i="156" s="1"/>
  <c r="E72" i="156"/>
  <c r="W72" i="156" s="1"/>
  <c r="E88" i="156"/>
  <c r="W88" i="156" s="1"/>
  <c r="E63" i="156"/>
  <c r="W63" i="156" s="1"/>
  <c r="E11" i="156"/>
  <c r="W11" i="156" s="1"/>
  <c r="E62" i="156"/>
  <c r="W62" i="156" s="1"/>
  <c r="E31" i="156"/>
  <c r="W31" i="156" s="1"/>
  <c r="E40" i="156"/>
  <c r="W40" i="156" s="1"/>
  <c r="E8" i="156"/>
  <c r="W8" i="156" s="1"/>
  <c r="E6" i="156"/>
  <c r="W6" i="156" s="1"/>
  <c r="E17" i="156"/>
  <c r="W17" i="156" s="1"/>
  <c r="E35" i="156"/>
  <c r="W35" i="156" s="1"/>
  <c r="E43" i="156"/>
  <c r="W43" i="156" s="1"/>
  <c r="E10" i="156"/>
  <c r="W10" i="156" s="1"/>
  <c r="E20" i="156"/>
  <c r="W20" i="156" s="1"/>
  <c r="E34" i="156"/>
  <c r="W34" i="156" s="1"/>
  <c r="E67" i="156"/>
  <c r="W67" i="156" s="1"/>
  <c r="E105" i="156"/>
  <c r="W105" i="156" s="1"/>
  <c r="E41" i="156"/>
  <c r="W41" i="156" s="1"/>
  <c r="E59" i="156"/>
  <c r="W59" i="156" s="1"/>
  <c r="E26" i="156"/>
  <c r="W26" i="156" s="1"/>
  <c r="E100" i="156"/>
  <c r="W100" i="156" s="1"/>
  <c r="E66" i="156"/>
  <c r="W66" i="156" s="1"/>
  <c r="E98" i="156"/>
  <c r="W98" i="156" s="1"/>
  <c r="E28" i="156"/>
  <c r="W28" i="156" s="1"/>
  <c r="E4" i="156"/>
  <c r="W4" i="156" s="1"/>
  <c r="Y4" i="156" s="1"/>
  <c r="E33" i="156"/>
  <c r="W33" i="156" s="1"/>
  <c r="E32" i="156"/>
  <c r="W32" i="156" s="1"/>
  <c r="E18" i="156"/>
  <c r="W18" i="156" s="1"/>
  <c r="E58" i="156"/>
  <c r="W58" i="156" s="1"/>
  <c r="E9" i="156"/>
  <c r="W9" i="156" s="1"/>
  <c r="E85" i="156"/>
  <c r="W85" i="156" s="1"/>
  <c r="E81" i="156"/>
  <c r="W81" i="156" s="1"/>
  <c r="E7" i="156"/>
  <c r="W7" i="156" s="1"/>
  <c r="E42" i="156"/>
  <c r="W42" i="156" s="1"/>
  <c r="E47" i="156"/>
  <c r="W47" i="156" s="1"/>
  <c r="E19" i="156"/>
  <c r="W19" i="156" s="1"/>
  <c r="E15" i="156"/>
  <c r="W15" i="156" s="1"/>
  <c r="E12" i="156"/>
  <c r="W12" i="156" s="1"/>
  <c r="E24" i="156"/>
  <c r="W24" i="156" s="1"/>
  <c r="E61" i="156"/>
  <c r="W61" i="156" s="1"/>
  <c r="E14" i="156"/>
  <c r="W14" i="156" s="1"/>
  <c r="E56" i="156"/>
  <c r="W56" i="156" s="1"/>
  <c r="E53" i="156"/>
  <c r="W53" i="156" s="1"/>
  <c r="E48" i="156"/>
  <c r="W48" i="156" s="1"/>
  <c r="E101" i="156"/>
  <c r="W101" i="156" s="1"/>
  <c r="E87" i="156"/>
  <c r="W87" i="156" s="1"/>
  <c r="E60" i="156"/>
  <c r="W60" i="156" s="1"/>
  <c r="E36" i="156"/>
  <c r="W36" i="156" s="1"/>
  <c r="E91" i="156"/>
  <c r="W91" i="156" s="1"/>
  <c r="E13" i="156"/>
  <c r="W13" i="156" s="1"/>
  <c r="E102" i="156"/>
  <c r="W102" i="156" s="1"/>
  <c r="E94" i="156"/>
  <c r="W94" i="156" s="1"/>
  <c r="E103" i="156"/>
  <c r="W103" i="156" s="1"/>
  <c r="E52" i="156"/>
  <c r="W52" i="156" s="1"/>
  <c r="E78" i="156"/>
  <c r="W78" i="156" s="1"/>
  <c r="E71" i="156"/>
  <c r="W71" i="156" s="1"/>
  <c r="E37" i="156"/>
  <c r="W37" i="156" s="1"/>
  <c r="E27" i="156"/>
  <c r="W27" i="156" s="1"/>
  <c r="E69" i="156"/>
  <c r="W69" i="156" s="1"/>
  <c r="E65" i="156"/>
  <c r="W65" i="156" s="1"/>
  <c r="E50" i="156"/>
  <c r="W50" i="156" s="1"/>
  <c r="E83" i="156"/>
  <c r="W83" i="156" s="1"/>
  <c r="E75" i="156"/>
  <c r="W75" i="156" s="1"/>
  <c r="E49" i="156"/>
  <c r="W49" i="156" s="1"/>
  <c r="E51" i="156"/>
  <c r="W51" i="156" s="1"/>
  <c r="E84" i="156"/>
  <c r="W84" i="156" s="1"/>
  <c r="E23" i="156"/>
  <c r="W23" i="156" s="1"/>
  <c r="E79" i="156"/>
  <c r="W79" i="156" s="1"/>
  <c r="E90" i="156"/>
  <c r="W90" i="156" s="1"/>
  <c r="E5" i="156"/>
  <c r="W5" i="156" s="1"/>
  <c r="Y5" i="156" s="1"/>
  <c r="E99" i="156"/>
  <c r="W99" i="156" s="1"/>
  <c r="E107" i="156"/>
  <c r="W107" i="156" s="1"/>
  <c r="E86" i="156"/>
  <c r="W86" i="156" s="1"/>
  <c r="E96" i="156"/>
  <c r="W96" i="156" s="1"/>
  <c r="E44" i="156"/>
  <c r="W44" i="156" s="1"/>
  <c r="E25" i="156"/>
  <c r="W25" i="156" s="1"/>
  <c r="E29" i="156"/>
  <c r="W29" i="156" s="1"/>
  <c r="E45" i="156"/>
  <c r="W45" i="156" s="1"/>
  <c r="E104" i="156"/>
  <c r="W104" i="156" s="1"/>
  <c r="E16" i="156"/>
  <c r="W16" i="156" s="1"/>
  <c r="E67" i="157"/>
  <c r="W67" i="157" s="1"/>
  <c r="E29" i="157"/>
  <c r="W29" i="157" s="1"/>
  <c r="E16" i="157"/>
  <c r="W16" i="157" s="1"/>
  <c r="E7" i="157"/>
  <c r="W7" i="157" s="1"/>
  <c r="E42" i="157"/>
  <c r="W42" i="157" s="1"/>
  <c r="E33" i="157"/>
  <c r="W33" i="157" s="1"/>
  <c r="E26" i="157"/>
  <c r="W26" i="157" s="1"/>
  <c r="E57" i="157"/>
  <c r="W57" i="157" s="1"/>
  <c r="E88" i="157"/>
  <c r="W88" i="157" s="1"/>
  <c r="E18" i="157"/>
  <c r="W18" i="157" s="1"/>
  <c r="E49" i="157"/>
  <c r="W49" i="157" s="1"/>
  <c r="E92" i="157"/>
  <c r="W92" i="157" s="1"/>
  <c r="E89" i="157"/>
  <c r="W89" i="157" s="1"/>
  <c r="E25" i="157"/>
  <c r="W25" i="157" s="1"/>
  <c r="E46" i="157"/>
  <c r="W46" i="157" s="1"/>
  <c r="E86" i="157"/>
  <c r="W86" i="157" s="1"/>
  <c r="E12" i="157"/>
  <c r="W12" i="157" s="1"/>
  <c r="E64" i="157"/>
  <c r="W64" i="157" s="1"/>
  <c r="E5" i="157"/>
  <c r="W5" i="157" s="1"/>
  <c r="Y5" i="157" s="1"/>
  <c r="E66" i="157"/>
  <c r="W66" i="157" s="1"/>
  <c r="E56" i="157"/>
  <c r="W56" i="157" s="1"/>
  <c r="E11" i="157"/>
  <c r="W11" i="157" s="1"/>
  <c r="E43" i="157"/>
  <c r="W43" i="157" s="1"/>
  <c r="E62" i="157"/>
  <c r="W62" i="157" s="1"/>
  <c r="E38" i="157"/>
  <c r="W38" i="157" s="1"/>
  <c r="E60" i="157"/>
  <c r="W60" i="157" s="1"/>
  <c r="E53" i="157"/>
  <c r="W53" i="157" s="1"/>
  <c r="E9" i="157"/>
  <c r="W9" i="157" s="1"/>
  <c r="E32" i="157"/>
  <c r="W32" i="157" s="1"/>
  <c r="E81" i="157"/>
  <c r="W81" i="157" s="1"/>
  <c r="E91" i="157"/>
  <c r="W91" i="157" s="1"/>
  <c r="E63" i="157"/>
  <c r="W63" i="157" s="1"/>
  <c r="E76" i="157"/>
  <c r="W76" i="157" s="1"/>
  <c r="E71" i="157"/>
  <c r="W71" i="157" s="1"/>
  <c r="E40" i="157"/>
  <c r="W40" i="157" s="1"/>
  <c r="E95" i="157"/>
  <c r="W95" i="157" s="1"/>
  <c r="E102" i="157"/>
  <c r="W102" i="157" s="1"/>
  <c r="E98" i="157"/>
  <c r="W98" i="157" s="1"/>
  <c r="E24" i="157"/>
  <c r="W24" i="157" s="1"/>
  <c r="E80" i="157"/>
  <c r="W80" i="157" s="1"/>
  <c r="E14" i="157"/>
  <c r="W14" i="157" s="1"/>
  <c r="E21" i="157"/>
  <c r="W21" i="157" s="1"/>
  <c r="E13" i="157"/>
  <c r="W13" i="157" s="1"/>
  <c r="E75" i="157"/>
  <c r="W75" i="157" s="1"/>
  <c r="E34" i="157"/>
  <c r="W34" i="157" s="1"/>
  <c r="E19" i="157"/>
  <c r="W19" i="157" s="1"/>
  <c r="E8" i="157"/>
  <c r="W8" i="157" s="1"/>
  <c r="E70" i="157"/>
  <c r="W70" i="157" s="1"/>
  <c r="E17" i="157"/>
  <c r="W17" i="157" s="1"/>
  <c r="E103" i="157"/>
  <c r="W103" i="157" s="1"/>
  <c r="E97" i="157"/>
  <c r="W97" i="157" s="1"/>
  <c r="E73" i="157"/>
  <c r="W73" i="157" s="1"/>
  <c r="E22" i="157"/>
  <c r="W22" i="157" s="1"/>
  <c r="E44" i="157"/>
  <c r="W44" i="157" s="1"/>
  <c r="E45" i="157"/>
  <c r="W45" i="157" s="1"/>
  <c r="E20" i="157"/>
  <c r="W20" i="157" s="1"/>
  <c r="E27" i="157"/>
  <c r="W27" i="157" s="1"/>
  <c r="E50" i="157"/>
  <c r="W50" i="157" s="1"/>
  <c r="E87" i="157"/>
  <c r="W87" i="157" s="1"/>
  <c r="E105" i="157"/>
  <c r="W105" i="157" s="1"/>
  <c r="E77" i="157"/>
  <c r="W77" i="157" s="1"/>
  <c r="E28" i="157"/>
  <c r="W28" i="157" s="1"/>
  <c r="E101" i="157"/>
  <c r="W101" i="157" s="1"/>
  <c r="E48" i="157"/>
  <c r="W48" i="157" s="1"/>
  <c r="E30" i="157"/>
  <c r="W30" i="157" s="1"/>
  <c r="E74" i="157"/>
  <c r="W74" i="157" s="1"/>
  <c r="E36" i="157"/>
  <c r="W36" i="157" s="1"/>
  <c r="E6" i="157"/>
  <c r="W6" i="157" s="1"/>
  <c r="E72" i="157"/>
  <c r="W72" i="157" s="1"/>
  <c r="E79" i="157"/>
  <c r="W79" i="157" s="1"/>
  <c r="E31" i="157"/>
  <c r="W31" i="157" s="1"/>
  <c r="E37" i="157"/>
  <c r="W37" i="157" s="1"/>
  <c r="E4" i="157"/>
  <c r="W4" i="157" s="1"/>
  <c r="Y4" i="157" s="1"/>
  <c r="E99" i="157"/>
  <c r="W99" i="157" s="1"/>
  <c r="E54" i="157"/>
  <c r="W54" i="157" s="1"/>
  <c r="E96" i="157"/>
  <c r="W96" i="157" s="1"/>
  <c r="E52" i="157"/>
  <c r="W52" i="157" s="1"/>
  <c r="E104" i="157"/>
  <c r="W104" i="157" s="1"/>
  <c r="E78" i="157"/>
  <c r="W78" i="157" s="1"/>
  <c r="E35" i="157"/>
  <c r="W35" i="157" s="1"/>
  <c r="E23" i="157"/>
  <c r="W23" i="157" s="1"/>
  <c r="E39" i="157"/>
  <c r="W39" i="157" s="1"/>
  <c r="E41" i="157"/>
  <c r="W41" i="157" s="1"/>
  <c r="E85" i="157"/>
  <c r="W85" i="157" s="1"/>
  <c r="E55" i="157"/>
  <c r="W55" i="157" s="1"/>
  <c r="E82" i="157"/>
  <c r="W82" i="157" s="1"/>
  <c r="E65" i="157"/>
  <c r="W65" i="157" s="1"/>
  <c r="E69" i="157"/>
  <c r="W69" i="157" s="1"/>
  <c r="E47" i="157"/>
  <c r="W47" i="157" s="1"/>
  <c r="E106" i="157"/>
  <c r="W106" i="157" s="1"/>
  <c r="E61" i="157"/>
  <c r="W61" i="157" s="1"/>
  <c r="E58" i="157"/>
  <c r="W58" i="157" s="1"/>
  <c r="W7" i="146"/>
  <c r="J17" i="146"/>
  <c r="J16" i="146"/>
  <c r="J18" i="146"/>
  <c r="F6" i="146"/>
  <c r="X6" i="146" s="1"/>
  <c r="Y6" i="146" s="1"/>
  <c r="E8" i="168"/>
  <c r="W8" i="168" s="1"/>
  <c r="E35" i="168"/>
  <c r="W35" i="168" s="1"/>
  <c r="E82" i="168"/>
  <c r="W82" i="168" s="1"/>
  <c r="E40" i="168"/>
  <c r="W40" i="168" s="1"/>
  <c r="E25" i="168"/>
  <c r="W25" i="168" s="1"/>
  <c r="E19" i="168"/>
  <c r="W19" i="168" s="1"/>
  <c r="E75" i="168"/>
  <c r="W75" i="168" s="1"/>
  <c r="E33" i="168"/>
  <c r="W33" i="168" s="1"/>
  <c r="E43" i="168"/>
  <c r="W43" i="168" s="1"/>
  <c r="E73" i="168"/>
  <c r="W73" i="168" s="1"/>
  <c r="E100" i="168"/>
  <c r="W100" i="168" s="1"/>
  <c r="E63" i="168"/>
  <c r="W63" i="168" s="1"/>
  <c r="E108" i="168"/>
  <c r="W108" i="168" s="1"/>
  <c r="E85" i="168"/>
  <c r="W85" i="168" s="1"/>
  <c r="E77" i="168"/>
  <c r="W77" i="168" s="1"/>
  <c r="E13" i="168"/>
  <c r="W13" i="168" s="1"/>
  <c r="E28" i="168"/>
  <c r="W28" i="168" s="1"/>
  <c r="E67" i="168"/>
  <c r="W67" i="168" s="1"/>
  <c r="E24" i="168"/>
  <c r="W24" i="168" s="1"/>
  <c r="E54" i="168"/>
  <c r="W54" i="168" s="1"/>
  <c r="E20" i="168"/>
  <c r="W20" i="168" s="1"/>
  <c r="E31" i="168"/>
  <c r="W31" i="168" s="1"/>
  <c r="E92" i="168"/>
  <c r="W92" i="168" s="1"/>
  <c r="E91" i="168"/>
  <c r="W91" i="168" s="1"/>
  <c r="E5" i="168"/>
  <c r="W5" i="168" s="1"/>
  <c r="Y5" i="168" s="1"/>
  <c r="E87" i="168"/>
  <c r="W87" i="168" s="1"/>
  <c r="E97" i="168"/>
  <c r="W97" i="168" s="1"/>
  <c r="E4" i="168"/>
  <c r="W4" i="168" s="1"/>
  <c r="Y4" i="168" s="1"/>
  <c r="E96" i="168"/>
  <c r="W96" i="168" s="1"/>
  <c r="E74" i="168"/>
  <c r="W74" i="168" s="1"/>
  <c r="E88" i="168"/>
  <c r="W88" i="168" s="1"/>
  <c r="E56" i="168"/>
  <c r="W56" i="168" s="1"/>
  <c r="E6" i="168"/>
  <c r="E21" i="168"/>
  <c r="W21" i="168" s="1"/>
  <c r="E45" i="168"/>
  <c r="W45" i="168" s="1"/>
  <c r="E62" i="168"/>
  <c r="W62" i="168" s="1"/>
  <c r="E38" i="168"/>
  <c r="W38" i="168" s="1"/>
  <c r="E90" i="168"/>
  <c r="W90" i="168" s="1"/>
  <c r="E48" i="168"/>
  <c r="W48" i="168" s="1"/>
  <c r="E32" i="168"/>
  <c r="W32" i="168" s="1"/>
  <c r="E71" i="168"/>
  <c r="W71" i="168" s="1"/>
  <c r="E16" i="168"/>
  <c r="W16" i="168" s="1"/>
  <c r="E47" i="168"/>
  <c r="W47" i="168" s="1"/>
  <c r="E81" i="168"/>
  <c r="W81" i="168" s="1"/>
  <c r="E86" i="168"/>
  <c r="W86" i="168" s="1"/>
  <c r="E64" i="168"/>
  <c r="W64" i="168" s="1"/>
  <c r="E95" i="168"/>
  <c r="W95" i="168" s="1"/>
  <c r="E37" i="168"/>
  <c r="W37" i="168" s="1"/>
  <c r="E41" i="168"/>
  <c r="W41" i="168" s="1"/>
  <c r="E46" i="168"/>
  <c r="W46" i="168" s="1"/>
  <c r="E18" i="168"/>
  <c r="W18" i="168" s="1"/>
  <c r="E51" i="168"/>
  <c r="W51" i="168" s="1"/>
  <c r="E36" i="168"/>
  <c r="W36" i="168" s="1"/>
  <c r="E106" i="168"/>
  <c r="W106" i="168" s="1"/>
  <c r="E57" i="168"/>
  <c r="W57" i="168" s="1"/>
  <c r="E22" i="168"/>
  <c r="W22" i="168" s="1"/>
  <c r="E104" i="168"/>
  <c r="W104" i="168" s="1"/>
  <c r="E49" i="168"/>
  <c r="W49" i="168" s="1"/>
  <c r="E12" i="168"/>
  <c r="W12" i="168" s="1"/>
  <c r="E7" i="168"/>
  <c r="W7" i="168" s="1"/>
  <c r="E78" i="168"/>
  <c r="W78" i="168" s="1"/>
  <c r="E79" i="168"/>
  <c r="W79" i="168" s="1"/>
  <c r="E39" i="168"/>
  <c r="W39" i="168" s="1"/>
  <c r="E52" i="168"/>
  <c r="W52" i="168" s="1"/>
  <c r="E29" i="168"/>
  <c r="W29" i="168" s="1"/>
  <c r="E10" i="168"/>
  <c r="W10" i="168" s="1"/>
  <c r="E17" i="168"/>
  <c r="W17" i="168" s="1"/>
  <c r="E105" i="168"/>
  <c r="W105" i="168" s="1"/>
  <c r="E30" i="168"/>
  <c r="W30" i="168" s="1"/>
  <c r="E68" i="168"/>
  <c r="W68" i="168" s="1"/>
  <c r="E26" i="168"/>
  <c r="W26" i="168" s="1"/>
  <c r="E65" i="168"/>
  <c r="W65" i="168" s="1"/>
  <c r="E72" i="168"/>
  <c r="W72" i="168" s="1"/>
  <c r="E27" i="168"/>
  <c r="W27" i="168" s="1"/>
  <c r="E107" i="168"/>
  <c r="W107" i="168" s="1"/>
  <c r="E70" i="168"/>
  <c r="W70" i="168" s="1"/>
  <c r="E42" i="168"/>
  <c r="W42" i="168" s="1"/>
  <c r="E93" i="168"/>
  <c r="W93" i="168" s="1"/>
  <c r="E80" i="168"/>
  <c r="W80" i="168" s="1"/>
  <c r="E55" i="168"/>
  <c r="W55" i="168" s="1"/>
  <c r="E60" i="168"/>
  <c r="W60" i="168" s="1"/>
  <c r="E89" i="168"/>
  <c r="W89" i="168" s="1"/>
  <c r="E59" i="168"/>
  <c r="W59" i="168" s="1"/>
  <c r="E53" i="168"/>
  <c r="W53" i="168" s="1"/>
  <c r="E69" i="168"/>
  <c r="W69" i="168" s="1"/>
  <c r="E101" i="168"/>
  <c r="W101" i="168" s="1"/>
  <c r="E23" i="168"/>
  <c r="W23" i="168" s="1"/>
  <c r="E15" i="168"/>
  <c r="W15" i="168" s="1"/>
  <c r="E99" i="168"/>
  <c r="W99" i="168" s="1"/>
  <c r="E50" i="168"/>
  <c r="W50" i="168" s="1"/>
  <c r="E66" i="168"/>
  <c r="W66" i="168" s="1"/>
  <c r="E94" i="168"/>
  <c r="W94" i="168" s="1"/>
  <c r="E103" i="168"/>
  <c r="W103" i="168" s="1"/>
  <c r="E14" i="168"/>
  <c r="W14" i="168" s="1"/>
  <c r="E102" i="168"/>
  <c r="W102" i="168" s="1"/>
  <c r="E76" i="168"/>
  <c r="W76" i="168" s="1"/>
  <c r="E98" i="168"/>
  <c r="W98" i="168" s="1"/>
  <c r="E34" i="168"/>
  <c r="W34" i="168" s="1"/>
  <c r="E61" i="168"/>
  <c r="W61" i="168" s="1"/>
  <c r="E11" i="168"/>
  <c r="W11" i="168" s="1"/>
  <c r="E44" i="168"/>
  <c r="W44" i="168" s="1"/>
  <c r="E83" i="168"/>
  <c r="W83" i="168" s="1"/>
  <c r="E58" i="168"/>
  <c r="W58" i="168" s="1"/>
  <c r="E9" i="168"/>
  <c r="W9" i="168" s="1"/>
  <c r="E84" i="168"/>
  <c r="W84" i="168" s="1"/>
  <c r="X7" i="155"/>
  <c r="Y7" i="155" s="1"/>
  <c r="F8" i="155"/>
  <c r="G18" i="163"/>
  <c r="Y17" i="163"/>
  <c r="Z17" i="163" s="1"/>
  <c r="G20" i="164"/>
  <c r="Y19" i="164"/>
  <c r="Z19" i="164" s="1"/>
  <c r="C16" i="161"/>
  <c r="D16" i="161" s="1"/>
  <c r="C17" i="161" s="1"/>
  <c r="G15" i="161"/>
  <c r="F15" i="161"/>
  <c r="F16" i="161"/>
  <c r="G16" i="161"/>
  <c r="J20" i="152"/>
  <c r="O7" i="152"/>
  <c r="O9" i="152" s="1"/>
  <c r="D20" i="149"/>
  <c r="D7" i="149"/>
  <c r="D6" i="149"/>
  <c r="D65" i="147"/>
  <c r="U64" i="147"/>
  <c r="D7" i="147"/>
  <c r="U6" i="147"/>
  <c r="D37" i="147"/>
  <c r="U36" i="147"/>
  <c r="D95" i="147"/>
  <c r="U94" i="147"/>
  <c r="P7" i="143"/>
  <c r="P6" i="143"/>
  <c r="A8" i="143"/>
  <c r="A9" i="143" s="1"/>
  <c r="A10" i="143" s="1"/>
  <c r="A11" i="143" s="1"/>
  <c r="A12" i="143" s="1"/>
  <c r="A13" i="143" s="1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A43" i="143" s="1"/>
  <c r="A44" i="143" s="1"/>
  <c r="A45" i="143" s="1"/>
  <c r="A46" i="143" s="1"/>
  <c r="A47" i="143" s="1"/>
  <c r="A48" i="143" s="1"/>
  <c r="A49" i="143" s="1"/>
  <c r="A50" i="143" s="1"/>
  <c r="A51" i="143" s="1"/>
  <c r="A52" i="143" s="1"/>
  <c r="A53" i="143" s="1"/>
  <c r="A54" i="143" s="1"/>
  <c r="A55" i="143" s="1"/>
  <c r="A56" i="143" s="1"/>
  <c r="A57" i="143" s="1"/>
  <c r="A58" i="143" s="1"/>
  <c r="A59" i="143" s="1"/>
  <c r="A60" i="143" s="1"/>
  <c r="A61" i="143" s="1"/>
  <c r="A62" i="143" s="1"/>
  <c r="A63" i="143" s="1"/>
  <c r="A64" i="143" s="1"/>
  <c r="A65" i="143" s="1"/>
  <c r="A66" i="143" s="1"/>
  <c r="A67" i="143" s="1"/>
  <c r="A68" i="143" s="1"/>
  <c r="A69" i="143" s="1"/>
  <c r="A70" i="143" s="1"/>
  <c r="A71" i="143" s="1"/>
  <c r="A72" i="143" s="1"/>
  <c r="A73" i="143" s="1"/>
  <c r="A74" i="143" s="1"/>
  <c r="A75" i="143" s="1"/>
  <c r="A76" i="143" s="1"/>
  <c r="A77" i="143" s="1"/>
  <c r="A78" i="143" s="1"/>
  <c r="A79" i="143" s="1"/>
  <c r="A80" i="143" s="1"/>
  <c r="A81" i="143" s="1"/>
  <c r="A82" i="143" s="1"/>
  <c r="A83" i="143" s="1"/>
  <c r="A84" i="143" s="1"/>
  <c r="A85" i="143" s="1"/>
  <c r="A86" i="143" s="1"/>
  <c r="A87" i="143" s="1"/>
  <c r="A88" i="143" s="1"/>
  <c r="A89" i="143" s="1"/>
  <c r="A90" i="143" s="1"/>
  <c r="A91" i="143" s="1"/>
  <c r="A92" i="143" s="1"/>
  <c r="A93" i="143" s="1"/>
  <c r="A94" i="143" s="1"/>
  <c r="A95" i="143" s="1"/>
  <c r="A96" i="143" s="1"/>
  <c r="A97" i="143" s="1"/>
  <c r="A98" i="143" s="1"/>
  <c r="A99" i="143" s="1"/>
  <c r="A100" i="143" s="1"/>
  <c r="A101" i="143" s="1"/>
  <c r="A102" i="143" s="1"/>
  <c r="A103" i="143" s="1"/>
  <c r="A104" i="143" s="1"/>
  <c r="A105" i="143" s="1"/>
  <c r="A106" i="143" s="1"/>
  <c r="A107" i="143" s="1"/>
  <c r="A108" i="143" s="1"/>
  <c r="A109" i="143" s="1"/>
  <c r="A110" i="143" s="1"/>
  <c r="A111" i="143" s="1"/>
  <c r="J7" i="143"/>
  <c r="P8" i="143" s="1"/>
  <c r="E7" i="143"/>
  <c r="E8" i="143" s="1"/>
  <c r="E9" i="143" s="1"/>
  <c r="C7" i="143"/>
  <c r="C8" i="143" s="1"/>
  <c r="AD7" i="142"/>
  <c r="AD8" i="142" s="1"/>
  <c r="AD9" i="142" s="1"/>
  <c r="AD10" i="142" s="1"/>
  <c r="AD11" i="142" s="1"/>
  <c r="AD12" i="142" s="1"/>
  <c r="AD13" i="142" s="1"/>
  <c r="AD14" i="142" s="1"/>
  <c r="AD15" i="142" s="1"/>
  <c r="AD16" i="142" s="1"/>
  <c r="AD17" i="142" s="1"/>
  <c r="AD18" i="142" s="1"/>
  <c r="AD19" i="142" s="1"/>
  <c r="AD20" i="142" s="1"/>
  <c r="AD21" i="142" s="1"/>
  <c r="AD22" i="142" s="1"/>
  <c r="AD23" i="142" s="1"/>
  <c r="AD24" i="142" s="1"/>
  <c r="AD25" i="142" s="1"/>
  <c r="AD26" i="142" s="1"/>
  <c r="AD27" i="142" s="1"/>
  <c r="AD28" i="142" s="1"/>
  <c r="AD29" i="142" s="1"/>
  <c r="AD30" i="142" s="1"/>
  <c r="AD31" i="142" s="1"/>
  <c r="AD32" i="142" s="1"/>
  <c r="AD33" i="142" s="1"/>
  <c r="AD34" i="142" s="1"/>
  <c r="AD35" i="142" s="1"/>
  <c r="AD36" i="142" s="1"/>
  <c r="AD37" i="142" s="1"/>
  <c r="AD38" i="142" s="1"/>
  <c r="AD39" i="142" s="1"/>
  <c r="AD40" i="142" s="1"/>
  <c r="AD41" i="142" s="1"/>
  <c r="AD42" i="142" s="1"/>
  <c r="AD43" i="142" s="1"/>
  <c r="AD44" i="142" s="1"/>
  <c r="AD45" i="142" s="1"/>
  <c r="AD46" i="142" s="1"/>
  <c r="AD47" i="142" s="1"/>
  <c r="AD48" i="142" s="1"/>
  <c r="AD49" i="142" s="1"/>
  <c r="AD50" i="142" s="1"/>
  <c r="AD51" i="142" s="1"/>
  <c r="AD52" i="142" s="1"/>
  <c r="AD53" i="142" s="1"/>
  <c r="AD54" i="142" s="1"/>
  <c r="AD55" i="142" s="1"/>
  <c r="AD56" i="142" s="1"/>
  <c r="AD57" i="142" s="1"/>
  <c r="AD58" i="142" s="1"/>
  <c r="AD59" i="142" s="1"/>
  <c r="AD60" i="142" s="1"/>
  <c r="AD61" i="142" s="1"/>
  <c r="AD62" i="142" s="1"/>
  <c r="AD63" i="142" s="1"/>
  <c r="AD64" i="142" s="1"/>
  <c r="AD65" i="142" s="1"/>
  <c r="AD66" i="142" s="1"/>
  <c r="AD67" i="142" s="1"/>
  <c r="AD68" i="142" s="1"/>
  <c r="AD69" i="142" s="1"/>
  <c r="AD70" i="142" s="1"/>
  <c r="AD71" i="142" s="1"/>
  <c r="AD72" i="142" s="1"/>
  <c r="AD73" i="142" s="1"/>
  <c r="AD74" i="142" s="1"/>
  <c r="AD75" i="142" s="1"/>
  <c r="AD76" i="142" s="1"/>
  <c r="AD77" i="142" s="1"/>
  <c r="AD78" i="142" s="1"/>
  <c r="AD79" i="142" s="1"/>
  <c r="AD80" i="142" s="1"/>
  <c r="AD81" i="142" s="1"/>
  <c r="AD82" i="142" s="1"/>
  <c r="AD83" i="142" s="1"/>
  <c r="AD84" i="142" s="1"/>
  <c r="AD85" i="142" s="1"/>
  <c r="AD86" i="142" s="1"/>
  <c r="AD87" i="142" s="1"/>
  <c r="AD88" i="142" s="1"/>
  <c r="AD89" i="142" s="1"/>
  <c r="AD90" i="142" s="1"/>
  <c r="AD91" i="142" s="1"/>
  <c r="AD92" i="142" s="1"/>
  <c r="AD93" i="142" s="1"/>
  <c r="AD94" i="142" s="1"/>
  <c r="AD95" i="142" s="1"/>
  <c r="AD96" i="142" s="1"/>
  <c r="AD97" i="142" s="1"/>
  <c r="AD98" i="142" s="1"/>
  <c r="AD99" i="142" s="1"/>
  <c r="AD100" i="142" s="1"/>
  <c r="AD101" i="142" s="1"/>
  <c r="AD102" i="142" s="1"/>
  <c r="AD103" i="142" s="1"/>
  <c r="AD104" i="142" s="1"/>
  <c r="AD105" i="142" s="1"/>
  <c r="AD106" i="142" s="1"/>
  <c r="AD107" i="142" s="1"/>
  <c r="AD108" i="142" s="1"/>
  <c r="AD109" i="142" s="1"/>
  <c r="AD110" i="142" s="1"/>
  <c r="AD111" i="142" s="1"/>
  <c r="AD112" i="142" s="1"/>
  <c r="AD113" i="142" s="1"/>
  <c r="AD114" i="142" s="1"/>
  <c r="AD115" i="142" s="1"/>
  <c r="X6" i="142"/>
  <c r="V6" i="142"/>
  <c r="R7" i="142"/>
  <c r="R6" i="142"/>
  <c r="M17" i="142"/>
  <c r="M18" i="142" s="1"/>
  <c r="M19" i="142" s="1"/>
  <c r="M20" i="142" s="1"/>
  <c r="J7" i="142"/>
  <c r="R8" i="142" s="1"/>
  <c r="E7" i="142"/>
  <c r="V7" i="142" s="1"/>
  <c r="C7" i="142"/>
  <c r="F6" i="142" s="1"/>
  <c r="W6" i="142" s="1"/>
  <c r="Y6" i="142" s="1"/>
  <c r="A8" i="142"/>
  <c r="A9" i="142" s="1"/>
  <c r="A10" i="142" s="1"/>
  <c r="A11" i="142" s="1"/>
  <c r="A12" i="142" s="1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A43" i="142" s="1"/>
  <c r="A44" i="142" s="1"/>
  <c r="A45" i="142" s="1"/>
  <c r="A46" i="142" s="1"/>
  <c r="A47" i="142" s="1"/>
  <c r="A48" i="142" s="1"/>
  <c r="A49" i="142" s="1"/>
  <c r="A50" i="142" s="1"/>
  <c r="A51" i="142" s="1"/>
  <c r="A52" i="142" s="1"/>
  <c r="A53" i="142" s="1"/>
  <c r="A54" i="142" s="1"/>
  <c r="A55" i="142" s="1"/>
  <c r="A56" i="142" s="1"/>
  <c r="A57" i="142" s="1"/>
  <c r="A58" i="142" s="1"/>
  <c r="A59" i="142" s="1"/>
  <c r="A60" i="142" s="1"/>
  <c r="A61" i="142" s="1"/>
  <c r="A62" i="142" s="1"/>
  <c r="A63" i="142" s="1"/>
  <c r="A64" i="142" s="1"/>
  <c r="A65" i="142" s="1"/>
  <c r="A66" i="142" s="1"/>
  <c r="A67" i="142" s="1"/>
  <c r="A68" i="142" s="1"/>
  <c r="A69" i="142" s="1"/>
  <c r="A70" i="142" s="1"/>
  <c r="A71" i="142" s="1"/>
  <c r="A72" i="142" s="1"/>
  <c r="A73" i="142" s="1"/>
  <c r="A74" i="142" s="1"/>
  <c r="A75" i="142" s="1"/>
  <c r="A76" i="142" s="1"/>
  <c r="A77" i="142" s="1"/>
  <c r="A78" i="142" s="1"/>
  <c r="A79" i="142" s="1"/>
  <c r="A80" i="142" s="1"/>
  <c r="A81" i="142" s="1"/>
  <c r="A82" i="142" s="1"/>
  <c r="A83" i="142" s="1"/>
  <c r="A84" i="142" s="1"/>
  <c r="A85" i="142" s="1"/>
  <c r="A86" i="142" s="1"/>
  <c r="A87" i="142" s="1"/>
  <c r="A88" i="142" s="1"/>
  <c r="A89" i="142" s="1"/>
  <c r="A90" i="142" s="1"/>
  <c r="A91" i="142" s="1"/>
  <c r="A92" i="142" s="1"/>
  <c r="A93" i="142" s="1"/>
  <c r="A94" i="142" s="1"/>
  <c r="A95" i="142" s="1"/>
  <c r="A96" i="142" s="1"/>
  <c r="A97" i="142" s="1"/>
  <c r="A98" i="142" s="1"/>
  <c r="A99" i="142" s="1"/>
  <c r="A100" i="142" s="1"/>
  <c r="A101" i="142" s="1"/>
  <c r="A102" i="142" s="1"/>
  <c r="A103" i="142" s="1"/>
  <c r="A104" i="142" s="1"/>
  <c r="A105" i="142" s="1"/>
  <c r="A106" i="142" s="1"/>
  <c r="A107" i="142" s="1"/>
  <c r="A108" i="142" s="1"/>
  <c r="A109" i="142" s="1"/>
  <c r="A110" i="142" s="1"/>
  <c r="A111" i="142" s="1"/>
  <c r="C8" i="141"/>
  <c r="C9" i="141" s="1"/>
  <c r="C10" i="141" s="1"/>
  <c r="C11" i="141" s="1"/>
  <c r="C12" i="141" s="1"/>
  <c r="C13" i="141" s="1"/>
  <c r="C14" i="141" s="1"/>
  <c r="C15" i="141" s="1"/>
  <c r="C16" i="141" s="1"/>
  <c r="C17" i="141" s="1"/>
  <c r="C18" i="141" s="1"/>
  <c r="C19" i="141" s="1"/>
  <c r="C20" i="141" s="1"/>
  <c r="C21" i="141" s="1"/>
  <c r="C22" i="141" s="1"/>
  <c r="C23" i="141" s="1"/>
  <c r="C24" i="141" s="1"/>
  <c r="C25" i="141" s="1"/>
  <c r="C26" i="141" s="1"/>
  <c r="C27" i="141" s="1"/>
  <c r="C28" i="141" s="1"/>
  <c r="C29" i="141" s="1"/>
  <c r="C30" i="141" s="1"/>
  <c r="C31" i="141" s="1"/>
  <c r="C32" i="141" s="1"/>
  <c r="C33" i="141" s="1"/>
  <c r="C34" i="141" s="1"/>
  <c r="C35" i="141" s="1"/>
  <c r="C36" i="141" s="1"/>
  <c r="C37" i="141" s="1"/>
  <c r="C38" i="141" s="1"/>
  <c r="C39" i="141" s="1"/>
  <c r="C40" i="141" s="1"/>
  <c r="C41" i="141" s="1"/>
  <c r="C42" i="141" s="1"/>
  <c r="C43" i="141" s="1"/>
  <c r="C44" i="141" s="1"/>
  <c r="C45" i="141" s="1"/>
  <c r="C46" i="141" s="1"/>
  <c r="C47" i="141" s="1"/>
  <c r="C48" i="141" s="1"/>
  <c r="C49" i="141" s="1"/>
  <c r="C50" i="141" s="1"/>
  <c r="C51" i="141" s="1"/>
  <c r="C52" i="141" s="1"/>
  <c r="C53" i="141" s="1"/>
  <c r="C54" i="141" s="1"/>
  <c r="C55" i="141" s="1"/>
  <c r="C56" i="141" s="1"/>
  <c r="C57" i="141" s="1"/>
  <c r="C58" i="141" s="1"/>
  <c r="C59" i="141" s="1"/>
  <c r="C60" i="141" s="1"/>
  <c r="C61" i="141" s="1"/>
  <c r="C62" i="141" s="1"/>
  <c r="C63" i="141" s="1"/>
  <c r="C64" i="141" s="1"/>
  <c r="C65" i="141" s="1"/>
  <c r="C66" i="141" s="1"/>
  <c r="C67" i="141" s="1"/>
  <c r="C68" i="141" s="1"/>
  <c r="C69" i="141" s="1"/>
  <c r="C70" i="141" s="1"/>
  <c r="C71" i="141" s="1"/>
  <c r="C72" i="141" s="1"/>
  <c r="C73" i="141" s="1"/>
  <c r="C74" i="141" s="1"/>
  <c r="C75" i="141" s="1"/>
  <c r="C76" i="141" s="1"/>
  <c r="C77" i="141" s="1"/>
  <c r="C78" i="141" s="1"/>
  <c r="C79" i="141" s="1"/>
  <c r="C80" i="141" s="1"/>
  <c r="C81" i="141" s="1"/>
  <c r="C82" i="141" s="1"/>
  <c r="C83" i="141" s="1"/>
  <c r="C84" i="141" s="1"/>
  <c r="C85" i="141" s="1"/>
  <c r="C86" i="141" s="1"/>
  <c r="C87" i="141" s="1"/>
  <c r="C88" i="141" s="1"/>
  <c r="C89" i="141" s="1"/>
  <c r="C90" i="141" s="1"/>
  <c r="C91" i="141" s="1"/>
  <c r="C92" i="141" s="1"/>
  <c r="C93" i="141" s="1"/>
  <c r="C94" i="141" s="1"/>
  <c r="C95" i="141" s="1"/>
  <c r="C96" i="141" s="1"/>
  <c r="C97" i="141" s="1"/>
  <c r="C98" i="141" s="1"/>
  <c r="C99" i="141" s="1"/>
  <c r="C100" i="141" s="1"/>
  <c r="C101" i="141" s="1"/>
  <c r="C102" i="141" s="1"/>
  <c r="C103" i="141" s="1"/>
  <c r="C104" i="141" s="1"/>
  <c r="C105" i="141" s="1"/>
  <c r="C106" i="141" s="1"/>
  <c r="C107" i="141" s="1"/>
  <c r="C108" i="141" s="1"/>
  <c r="C109" i="141" s="1"/>
  <c r="C110" i="141" s="1"/>
  <c r="C111" i="141" s="1"/>
  <c r="C7" i="141"/>
  <c r="A8" i="141"/>
  <c r="A9" i="141" s="1"/>
  <c r="A10" i="141" s="1"/>
  <c r="A11" i="141" s="1"/>
  <c r="A12" i="141" s="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A43" i="141" s="1"/>
  <c r="A44" i="141" s="1"/>
  <c r="A45" i="141" s="1"/>
  <c r="A46" i="141" s="1"/>
  <c r="A47" i="141" s="1"/>
  <c r="A48" i="141" s="1"/>
  <c r="A49" i="141" s="1"/>
  <c r="A50" i="141" s="1"/>
  <c r="A51" i="141" s="1"/>
  <c r="A52" i="141" s="1"/>
  <c r="A53" i="141" s="1"/>
  <c r="A54" i="141" s="1"/>
  <c r="A55" i="141" s="1"/>
  <c r="A56" i="141" s="1"/>
  <c r="A57" i="141" s="1"/>
  <c r="A58" i="141" s="1"/>
  <c r="A59" i="141" s="1"/>
  <c r="A60" i="141" s="1"/>
  <c r="A61" i="141" s="1"/>
  <c r="A62" i="141" s="1"/>
  <c r="A63" i="141" s="1"/>
  <c r="A64" i="141" s="1"/>
  <c r="A65" i="141" s="1"/>
  <c r="A66" i="141" s="1"/>
  <c r="A67" i="141" s="1"/>
  <c r="A68" i="141" s="1"/>
  <c r="A69" i="141" s="1"/>
  <c r="A70" i="141" s="1"/>
  <c r="A71" i="141" s="1"/>
  <c r="A72" i="141" s="1"/>
  <c r="A73" i="141" s="1"/>
  <c r="A74" i="141" s="1"/>
  <c r="A75" i="141" s="1"/>
  <c r="A76" i="141" s="1"/>
  <c r="A77" i="141" s="1"/>
  <c r="A78" i="141" s="1"/>
  <c r="A79" i="141" s="1"/>
  <c r="A80" i="141" s="1"/>
  <c r="A81" i="141" s="1"/>
  <c r="A82" i="141" s="1"/>
  <c r="A83" i="141" s="1"/>
  <c r="A84" i="141" s="1"/>
  <c r="A85" i="141" s="1"/>
  <c r="A86" i="141" s="1"/>
  <c r="A87" i="141" s="1"/>
  <c r="A88" i="141" s="1"/>
  <c r="A89" i="141" s="1"/>
  <c r="A90" i="141" s="1"/>
  <c r="A91" i="141" s="1"/>
  <c r="A92" i="141" s="1"/>
  <c r="A93" i="141" s="1"/>
  <c r="A94" i="141" s="1"/>
  <c r="A95" i="141" s="1"/>
  <c r="A96" i="141" s="1"/>
  <c r="A97" i="141" s="1"/>
  <c r="A98" i="141" s="1"/>
  <c r="A99" i="141" s="1"/>
  <c r="A100" i="141" s="1"/>
  <c r="A101" i="141" s="1"/>
  <c r="A102" i="141" s="1"/>
  <c r="A103" i="141" s="1"/>
  <c r="A104" i="141" s="1"/>
  <c r="A105" i="141" s="1"/>
  <c r="A106" i="141" s="1"/>
  <c r="A107" i="141" s="1"/>
  <c r="A108" i="141" s="1"/>
  <c r="A109" i="141" s="1"/>
  <c r="A110" i="141" s="1"/>
  <c r="A111" i="141" s="1"/>
  <c r="N6" i="141"/>
  <c r="N7" i="141" s="1"/>
  <c r="N8" i="141" s="1"/>
  <c r="N9" i="141" s="1"/>
  <c r="N10" i="141" s="1"/>
  <c r="N11" i="141" s="1"/>
  <c r="N12" i="141" s="1"/>
  <c r="N13" i="141" s="1"/>
  <c r="N14" i="141" s="1"/>
  <c r="N15" i="141" s="1"/>
  <c r="N16" i="141" s="1"/>
  <c r="N17" i="141" s="1"/>
  <c r="N18" i="141" s="1"/>
  <c r="N19" i="141" s="1"/>
  <c r="N20" i="141" s="1"/>
  <c r="F6" i="156" l="1"/>
  <c r="F7" i="156" s="1"/>
  <c r="F33" i="173"/>
  <c r="E33" i="173" s="1"/>
  <c r="P33" i="173"/>
  <c r="J18" i="156"/>
  <c r="T6" i="156" s="1"/>
  <c r="E23" i="164"/>
  <c r="W22" i="164"/>
  <c r="D22" i="146"/>
  <c r="V21" i="146"/>
  <c r="C33" i="173"/>
  <c r="D23" i="157"/>
  <c r="V22" i="157"/>
  <c r="F22" i="165"/>
  <c r="X21" i="165"/>
  <c r="Y21" i="165" s="1"/>
  <c r="A9" i="151"/>
  <c r="V24" i="168"/>
  <c r="D25" i="168"/>
  <c r="D21" i="167"/>
  <c r="V20" i="167"/>
  <c r="F21" i="166"/>
  <c r="X20" i="166"/>
  <c r="Y20" i="166" s="1"/>
  <c r="F21" i="167"/>
  <c r="X20" i="167"/>
  <c r="Y20" i="167" s="1"/>
  <c r="E24" i="163"/>
  <c r="W23" i="163"/>
  <c r="D22" i="166"/>
  <c r="V21" i="166"/>
  <c r="D23" i="165"/>
  <c r="V22" i="165"/>
  <c r="F7" i="146"/>
  <c r="F8" i="146" s="1"/>
  <c r="F9" i="146" s="1"/>
  <c r="J16" i="156"/>
  <c r="J17" i="156"/>
  <c r="J16" i="157"/>
  <c r="J18" i="157"/>
  <c r="T5" i="157" s="1"/>
  <c r="J17" i="157"/>
  <c r="F6" i="157"/>
  <c r="T4" i="146"/>
  <c r="T7" i="146"/>
  <c r="T6" i="146"/>
  <c r="T8" i="146"/>
  <c r="T5" i="146"/>
  <c r="F6" i="168"/>
  <c r="X6" i="168" s="1"/>
  <c r="W6" i="168"/>
  <c r="J18" i="168"/>
  <c r="J16" i="168"/>
  <c r="J17" i="168"/>
  <c r="X8" i="155"/>
  <c r="Y8" i="155" s="1"/>
  <c r="F9" i="155"/>
  <c r="Y18" i="163"/>
  <c r="Z18" i="163" s="1"/>
  <c r="G19" i="163"/>
  <c r="G21" i="164"/>
  <c r="Y20" i="164"/>
  <c r="Z20" i="164" s="1"/>
  <c r="D17" i="161"/>
  <c r="E18" i="161" s="1"/>
  <c r="E17" i="161"/>
  <c r="D21" i="149"/>
  <c r="D8" i="149"/>
  <c r="D38" i="147"/>
  <c r="U37" i="147"/>
  <c r="D66" i="147"/>
  <c r="U65" i="147"/>
  <c r="D96" i="147"/>
  <c r="U95" i="147"/>
  <c r="D8" i="147"/>
  <c r="U7" i="147"/>
  <c r="C8" i="142"/>
  <c r="AE6" i="142"/>
  <c r="E8" i="142"/>
  <c r="F6" i="143"/>
  <c r="E10" i="143"/>
  <c r="C9" i="143"/>
  <c r="F7" i="143"/>
  <c r="M19" i="140"/>
  <c r="M20" i="140" s="1"/>
  <c r="M21" i="140" s="1"/>
  <c r="M22" i="140" s="1"/>
  <c r="AD9" i="140"/>
  <c r="AD10" i="140" s="1"/>
  <c r="AD11" i="140" s="1"/>
  <c r="AD12" i="140" s="1"/>
  <c r="AD13" i="140" s="1"/>
  <c r="AD14" i="140" s="1"/>
  <c r="AD15" i="140" s="1"/>
  <c r="AD16" i="140" s="1"/>
  <c r="AD17" i="140" s="1"/>
  <c r="AD18" i="140" s="1"/>
  <c r="AD19" i="140" s="1"/>
  <c r="AD20" i="140" s="1"/>
  <c r="AD21" i="140" s="1"/>
  <c r="AD22" i="140" s="1"/>
  <c r="AD23" i="140" s="1"/>
  <c r="AD24" i="140" s="1"/>
  <c r="AD25" i="140" s="1"/>
  <c r="AD26" i="140" s="1"/>
  <c r="AD27" i="140" s="1"/>
  <c r="AD28" i="140" s="1"/>
  <c r="AD29" i="140" s="1"/>
  <c r="AD30" i="140" s="1"/>
  <c r="AD31" i="140" s="1"/>
  <c r="AD32" i="140" s="1"/>
  <c r="AD33" i="140" s="1"/>
  <c r="AD34" i="140" s="1"/>
  <c r="AD35" i="140" s="1"/>
  <c r="AD36" i="140" s="1"/>
  <c r="AD37" i="140" s="1"/>
  <c r="AD38" i="140" s="1"/>
  <c r="AD39" i="140" s="1"/>
  <c r="AD40" i="140" s="1"/>
  <c r="AD41" i="140" s="1"/>
  <c r="AD42" i="140" s="1"/>
  <c r="AD43" i="140" s="1"/>
  <c r="AD44" i="140" s="1"/>
  <c r="AD45" i="140" s="1"/>
  <c r="AD46" i="140" s="1"/>
  <c r="AD47" i="140" s="1"/>
  <c r="AD48" i="140" s="1"/>
  <c r="AD49" i="140" s="1"/>
  <c r="AD50" i="140" s="1"/>
  <c r="AD51" i="140" s="1"/>
  <c r="AD52" i="140" s="1"/>
  <c r="AD53" i="140" s="1"/>
  <c r="AD54" i="140" s="1"/>
  <c r="AD55" i="140" s="1"/>
  <c r="AD56" i="140" s="1"/>
  <c r="AD57" i="140" s="1"/>
  <c r="AD58" i="140" s="1"/>
  <c r="AD59" i="140" s="1"/>
  <c r="AD60" i="140" s="1"/>
  <c r="AD61" i="140" s="1"/>
  <c r="AD62" i="140" s="1"/>
  <c r="AD63" i="140" s="1"/>
  <c r="AD64" i="140" s="1"/>
  <c r="AD65" i="140" s="1"/>
  <c r="AD66" i="140" s="1"/>
  <c r="AD67" i="140" s="1"/>
  <c r="AD68" i="140" s="1"/>
  <c r="AD69" i="140" s="1"/>
  <c r="AD70" i="140" s="1"/>
  <c r="AD71" i="140" s="1"/>
  <c r="AD72" i="140" s="1"/>
  <c r="AD73" i="140" s="1"/>
  <c r="AD74" i="140" s="1"/>
  <c r="AD75" i="140" s="1"/>
  <c r="AD76" i="140" s="1"/>
  <c r="AD77" i="140" s="1"/>
  <c r="AD78" i="140" s="1"/>
  <c r="AD79" i="140" s="1"/>
  <c r="AD80" i="140" s="1"/>
  <c r="AD81" i="140" s="1"/>
  <c r="AD82" i="140" s="1"/>
  <c r="AD83" i="140" s="1"/>
  <c r="AD84" i="140" s="1"/>
  <c r="AD85" i="140" s="1"/>
  <c r="AD86" i="140" s="1"/>
  <c r="AD87" i="140" s="1"/>
  <c r="AD88" i="140" s="1"/>
  <c r="AD89" i="140" s="1"/>
  <c r="AD90" i="140" s="1"/>
  <c r="AD91" i="140" s="1"/>
  <c r="AD92" i="140" s="1"/>
  <c r="AD93" i="140" s="1"/>
  <c r="AD94" i="140" s="1"/>
  <c r="AD95" i="140" s="1"/>
  <c r="AD96" i="140" s="1"/>
  <c r="AD97" i="140" s="1"/>
  <c r="AD98" i="140" s="1"/>
  <c r="AD99" i="140" s="1"/>
  <c r="AD100" i="140" s="1"/>
  <c r="AD101" i="140" s="1"/>
  <c r="AD102" i="140" s="1"/>
  <c r="AD103" i="140" s="1"/>
  <c r="AD104" i="140" s="1"/>
  <c r="AD105" i="140" s="1"/>
  <c r="AD106" i="140" s="1"/>
  <c r="AD107" i="140" s="1"/>
  <c r="AD108" i="140" s="1"/>
  <c r="AD109" i="140" s="1"/>
  <c r="AD110" i="140" s="1"/>
  <c r="AD111" i="140" s="1"/>
  <c r="AD112" i="140" s="1"/>
  <c r="AD113" i="140" s="1"/>
  <c r="AD114" i="140" s="1"/>
  <c r="AD115" i="140" s="1"/>
  <c r="AD116" i="140" s="1"/>
  <c r="AD117" i="140" s="1"/>
  <c r="R9" i="140"/>
  <c r="E9" i="140"/>
  <c r="V9" i="140" s="1"/>
  <c r="X8" i="140"/>
  <c r="V8" i="140"/>
  <c r="R8" i="140"/>
  <c r="C8" i="140"/>
  <c r="AE9" i="140" s="1"/>
  <c r="A8" i="140"/>
  <c r="A9" i="140" s="1"/>
  <c r="A10" i="140" s="1"/>
  <c r="A11" i="140" s="1"/>
  <c r="A12" i="140" s="1"/>
  <c r="A13" i="140" s="1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A43" i="140" s="1"/>
  <c r="A44" i="140" s="1"/>
  <c r="A45" i="140" s="1"/>
  <c r="A46" i="140" s="1"/>
  <c r="A47" i="140" s="1"/>
  <c r="A48" i="140" s="1"/>
  <c r="A49" i="140" s="1"/>
  <c r="A50" i="140" s="1"/>
  <c r="A51" i="140" s="1"/>
  <c r="A52" i="140" s="1"/>
  <c r="A53" i="140" s="1"/>
  <c r="A54" i="140" s="1"/>
  <c r="A55" i="140" s="1"/>
  <c r="A56" i="140" s="1"/>
  <c r="A57" i="140" s="1"/>
  <c r="A58" i="140" s="1"/>
  <c r="A59" i="140" s="1"/>
  <c r="A60" i="140" s="1"/>
  <c r="A61" i="140" s="1"/>
  <c r="A62" i="140" s="1"/>
  <c r="A63" i="140" s="1"/>
  <c r="A64" i="140" s="1"/>
  <c r="A65" i="140" s="1"/>
  <c r="A66" i="140" s="1"/>
  <c r="A67" i="140" s="1"/>
  <c r="A68" i="140" s="1"/>
  <c r="A69" i="140" s="1"/>
  <c r="A70" i="140" s="1"/>
  <c r="A71" i="140" s="1"/>
  <c r="A72" i="140" s="1"/>
  <c r="A73" i="140" s="1"/>
  <c r="A74" i="140" s="1"/>
  <c r="A75" i="140" s="1"/>
  <c r="A76" i="140" s="1"/>
  <c r="A77" i="140" s="1"/>
  <c r="A78" i="140" s="1"/>
  <c r="A79" i="140" s="1"/>
  <c r="A80" i="140" s="1"/>
  <c r="A81" i="140" s="1"/>
  <c r="A82" i="140" s="1"/>
  <c r="A83" i="140" s="1"/>
  <c r="A84" i="140" s="1"/>
  <c r="A85" i="140" s="1"/>
  <c r="A86" i="140" s="1"/>
  <c r="A87" i="140" s="1"/>
  <c r="A88" i="140" s="1"/>
  <c r="A89" i="140" s="1"/>
  <c r="A90" i="140" s="1"/>
  <c r="A91" i="140" s="1"/>
  <c r="A92" i="140" s="1"/>
  <c r="A93" i="140" s="1"/>
  <c r="A94" i="140" s="1"/>
  <c r="A95" i="140" s="1"/>
  <c r="A96" i="140" s="1"/>
  <c r="A97" i="140" s="1"/>
  <c r="A98" i="140" s="1"/>
  <c r="A99" i="140" s="1"/>
  <c r="A100" i="140" s="1"/>
  <c r="A101" i="140" s="1"/>
  <c r="A102" i="140" s="1"/>
  <c r="A103" i="140" s="1"/>
  <c r="A104" i="140" s="1"/>
  <c r="A105" i="140" s="1"/>
  <c r="A106" i="140" s="1"/>
  <c r="A107" i="140" s="1"/>
  <c r="A108" i="140" s="1"/>
  <c r="A109" i="140" s="1"/>
  <c r="A110" i="140" s="1"/>
  <c r="A111" i="140" s="1"/>
  <c r="C7" i="140"/>
  <c r="F8" i="140" s="1"/>
  <c r="W8" i="140" s="1"/>
  <c r="E9" i="139"/>
  <c r="A8" i="139"/>
  <c r="A9" i="139" s="1"/>
  <c r="A10" i="139" s="1"/>
  <c r="A11" i="139" s="1"/>
  <c r="A12" i="139" s="1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A52" i="139" s="1"/>
  <c r="A53" i="139" s="1"/>
  <c r="A54" i="139" s="1"/>
  <c r="A55" i="139" s="1"/>
  <c r="A56" i="139" s="1"/>
  <c r="A57" i="139" s="1"/>
  <c r="A58" i="139" s="1"/>
  <c r="A59" i="139" s="1"/>
  <c r="A60" i="139" s="1"/>
  <c r="A61" i="139" s="1"/>
  <c r="A62" i="139" s="1"/>
  <c r="A63" i="139" s="1"/>
  <c r="A64" i="139" s="1"/>
  <c r="A65" i="139" s="1"/>
  <c r="A66" i="139" s="1"/>
  <c r="A67" i="139" s="1"/>
  <c r="A68" i="139" s="1"/>
  <c r="A69" i="139" s="1"/>
  <c r="A70" i="139" s="1"/>
  <c r="A71" i="139" s="1"/>
  <c r="A72" i="139" s="1"/>
  <c r="A73" i="139" s="1"/>
  <c r="A74" i="139" s="1"/>
  <c r="A75" i="139" s="1"/>
  <c r="A76" i="139" s="1"/>
  <c r="A77" i="139" s="1"/>
  <c r="A78" i="139" s="1"/>
  <c r="A79" i="139" s="1"/>
  <c r="A80" i="139" s="1"/>
  <c r="A81" i="139" s="1"/>
  <c r="A82" i="139" s="1"/>
  <c r="A83" i="139" s="1"/>
  <c r="A84" i="139" s="1"/>
  <c r="A85" i="139" s="1"/>
  <c r="A86" i="139" s="1"/>
  <c r="A87" i="139" s="1"/>
  <c r="A88" i="139" s="1"/>
  <c r="A89" i="139" s="1"/>
  <c r="A90" i="139" s="1"/>
  <c r="A91" i="139" s="1"/>
  <c r="A92" i="139" s="1"/>
  <c r="A93" i="139" s="1"/>
  <c r="A94" i="139" s="1"/>
  <c r="A95" i="139" s="1"/>
  <c r="A96" i="139" s="1"/>
  <c r="A97" i="139" s="1"/>
  <c r="A98" i="139" s="1"/>
  <c r="A99" i="139" s="1"/>
  <c r="A100" i="139" s="1"/>
  <c r="A101" i="139" s="1"/>
  <c r="A102" i="139" s="1"/>
  <c r="A103" i="139" s="1"/>
  <c r="A104" i="139" s="1"/>
  <c r="A105" i="139" s="1"/>
  <c r="A106" i="139" s="1"/>
  <c r="A107" i="139" s="1"/>
  <c r="A108" i="139" s="1"/>
  <c r="A109" i="139" s="1"/>
  <c r="A110" i="139" s="1"/>
  <c r="A111" i="139" s="1"/>
  <c r="C7" i="139"/>
  <c r="N6" i="138"/>
  <c r="N7" i="138" s="1"/>
  <c r="N8" i="138" s="1"/>
  <c r="N9" i="138" s="1"/>
  <c r="N10" i="138" s="1"/>
  <c r="N11" i="138" s="1"/>
  <c r="N12" i="138" s="1"/>
  <c r="N13" i="138" s="1"/>
  <c r="N14" i="138" s="1"/>
  <c r="N15" i="138" s="1"/>
  <c r="N16" i="138" s="1"/>
  <c r="N17" i="138" s="1"/>
  <c r="N18" i="138" s="1"/>
  <c r="N19" i="138" s="1"/>
  <c r="N20" i="138" s="1"/>
  <c r="A8" i="138"/>
  <c r="A9" i="138" s="1"/>
  <c r="A10" i="138" s="1"/>
  <c r="A11" i="138" s="1"/>
  <c r="A12" i="138" s="1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A45" i="138" s="1"/>
  <c r="A46" i="138" s="1"/>
  <c r="A47" i="138" s="1"/>
  <c r="A48" i="138" s="1"/>
  <c r="A49" i="138" s="1"/>
  <c r="A50" i="138" s="1"/>
  <c r="A51" i="138" s="1"/>
  <c r="A52" i="138" s="1"/>
  <c r="A53" i="138" s="1"/>
  <c r="A54" i="138" s="1"/>
  <c r="A55" i="138" s="1"/>
  <c r="A56" i="138" s="1"/>
  <c r="A57" i="138" s="1"/>
  <c r="A58" i="138" s="1"/>
  <c r="A59" i="138" s="1"/>
  <c r="A60" i="138" s="1"/>
  <c r="A61" i="138" s="1"/>
  <c r="A62" i="138" s="1"/>
  <c r="A63" i="138" s="1"/>
  <c r="A64" i="138" s="1"/>
  <c r="A65" i="138" s="1"/>
  <c r="A66" i="138" s="1"/>
  <c r="A67" i="138" s="1"/>
  <c r="A68" i="138" s="1"/>
  <c r="A69" i="138" s="1"/>
  <c r="A70" i="138" s="1"/>
  <c r="A71" i="138" s="1"/>
  <c r="A72" i="138" s="1"/>
  <c r="A73" i="138" s="1"/>
  <c r="A74" i="138" s="1"/>
  <c r="A75" i="138" s="1"/>
  <c r="A76" i="138" s="1"/>
  <c r="A77" i="138" s="1"/>
  <c r="A78" i="138" s="1"/>
  <c r="A79" i="138" s="1"/>
  <c r="A80" i="138" s="1"/>
  <c r="A81" i="138" s="1"/>
  <c r="A82" i="138" s="1"/>
  <c r="A83" i="138" s="1"/>
  <c r="A84" i="138" s="1"/>
  <c r="A85" i="138" s="1"/>
  <c r="A86" i="138" s="1"/>
  <c r="A87" i="138" s="1"/>
  <c r="A88" i="138" s="1"/>
  <c r="A89" i="138" s="1"/>
  <c r="A90" i="138" s="1"/>
  <c r="A91" i="138" s="1"/>
  <c r="A92" i="138" s="1"/>
  <c r="A93" i="138" s="1"/>
  <c r="A94" i="138" s="1"/>
  <c r="A95" i="138" s="1"/>
  <c r="A96" i="138" s="1"/>
  <c r="A97" i="138" s="1"/>
  <c r="A98" i="138" s="1"/>
  <c r="A99" i="138" s="1"/>
  <c r="A100" i="138" s="1"/>
  <c r="A101" i="138" s="1"/>
  <c r="A102" i="138" s="1"/>
  <c r="A103" i="138" s="1"/>
  <c r="A104" i="138" s="1"/>
  <c r="A105" i="138" s="1"/>
  <c r="A106" i="138" s="1"/>
  <c r="A107" i="138" s="1"/>
  <c r="A108" i="138" s="1"/>
  <c r="A109" i="138" s="1"/>
  <c r="A110" i="138" s="1"/>
  <c r="A111" i="138" s="1"/>
  <c r="C7" i="138"/>
  <c r="X7" i="146" l="1"/>
  <c r="Y7" i="146" s="1"/>
  <c r="X6" i="156"/>
  <c r="Y6" i="156" s="1"/>
  <c r="T4" i="156"/>
  <c r="T6" i="157"/>
  <c r="T5" i="156"/>
  <c r="T7" i="156"/>
  <c r="F34" i="173"/>
  <c r="E34" i="173" s="1"/>
  <c r="D24" i="165"/>
  <c r="V23" i="165"/>
  <c r="A10" i="151"/>
  <c r="C34" i="173"/>
  <c r="F22" i="166"/>
  <c r="X21" i="166"/>
  <c r="Y21" i="166" s="1"/>
  <c r="D23" i="146"/>
  <c r="V22" i="146"/>
  <c r="C8" i="138"/>
  <c r="D23" i="166"/>
  <c r="V22" i="166"/>
  <c r="F23" i="165"/>
  <c r="X22" i="165"/>
  <c r="Y22" i="165" s="1"/>
  <c r="AE8" i="140"/>
  <c r="D22" i="167"/>
  <c r="V21" i="167"/>
  <c r="E24" i="164"/>
  <c r="W23" i="164"/>
  <c r="E25" i="163"/>
  <c r="W24" i="163"/>
  <c r="D26" i="168"/>
  <c r="V25" i="168"/>
  <c r="D24" i="157"/>
  <c r="V23" i="157"/>
  <c r="P34" i="173"/>
  <c r="F22" i="167"/>
  <c r="X21" i="167"/>
  <c r="Y21" i="167" s="1"/>
  <c r="T4" i="157"/>
  <c r="T7" i="157"/>
  <c r="X6" i="157"/>
  <c r="Y6" i="157" s="1"/>
  <c r="F7" i="157"/>
  <c r="F7" i="168"/>
  <c r="X7" i="168" s="1"/>
  <c r="Y7" i="168" s="1"/>
  <c r="Y6" i="168"/>
  <c r="T4" i="168"/>
  <c r="T7" i="168"/>
  <c r="T6" i="168"/>
  <c r="T5" i="168"/>
  <c r="X9" i="146"/>
  <c r="Y9" i="146" s="1"/>
  <c r="F10" i="155"/>
  <c r="X9" i="155"/>
  <c r="Y9" i="155" s="1"/>
  <c r="F8" i="156"/>
  <c r="X7" i="156"/>
  <c r="Y7" i="156" s="1"/>
  <c r="X8" i="146"/>
  <c r="Y8" i="146" s="1"/>
  <c r="F10" i="146"/>
  <c r="X10" i="146" s="1"/>
  <c r="Y10" i="146" s="1"/>
  <c r="Y19" i="163"/>
  <c r="Z19" i="163" s="1"/>
  <c r="G20" i="163"/>
  <c r="G22" i="164"/>
  <c r="Y21" i="164"/>
  <c r="Z21" i="164" s="1"/>
  <c r="C18" i="161"/>
  <c r="D18" i="161" s="1"/>
  <c r="F18" i="161"/>
  <c r="E21" i="161" s="1"/>
  <c r="G18" i="161"/>
  <c r="G17" i="161"/>
  <c r="F17" i="161"/>
  <c r="D22" i="149"/>
  <c r="D9" i="149"/>
  <c r="D97" i="147"/>
  <c r="U96" i="147"/>
  <c r="D67" i="147"/>
  <c r="U66" i="147"/>
  <c r="D9" i="147"/>
  <c r="U8" i="147"/>
  <c r="D39" i="147"/>
  <c r="U38" i="147"/>
  <c r="C9" i="142"/>
  <c r="AE7" i="142"/>
  <c r="F7" i="142"/>
  <c r="E9" i="142"/>
  <c r="V8" i="142"/>
  <c r="C9" i="140"/>
  <c r="C10" i="140" s="1"/>
  <c r="E11" i="143"/>
  <c r="G7" i="143"/>
  <c r="C10" i="143"/>
  <c r="F8" i="143"/>
  <c r="E10" i="139"/>
  <c r="F8" i="139"/>
  <c r="C8" i="139"/>
  <c r="Y8" i="140"/>
  <c r="F9" i="140"/>
  <c r="E10" i="140"/>
  <c r="F35" i="173" l="1"/>
  <c r="E35" i="173" s="1"/>
  <c r="AE10" i="140"/>
  <c r="F24" i="165"/>
  <c r="X23" i="165"/>
  <c r="Y23" i="165" s="1"/>
  <c r="F23" i="166"/>
  <c r="X22" i="166"/>
  <c r="Y22" i="166" s="1"/>
  <c r="F10" i="140"/>
  <c r="W10" i="140" s="1"/>
  <c r="E26" i="163"/>
  <c r="W25" i="163"/>
  <c r="C35" i="173"/>
  <c r="E25" i="164"/>
  <c r="W24" i="164"/>
  <c r="C9" i="138"/>
  <c r="D24" i="166"/>
  <c r="V23" i="166"/>
  <c r="F23" i="167"/>
  <c r="X22" i="167"/>
  <c r="Y22" i="167" s="1"/>
  <c r="D25" i="157"/>
  <c r="V24" i="157"/>
  <c r="D23" i="167"/>
  <c r="V22" i="167"/>
  <c r="D24" i="146"/>
  <c r="V23" i="146"/>
  <c r="A11" i="151"/>
  <c r="P35" i="173"/>
  <c r="D25" i="165"/>
  <c r="V24" i="165"/>
  <c r="V26" i="168"/>
  <c r="D27" i="168"/>
  <c r="F8" i="168"/>
  <c r="X7" i="157"/>
  <c r="Y7" i="157" s="1"/>
  <c r="F8" i="157"/>
  <c r="X8" i="156"/>
  <c r="Y8" i="156" s="1"/>
  <c r="F9" i="156"/>
  <c r="F11" i="155"/>
  <c r="X10" i="155"/>
  <c r="Y10" i="155" s="1"/>
  <c r="F11" i="146"/>
  <c r="Y20" i="163"/>
  <c r="Z20" i="163" s="1"/>
  <c r="G21" i="163"/>
  <c r="G23" i="164"/>
  <c r="Y22" i="164"/>
  <c r="Z22" i="164" s="1"/>
  <c r="F21" i="161"/>
  <c r="G21" i="161" s="1"/>
  <c r="D23" i="149"/>
  <c r="D10" i="149"/>
  <c r="D40" i="147"/>
  <c r="U39" i="147"/>
  <c r="D98" i="147"/>
  <c r="U97" i="147"/>
  <c r="D10" i="147"/>
  <c r="U9" i="147"/>
  <c r="D68" i="147"/>
  <c r="U67" i="147"/>
  <c r="E10" i="142"/>
  <c r="V9" i="142"/>
  <c r="W7" i="142"/>
  <c r="G7" i="142"/>
  <c r="C10" i="142"/>
  <c r="AE8" i="142"/>
  <c r="F8" i="142"/>
  <c r="W8" i="142" s="1"/>
  <c r="C11" i="143"/>
  <c r="F9" i="143"/>
  <c r="G8" i="143"/>
  <c r="E12" i="143"/>
  <c r="E11" i="139"/>
  <c r="C9" i="139"/>
  <c r="F9" i="139"/>
  <c r="G9" i="139" s="1"/>
  <c r="G9" i="140"/>
  <c r="W9" i="140"/>
  <c r="E11" i="140"/>
  <c r="V10" i="140"/>
  <c r="AE11" i="140"/>
  <c r="C11" i="140"/>
  <c r="F11" i="140"/>
  <c r="F36" i="173" l="1"/>
  <c r="E36" i="173" s="1"/>
  <c r="D26" i="165"/>
  <c r="V25" i="165"/>
  <c r="D26" i="157"/>
  <c r="V25" i="157"/>
  <c r="F24" i="166"/>
  <c r="X23" i="166"/>
  <c r="Y23" i="166" s="1"/>
  <c r="P36" i="173"/>
  <c r="E26" i="164"/>
  <c r="W25" i="164"/>
  <c r="C10" i="138"/>
  <c r="A12" i="151"/>
  <c r="F24" i="167"/>
  <c r="X23" i="167"/>
  <c r="Y23" i="167" s="1"/>
  <c r="C36" i="173"/>
  <c r="F25" i="165"/>
  <c r="X24" i="165"/>
  <c r="Y24" i="165" s="1"/>
  <c r="D24" i="167"/>
  <c r="V23" i="167"/>
  <c r="D25" i="146"/>
  <c r="V24" i="146"/>
  <c r="D25" i="166"/>
  <c r="V24" i="166"/>
  <c r="E27" i="163"/>
  <c r="W26" i="163"/>
  <c r="G10" i="140"/>
  <c r="X10" i="140" s="1"/>
  <c r="Y10" i="140" s="1"/>
  <c r="V27" i="168"/>
  <c r="D28" i="168"/>
  <c r="F9" i="168"/>
  <c r="X8" i="168"/>
  <c r="Y8" i="168" s="1"/>
  <c r="X8" i="157"/>
  <c r="Y8" i="157" s="1"/>
  <c r="F9" i="157"/>
  <c r="F12" i="146"/>
  <c r="F13" i="146" s="1"/>
  <c r="X13" i="146" s="1"/>
  <c r="Y13" i="146" s="1"/>
  <c r="X11" i="146"/>
  <c r="Y11" i="146" s="1"/>
  <c r="X11" i="155"/>
  <c r="Y11" i="155" s="1"/>
  <c r="F12" i="155"/>
  <c r="F10" i="156"/>
  <c r="X9" i="156"/>
  <c r="Y9" i="156" s="1"/>
  <c r="Y21" i="163"/>
  <c r="Z21" i="163" s="1"/>
  <c r="G22" i="163"/>
  <c r="G24" i="164"/>
  <c r="Y23" i="164"/>
  <c r="Z23" i="164" s="1"/>
  <c r="D24" i="149"/>
  <c r="D11" i="149"/>
  <c r="D41" i="147"/>
  <c r="U40" i="147"/>
  <c r="D11" i="147"/>
  <c r="U10" i="147"/>
  <c r="D69" i="147"/>
  <c r="U68" i="147"/>
  <c r="D99" i="147"/>
  <c r="U98" i="147"/>
  <c r="G8" i="142"/>
  <c r="X7" i="142"/>
  <c r="Y7" i="142" s="1"/>
  <c r="C11" i="142"/>
  <c r="AE9" i="142"/>
  <c r="F9" i="142"/>
  <c r="E11" i="142"/>
  <c r="V10" i="142"/>
  <c r="G9" i="143"/>
  <c r="E13" i="143"/>
  <c r="F10" i="143"/>
  <c r="C12" i="143"/>
  <c r="F10" i="139"/>
  <c r="C10" i="139"/>
  <c r="E12" i="139"/>
  <c r="W11" i="140"/>
  <c r="V11" i="140"/>
  <c r="E12" i="140"/>
  <c r="X9" i="140"/>
  <c r="Y9" i="140" s="1"/>
  <c r="F12" i="140"/>
  <c r="AE12" i="140"/>
  <c r="C12" i="140"/>
  <c r="D25" i="167" l="1"/>
  <c r="V24" i="167"/>
  <c r="A13" i="151"/>
  <c r="F25" i="167"/>
  <c r="X24" i="167"/>
  <c r="Y24" i="167" s="1"/>
  <c r="C11" i="138"/>
  <c r="E28" i="163"/>
  <c r="W27" i="163"/>
  <c r="F25" i="166"/>
  <c r="X24" i="166"/>
  <c r="Y24" i="166" s="1"/>
  <c r="D26" i="166"/>
  <c r="V25" i="166"/>
  <c r="F26" i="165"/>
  <c r="X25" i="165"/>
  <c r="Y25" i="165" s="1"/>
  <c r="E27" i="164"/>
  <c r="W26" i="164"/>
  <c r="D27" i="157"/>
  <c r="V26" i="157"/>
  <c r="D29" i="168"/>
  <c r="V28" i="168"/>
  <c r="G11" i="140"/>
  <c r="X11" i="140" s="1"/>
  <c r="D26" i="146"/>
  <c r="V25" i="146"/>
  <c r="D27" i="165"/>
  <c r="V26" i="165"/>
  <c r="X9" i="168"/>
  <c r="Y9" i="168" s="1"/>
  <c r="F10" i="168"/>
  <c r="F10" i="157"/>
  <c r="X9" i="157"/>
  <c r="Y9" i="157" s="1"/>
  <c r="F11" i="156"/>
  <c r="X10" i="156"/>
  <c r="Y10" i="156" s="1"/>
  <c r="X12" i="155"/>
  <c r="Y12" i="155" s="1"/>
  <c r="F13" i="155"/>
  <c r="X12" i="146"/>
  <c r="Y12" i="146" s="1"/>
  <c r="F14" i="146"/>
  <c r="G23" i="163"/>
  <c r="Y22" i="163"/>
  <c r="Z22" i="163" s="1"/>
  <c r="G25" i="164"/>
  <c r="Y24" i="164"/>
  <c r="Z24" i="164" s="1"/>
  <c r="D25" i="149"/>
  <c r="D12" i="149"/>
  <c r="D100" i="147"/>
  <c r="U99" i="147"/>
  <c r="D12" i="147"/>
  <c r="U11" i="147"/>
  <c r="D70" i="147"/>
  <c r="U69" i="147"/>
  <c r="D42" i="147"/>
  <c r="U41" i="147"/>
  <c r="W9" i="142"/>
  <c r="E12" i="142"/>
  <c r="V11" i="142"/>
  <c r="C12" i="142"/>
  <c r="AE10" i="142"/>
  <c r="F10" i="142"/>
  <c r="G9" i="142"/>
  <c r="X8" i="142"/>
  <c r="Y8" i="142" s="1"/>
  <c r="Y11" i="140"/>
  <c r="C13" i="143"/>
  <c r="F11" i="143"/>
  <c r="E14" i="143"/>
  <c r="G10" i="143"/>
  <c r="G10" i="139"/>
  <c r="E13" i="139"/>
  <c r="C11" i="139"/>
  <c r="F11" i="139"/>
  <c r="AE13" i="140"/>
  <c r="C13" i="140"/>
  <c r="F13" i="140"/>
  <c r="V12" i="140"/>
  <c r="E13" i="140"/>
  <c r="W12" i="140"/>
  <c r="G12" i="140"/>
  <c r="AB20" i="88" a="1"/>
  <c r="AB20" i="88" s="1"/>
  <c r="X5" i="88"/>
  <c r="Y5" i="88"/>
  <c r="Z5" i="88"/>
  <c r="X6" i="88"/>
  <c r="Y6" i="88"/>
  <c r="Z6" i="88"/>
  <c r="X7" i="88"/>
  <c r="Y7" i="88"/>
  <c r="Z7" i="88"/>
  <c r="X8" i="88"/>
  <c r="Y8" i="88"/>
  <c r="Z8" i="88"/>
  <c r="X9" i="88"/>
  <c r="Y9" i="88"/>
  <c r="Z9" i="88"/>
  <c r="X10" i="88"/>
  <c r="Y10" i="88"/>
  <c r="Z10" i="88"/>
  <c r="X11" i="88"/>
  <c r="Y11" i="88"/>
  <c r="Z11" i="88"/>
  <c r="X12" i="88"/>
  <c r="Y12" i="88"/>
  <c r="Z12" i="88"/>
  <c r="X13" i="88"/>
  <c r="Y13" i="88"/>
  <c r="Z13" i="88"/>
  <c r="X14" i="88"/>
  <c r="Y14" i="88"/>
  <c r="Z14" i="88"/>
  <c r="X15" i="88"/>
  <c r="Y15" i="88"/>
  <c r="Z15" i="88"/>
  <c r="X16" i="88"/>
  <c r="Y16" i="88"/>
  <c r="Z16" i="88"/>
  <c r="X17" i="88"/>
  <c r="Y17" i="88"/>
  <c r="Z17" i="88"/>
  <c r="X18" i="88"/>
  <c r="Y18" i="88"/>
  <c r="Z18" i="88"/>
  <c r="X19" i="88"/>
  <c r="Y19" i="88"/>
  <c r="Z19" i="88"/>
  <c r="X20" i="88"/>
  <c r="Y20" i="88"/>
  <c r="Z20" i="88"/>
  <c r="X21" i="88"/>
  <c r="Y21" i="88"/>
  <c r="Z21" i="88"/>
  <c r="X22" i="88"/>
  <c r="Y22" i="88"/>
  <c r="Z22" i="88"/>
  <c r="X23" i="88"/>
  <c r="Y23" i="88"/>
  <c r="Z23" i="88"/>
  <c r="X24" i="88"/>
  <c r="Y24" i="88"/>
  <c r="Z24" i="88"/>
  <c r="X25" i="88"/>
  <c r="Y25" i="88"/>
  <c r="Z25" i="88"/>
  <c r="X26" i="88"/>
  <c r="Y26" i="88"/>
  <c r="Z26" i="88"/>
  <c r="X27" i="88"/>
  <c r="Y27" i="88"/>
  <c r="Z27" i="88"/>
  <c r="X28" i="88"/>
  <c r="Y28" i="88"/>
  <c r="Z28" i="88"/>
  <c r="X29" i="88"/>
  <c r="Y29" i="88"/>
  <c r="Z29" i="88"/>
  <c r="X30" i="88"/>
  <c r="Y30" i="88"/>
  <c r="Z30" i="88"/>
  <c r="X31" i="88"/>
  <c r="Y31" i="88"/>
  <c r="Z31" i="88"/>
  <c r="X32" i="88"/>
  <c r="Y32" i="88"/>
  <c r="Z32" i="88"/>
  <c r="X33" i="88"/>
  <c r="Y33" i="88"/>
  <c r="Z33" i="88"/>
  <c r="X34" i="88"/>
  <c r="Y34" i="88"/>
  <c r="Z34" i="88"/>
  <c r="X35" i="88"/>
  <c r="Y35" i="88"/>
  <c r="Z35" i="88"/>
  <c r="X36" i="88"/>
  <c r="Y36" i="88"/>
  <c r="Z36" i="88"/>
  <c r="X37" i="88"/>
  <c r="Y37" i="88"/>
  <c r="Z37" i="88"/>
  <c r="X38" i="88"/>
  <c r="Y38" i="88"/>
  <c r="Z38" i="88"/>
  <c r="X39" i="88"/>
  <c r="Y39" i="88"/>
  <c r="Z39" i="88"/>
  <c r="X40" i="88"/>
  <c r="Y40" i="88"/>
  <c r="Z40" i="88"/>
  <c r="X41" i="88"/>
  <c r="Y41" i="88"/>
  <c r="Z41" i="88"/>
  <c r="X42" i="88"/>
  <c r="Y42" i="88"/>
  <c r="Z42" i="88"/>
  <c r="X43" i="88"/>
  <c r="Y43" i="88"/>
  <c r="Z43" i="88"/>
  <c r="X44" i="88"/>
  <c r="Y44" i="88"/>
  <c r="Z44" i="88"/>
  <c r="X45" i="88"/>
  <c r="Y45" i="88"/>
  <c r="Z45" i="88"/>
  <c r="X46" i="88"/>
  <c r="Y46" i="88"/>
  <c r="Z46" i="88"/>
  <c r="X47" i="88"/>
  <c r="Y47" i="88"/>
  <c r="Z47" i="88"/>
  <c r="X48" i="88"/>
  <c r="Y48" i="88"/>
  <c r="Z48" i="88"/>
  <c r="X49" i="88"/>
  <c r="Y49" i="88"/>
  <c r="Z49" i="88"/>
  <c r="X50" i="88"/>
  <c r="Y50" i="88"/>
  <c r="Z50" i="88"/>
  <c r="X51" i="88"/>
  <c r="Y51" i="88"/>
  <c r="Z51" i="88"/>
  <c r="X52" i="88"/>
  <c r="Y52" i="88"/>
  <c r="Z52" i="88"/>
  <c r="X53" i="88"/>
  <c r="Y53" i="88"/>
  <c r="Z53" i="88"/>
  <c r="X54" i="88"/>
  <c r="Y54" i="88"/>
  <c r="Z54" i="88"/>
  <c r="X55" i="88"/>
  <c r="Y55" i="88"/>
  <c r="Z55" i="88"/>
  <c r="X56" i="88"/>
  <c r="Y56" i="88"/>
  <c r="Z56" i="88"/>
  <c r="X57" i="88"/>
  <c r="Y57" i="88"/>
  <c r="Z57" i="88"/>
  <c r="X58" i="88"/>
  <c r="Y58" i="88"/>
  <c r="Z58" i="88"/>
  <c r="X59" i="88"/>
  <c r="Y59" i="88"/>
  <c r="Z59" i="88"/>
  <c r="X60" i="88"/>
  <c r="Y60" i="88"/>
  <c r="Z60" i="88"/>
  <c r="X61" i="88"/>
  <c r="Y61" i="88"/>
  <c r="Z61" i="88"/>
  <c r="X62" i="88"/>
  <c r="Y62" i="88"/>
  <c r="Z62" i="88"/>
  <c r="X63" i="88"/>
  <c r="Y63" i="88"/>
  <c r="Z63" i="88"/>
  <c r="X64" i="88"/>
  <c r="Y64" i="88"/>
  <c r="Z64" i="88"/>
  <c r="X65" i="88"/>
  <c r="Y65" i="88"/>
  <c r="Z65" i="88"/>
  <c r="X66" i="88"/>
  <c r="Y66" i="88"/>
  <c r="Z66" i="88"/>
  <c r="X67" i="88"/>
  <c r="Y67" i="88"/>
  <c r="Z67" i="88"/>
  <c r="X68" i="88"/>
  <c r="Y68" i="88"/>
  <c r="Z68" i="88"/>
  <c r="X69" i="88"/>
  <c r="Y69" i="88"/>
  <c r="Z69" i="88"/>
  <c r="X70" i="88"/>
  <c r="Y70" i="88"/>
  <c r="Z70" i="88"/>
  <c r="X71" i="88"/>
  <c r="Y71" i="88"/>
  <c r="Z71" i="88"/>
  <c r="X72" i="88"/>
  <c r="Y72" i="88"/>
  <c r="Z72" i="88"/>
  <c r="X73" i="88"/>
  <c r="Y73" i="88"/>
  <c r="Z73" i="88"/>
  <c r="X74" i="88"/>
  <c r="Y74" i="88"/>
  <c r="Z74" i="88"/>
  <c r="X75" i="88"/>
  <c r="Y75" i="88"/>
  <c r="Z75" i="88"/>
  <c r="X76" i="88"/>
  <c r="Y76" i="88"/>
  <c r="Z76" i="88"/>
  <c r="X77" i="88"/>
  <c r="Y77" i="88"/>
  <c r="Z77" i="88"/>
  <c r="X78" i="88"/>
  <c r="Y78" i="88"/>
  <c r="Z78" i="88"/>
  <c r="X79" i="88"/>
  <c r="Y79" i="88"/>
  <c r="Z79" i="88"/>
  <c r="X80" i="88"/>
  <c r="Y80" i="88"/>
  <c r="Z80" i="88"/>
  <c r="X81" i="88"/>
  <c r="Y81" i="88"/>
  <c r="Z81" i="88"/>
  <c r="X82" i="88"/>
  <c r="Y82" i="88"/>
  <c r="Z82" i="88"/>
  <c r="X83" i="88"/>
  <c r="Y83" i="88"/>
  <c r="Z83" i="88"/>
  <c r="X84" i="88"/>
  <c r="Y84" i="88"/>
  <c r="Z84" i="88"/>
  <c r="X85" i="88"/>
  <c r="Y85" i="88"/>
  <c r="Z85" i="88"/>
  <c r="X86" i="88"/>
  <c r="Y86" i="88"/>
  <c r="Z86" i="88"/>
  <c r="X87" i="88"/>
  <c r="Y87" i="88"/>
  <c r="Z87" i="88"/>
  <c r="X88" i="88"/>
  <c r="Y88" i="88"/>
  <c r="Z88" i="88"/>
  <c r="X89" i="88"/>
  <c r="Y89" i="88"/>
  <c r="Z89" i="88"/>
  <c r="X90" i="88"/>
  <c r="Y90" i="88"/>
  <c r="Z90" i="88"/>
  <c r="X91" i="88"/>
  <c r="Y91" i="88"/>
  <c r="Z91" i="88"/>
  <c r="X92" i="88"/>
  <c r="Y92" i="88"/>
  <c r="Z92" i="88"/>
  <c r="X93" i="88"/>
  <c r="Y93" i="88"/>
  <c r="Z93" i="88"/>
  <c r="X94" i="88"/>
  <c r="Y94" i="88"/>
  <c r="Z94" i="88"/>
  <c r="X95" i="88"/>
  <c r="Y95" i="88"/>
  <c r="Z95" i="88"/>
  <c r="X96" i="88"/>
  <c r="Y96" i="88"/>
  <c r="Z96" i="88"/>
  <c r="X97" i="88"/>
  <c r="Y97" i="88"/>
  <c r="Z97" i="88"/>
  <c r="X98" i="88"/>
  <c r="Y98" i="88"/>
  <c r="Z98" i="88"/>
  <c r="X99" i="88"/>
  <c r="Y99" i="88"/>
  <c r="Z99" i="88"/>
  <c r="X100" i="88"/>
  <c r="Y100" i="88"/>
  <c r="Z100" i="88"/>
  <c r="X101" i="88"/>
  <c r="Y101" i="88"/>
  <c r="Z101" i="88"/>
  <c r="Z4" i="88"/>
  <c r="AD16" i="88" s="1"/>
  <c r="Y4" i="88"/>
  <c r="AC14" i="88" s="1"/>
  <c r="X4" i="88"/>
  <c r="F24" i="31"/>
  <c r="G7" i="130"/>
  <c r="D7" i="130"/>
  <c r="D8" i="130" s="1"/>
  <c r="D9" i="130" s="1"/>
  <c r="D10" i="130" s="1"/>
  <c r="D11" i="130" s="1"/>
  <c r="D12" i="130" s="1"/>
  <c r="D13" i="130" s="1"/>
  <c r="D14" i="130" s="1"/>
  <c r="D15" i="130" s="1"/>
  <c r="D16" i="130" s="1"/>
  <c r="D17" i="130" s="1"/>
  <c r="D18" i="130" s="1"/>
  <c r="D19" i="130" s="1"/>
  <c r="D20" i="130" s="1"/>
  <c r="D21" i="130" s="1"/>
  <c r="D22" i="130" s="1"/>
  <c r="D23" i="130" s="1"/>
  <c r="D24" i="130" s="1"/>
  <c r="D25" i="130" s="1"/>
  <c r="D26" i="130" s="1"/>
  <c r="D30" i="168" l="1"/>
  <c r="V29" i="168"/>
  <c r="D27" i="166"/>
  <c r="V26" i="166"/>
  <c r="D28" i="165"/>
  <c r="V27" i="165"/>
  <c r="C12" i="138"/>
  <c r="D28" i="157"/>
  <c r="V27" i="157"/>
  <c r="F26" i="167"/>
  <c r="X25" i="167"/>
  <c r="Y25" i="167" s="1"/>
  <c r="F26" i="166"/>
  <c r="X25" i="166"/>
  <c r="Y25" i="166" s="1"/>
  <c r="E28" i="164"/>
  <c r="W27" i="164"/>
  <c r="D27" i="146"/>
  <c r="V26" i="146"/>
  <c r="E29" i="163"/>
  <c r="W28" i="163"/>
  <c r="F27" i="165"/>
  <c r="X26" i="165"/>
  <c r="Y26" i="165" s="1"/>
  <c r="D26" i="167"/>
  <c r="V25" i="167"/>
  <c r="A14" i="151"/>
  <c r="F11" i="168"/>
  <c r="X10" i="168"/>
  <c r="Y10" i="168" s="1"/>
  <c r="X10" i="157"/>
  <c r="Y10" i="157" s="1"/>
  <c r="F11" i="157"/>
  <c r="F15" i="146"/>
  <c r="F16" i="146" s="1"/>
  <c r="X16" i="146" s="1"/>
  <c r="Y16" i="146" s="1"/>
  <c r="X14" i="146"/>
  <c r="Y14" i="146" s="1"/>
  <c r="X11" i="156"/>
  <c r="Y11" i="156" s="1"/>
  <c r="F12" i="156"/>
  <c r="F14" i="155"/>
  <c r="X13" i="155"/>
  <c r="Y13" i="155" s="1"/>
  <c r="G24" i="163"/>
  <c r="Y23" i="163"/>
  <c r="Z23" i="163" s="1"/>
  <c r="G8" i="130"/>
  <c r="G26" i="164"/>
  <c r="Y25" i="164"/>
  <c r="Z25" i="164" s="1"/>
  <c r="D26" i="149"/>
  <c r="D13" i="149"/>
  <c r="D13" i="147"/>
  <c r="U12" i="147"/>
  <c r="D43" i="147"/>
  <c r="U42" i="147"/>
  <c r="D71" i="147"/>
  <c r="U70" i="147"/>
  <c r="D101" i="147"/>
  <c r="U100" i="147"/>
  <c r="G10" i="142"/>
  <c r="X9" i="142"/>
  <c r="Y9" i="142" s="1"/>
  <c r="W10" i="142"/>
  <c r="E13" i="142"/>
  <c r="V12" i="142"/>
  <c r="C13" i="142"/>
  <c r="AE11" i="142"/>
  <c r="F11" i="142"/>
  <c r="G11" i="143"/>
  <c r="E15" i="143"/>
  <c r="F12" i="143"/>
  <c r="C14" i="143"/>
  <c r="G11" i="139"/>
  <c r="C12" i="139"/>
  <c r="F12" i="139"/>
  <c r="E14" i="139"/>
  <c r="F14" i="140"/>
  <c r="C14" i="140"/>
  <c r="AE14" i="140"/>
  <c r="V13" i="140"/>
  <c r="E14" i="140"/>
  <c r="X12" i="140"/>
  <c r="Y12" i="140" s="1"/>
  <c r="G13" i="140"/>
  <c r="X13" i="140" s="1"/>
  <c r="W13" i="140"/>
  <c r="AC10" i="88"/>
  <c r="AC16" i="88" s="1"/>
  <c r="AC15" i="88" s="1"/>
  <c r="AB21" i="88"/>
  <c r="G8" i="131"/>
  <c r="G7" i="131"/>
  <c r="D7" i="131"/>
  <c r="D8" i="131" s="1"/>
  <c r="D9" i="131" s="1"/>
  <c r="D10" i="131" s="1"/>
  <c r="D11" i="131" s="1"/>
  <c r="D12" i="131" s="1"/>
  <c r="D13" i="131" s="1"/>
  <c r="D14" i="131" s="1"/>
  <c r="D15" i="131" s="1"/>
  <c r="D16" i="131" s="1"/>
  <c r="D17" i="131" s="1"/>
  <c r="D18" i="131" s="1"/>
  <c r="D19" i="131" s="1"/>
  <c r="D20" i="131" s="1"/>
  <c r="D21" i="131" s="1"/>
  <c r="D22" i="131" s="1"/>
  <c r="D23" i="131" s="1"/>
  <c r="D24" i="131" s="1"/>
  <c r="D25" i="131" s="1"/>
  <c r="D26" i="131" s="1"/>
  <c r="D27" i="131" s="1"/>
  <c r="E30" i="163" l="1"/>
  <c r="W29" i="163"/>
  <c r="C13" i="138"/>
  <c r="F27" i="166"/>
  <c r="X26" i="166"/>
  <c r="Y26" i="166" s="1"/>
  <c r="F27" i="167"/>
  <c r="X26" i="167"/>
  <c r="Y26" i="167" s="1"/>
  <c r="D31" i="168"/>
  <c r="V30" i="168"/>
  <c r="A15" i="151"/>
  <c r="D29" i="165"/>
  <c r="V28" i="165"/>
  <c r="D28" i="146"/>
  <c r="V27" i="146"/>
  <c r="D27" i="167"/>
  <c r="V26" i="167"/>
  <c r="D28" i="166"/>
  <c r="V27" i="166"/>
  <c r="F28" i="165"/>
  <c r="X27" i="165"/>
  <c r="Y27" i="165" s="1"/>
  <c r="E29" i="164"/>
  <c r="W28" i="164"/>
  <c r="D29" i="157"/>
  <c r="V28" i="157"/>
  <c r="X11" i="168"/>
  <c r="Y11" i="168" s="1"/>
  <c r="F12" i="168"/>
  <c r="X11" i="157"/>
  <c r="Y11" i="157" s="1"/>
  <c r="F12" i="157"/>
  <c r="X14" i="155"/>
  <c r="Y14" i="155" s="1"/>
  <c r="F15" i="155"/>
  <c r="X12" i="156"/>
  <c r="Y12" i="156" s="1"/>
  <c r="F13" i="156"/>
  <c r="X15" i="146"/>
  <c r="Y15" i="146" s="1"/>
  <c r="F17" i="146"/>
  <c r="Y24" i="163"/>
  <c r="Z24" i="163" s="1"/>
  <c r="G25" i="163"/>
  <c r="G9" i="131"/>
  <c r="G9" i="130"/>
  <c r="G27" i="164"/>
  <c r="Y26" i="164"/>
  <c r="Z26" i="164" s="1"/>
  <c r="D27" i="149"/>
  <c r="D28" i="149"/>
  <c r="D14" i="149"/>
  <c r="D102" i="147"/>
  <c r="U101" i="147"/>
  <c r="D44" i="147"/>
  <c r="U43" i="147"/>
  <c r="D72" i="147"/>
  <c r="U71" i="147"/>
  <c r="D14" i="147"/>
  <c r="U13" i="147"/>
  <c r="W11" i="142"/>
  <c r="E14" i="142"/>
  <c r="V13" i="142"/>
  <c r="C14" i="142"/>
  <c r="AE12" i="142"/>
  <c r="F12" i="142"/>
  <c r="G11" i="142"/>
  <c r="X10" i="142"/>
  <c r="Y10" i="142" s="1"/>
  <c r="Y13" i="140"/>
  <c r="E16" i="143"/>
  <c r="C15" i="143"/>
  <c r="F13" i="143"/>
  <c r="G12" i="143"/>
  <c r="C13" i="139"/>
  <c r="F13" i="139"/>
  <c r="E15" i="139"/>
  <c r="G12" i="139"/>
  <c r="V14" i="140"/>
  <c r="E15" i="140"/>
  <c r="AE15" i="140"/>
  <c r="C15" i="140"/>
  <c r="F15" i="140"/>
  <c r="G14" i="140"/>
  <c r="W14" i="140"/>
  <c r="M6" i="130"/>
  <c r="P8" i="130"/>
  <c r="AG21" i="88"/>
  <c r="AH21" i="88"/>
  <c r="AE21" i="88"/>
  <c r="AF21" i="88" s="1"/>
  <c r="AE20" i="88"/>
  <c r="AF20" i="88" s="1"/>
  <c r="AG20" i="88"/>
  <c r="AH20" i="88"/>
  <c r="AG19" i="88"/>
  <c r="AH19" i="88"/>
  <c r="AE19" i="88"/>
  <c r="AF19" i="88" s="1"/>
  <c r="A16" i="151" l="1"/>
  <c r="F28" i="166"/>
  <c r="X27" i="166"/>
  <c r="Y27" i="166" s="1"/>
  <c r="D29" i="166"/>
  <c r="V28" i="166"/>
  <c r="C14" i="138"/>
  <c r="D30" i="157"/>
  <c r="V29" i="157"/>
  <c r="D32" i="168"/>
  <c r="V31" i="168"/>
  <c r="F28" i="167"/>
  <c r="X27" i="167"/>
  <c r="Y27" i="167" s="1"/>
  <c r="D28" i="167"/>
  <c r="V27" i="167"/>
  <c r="E30" i="164"/>
  <c r="W29" i="164"/>
  <c r="F29" i="165"/>
  <c r="X28" i="165"/>
  <c r="Y28" i="165" s="1"/>
  <c r="D30" i="165"/>
  <c r="V29" i="165"/>
  <c r="D29" i="146"/>
  <c r="V28" i="146"/>
  <c r="E31" i="163"/>
  <c r="W30" i="163"/>
  <c r="F13" i="168"/>
  <c r="X12" i="168"/>
  <c r="Y12" i="168" s="1"/>
  <c r="F13" i="157"/>
  <c r="X12" i="157"/>
  <c r="Y12" i="157" s="1"/>
  <c r="F18" i="146"/>
  <c r="X17" i="146"/>
  <c r="Y17" i="146" s="1"/>
  <c r="X13" i="156"/>
  <c r="Y13" i="156" s="1"/>
  <c r="F14" i="156"/>
  <c r="X15" i="155"/>
  <c r="Y15" i="155" s="1"/>
  <c r="F16" i="155"/>
  <c r="Y25" i="163"/>
  <c r="Z25" i="163" s="1"/>
  <c r="G26" i="163"/>
  <c r="G10" i="130"/>
  <c r="G10" i="131"/>
  <c r="G28" i="164"/>
  <c r="Y27" i="164"/>
  <c r="Z27" i="164" s="1"/>
  <c r="D15" i="149"/>
  <c r="D15" i="147"/>
  <c r="U14" i="147"/>
  <c r="D45" i="147"/>
  <c r="U44" i="147"/>
  <c r="D73" i="147"/>
  <c r="U72" i="147"/>
  <c r="D103" i="147"/>
  <c r="U102" i="147"/>
  <c r="G12" i="142"/>
  <c r="X11" i="142"/>
  <c r="Y11" i="142" s="1"/>
  <c r="C15" i="142"/>
  <c r="AE13" i="142"/>
  <c r="F13" i="142"/>
  <c r="W13" i="142" s="1"/>
  <c r="W12" i="142"/>
  <c r="E15" i="142"/>
  <c r="V14" i="142"/>
  <c r="G13" i="143"/>
  <c r="C16" i="143"/>
  <c r="F14" i="143"/>
  <c r="E17" i="143"/>
  <c r="G13" i="139"/>
  <c r="C14" i="139"/>
  <c r="F14" i="139"/>
  <c r="E16" i="139"/>
  <c r="X14" i="140"/>
  <c r="W15" i="140"/>
  <c r="G15" i="140"/>
  <c r="X15" i="140" s="1"/>
  <c r="V15" i="140"/>
  <c r="E16" i="140"/>
  <c r="Y14" i="140"/>
  <c r="F16" i="140"/>
  <c r="AE16" i="140"/>
  <c r="C16" i="140"/>
  <c r="M6" i="131"/>
  <c r="P8" i="131"/>
  <c r="D30" i="146" l="1"/>
  <c r="V29" i="146"/>
  <c r="E31" i="164"/>
  <c r="W30" i="164"/>
  <c r="D31" i="157"/>
  <c r="V30" i="157"/>
  <c r="C15" i="138"/>
  <c r="D29" i="167"/>
  <c r="V28" i="167"/>
  <c r="D30" i="166"/>
  <c r="V29" i="166"/>
  <c r="E32" i="163"/>
  <c r="W31" i="163"/>
  <c r="D31" i="165"/>
  <c r="V30" i="165"/>
  <c r="F29" i="167"/>
  <c r="X28" i="167"/>
  <c r="Y28" i="167" s="1"/>
  <c r="F29" i="166"/>
  <c r="X28" i="166"/>
  <c r="Y28" i="166" s="1"/>
  <c r="F30" i="165"/>
  <c r="X29" i="165"/>
  <c r="Y29" i="165" s="1"/>
  <c r="D33" i="168"/>
  <c r="V32" i="168"/>
  <c r="A17" i="151"/>
  <c r="F14" i="168"/>
  <c r="X13" i="168"/>
  <c r="Y13" i="168" s="1"/>
  <c r="X13" i="157"/>
  <c r="Y13" i="157" s="1"/>
  <c r="F14" i="157"/>
  <c r="X16" i="155"/>
  <c r="Y16" i="155" s="1"/>
  <c r="F17" i="155"/>
  <c r="X14" i="156"/>
  <c r="Y14" i="156" s="1"/>
  <c r="F15" i="156"/>
  <c r="F19" i="146"/>
  <c r="X18" i="146"/>
  <c r="Y18" i="146" s="1"/>
  <c r="G27" i="163"/>
  <c r="Y26" i="163"/>
  <c r="Z26" i="163" s="1"/>
  <c r="G29" i="164"/>
  <c r="Y28" i="164"/>
  <c r="Z28" i="164" s="1"/>
  <c r="D16" i="149"/>
  <c r="D104" i="147"/>
  <c r="U103" i="147"/>
  <c r="D46" i="147"/>
  <c r="U45" i="147"/>
  <c r="D74" i="147"/>
  <c r="U73" i="147"/>
  <c r="D16" i="147"/>
  <c r="U15" i="147"/>
  <c r="E16" i="142"/>
  <c r="V15" i="142"/>
  <c r="G13" i="142"/>
  <c r="X12" i="142"/>
  <c r="Y12" i="142" s="1"/>
  <c r="C16" i="142"/>
  <c r="AE14" i="142"/>
  <c r="F14" i="142"/>
  <c r="Y15" i="140"/>
  <c r="E18" i="143"/>
  <c r="C17" i="143"/>
  <c r="F15" i="143"/>
  <c r="G14" i="143"/>
  <c r="G14" i="139"/>
  <c r="C15" i="139"/>
  <c r="F15" i="139"/>
  <c r="E17" i="139"/>
  <c r="W16" i="140"/>
  <c r="G16" i="140"/>
  <c r="C17" i="140"/>
  <c r="AE17" i="140"/>
  <c r="F17" i="140"/>
  <c r="E17" i="140"/>
  <c r="V16" i="140"/>
  <c r="J5" i="113"/>
  <c r="J3" i="113"/>
  <c r="C206" i="113"/>
  <c r="C205" i="113"/>
  <c r="C204" i="113"/>
  <c r="C203" i="113"/>
  <c r="C202" i="113"/>
  <c r="C201" i="113"/>
  <c r="C200" i="113"/>
  <c r="C199" i="113"/>
  <c r="C198" i="113"/>
  <c r="C197" i="113"/>
  <c r="C196" i="113"/>
  <c r="C195" i="113"/>
  <c r="C194" i="113"/>
  <c r="C193" i="113"/>
  <c r="C192" i="113"/>
  <c r="C191" i="113"/>
  <c r="C190" i="113"/>
  <c r="C189" i="113"/>
  <c r="C188" i="113"/>
  <c r="C187" i="113"/>
  <c r="C186" i="113"/>
  <c r="C185" i="113"/>
  <c r="C184" i="113"/>
  <c r="C183" i="113"/>
  <c r="C182" i="113"/>
  <c r="C181" i="113"/>
  <c r="C180" i="113"/>
  <c r="C179" i="113"/>
  <c r="C178" i="113"/>
  <c r="C177" i="113"/>
  <c r="C176" i="113"/>
  <c r="C175" i="113"/>
  <c r="C174" i="113"/>
  <c r="C173" i="113"/>
  <c r="C172" i="113"/>
  <c r="C171" i="113"/>
  <c r="C170" i="113"/>
  <c r="C169" i="113"/>
  <c r="C168" i="113"/>
  <c r="C167" i="113"/>
  <c r="C166" i="113"/>
  <c r="C165" i="113"/>
  <c r="C164" i="113"/>
  <c r="C163" i="113"/>
  <c r="C162" i="113"/>
  <c r="C161" i="113"/>
  <c r="C160" i="113"/>
  <c r="C159" i="113"/>
  <c r="C158" i="113"/>
  <c r="C157" i="113"/>
  <c r="C156" i="113"/>
  <c r="C155" i="113"/>
  <c r="C154" i="113"/>
  <c r="C153" i="113"/>
  <c r="C152" i="113"/>
  <c r="C151" i="113"/>
  <c r="C150" i="113"/>
  <c r="C149" i="113"/>
  <c r="C148" i="113"/>
  <c r="C147" i="113"/>
  <c r="C146" i="113"/>
  <c r="C145" i="113"/>
  <c r="C144" i="113"/>
  <c r="C143" i="113"/>
  <c r="C142" i="113"/>
  <c r="C141" i="113"/>
  <c r="C140" i="113"/>
  <c r="C139" i="113"/>
  <c r="C138" i="113"/>
  <c r="C137" i="113"/>
  <c r="C136" i="113"/>
  <c r="C135" i="113"/>
  <c r="C134" i="113"/>
  <c r="C133" i="113"/>
  <c r="C132" i="113"/>
  <c r="C131" i="113"/>
  <c r="C130" i="113"/>
  <c r="C129" i="113"/>
  <c r="C128" i="113"/>
  <c r="C127" i="113"/>
  <c r="C126" i="113"/>
  <c r="C125" i="113"/>
  <c r="C124" i="113"/>
  <c r="C123" i="113"/>
  <c r="C122" i="113"/>
  <c r="C121" i="113"/>
  <c r="C120" i="113"/>
  <c r="C119" i="113"/>
  <c r="C118" i="113"/>
  <c r="C117" i="113"/>
  <c r="C116" i="113"/>
  <c r="C115" i="113"/>
  <c r="C114" i="113"/>
  <c r="C113" i="113"/>
  <c r="C112" i="113"/>
  <c r="C111" i="113"/>
  <c r="C110" i="113"/>
  <c r="C109" i="113"/>
  <c r="C108" i="113"/>
  <c r="C107" i="113"/>
  <c r="C106" i="113"/>
  <c r="C105" i="113"/>
  <c r="C104" i="113"/>
  <c r="C103" i="113"/>
  <c r="C102" i="113"/>
  <c r="C101" i="113"/>
  <c r="C100" i="113"/>
  <c r="C99" i="113"/>
  <c r="C98" i="113"/>
  <c r="C97" i="113"/>
  <c r="C96" i="113"/>
  <c r="C95" i="113"/>
  <c r="C94" i="113"/>
  <c r="C93" i="113"/>
  <c r="C92" i="113"/>
  <c r="C91" i="113"/>
  <c r="C90" i="113"/>
  <c r="C89" i="113"/>
  <c r="C88" i="113"/>
  <c r="C87" i="113"/>
  <c r="C86" i="113"/>
  <c r="C85" i="113"/>
  <c r="C84" i="113"/>
  <c r="C83" i="113"/>
  <c r="C82" i="113"/>
  <c r="C81" i="113"/>
  <c r="C80" i="113"/>
  <c r="C79" i="113"/>
  <c r="C78" i="113"/>
  <c r="C77" i="113"/>
  <c r="C76" i="113"/>
  <c r="C75" i="113"/>
  <c r="C74" i="113"/>
  <c r="C73" i="113"/>
  <c r="C72" i="113"/>
  <c r="C71" i="113"/>
  <c r="C70" i="113"/>
  <c r="C69" i="113"/>
  <c r="C68" i="113"/>
  <c r="C67" i="113"/>
  <c r="C66" i="113"/>
  <c r="C65" i="113"/>
  <c r="C64" i="113"/>
  <c r="C63" i="113"/>
  <c r="C62" i="113"/>
  <c r="C61" i="113"/>
  <c r="C60" i="113"/>
  <c r="C59" i="113"/>
  <c r="C58" i="113"/>
  <c r="C57" i="113"/>
  <c r="C56" i="113"/>
  <c r="C55" i="113"/>
  <c r="C54" i="113"/>
  <c r="C53" i="113"/>
  <c r="C52" i="113"/>
  <c r="C51" i="113"/>
  <c r="C50" i="113"/>
  <c r="C49" i="113"/>
  <c r="C48" i="113"/>
  <c r="C47" i="113"/>
  <c r="C46" i="113"/>
  <c r="C45" i="113"/>
  <c r="C44" i="113"/>
  <c r="C43" i="113"/>
  <c r="C42" i="113"/>
  <c r="C41" i="113"/>
  <c r="C40" i="113"/>
  <c r="C39" i="113"/>
  <c r="C38" i="113"/>
  <c r="C37" i="113"/>
  <c r="C36" i="113"/>
  <c r="C35" i="113"/>
  <c r="C34" i="113"/>
  <c r="C33" i="113"/>
  <c r="C32" i="113"/>
  <c r="C31" i="113"/>
  <c r="C30" i="113"/>
  <c r="C29" i="113"/>
  <c r="C28" i="113"/>
  <c r="C27" i="113"/>
  <c r="C26" i="113"/>
  <c r="C25" i="113"/>
  <c r="C24" i="113"/>
  <c r="C23" i="113"/>
  <c r="C22" i="113"/>
  <c r="C21" i="113"/>
  <c r="C20" i="113"/>
  <c r="C19" i="113"/>
  <c r="C18" i="113"/>
  <c r="C17" i="113"/>
  <c r="C16" i="113"/>
  <c r="C15" i="113"/>
  <c r="C14" i="113"/>
  <c r="C13" i="113"/>
  <c r="C12" i="113"/>
  <c r="C11" i="113"/>
  <c r="C10" i="113"/>
  <c r="C9" i="113"/>
  <c r="C8" i="113"/>
  <c r="G6" i="113" s="1"/>
  <c r="A8" i="113"/>
  <c r="A9" i="113" s="1"/>
  <c r="A10" i="113" s="1"/>
  <c r="A11" i="113" s="1"/>
  <c r="A12" i="113" s="1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A45" i="113" s="1"/>
  <c r="A46" i="113" s="1"/>
  <c r="A47" i="113" s="1"/>
  <c r="A48" i="113" s="1"/>
  <c r="A49" i="113" s="1"/>
  <c r="A50" i="113" s="1"/>
  <c r="A51" i="113" s="1"/>
  <c r="A52" i="113" s="1"/>
  <c r="A53" i="113" s="1"/>
  <c r="A54" i="113" s="1"/>
  <c r="A55" i="113" s="1"/>
  <c r="A56" i="113" s="1"/>
  <c r="A57" i="113" s="1"/>
  <c r="A58" i="113" s="1"/>
  <c r="A59" i="113" s="1"/>
  <c r="A60" i="113" s="1"/>
  <c r="A61" i="113" s="1"/>
  <c r="A62" i="113" s="1"/>
  <c r="A63" i="113" s="1"/>
  <c r="A64" i="113" s="1"/>
  <c r="A65" i="113" s="1"/>
  <c r="A66" i="113" s="1"/>
  <c r="A67" i="113" s="1"/>
  <c r="A68" i="113" s="1"/>
  <c r="A69" i="113" s="1"/>
  <c r="A70" i="113" s="1"/>
  <c r="A71" i="113" s="1"/>
  <c r="A72" i="113" s="1"/>
  <c r="A73" i="113" s="1"/>
  <c r="A74" i="113" s="1"/>
  <c r="A75" i="113" s="1"/>
  <c r="A76" i="113" s="1"/>
  <c r="A77" i="113" s="1"/>
  <c r="A78" i="113" s="1"/>
  <c r="A79" i="113" s="1"/>
  <c r="A80" i="113" s="1"/>
  <c r="A81" i="113" s="1"/>
  <c r="A82" i="113" s="1"/>
  <c r="A83" i="113" s="1"/>
  <c r="A84" i="113" s="1"/>
  <c r="A85" i="113" s="1"/>
  <c r="A86" i="113" s="1"/>
  <c r="A87" i="113" s="1"/>
  <c r="A88" i="113" s="1"/>
  <c r="A89" i="113" s="1"/>
  <c r="A90" i="113" s="1"/>
  <c r="A91" i="113" s="1"/>
  <c r="A92" i="113" s="1"/>
  <c r="A93" i="113" s="1"/>
  <c r="A94" i="113" s="1"/>
  <c r="A95" i="113" s="1"/>
  <c r="A96" i="113" s="1"/>
  <c r="A97" i="113" s="1"/>
  <c r="A98" i="113" s="1"/>
  <c r="A99" i="113" s="1"/>
  <c r="A100" i="113" s="1"/>
  <c r="A101" i="113" s="1"/>
  <c r="A102" i="113" s="1"/>
  <c r="A103" i="113" s="1"/>
  <c r="A104" i="113" s="1"/>
  <c r="A105" i="113" s="1"/>
  <c r="A106" i="113" s="1"/>
  <c r="A107" i="113" s="1"/>
  <c r="A108" i="113" s="1"/>
  <c r="A109" i="113" s="1"/>
  <c r="A110" i="113" s="1"/>
  <c r="A111" i="113" s="1"/>
  <c r="A112" i="113" s="1"/>
  <c r="A113" i="113" s="1"/>
  <c r="A114" i="113" s="1"/>
  <c r="A115" i="113" s="1"/>
  <c r="A116" i="113" s="1"/>
  <c r="A117" i="113" s="1"/>
  <c r="A118" i="113" s="1"/>
  <c r="A119" i="113" s="1"/>
  <c r="A120" i="113" s="1"/>
  <c r="A121" i="113" s="1"/>
  <c r="A122" i="113" s="1"/>
  <c r="A123" i="113" s="1"/>
  <c r="A124" i="113" s="1"/>
  <c r="A125" i="113" s="1"/>
  <c r="A126" i="113" s="1"/>
  <c r="A127" i="113" s="1"/>
  <c r="A128" i="113" s="1"/>
  <c r="A129" i="113" s="1"/>
  <c r="A130" i="113" s="1"/>
  <c r="A131" i="113" s="1"/>
  <c r="A132" i="113" s="1"/>
  <c r="A133" i="113" s="1"/>
  <c r="A134" i="113" s="1"/>
  <c r="A135" i="113" s="1"/>
  <c r="A136" i="113" s="1"/>
  <c r="A137" i="113" s="1"/>
  <c r="A138" i="113" s="1"/>
  <c r="A139" i="113" s="1"/>
  <c r="A140" i="113" s="1"/>
  <c r="A141" i="113" s="1"/>
  <c r="A142" i="113" s="1"/>
  <c r="A143" i="113" s="1"/>
  <c r="A144" i="113" s="1"/>
  <c r="A145" i="113" s="1"/>
  <c r="A146" i="113" s="1"/>
  <c r="A147" i="113" s="1"/>
  <c r="A148" i="113" s="1"/>
  <c r="A149" i="113" s="1"/>
  <c r="A150" i="113" s="1"/>
  <c r="A151" i="113" s="1"/>
  <c r="A152" i="113" s="1"/>
  <c r="A153" i="113" s="1"/>
  <c r="A154" i="113" s="1"/>
  <c r="A155" i="113" s="1"/>
  <c r="A156" i="113" s="1"/>
  <c r="A157" i="113" s="1"/>
  <c r="A158" i="113" s="1"/>
  <c r="A159" i="113" s="1"/>
  <c r="A160" i="113" s="1"/>
  <c r="A161" i="113" s="1"/>
  <c r="A162" i="113" s="1"/>
  <c r="A163" i="113" s="1"/>
  <c r="A164" i="113" s="1"/>
  <c r="A165" i="113" s="1"/>
  <c r="A166" i="113" s="1"/>
  <c r="A167" i="113" s="1"/>
  <c r="A168" i="113" s="1"/>
  <c r="A169" i="113" s="1"/>
  <c r="A170" i="113" s="1"/>
  <c r="A171" i="113" s="1"/>
  <c r="A172" i="113" s="1"/>
  <c r="A173" i="113" s="1"/>
  <c r="A174" i="113" s="1"/>
  <c r="A175" i="113" s="1"/>
  <c r="A176" i="113" s="1"/>
  <c r="A177" i="113" s="1"/>
  <c r="A178" i="113" s="1"/>
  <c r="A179" i="113" s="1"/>
  <c r="A180" i="113" s="1"/>
  <c r="A181" i="113" s="1"/>
  <c r="A182" i="113" s="1"/>
  <c r="A183" i="113" s="1"/>
  <c r="A184" i="113" s="1"/>
  <c r="A185" i="113" s="1"/>
  <c r="A186" i="113" s="1"/>
  <c r="A187" i="113" s="1"/>
  <c r="A188" i="113" s="1"/>
  <c r="A189" i="113" s="1"/>
  <c r="A190" i="113" s="1"/>
  <c r="A191" i="113" s="1"/>
  <c r="A192" i="113" s="1"/>
  <c r="A193" i="113" s="1"/>
  <c r="A194" i="113" s="1"/>
  <c r="A195" i="113" s="1"/>
  <c r="A196" i="113" s="1"/>
  <c r="A197" i="113" s="1"/>
  <c r="A198" i="113" s="1"/>
  <c r="A199" i="113" s="1"/>
  <c r="A200" i="113" s="1"/>
  <c r="A201" i="113" s="1"/>
  <c r="A202" i="113" s="1"/>
  <c r="A203" i="113" s="1"/>
  <c r="A204" i="113" s="1"/>
  <c r="A205" i="113" s="1"/>
  <c r="A206" i="113" s="1"/>
  <c r="C7" i="113"/>
  <c r="D7" i="113" s="1"/>
  <c r="J4" i="113"/>
  <c r="C205" i="110"/>
  <c r="C204" i="110"/>
  <c r="C203" i="110"/>
  <c r="C202" i="110"/>
  <c r="C201" i="110"/>
  <c r="C200" i="110"/>
  <c r="C199" i="110"/>
  <c r="C198" i="110"/>
  <c r="C197" i="110"/>
  <c r="C196" i="110"/>
  <c r="C195" i="110"/>
  <c r="C194" i="110"/>
  <c r="C193" i="110"/>
  <c r="C192" i="110"/>
  <c r="C191" i="110"/>
  <c r="C190" i="110"/>
  <c r="C189" i="110"/>
  <c r="C188" i="110"/>
  <c r="C187" i="110"/>
  <c r="C186" i="110"/>
  <c r="C185" i="110"/>
  <c r="C184" i="110"/>
  <c r="C183" i="110"/>
  <c r="C182" i="110"/>
  <c r="C181" i="110"/>
  <c r="C180" i="110"/>
  <c r="C179" i="110"/>
  <c r="C178" i="110"/>
  <c r="C177" i="110"/>
  <c r="C176" i="110"/>
  <c r="C175" i="110"/>
  <c r="C174" i="110"/>
  <c r="C173" i="110"/>
  <c r="C172" i="110"/>
  <c r="C171" i="110"/>
  <c r="C170" i="110"/>
  <c r="C169" i="110"/>
  <c r="C168" i="110"/>
  <c r="C167" i="110"/>
  <c r="C166" i="110"/>
  <c r="C165" i="110"/>
  <c r="C164" i="110"/>
  <c r="C163" i="110"/>
  <c r="C162" i="110"/>
  <c r="C161" i="110"/>
  <c r="C160" i="110"/>
  <c r="C159" i="110"/>
  <c r="C158" i="110"/>
  <c r="C157" i="110"/>
  <c r="C156" i="110"/>
  <c r="C155" i="110"/>
  <c r="C154" i="110"/>
  <c r="C153" i="110"/>
  <c r="C152" i="110"/>
  <c r="C151" i="110"/>
  <c r="C150" i="110"/>
  <c r="C149" i="110"/>
  <c r="C148" i="110"/>
  <c r="C147" i="110"/>
  <c r="C146" i="110"/>
  <c r="C145" i="110"/>
  <c r="C144" i="110"/>
  <c r="C143" i="110"/>
  <c r="C142" i="110"/>
  <c r="C141" i="110"/>
  <c r="C140" i="110"/>
  <c r="C139" i="110"/>
  <c r="C138" i="110"/>
  <c r="C137" i="110"/>
  <c r="C136" i="110"/>
  <c r="C135" i="110"/>
  <c r="C134" i="110"/>
  <c r="C133" i="110"/>
  <c r="C132" i="110"/>
  <c r="C131" i="110"/>
  <c r="C130" i="110"/>
  <c r="C129" i="110"/>
  <c r="C128" i="110"/>
  <c r="C127" i="110"/>
  <c r="C126" i="110"/>
  <c r="C125" i="110"/>
  <c r="C124" i="110"/>
  <c r="C123" i="110"/>
  <c r="C122" i="110"/>
  <c r="C121" i="110"/>
  <c r="C120" i="110"/>
  <c r="C119" i="110"/>
  <c r="C118" i="110"/>
  <c r="C117" i="110"/>
  <c r="C116" i="110"/>
  <c r="C115" i="110"/>
  <c r="C114" i="110"/>
  <c r="C113" i="110"/>
  <c r="C112" i="110"/>
  <c r="C111" i="110"/>
  <c r="C110" i="110"/>
  <c r="C109" i="110"/>
  <c r="C108" i="110"/>
  <c r="C107" i="110"/>
  <c r="C106" i="110"/>
  <c r="C105" i="110"/>
  <c r="C104" i="110"/>
  <c r="C103" i="110"/>
  <c r="C102" i="110"/>
  <c r="C101" i="110"/>
  <c r="C100" i="110"/>
  <c r="C99" i="110"/>
  <c r="C98" i="110"/>
  <c r="C97" i="110"/>
  <c r="C96" i="110"/>
  <c r="C95" i="110"/>
  <c r="C94" i="110"/>
  <c r="C93" i="110"/>
  <c r="C92" i="110"/>
  <c r="C91" i="110"/>
  <c r="C90" i="110"/>
  <c r="C89" i="110"/>
  <c r="C88" i="110"/>
  <c r="C87" i="110"/>
  <c r="C86" i="110"/>
  <c r="C85" i="110"/>
  <c r="C84" i="110"/>
  <c r="C83" i="110"/>
  <c r="C82" i="110"/>
  <c r="C81" i="110"/>
  <c r="C80" i="110"/>
  <c r="C79" i="110"/>
  <c r="C78" i="110"/>
  <c r="C77" i="110"/>
  <c r="C76" i="110"/>
  <c r="C75" i="110"/>
  <c r="C74" i="110"/>
  <c r="C73" i="110"/>
  <c r="C72" i="110"/>
  <c r="C71" i="110"/>
  <c r="C70" i="110"/>
  <c r="C69" i="110"/>
  <c r="C68" i="110"/>
  <c r="C67" i="110"/>
  <c r="C66" i="110"/>
  <c r="C65" i="110"/>
  <c r="C64" i="110"/>
  <c r="C63" i="110"/>
  <c r="C62" i="110"/>
  <c r="C61" i="110"/>
  <c r="C60" i="110"/>
  <c r="C59" i="110"/>
  <c r="C58" i="110"/>
  <c r="C57" i="110"/>
  <c r="C56" i="110"/>
  <c r="C55" i="110"/>
  <c r="C54" i="110"/>
  <c r="C53" i="110"/>
  <c r="C52" i="110"/>
  <c r="C51" i="110"/>
  <c r="C50" i="110"/>
  <c r="C49" i="110"/>
  <c r="C48" i="110"/>
  <c r="C47" i="110"/>
  <c r="C46" i="110"/>
  <c r="C45" i="110"/>
  <c r="C44" i="110"/>
  <c r="C43" i="110"/>
  <c r="C42" i="110"/>
  <c r="C41" i="110"/>
  <c r="C40" i="110"/>
  <c r="C39" i="110"/>
  <c r="C38" i="110"/>
  <c r="C37" i="110"/>
  <c r="C36" i="110"/>
  <c r="C35" i="110"/>
  <c r="C34" i="110"/>
  <c r="C33" i="110"/>
  <c r="C32" i="110"/>
  <c r="C31" i="110"/>
  <c r="C30" i="110"/>
  <c r="C29" i="110"/>
  <c r="C28" i="110"/>
  <c r="C27" i="110"/>
  <c r="C26" i="110"/>
  <c r="C25" i="110"/>
  <c r="C24" i="110"/>
  <c r="C23" i="110"/>
  <c r="C22" i="110"/>
  <c r="C21" i="110"/>
  <c r="C20" i="110"/>
  <c r="C19" i="110"/>
  <c r="C18" i="110"/>
  <c r="C17" i="110"/>
  <c r="C16" i="110"/>
  <c r="C15" i="110"/>
  <c r="C14" i="110"/>
  <c r="C13" i="110"/>
  <c r="C12" i="110"/>
  <c r="C11" i="110"/>
  <c r="C10" i="110"/>
  <c r="C9" i="110"/>
  <c r="C8" i="110"/>
  <c r="C7" i="110"/>
  <c r="A7" i="110"/>
  <c r="A8" i="110" s="1"/>
  <c r="A9" i="110" s="1"/>
  <c r="A10" i="110" s="1"/>
  <c r="A11" i="110" s="1"/>
  <c r="A12" i="110" s="1"/>
  <c r="A13" i="110" s="1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A45" i="110" s="1"/>
  <c r="A46" i="110" s="1"/>
  <c r="A47" i="110" s="1"/>
  <c r="A48" i="110" s="1"/>
  <c r="A49" i="110" s="1"/>
  <c r="A50" i="110" s="1"/>
  <c r="A51" i="110" s="1"/>
  <c r="A52" i="110" s="1"/>
  <c r="A53" i="110" s="1"/>
  <c r="A54" i="110" s="1"/>
  <c r="A55" i="110" s="1"/>
  <c r="A56" i="110" s="1"/>
  <c r="A57" i="110" s="1"/>
  <c r="A58" i="110" s="1"/>
  <c r="A59" i="110" s="1"/>
  <c r="A60" i="110" s="1"/>
  <c r="A61" i="110" s="1"/>
  <c r="A62" i="110" s="1"/>
  <c r="A63" i="110" s="1"/>
  <c r="A64" i="110" s="1"/>
  <c r="A65" i="110" s="1"/>
  <c r="A66" i="110" s="1"/>
  <c r="A67" i="110" s="1"/>
  <c r="A68" i="110" s="1"/>
  <c r="A69" i="110" s="1"/>
  <c r="A70" i="110" s="1"/>
  <c r="A71" i="110" s="1"/>
  <c r="A72" i="110" s="1"/>
  <c r="A73" i="110" s="1"/>
  <c r="A74" i="110" s="1"/>
  <c r="A75" i="110" s="1"/>
  <c r="A76" i="110" s="1"/>
  <c r="A77" i="110" s="1"/>
  <c r="A78" i="110" s="1"/>
  <c r="A79" i="110" s="1"/>
  <c r="A80" i="110" s="1"/>
  <c r="A81" i="110" s="1"/>
  <c r="A82" i="110" s="1"/>
  <c r="A83" i="110" s="1"/>
  <c r="A84" i="110" s="1"/>
  <c r="A85" i="110" s="1"/>
  <c r="A86" i="110" s="1"/>
  <c r="A87" i="110" s="1"/>
  <c r="A88" i="110" s="1"/>
  <c r="A89" i="110" s="1"/>
  <c r="A90" i="110" s="1"/>
  <c r="A91" i="110" s="1"/>
  <c r="A92" i="110" s="1"/>
  <c r="A93" i="110" s="1"/>
  <c r="A94" i="110" s="1"/>
  <c r="A95" i="110" s="1"/>
  <c r="A96" i="110" s="1"/>
  <c r="A97" i="110" s="1"/>
  <c r="A98" i="110" s="1"/>
  <c r="A99" i="110" s="1"/>
  <c r="A100" i="110" s="1"/>
  <c r="A101" i="110" s="1"/>
  <c r="A102" i="110" s="1"/>
  <c r="A103" i="110" s="1"/>
  <c r="A104" i="110" s="1"/>
  <c r="A105" i="110" s="1"/>
  <c r="A106" i="110" s="1"/>
  <c r="A107" i="110" s="1"/>
  <c r="A108" i="110" s="1"/>
  <c r="A109" i="110" s="1"/>
  <c r="A110" i="110" s="1"/>
  <c r="A111" i="110" s="1"/>
  <c r="A112" i="110" s="1"/>
  <c r="A113" i="110" s="1"/>
  <c r="A114" i="110" s="1"/>
  <c r="A115" i="110" s="1"/>
  <c r="A116" i="110" s="1"/>
  <c r="A117" i="110" s="1"/>
  <c r="A118" i="110" s="1"/>
  <c r="A119" i="110" s="1"/>
  <c r="A120" i="110" s="1"/>
  <c r="A121" i="110" s="1"/>
  <c r="A122" i="110" s="1"/>
  <c r="A123" i="110" s="1"/>
  <c r="A124" i="110" s="1"/>
  <c r="A125" i="110" s="1"/>
  <c r="A126" i="110" s="1"/>
  <c r="A127" i="110" s="1"/>
  <c r="A128" i="110" s="1"/>
  <c r="A129" i="110" s="1"/>
  <c r="A130" i="110" s="1"/>
  <c r="A131" i="110" s="1"/>
  <c r="A132" i="110" s="1"/>
  <c r="A133" i="110" s="1"/>
  <c r="A134" i="110" s="1"/>
  <c r="A135" i="110" s="1"/>
  <c r="A136" i="110" s="1"/>
  <c r="A137" i="110" s="1"/>
  <c r="A138" i="110" s="1"/>
  <c r="A139" i="110" s="1"/>
  <c r="A140" i="110" s="1"/>
  <c r="A141" i="110" s="1"/>
  <c r="A142" i="110" s="1"/>
  <c r="A143" i="110" s="1"/>
  <c r="A144" i="110" s="1"/>
  <c r="A145" i="110" s="1"/>
  <c r="A146" i="110" s="1"/>
  <c r="A147" i="110" s="1"/>
  <c r="A148" i="110" s="1"/>
  <c r="A149" i="110" s="1"/>
  <c r="A150" i="110" s="1"/>
  <c r="A151" i="110" s="1"/>
  <c r="A152" i="110" s="1"/>
  <c r="A153" i="110" s="1"/>
  <c r="A154" i="110" s="1"/>
  <c r="A155" i="110" s="1"/>
  <c r="A156" i="110" s="1"/>
  <c r="A157" i="110" s="1"/>
  <c r="A158" i="110" s="1"/>
  <c r="A159" i="110" s="1"/>
  <c r="A160" i="110" s="1"/>
  <c r="A161" i="110" s="1"/>
  <c r="A162" i="110" s="1"/>
  <c r="A163" i="110" s="1"/>
  <c r="A164" i="110" s="1"/>
  <c r="A165" i="110" s="1"/>
  <c r="A166" i="110" s="1"/>
  <c r="A167" i="110" s="1"/>
  <c r="A168" i="110" s="1"/>
  <c r="A169" i="110" s="1"/>
  <c r="A170" i="110" s="1"/>
  <c r="A171" i="110" s="1"/>
  <c r="A172" i="110" s="1"/>
  <c r="A173" i="110" s="1"/>
  <c r="A174" i="110" s="1"/>
  <c r="A175" i="110" s="1"/>
  <c r="A176" i="110" s="1"/>
  <c r="A177" i="110" s="1"/>
  <c r="A178" i="110" s="1"/>
  <c r="A179" i="110" s="1"/>
  <c r="A180" i="110" s="1"/>
  <c r="A181" i="110" s="1"/>
  <c r="A182" i="110" s="1"/>
  <c r="A183" i="110" s="1"/>
  <c r="A184" i="110" s="1"/>
  <c r="A185" i="110" s="1"/>
  <c r="A186" i="110" s="1"/>
  <c r="A187" i="110" s="1"/>
  <c r="A188" i="110" s="1"/>
  <c r="A189" i="110" s="1"/>
  <c r="A190" i="110" s="1"/>
  <c r="A191" i="110" s="1"/>
  <c r="A192" i="110" s="1"/>
  <c r="A193" i="110" s="1"/>
  <c r="A194" i="110" s="1"/>
  <c r="A195" i="110" s="1"/>
  <c r="A196" i="110" s="1"/>
  <c r="A197" i="110" s="1"/>
  <c r="A198" i="110" s="1"/>
  <c r="A199" i="110" s="1"/>
  <c r="A200" i="110" s="1"/>
  <c r="A201" i="110" s="1"/>
  <c r="A202" i="110" s="1"/>
  <c r="A203" i="110" s="1"/>
  <c r="A204" i="110" s="1"/>
  <c r="A205" i="110" s="1"/>
  <c r="C6" i="110"/>
  <c r="D6" i="110" s="1"/>
  <c r="C204" i="109"/>
  <c r="C203" i="109"/>
  <c r="C202" i="109"/>
  <c r="C201" i="109"/>
  <c r="C200" i="109"/>
  <c r="C199" i="109"/>
  <c r="C198" i="109"/>
  <c r="C197" i="109"/>
  <c r="C196" i="109"/>
  <c r="C195" i="109"/>
  <c r="C194" i="109"/>
  <c r="C193" i="109"/>
  <c r="C192" i="109"/>
  <c r="C191" i="109"/>
  <c r="C190" i="109"/>
  <c r="C189" i="109"/>
  <c r="C188" i="109"/>
  <c r="C187" i="109"/>
  <c r="C186" i="109"/>
  <c r="C185" i="109"/>
  <c r="C184" i="109"/>
  <c r="C183" i="109"/>
  <c r="C182" i="109"/>
  <c r="C181" i="109"/>
  <c r="C180" i="109"/>
  <c r="C179" i="109"/>
  <c r="C178" i="109"/>
  <c r="C177" i="109"/>
  <c r="C176" i="109"/>
  <c r="C175" i="109"/>
  <c r="C174" i="109"/>
  <c r="C173" i="109"/>
  <c r="C172" i="109"/>
  <c r="C171" i="109"/>
  <c r="C170" i="109"/>
  <c r="C169" i="109"/>
  <c r="C168" i="109"/>
  <c r="C167" i="109"/>
  <c r="C166" i="109"/>
  <c r="C165" i="109"/>
  <c r="C164" i="109"/>
  <c r="C163" i="109"/>
  <c r="C162" i="109"/>
  <c r="C161" i="109"/>
  <c r="C160" i="109"/>
  <c r="C159" i="109"/>
  <c r="C158" i="109"/>
  <c r="C157" i="109"/>
  <c r="C156" i="109"/>
  <c r="C155" i="109"/>
  <c r="C154" i="109"/>
  <c r="C153" i="109"/>
  <c r="C152" i="109"/>
  <c r="C151" i="109"/>
  <c r="C150" i="109"/>
  <c r="C149" i="109"/>
  <c r="C148" i="109"/>
  <c r="C147" i="109"/>
  <c r="C146" i="109"/>
  <c r="C145" i="109"/>
  <c r="C144" i="109"/>
  <c r="C143" i="109"/>
  <c r="C142" i="109"/>
  <c r="C141" i="109"/>
  <c r="C140" i="109"/>
  <c r="C139" i="109"/>
  <c r="C138" i="109"/>
  <c r="C137" i="109"/>
  <c r="C136" i="109"/>
  <c r="C135" i="109"/>
  <c r="C134" i="109"/>
  <c r="C133" i="109"/>
  <c r="C132" i="109"/>
  <c r="C131" i="109"/>
  <c r="C130" i="109"/>
  <c r="C129" i="109"/>
  <c r="C128" i="109"/>
  <c r="C127" i="109"/>
  <c r="C126" i="109"/>
  <c r="C125" i="109"/>
  <c r="C124" i="109"/>
  <c r="C123" i="109"/>
  <c r="C122" i="109"/>
  <c r="C121" i="109"/>
  <c r="C120" i="109"/>
  <c r="C119" i="109"/>
  <c r="C118" i="109"/>
  <c r="C117" i="109"/>
  <c r="C116" i="109"/>
  <c r="C115" i="109"/>
  <c r="C114" i="109"/>
  <c r="C113" i="109"/>
  <c r="C112" i="109"/>
  <c r="C111" i="109"/>
  <c r="C110" i="109"/>
  <c r="C109" i="109"/>
  <c r="C108" i="109"/>
  <c r="C107" i="109"/>
  <c r="C106" i="109"/>
  <c r="C105" i="109"/>
  <c r="C104" i="109"/>
  <c r="C103" i="109"/>
  <c r="C102" i="109"/>
  <c r="C101" i="109"/>
  <c r="C100" i="109"/>
  <c r="C99" i="109"/>
  <c r="C98" i="109"/>
  <c r="C97" i="109"/>
  <c r="C96" i="109"/>
  <c r="C95" i="109"/>
  <c r="C94" i="109"/>
  <c r="C93" i="109"/>
  <c r="C92" i="109"/>
  <c r="C91" i="109"/>
  <c r="C90" i="109"/>
  <c r="C89" i="109"/>
  <c r="C88" i="109"/>
  <c r="C87" i="109"/>
  <c r="C86" i="109"/>
  <c r="C85" i="109"/>
  <c r="C84" i="109"/>
  <c r="C83" i="109"/>
  <c r="C82" i="109"/>
  <c r="C81" i="109"/>
  <c r="C80" i="109"/>
  <c r="C79" i="109"/>
  <c r="C78" i="109"/>
  <c r="C77" i="109"/>
  <c r="C76" i="109"/>
  <c r="C75" i="109"/>
  <c r="C74" i="109"/>
  <c r="C73" i="109"/>
  <c r="C72" i="109"/>
  <c r="C71" i="109"/>
  <c r="C70" i="109"/>
  <c r="C69" i="109"/>
  <c r="C68" i="109"/>
  <c r="C67" i="109"/>
  <c r="C66" i="109"/>
  <c r="C65" i="109"/>
  <c r="C64" i="109"/>
  <c r="C63" i="109"/>
  <c r="C62" i="109"/>
  <c r="C61" i="109"/>
  <c r="C60" i="109"/>
  <c r="C59" i="109"/>
  <c r="C58" i="109"/>
  <c r="C57" i="109"/>
  <c r="C56" i="109"/>
  <c r="C55" i="109"/>
  <c r="C54" i="109"/>
  <c r="C53" i="109"/>
  <c r="C52" i="109"/>
  <c r="C51" i="109"/>
  <c r="C50" i="109"/>
  <c r="C49" i="109"/>
  <c r="C48" i="109"/>
  <c r="C47" i="109"/>
  <c r="C46" i="109"/>
  <c r="C45" i="109"/>
  <c r="C44" i="109"/>
  <c r="C43" i="109"/>
  <c r="C42" i="109"/>
  <c r="C41" i="109"/>
  <c r="C40" i="109"/>
  <c r="C39" i="109"/>
  <c r="C38" i="109"/>
  <c r="C37" i="109"/>
  <c r="C36" i="109"/>
  <c r="C35" i="109"/>
  <c r="C34" i="109"/>
  <c r="C33" i="109"/>
  <c r="C32" i="109"/>
  <c r="C31" i="109"/>
  <c r="C30" i="109"/>
  <c r="C29" i="109"/>
  <c r="C28" i="109"/>
  <c r="C27" i="109"/>
  <c r="C26" i="109"/>
  <c r="C25" i="109"/>
  <c r="C24" i="109"/>
  <c r="C23" i="109"/>
  <c r="C22" i="109"/>
  <c r="C21" i="109"/>
  <c r="C20" i="109"/>
  <c r="C19" i="109"/>
  <c r="C18" i="109"/>
  <c r="C17" i="109"/>
  <c r="C16" i="109"/>
  <c r="C15" i="109"/>
  <c r="C14" i="109"/>
  <c r="C13" i="109"/>
  <c r="C12" i="109"/>
  <c r="C11" i="109"/>
  <c r="C10" i="109"/>
  <c r="C9" i="109"/>
  <c r="C8" i="109"/>
  <c r="C7" i="109"/>
  <c r="C6" i="109"/>
  <c r="A6" i="109"/>
  <c r="A7" i="109" s="1"/>
  <c r="A8" i="109" s="1"/>
  <c r="A9" i="109" s="1"/>
  <c r="A10" i="109" s="1"/>
  <c r="A11" i="109" s="1"/>
  <c r="A12" i="109" s="1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A45" i="109" s="1"/>
  <c r="A46" i="109" s="1"/>
  <c r="A47" i="109" s="1"/>
  <c r="A48" i="109" s="1"/>
  <c r="A49" i="109" s="1"/>
  <c r="A50" i="109" s="1"/>
  <c r="A51" i="109" s="1"/>
  <c r="A52" i="109" s="1"/>
  <c r="A53" i="109" s="1"/>
  <c r="A54" i="109" s="1"/>
  <c r="A55" i="109" s="1"/>
  <c r="A56" i="109" s="1"/>
  <c r="A57" i="109" s="1"/>
  <c r="A58" i="109" s="1"/>
  <c r="A59" i="109" s="1"/>
  <c r="A60" i="109" s="1"/>
  <c r="A61" i="109" s="1"/>
  <c r="A62" i="109" s="1"/>
  <c r="A63" i="109" s="1"/>
  <c r="A64" i="109" s="1"/>
  <c r="A65" i="109" s="1"/>
  <c r="A66" i="109" s="1"/>
  <c r="A67" i="109" s="1"/>
  <c r="A68" i="109" s="1"/>
  <c r="A69" i="109" s="1"/>
  <c r="A70" i="109" s="1"/>
  <c r="A71" i="109" s="1"/>
  <c r="A72" i="109" s="1"/>
  <c r="A73" i="109" s="1"/>
  <c r="A74" i="109" s="1"/>
  <c r="A75" i="109" s="1"/>
  <c r="A76" i="109" s="1"/>
  <c r="A77" i="109" s="1"/>
  <c r="A78" i="109" s="1"/>
  <c r="A79" i="109" s="1"/>
  <c r="A80" i="109" s="1"/>
  <c r="A81" i="109" s="1"/>
  <c r="A82" i="109" s="1"/>
  <c r="A83" i="109" s="1"/>
  <c r="A84" i="109" s="1"/>
  <c r="A85" i="109" s="1"/>
  <c r="A86" i="109" s="1"/>
  <c r="A87" i="109" s="1"/>
  <c r="A88" i="109" s="1"/>
  <c r="A89" i="109" s="1"/>
  <c r="A90" i="109" s="1"/>
  <c r="A91" i="109" s="1"/>
  <c r="A92" i="109" s="1"/>
  <c r="A93" i="109" s="1"/>
  <c r="A94" i="109" s="1"/>
  <c r="A95" i="109" s="1"/>
  <c r="A96" i="109" s="1"/>
  <c r="A97" i="109" s="1"/>
  <c r="A98" i="109" s="1"/>
  <c r="A99" i="109" s="1"/>
  <c r="A100" i="109" s="1"/>
  <c r="A101" i="109" s="1"/>
  <c r="A102" i="109" s="1"/>
  <c r="A103" i="109" s="1"/>
  <c r="A104" i="109" s="1"/>
  <c r="A105" i="109" s="1"/>
  <c r="A106" i="109" s="1"/>
  <c r="A107" i="109" s="1"/>
  <c r="A108" i="109" s="1"/>
  <c r="A109" i="109" s="1"/>
  <c r="A110" i="109" s="1"/>
  <c r="A111" i="109" s="1"/>
  <c r="A112" i="109" s="1"/>
  <c r="A113" i="109" s="1"/>
  <c r="A114" i="109" s="1"/>
  <c r="A115" i="109" s="1"/>
  <c r="A116" i="109" s="1"/>
  <c r="A117" i="109" s="1"/>
  <c r="A118" i="109" s="1"/>
  <c r="A119" i="109" s="1"/>
  <c r="A120" i="109" s="1"/>
  <c r="A121" i="109" s="1"/>
  <c r="A122" i="109" s="1"/>
  <c r="A123" i="109" s="1"/>
  <c r="A124" i="109" s="1"/>
  <c r="A125" i="109" s="1"/>
  <c r="A126" i="109" s="1"/>
  <c r="A127" i="109" s="1"/>
  <c r="A128" i="109" s="1"/>
  <c r="A129" i="109" s="1"/>
  <c r="A130" i="109" s="1"/>
  <c r="A131" i="109" s="1"/>
  <c r="A132" i="109" s="1"/>
  <c r="A133" i="109" s="1"/>
  <c r="A134" i="109" s="1"/>
  <c r="A135" i="109" s="1"/>
  <c r="A136" i="109" s="1"/>
  <c r="A137" i="109" s="1"/>
  <c r="A138" i="109" s="1"/>
  <c r="A139" i="109" s="1"/>
  <c r="A140" i="109" s="1"/>
  <c r="A141" i="109" s="1"/>
  <c r="A142" i="109" s="1"/>
  <c r="A143" i="109" s="1"/>
  <c r="A144" i="109" s="1"/>
  <c r="A145" i="109" s="1"/>
  <c r="A146" i="109" s="1"/>
  <c r="A147" i="109" s="1"/>
  <c r="A148" i="109" s="1"/>
  <c r="A149" i="109" s="1"/>
  <c r="A150" i="109" s="1"/>
  <c r="A151" i="109" s="1"/>
  <c r="A152" i="109" s="1"/>
  <c r="A153" i="109" s="1"/>
  <c r="A154" i="109" s="1"/>
  <c r="A155" i="109" s="1"/>
  <c r="A156" i="109" s="1"/>
  <c r="A157" i="109" s="1"/>
  <c r="A158" i="109" s="1"/>
  <c r="A159" i="109" s="1"/>
  <c r="A160" i="109" s="1"/>
  <c r="A161" i="109" s="1"/>
  <c r="A162" i="109" s="1"/>
  <c r="A163" i="109" s="1"/>
  <c r="A164" i="109" s="1"/>
  <c r="A165" i="109" s="1"/>
  <c r="A166" i="109" s="1"/>
  <c r="A167" i="109" s="1"/>
  <c r="A168" i="109" s="1"/>
  <c r="A169" i="109" s="1"/>
  <c r="A170" i="109" s="1"/>
  <c r="A171" i="109" s="1"/>
  <c r="A172" i="109" s="1"/>
  <c r="A173" i="109" s="1"/>
  <c r="A174" i="109" s="1"/>
  <c r="A175" i="109" s="1"/>
  <c r="A176" i="109" s="1"/>
  <c r="A177" i="109" s="1"/>
  <c r="A178" i="109" s="1"/>
  <c r="A179" i="109" s="1"/>
  <c r="A180" i="109" s="1"/>
  <c r="A181" i="109" s="1"/>
  <c r="A182" i="109" s="1"/>
  <c r="A183" i="109" s="1"/>
  <c r="A184" i="109" s="1"/>
  <c r="A185" i="109" s="1"/>
  <c r="A186" i="109" s="1"/>
  <c r="A187" i="109" s="1"/>
  <c r="A188" i="109" s="1"/>
  <c r="A189" i="109" s="1"/>
  <c r="A190" i="109" s="1"/>
  <c r="A191" i="109" s="1"/>
  <c r="A192" i="109" s="1"/>
  <c r="A193" i="109" s="1"/>
  <c r="A194" i="109" s="1"/>
  <c r="A195" i="109" s="1"/>
  <c r="A196" i="109" s="1"/>
  <c r="A197" i="109" s="1"/>
  <c r="A198" i="109" s="1"/>
  <c r="A199" i="109" s="1"/>
  <c r="A200" i="109" s="1"/>
  <c r="A201" i="109" s="1"/>
  <c r="A202" i="109" s="1"/>
  <c r="A203" i="109" s="1"/>
  <c r="A204" i="109" s="1"/>
  <c r="C5" i="109"/>
  <c r="D5" i="109" s="1"/>
  <c r="D34" i="168" l="1"/>
  <c r="V33" i="168"/>
  <c r="D31" i="166"/>
  <c r="V30" i="166"/>
  <c r="E32" i="164"/>
  <c r="W31" i="164"/>
  <c r="F31" i="165"/>
  <c r="X30" i="165"/>
  <c r="Y30" i="165" s="1"/>
  <c r="F30" i="167"/>
  <c r="X29" i="167"/>
  <c r="Y29" i="167" s="1"/>
  <c r="D31" i="146"/>
  <c r="V30" i="146"/>
  <c r="F30" i="166"/>
  <c r="X29" i="166"/>
  <c r="Y29" i="166" s="1"/>
  <c r="D32" i="165"/>
  <c r="V31" i="165"/>
  <c r="D30" i="167"/>
  <c r="V29" i="167"/>
  <c r="D8" i="113"/>
  <c r="D9" i="113" s="1"/>
  <c r="C16" i="138"/>
  <c r="A18" i="151"/>
  <c r="E33" i="163"/>
  <c r="W32" i="163"/>
  <c r="D32" i="157"/>
  <c r="V31" i="157"/>
  <c r="X14" i="168"/>
  <c r="Y14" i="168" s="1"/>
  <c r="F15" i="168"/>
  <c r="F15" i="157"/>
  <c r="X14" i="157"/>
  <c r="Y14" i="157" s="1"/>
  <c r="X19" i="146"/>
  <c r="Y19" i="146" s="1"/>
  <c r="X15" i="156"/>
  <c r="Y15" i="156" s="1"/>
  <c r="F16" i="156"/>
  <c r="X17" i="155"/>
  <c r="Y17" i="155" s="1"/>
  <c r="F18" i="155"/>
  <c r="F20" i="146"/>
  <c r="F21" i="146" s="1"/>
  <c r="Y27" i="163"/>
  <c r="Z27" i="163" s="1"/>
  <c r="G28" i="163"/>
  <c r="G30" i="164"/>
  <c r="Y29" i="164"/>
  <c r="Z29" i="164" s="1"/>
  <c r="D18" i="149"/>
  <c r="D17" i="149"/>
  <c r="D17" i="147"/>
  <c r="U16" i="147"/>
  <c r="D47" i="147"/>
  <c r="U46" i="147"/>
  <c r="D75" i="147"/>
  <c r="U74" i="147"/>
  <c r="D105" i="147"/>
  <c r="U104" i="147"/>
  <c r="E17" i="142"/>
  <c r="V16" i="142"/>
  <c r="C17" i="142"/>
  <c r="AE15" i="142"/>
  <c r="F15" i="142"/>
  <c r="W15" i="142" s="1"/>
  <c r="W14" i="142"/>
  <c r="G14" i="142"/>
  <c r="X13" i="142"/>
  <c r="Y13" i="142" s="1"/>
  <c r="C18" i="143"/>
  <c r="F16" i="143"/>
  <c r="E19" i="143"/>
  <c r="G15" i="143"/>
  <c r="G15" i="139"/>
  <c r="C16" i="139"/>
  <c r="F16" i="139"/>
  <c r="E18" i="139"/>
  <c r="X16" i="140"/>
  <c r="E18" i="140"/>
  <c r="V17" i="140"/>
  <c r="G17" i="140"/>
  <c r="X17" i="140" s="1"/>
  <c r="W17" i="140"/>
  <c r="Y16" i="140"/>
  <c r="C18" i="140"/>
  <c r="F18" i="140"/>
  <c r="AE18" i="140"/>
  <c r="D10" i="113"/>
  <c r="D11" i="113" s="1"/>
  <c r="D7" i="110"/>
  <c r="G5" i="110"/>
  <c r="D6" i="109"/>
  <c r="G4" i="109"/>
  <c r="C6" i="101"/>
  <c r="C7" i="101"/>
  <c r="C8" i="101"/>
  <c r="C9" i="101"/>
  <c r="C10" i="101"/>
  <c r="C11" i="101"/>
  <c r="C12" i="101"/>
  <c r="C13" i="101"/>
  <c r="C14" i="101"/>
  <c r="C15" i="101"/>
  <c r="C16" i="101"/>
  <c r="C17" i="101"/>
  <c r="C18" i="101"/>
  <c r="C19" i="101"/>
  <c r="C20" i="101"/>
  <c r="C21" i="101"/>
  <c r="C22" i="101"/>
  <c r="C23" i="101"/>
  <c r="C24" i="101"/>
  <c r="C25" i="101"/>
  <c r="C26" i="101"/>
  <c r="C27" i="101"/>
  <c r="C28" i="101"/>
  <c r="C29" i="101"/>
  <c r="C30" i="101"/>
  <c r="C31" i="101"/>
  <c r="C32" i="101"/>
  <c r="C33" i="101"/>
  <c r="C34" i="101"/>
  <c r="C35" i="101"/>
  <c r="C36" i="101"/>
  <c r="C37" i="101"/>
  <c r="C38" i="101"/>
  <c r="C39" i="101"/>
  <c r="C40" i="101"/>
  <c r="C41" i="101"/>
  <c r="C42" i="101"/>
  <c r="C43" i="101"/>
  <c r="C44" i="101"/>
  <c r="C45" i="101"/>
  <c r="C46" i="101"/>
  <c r="C47" i="101"/>
  <c r="C48" i="101"/>
  <c r="C49" i="101"/>
  <c r="C50" i="101"/>
  <c r="C51" i="101"/>
  <c r="C52" i="101"/>
  <c r="C53" i="101"/>
  <c r="C54" i="101"/>
  <c r="C55" i="101"/>
  <c r="C56" i="101"/>
  <c r="C57" i="101"/>
  <c r="C58" i="101"/>
  <c r="C59" i="101"/>
  <c r="C60" i="101"/>
  <c r="C61" i="101"/>
  <c r="C62" i="101"/>
  <c r="C63" i="101"/>
  <c r="C64" i="101"/>
  <c r="C65" i="101"/>
  <c r="C66" i="101"/>
  <c r="C67" i="101"/>
  <c r="C68" i="101"/>
  <c r="C69" i="101"/>
  <c r="C70" i="101"/>
  <c r="C71" i="101"/>
  <c r="C72" i="101"/>
  <c r="C73" i="101"/>
  <c r="C74" i="101"/>
  <c r="C75" i="101"/>
  <c r="C76" i="101"/>
  <c r="C77" i="101"/>
  <c r="C78" i="101"/>
  <c r="C79" i="101"/>
  <c r="C80" i="101"/>
  <c r="C81" i="101"/>
  <c r="C82" i="101"/>
  <c r="C83" i="101"/>
  <c r="C84" i="101"/>
  <c r="C85" i="101"/>
  <c r="C86" i="101"/>
  <c r="C87" i="101"/>
  <c r="C88" i="101"/>
  <c r="C89" i="101"/>
  <c r="C90" i="101"/>
  <c r="C91" i="101"/>
  <c r="C92" i="101"/>
  <c r="C93" i="101"/>
  <c r="C94" i="101"/>
  <c r="C95" i="101"/>
  <c r="C96" i="101"/>
  <c r="C97" i="101"/>
  <c r="C98" i="101"/>
  <c r="C99" i="101"/>
  <c r="C100" i="101"/>
  <c r="C101" i="101"/>
  <c r="C102" i="101"/>
  <c r="C103" i="101"/>
  <c r="C104" i="101"/>
  <c r="C105" i="101"/>
  <c r="C106" i="101"/>
  <c r="C107" i="101"/>
  <c r="C108" i="101"/>
  <c r="C109" i="101"/>
  <c r="C110" i="101"/>
  <c r="C111" i="101"/>
  <c r="C112" i="101"/>
  <c r="C113" i="101"/>
  <c r="C114" i="101"/>
  <c r="C115" i="101"/>
  <c r="C116" i="101"/>
  <c r="C117" i="101"/>
  <c r="C118" i="101"/>
  <c r="C119" i="101"/>
  <c r="C120" i="101"/>
  <c r="C121" i="101"/>
  <c r="C122" i="101"/>
  <c r="C123" i="101"/>
  <c r="C124" i="101"/>
  <c r="C125" i="101"/>
  <c r="C126" i="101"/>
  <c r="C127" i="101"/>
  <c r="C128" i="101"/>
  <c r="C129" i="101"/>
  <c r="C130" i="101"/>
  <c r="C131" i="101"/>
  <c r="C132" i="101"/>
  <c r="C133" i="101"/>
  <c r="C134" i="101"/>
  <c r="C135" i="101"/>
  <c r="C136" i="101"/>
  <c r="C137" i="101"/>
  <c r="C138" i="101"/>
  <c r="C139" i="101"/>
  <c r="C140" i="101"/>
  <c r="C141" i="101"/>
  <c r="C142" i="101"/>
  <c r="C143" i="101"/>
  <c r="C144" i="101"/>
  <c r="C145" i="101"/>
  <c r="C146" i="101"/>
  <c r="C147" i="101"/>
  <c r="C148" i="101"/>
  <c r="C149" i="101"/>
  <c r="C150" i="101"/>
  <c r="C151" i="101"/>
  <c r="C152" i="101"/>
  <c r="C153" i="101"/>
  <c r="C154" i="101"/>
  <c r="C155" i="101"/>
  <c r="C156" i="101"/>
  <c r="C157" i="101"/>
  <c r="C158" i="101"/>
  <c r="C159" i="101"/>
  <c r="C160" i="101"/>
  <c r="C161" i="101"/>
  <c r="C162" i="101"/>
  <c r="C163" i="101"/>
  <c r="C164" i="101"/>
  <c r="C165" i="101"/>
  <c r="C166" i="101"/>
  <c r="C167" i="101"/>
  <c r="C168" i="101"/>
  <c r="C169" i="101"/>
  <c r="C170" i="101"/>
  <c r="C171" i="101"/>
  <c r="C172" i="101"/>
  <c r="C173" i="101"/>
  <c r="C174" i="101"/>
  <c r="C175" i="101"/>
  <c r="C176" i="101"/>
  <c r="C177" i="101"/>
  <c r="C178" i="101"/>
  <c r="C179" i="101"/>
  <c r="C180" i="101"/>
  <c r="C181" i="101"/>
  <c r="C182" i="101"/>
  <c r="C183" i="101"/>
  <c r="C184" i="101"/>
  <c r="C185" i="101"/>
  <c r="C186" i="101"/>
  <c r="C187" i="101"/>
  <c r="C188" i="101"/>
  <c r="C189" i="101"/>
  <c r="C190" i="101"/>
  <c r="C191" i="101"/>
  <c r="C192" i="101"/>
  <c r="C193" i="101"/>
  <c r="C194" i="101"/>
  <c r="C195" i="101"/>
  <c r="C196" i="101"/>
  <c r="C197" i="101"/>
  <c r="C198" i="101"/>
  <c r="C199" i="101"/>
  <c r="C200" i="101"/>
  <c r="C201" i="101"/>
  <c r="C202" i="101"/>
  <c r="C203" i="101"/>
  <c r="C5" i="101"/>
  <c r="C4" i="101"/>
  <c r="D32" i="146" l="1"/>
  <c r="V31" i="146"/>
  <c r="E33" i="164"/>
  <c r="W32" i="164"/>
  <c r="D33" i="157"/>
  <c r="V32" i="157"/>
  <c r="D31" i="167"/>
  <c r="V30" i="167"/>
  <c r="E34" i="163"/>
  <c r="W33" i="163"/>
  <c r="D33" i="165"/>
  <c r="V32" i="165"/>
  <c r="F31" i="167"/>
  <c r="X30" i="167"/>
  <c r="Y30" i="167" s="1"/>
  <c r="A19" i="151"/>
  <c r="D32" i="166"/>
  <c r="V31" i="166"/>
  <c r="G10" i="149"/>
  <c r="C17" i="138"/>
  <c r="F31" i="166"/>
  <c r="X30" i="166"/>
  <c r="Y30" i="166" s="1"/>
  <c r="F32" i="165"/>
  <c r="X31" i="165"/>
  <c r="Y31" i="165" s="1"/>
  <c r="D35" i="168"/>
  <c r="V34" i="168"/>
  <c r="F16" i="168"/>
  <c r="X15" i="168"/>
  <c r="Y15" i="168" s="1"/>
  <c r="F16" i="157"/>
  <c r="X15" i="157"/>
  <c r="Y15" i="157" s="1"/>
  <c r="X21" i="146"/>
  <c r="Y21" i="146" s="1"/>
  <c r="F19" i="155"/>
  <c r="X18" i="155"/>
  <c r="Y18" i="155" s="1"/>
  <c r="X16" i="156"/>
  <c r="Y16" i="156" s="1"/>
  <c r="F17" i="156"/>
  <c r="X20" i="146"/>
  <c r="Y20" i="146" s="1"/>
  <c r="F22" i="146"/>
  <c r="Y28" i="163"/>
  <c r="Z28" i="163" s="1"/>
  <c r="G29" i="163"/>
  <c r="D7" i="109"/>
  <c r="AC3" i="101"/>
  <c r="AD3" i="101" s="1"/>
  <c r="AD5" i="101" s="1"/>
  <c r="D8" i="110"/>
  <c r="G31" i="164"/>
  <c r="Y30" i="164"/>
  <c r="Z30" i="164" s="1"/>
  <c r="G16" i="149"/>
  <c r="G15" i="149" s="1"/>
  <c r="H16" i="149"/>
  <c r="D106" i="147"/>
  <c r="U105" i="147"/>
  <c r="D48" i="147"/>
  <c r="U47" i="147"/>
  <c r="D76" i="147"/>
  <c r="U75" i="147"/>
  <c r="D18" i="147"/>
  <c r="U17" i="147"/>
  <c r="E18" i="142"/>
  <c r="V17" i="142"/>
  <c r="G15" i="142"/>
  <c r="X14" i="142"/>
  <c r="Y14" i="142" s="1"/>
  <c r="C18" i="142"/>
  <c r="AE16" i="142"/>
  <c r="F16" i="142"/>
  <c r="W16" i="142" s="1"/>
  <c r="C19" i="143"/>
  <c r="F17" i="143"/>
  <c r="G16" i="143"/>
  <c r="E20" i="143"/>
  <c r="C17" i="139"/>
  <c r="F17" i="139"/>
  <c r="E19" i="139"/>
  <c r="G16" i="139"/>
  <c r="W18" i="140"/>
  <c r="G18" i="140"/>
  <c r="X18" i="140" s="1"/>
  <c r="F19" i="140"/>
  <c r="AE19" i="140"/>
  <c r="C19" i="140"/>
  <c r="Y17" i="140"/>
  <c r="E19" i="140"/>
  <c r="V18" i="140"/>
  <c r="D12" i="113"/>
  <c r="J5" i="101"/>
  <c r="J6" i="101" s="1"/>
  <c r="J7" i="101" s="1"/>
  <c r="J8" i="101" s="1"/>
  <c r="J9" i="101" s="1"/>
  <c r="J10" i="101" s="1"/>
  <c r="J11" i="101" s="1"/>
  <c r="J12" i="101" s="1"/>
  <c r="J13" i="101" s="1"/>
  <c r="J14" i="101" s="1"/>
  <c r="A5" i="101"/>
  <c r="A6" i="101" s="1"/>
  <c r="A7" i="101" s="1"/>
  <c r="A8" i="101" s="1"/>
  <c r="A9" i="101" s="1"/>
  <c r="A10" i="101" s="1"/>
  <c r="A11" i="101" s="1"/>
  <c r="A12" i="101" s="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A45" i="101" s="1"/>
  <c r="A46" i="101" s="1"/>
  <c r="A47" i="101" s="1"/>
  <c r="A48" i="101" s="1"/>
  <c r="A49" i="101" s="1"/>
  <c r="A50" i="101" s="1"/>
  <c r="A51" i="101" s="1"/>
  <c r="A52" i="101" s="1"/>
  <c r="A53" i="101" s="1"/>
  <c r="A54" i="101" s="1"/>
  <c r="A55" i="101" s="1"/>
  <c r="A56" i="101" s="1"/>
  <c r="A57" i="101" s="1"/>
  <c r="A58" i="101" s="1"/>
  <c r="A59" i="101" s="1"/>
  <c r="A60" i="101" s="1"/>
  <c r="A61" i="101" s="1"/>
  <c r="A62" i="101" s="1"/>
  <c r="A63" i="101" s="1"/>
  <c r="A64" i="101" s="1"/>
  <c r="A65" i="101" s="1"/>
  <c r="A66" i="101" s="1"/>
  <c r="A67" i="101" s="1"/>
  <c r="A68" i="101" s="1"/>
  <c r="A69" i="101" s="1"/>
  <c r="A70" i="101" s="1"/>
  <c r="A71" i="101" s="1"/>
  <c r="A72" i="101" s="1"/>
  <c r="A73" i="101" s="1"/>
  <c r="A74" i="101" s="1"/>
  <c r="A75" i="101" s="1"/>
  <c r="A76" i="101" s="1"/>
  <c r="A77" i="101" s="1"/>
  <c r="A78" i="101" s="1"/>
  <c r="A79" i="101" s="1"/>
  <c r="A80" i="101" s="1"/>
  <c r="A81" i="101" s="1"/>
  <c r="A82" i="101" s="1"/>
  <c r="A83" i="101" s="1"/>
  <c r="A84" i="101" s="1"/>
  <c r="A85" i="101" s="1"/>
  <c r="A86" i="101" s="1"/>
  <c r="A87" i="101" s="1"/>
  <c r="A88" i="101" s="1"/>
  <c r="A89" i="101" s="1"/>
  <c r="A90" i="101" s="1"/>
  <c r="A91" i="101" s="1"/>
  <c r="A92" i="101" s="1"/>
  <c r="A93" i="101" s="1"/>
  <c r="A94" i="101" s="1"/>
  <c r="A95" i="101" s="1"/>
  <c r="A96" i="101" s="1"/>
  <c r="A97" i="101" s="1"/>
  <c r="A98" i="101" s="1"/>
  <c r="A99" i="101" s="1"/>
  <c r="A100" i="101" s="1"/>
  <c r="A101" i="101" s="1"/>
  <c r="A102" i="101" s="1"/>
  <c r="A103" i="101" s="1"/>
  <c r="A104" i="101" s="1"/>
  <c r="A105" i="101" s="1"/>
  <c r="A106" i="101" s="1"/>
  <c r="A107" i="101" s="1"/>
  <c r="A108" i="101" s="1"/>
  <c r="A109" i="101" s="1"/>
  <c r="A110" i="101" s="1"/>
  <c r="A111" i="101" s="1"/>
  <c r="A112" i="101" s="1"/>
  <c r="A113" i="101" s="1"/>
  <c r="A114" i="101" s="1"/>
  <c r="A115" i="101" s="1"/>
  <c r="A116" i="101" s="1"/>
  <c r="A117" i="101" s="1"/>
  <c r="A118" i="101" s="1"/>
  <c r="A119" i="101" s="1"/>
  <c r="A120" i="101" s="1"/>
  <c r="A121" i="101" s="1"/>
  <c r="A122" i="101" s="1"/>
  <c r="A123" i="101" s="1"/>
  <c r="A124" i="101" s="1"/>
  <c r="A125" i="101" s="1"/>
  <c r="A126" i="101" s="1"/>
  <c r="A127" i="101" s="1"/>
  <c r="A128" i="101" s="1"/>
  <c r="A129" i="101" s="1"/>
  <c r="A130" i="101" s="1"/>
  <c r="A131" i="101" s="1"/>
  <c r="A132" i="101" s="1"/>
  <c r="A133" i="101" s="1"/>
  <c r="A134" i="101" s="1"/>
  <c r="A135" i="101" s="1"/>
  <c r="A136" i="101" s="1"/>
  <c r="A137" i="101" s="1"/>
  <c r="A138" i="101" s="1"/>
  <c r="A139" i="101" s="1"/>
  <c r="A140" i="101" s="1"/>
  <c r="A141" i="101" s="1"/>
  <c r="A142" i="101" s="1"/>
  <c r="A143" i="101" s="1"/>
  <c r="A144" i="101" s="1"/>
  <c r="A145" i="101" s="1"/>
  <c r="A146" i="101" s="1"/>
  <c r="A147" i="101" s="1"/>
  <c r="A148" i="101" s="1"/>
  <c r="A149" i="101" s="1"/>
  <c r="A150" i="101" s="1"/>
  <c r="A151" i="101" s="1"/>
  <c r="A152" i="101" s="1"/>
  <c r="A153" i="101" s="1"/>
  <c r="A154" i="101" s="1"/>
  <c r="A155" i="101" s="1"/>
  <c r="A156" i="101" s="1"/>
  <c r="A157" i="101" s="1"/>
  <c r="A158" i="101" s="1"/>
  <c r="A159" i="101" s="1"/>
  <c r="A160" i="101" s="1"/>
  <c r="A161" i="101" s="1"/>
  <c r="A162" i="101" s="1"/>
  <c r="A163" i="101" s="1"/>
  <c r="A164" i="101" s="1"/>
  <c r="A165" i="101" s="1"/>
  <c r="A166" i="101" s="1"/>
  <c r="A167" i="101" s="1"/>
  <c r="A168" i="101" s="1"/>
  <c r="A169" i="101" s="1"/>
  <c r="A170" i="101" s="1"/>
  <c r="A171" i="101" s="1"/>
  <c r="A172" i="101" s="1"/>
  <c r="A173" i="101" s="1"/>
  <c r="A174" i="101" s="1"/>
  <c r="A175" i="101" s="1"/>
  <c r="A176" i="101" s="1"/>
  <c r="A177" i="101" s="1"/>
  <c r="A178" i="101" s="1"/>
  <c r="A179" i="101" s="1"/>
  <c r="A180" i="101" s="1"/>
  <c r="A181" i="101" s="1"/>
  <c r="A182" i="101" s="1"/>
  <c r="A183" i="101" s="1"/>
  <c r="A184" i="101" s="1"/>
  <c r="A185" i="101" s="1"/>
  <c r="A186" i="101" s="1"/>
  <c r="A187" i="101" s="1"/>
  <c r="A188" i="101" s="1"/>
  <c r="A189" i="101" s="1"/>
  <c r="A190" i="101" s="1"/>
  <c r="A191" i="101" s="1"/>
  <c r="A192" i="101" s="1"/>
  <c r="A193" i="101" s="1"/>
  <c r="A194" i="101" s="1"/>
  <c r="A195" i="101" s="1"/>
  <c r="A196" i="101" s="1"/>
  <c r="A197" i="101" s="1"/>
  <c r="A198" i="101" s="1"/>
  <c r="A199" i="101" s="1"/>
  <c r="A200" i="101" s="1"/>
  <c r="A201" i="101" s="1"/>
  <c r="A202" i="101" s="1"/>
  <c r="A203" i="101" s="1"/>
  <c r="V35" i="168" l="1"/>
  <c r="D36" i="168"/>
  <c r="D33" i="166"/>
  <c r="V32" i="166"/>
  <c r="D34" i="165"/>
  <c r="V33" i="165"/>
  <c r="D34" i="157"/>
  <c r="V33" i="157"/>
  <c r="F33" i="165"/>
  <c r="X32" i="165"/>
  <c r="Y32" i="165" s="1"/>
  <c r="E35" i="163"/>
  <c r="W34" i="163"/>
  <c r="E34" i="164"/>
  <c r="W33" i="164"/>
  <c r="F32" i="166"/>
  <c r="X31" i="166"/>
  <c r="Y31" i="166" s="1"/>
  <c r="A20" i="151"/>
  <c r="C18" i="138"/>
  <c r="D33" i="146"/>
  <c r="V32" i="146"/>
  <c r="F32" i="167"/>
  <c r="X31" i="167"/>
  <c r="Y31" i="167" s="1"/>
  <c r="D32" i="167"/>
  <c r="V31" i="167"/>
  <c r="F17" i="168"/>
  <c r="X16" i="168"/>
  <c r="Y16" i="168" s="1"/>
  <c r="F17" i="157"/>
  <c r="X16" i="157"/>
  <c r="Y16" i="157" s="1"/>
  <c r="X19" i="155"/>
  <c r="Y19" i="155" s="1"/>
  <c r="F20" i="155"/>
  <c r="F18" i="156"/>
  <c r="X17" i="156"/>
  <c r="Y17" i="156" s="1"/>
  <c r="X22" i="146"/>
  <c r="Y22" i="146" s="1"/>
  <c r="F23" i="146"/>
  <c r="F24" i="146" s="1"/>
  <c r="X24" i="146" s="1"/>
  <c r="Y24" i="146" s="1"/>
  <c r="G30" i="163"/>
  <c r="Y29" i="163"/>
  <c r="Z29" i="163" s="1"/>
  <c r="D9" i="110"/>
  <c r="AD8" i="101"/>
  <c r="AD9" i="101"/>
  <c r="D8" i="109"/>
  <c r="G32" i="164"/>
  <c r="Y31" i="164"/>
  <c r="Z31" i="164" s="1"/>
  <c r="H14" i="149"/>
  <c r="L19" i="149"/>
  <c r="K19" i="149"/>
  <c r="I19" i="149"/>
  <c r="D19" i="147"/>
  <c r="U18" i="147"/>
  <c r="D49" i="147"/>
  <c r="U48" i="147"/>
  <c r="D77" i="147"/>
  <c r="U76" i="147"/>
  <c r="D107" i="147"/>
  <c r="U106" i="147"/>
  <c r="E19" i="142"/>
  <c r="V18" i="142"/>
  <c r="G16" i="142"/>
  <c r="X15" i="142"/>
  <c r="Y15" i="142" s="1"/>
  <c r="C19" i="142"/>
  <c r="AE17" i="142"/>
  <c r="F17" i="142"/>
  <c r="W17" i="142" s="1"/>
  <c r="E21" i="143"/>
  <c r="G17" i="143"/>
  <c r="C20" i="143"/>
  <c r="F18" i="143"/>
  <c r="E20" i="139"/>
  <c r="G17" i="139"/>
  <c r="C18" i="139"/>
  <c r="F18" i="139"/>
  <c r="F20" i="140"/>
  <c r="C20" i="140"/>
  <c r="AE20" i="140"/>
  <c r="E20" i="140"/>
  <c r="V19" i="140"/>
  <c r="W19" i="140"/>
  <c r="G19" i="140"/>
  <c r="X19" i="140" s="1"/>
  <c r="Y18" i="140"/>
  <c r="D13" i="113"/>
  <c r="S7" i="101"/>
  <c r="X7" i="101" s="1"/>
  <c r="U12" i="101" s="1"/>
  <c r="T7" i="101"/>
  <c r="F4" i="101"/>
  <c r="U7" i="101"/>
  <c r="F5" i="101"/>
  <c r="F10" i="101"/>
  <c r="AC4" i="101" s="1"/>
  <c r="AC5" i="101" s="1"/>
  <c r="F11" i="101"/>
  <c r="O9" i="101"/>
  <c r="L4" i="101" s="1"/>
  <c r="K5" i="101" s="1"/>
  <c r="L5" i="101" s="1"/>
  <c r="K6" i="101" s="1"/>
  <c r="L6" i="101" s="1"/>
  <c r="K7" i="101" s="1"/>
  <c r="D34" i="146" l="1"/>
  <c r="V33" i="146"/>
  <c r="D35" i="157"/>
  <c r="V34" i="157"/>
  <c r="E35" i="164"/>
  <c r="W34" i="164"/>
  <c r="C19" i="138"/>
  <c r="D35" i="165"/>
  <c r="V34" i="165"/>
  <c r="D33" i="167"/>
  <c r="V32" i="167"/>
  <c r="A21" i="151"/>
  <c r="E36" i="163"/>
  <c r="W35" i="163"/>
  <c r="D34" i="166"/>
  <c r="V33" i="166"/>
  <c r="F33" i="167"/>
  <c r="X32" i="167"/>
  <c r="Y32" i="167" s="1"/>
  <c r="F33" i="166"/>
  <c r="X32" i="166"/>
  <c r="Y32" i="166" s="1"/>
  <c r="F34" i="165"/>
  <c r="X33" i="165"/>
  <c r="Y33" i="165" s="1"/>
  <c r="D37" i="168"/>
  <c r="V36" i="168"/>
  <c r="F18" i="168"/>
  <c r="X17" i="168"/>
  <c r="Y17" i="168" s="1"/>
  <c r="X17" i="157"/>
  <c r="Y17" i="157" s="1"/>
  <c r="F18" i="157"/>
  <c r="X18" i="156"/>
  <c r="Y18" i="156" s="1"/>
  <c r="F19" i="156"/>
  <c r="F21" i="155"/>
  <c r="X20" i="155"/>
  <c r="Y20" i="155" s="1"/>
  <c r="X23" i="146"/>
  <c r="Y23" i="146" s="1"/>
  <c r="F25" i="146"/>
  <c r="G31" i="163"/>
  <c r="Y30" i="163"/>
  <c r="Z30" i="163" s="1"/>
  <c r="V7" i="101"/>
  <c r="D9" i="109"/>
  <c r="D10" i="110"/>
  <c r="G33" i="164"/>
  <c r="Y32" i="164"/>
  <c r="Z32" i="164" s="1"/>
  <c r="J19" i="149"/>
  <c r="O7" i="149"/>
  <c r="O9" i="149" s="1"/>
  <c r="I14" i="149"/>
  <c r="G7" i="149"/>
  <c r="H15" i="149"/>
  <c r="D108" i="147"/>
  <c r="U107" i="147"/>
  <c r="D50" i="147"/>
  <c r="U49" i="147"/>
  <c r="D78" i="147"/>
  <c r="U77" i="147"/>
  <c r="D20" i="147"/>
  <c r="U19" i="147"/>
  <c r="C20" i="142"/>
  <c r="AE18" i="142"/>
  <c r="F18" i="142"/>
  <c r="W18" i="142" s="1"/>
  <c r="E20" i="142"/>
  <c r="V19" i="142"/>
  <c r="G17" i="142"/>
  <c r="X16" i="142"/>
  <c r="Y16" i="142" s="1"/>
  <c r="Y19" i="140"/>
  <c r="C21" i="143"/>
  <c r="F19" i="143"/>
  <c r="G18" i="143"/>
  <c r="E22" i="143"/>
  <c r="C19" i="139"/>
  <c r="F19" i="139"/>
  <c r="E21" i="139"/>
  <c r="G18" i="139"/>
  <c r="W20" i="140"/>
  <c r="G20" i="140"/>
  <c r="X20" i="140" s="1"/>
  <c r="E21" i="140"/>
  <c r="V20" i="140"/>
  <c r="F21" i="140"/>
  <c r="AE21" i="140"/>
  <c r="C21" i="140"/>
  <c r="D14" i="113"/>
  <c r="D15" i="113" s="1"/>
  <c r="AC9" i="101"/>
  <c r="F13" i="101"/>
  <c r="U11" i="101"/>
  <c r="F12" i="101"/>
  <c r="Y7" i="101"/>
  <c r="W12" i="101"/>
  <c r="V12" i="101"/>
  <c r="W7" i="101"/>
  <c r="L7" i="101"/>
  <c r="K8" i="101" s="1"/>
  <c r="D35" i="146" l="1"/>
  <c r="V34" i="146"/>
  <c r="F34" i="166"/>
  <c r="X33" i="166"/>
  <c r="Y33" i="166" s="1"/>
  <c r="D36" i="165"/>
  <c r="V35" i="165"/>
  <c r="D35" i="166"/>
  <c r="V34" i="166"/>
  <c r="C20" i="138"/>
  <c r="E37" i="163"/>
  <c r="W36" i="163"/>
  <c r="E36" i="164"/>
  <c r="W35" i="164"/>
  <c r="D38" i="168"/>
  <c r="V37" i="168"/>
  <c r="A22" i="151"/>
  <c r="F34" i="167"/>
  <c r="X33" i="167"/>
  <c r="Y33" i="167" s="1"/>
  <c r="D36" i="157"/>
  <c r="V35" i="157"/>
  <c r="F35" i="165"/>
  <c r="X34" i="165"/>
  <c r="Y34" i="165" s="1"/>
  <c r="D34" i="167"/>
  <c r="V33" i="167"/>
  <c r="F19" i="168"/>
  <c r="X18" i="168"/>
  <c r="Y18" i="168" s="1"/>
  <c r="F19" i="157"/>
  <c r="X18" i="157"/>
  <c r="Y18" i="157" s="1"/>
  <c r="F26" i="146"/>
  <c r="X25" i="146"/>
  <c r="Y25" i="146" s="1"/>
  <c r="F20" i="156"/>
  <c r="X19" i="156"/>
  <c r="Y19" i="156" s="1"/>
  <c r="X21" i="155"/>
  <c r="Y21" i="155" s="1"/>
  <c r="F22" i="155"/>
  <c r="Y31" i="163"/>
  <c r="Z31" i="163" s="1"/>
  <c r="G32" i="163"/>
  <c r="D11" i="110"/>
  <c r="D10" i="109"/>
  <c r="G34" i="164"/>
  <c r="Y33" i="164"/>
  <c r="Z33" i="164" s="1"/>
  <c r="G6" i="149"/>
  <c r="G8" i="149"/>
  <c r="I15" i="149"/>
  <c r="G9" i="149" s="1"/>
  <c r="J6" i="149"/>
  <c r="J7" i="149" s="1"/>
  <c r="J8" i="149"/>
  <c r="D51" i="147"/>
  <c r="U50" i="147"/>
  <c r="D21" i="147"/>
  <c r="U20" i="147"/>
  <c r="D79" i="147"/>
  <c r="U78" i="147"/>
  <c r="D109" i="147"/>
  <c r="U108" i="147"/>
  <c r="E21" i="142"/>
  <c r="V20" i="142"/>
  <c r="G18" i="142"/>
  <c r="X17" i="142"/>
  <c r="Y17" i="142" s="1"/>
  <c r="C21" i="142"/>
  <c r="AE19" i="142"/>
  <c r="F19" i="142"/>
  <c r="W19" i="142" s="1"/>
  <c r="E23" i="143"/>
  <c r="G19" i="143"/>
  <c r="C22" i="143"/>
  <c r="F20" i="143"/>
  <c r="E22" i="139"/>
  <c r="G19" i="139"/>
  <c r="C20" i="139"/>
  <c r="F20" i="139"/>
  <c r="Y20" i="140"/>
  <c r="C22" i="140"/>
  <c r="F22" i="140"/>
  <c r="AE22" i="140"/>
  <c r="E22" i="140"/>
  <c r="V21" i="140"/>
  <c r="W21" i="140"/>
  <c r="G21" i="140"/>
  <c r="X21" i="140" s="1"/>
  <c r="D16" i="113"/>
  <c r="AC8" i="101"/>
  <c r="Z7" i="101"/>
  <c r="T12" i="101"/>
  <c r="X12" i="101" s="1"/>
  <c r="T11" i="101"/>
  <c r="X11" i="101" s="1"/>
  <c r="L8" i="101"/>
  <c r="K9" i="101" s="1"/>
  <c r="R5" i="94"/>
  <c r="G5" i="94"/>
  <c r="R6" i="94"/>
  <c r="Q6" i="94"/>
  <c r="Q7" i="94" s="1"/>
  <c r="R7" i="94" s="1"/>
  <c r="D37" i="157" l="1"/>
  <c r="V36" i="157"/>
  <c r="E37" i="164"/>
  <c r="W36" i="164"/>
  <c r="D37" i="165"/>
  <c r="V36" i="165"/>
  <c r="F35" i="167"/>
  <c r="X34" i="167"/>
  <c r="Y34" i="167" s="1"/>
  <c r="C21" i="138"/>
  <c r="F35" i="166"/>
  <c r="X34" i="166"/>
  <c r="Y34" i="166" s="1"/>
  <c r="E38" i="163"/>
  <c r="W37" i="163"/>
  <c r="D35" i="167"/>
  <c r="V34" i="167"/>
  <c r="A23" i="151"/>
  <c r="D36" i="146"/>
  <c r="V35" i="146"/>
  <c r="F36" i="165"/>
  <c r="X35" i="165"/>
  <c r="Y35" i="165" s="1"/>
  <c r="D39" i="168"/>
  <c r="V38" i="168"/>
  <c r="D36" i="166"/>
  <c r="V35" i="166"/>
  <c r="F20" i="168"/>
  <c r="X19" i="168"/>
  <c r="Y19" i="168" s="1"/>
  <c r="X19" i="157"/>
  <c r="Y19" i="157" s="1"/>
  <c r="F20" i="157"/>
  <c r="F21" i="156"/>
  <c r="X20" i="156"/>
  <c r="Y20" i="156" s="1"/>
  <c r="F23" i="155"/>
  <c r="X22" i="155"/>
  <c r="Y22" i="155" s="1"/>
  <c r="F27" i="146"/>
  <c r="X26" i="146"/>
  <c r="Y26" i="146" s="1"/>
  <c r="G33" i="163"/>
  <c r="Y32" i="163"/>
  <c r="Z32" i="163" s="1"/>
  <c r="D11" i="109"/>
  <c r="D12" i="110"/>
  <c r="G35" i="164"/>
  <c r="Y34" i="164"/>
  <c r="Z34" i="164" s="1"/>
  <c r="J14" i="149"/>
  <c r="K14" i="149" s="1"/>
  <c r="L14" i="149" s="1"/>
  <c r="D110" i="147"/>
  <c r="U110" i="147" s="1"/>
  <c r="U111" i="147" s="1"/>
  <c r="U112" i="147" s="1"/>
  <c r="U113" i="147" s="1"/>
  <c r="U114" i="147" s="1"/>
  <c r="U115" i="147" s="1"/>
  <c r="U109" i="147"/>
  <c r="D22" i="147"/>
  <c r="U21" i="147"/>
  <c r="D80" i="147"/>
  <c r="U79" i="147"/>
  <c r="D52" i="147"/>
  <c r="U52" i="147" s="1"/>
  <c r="U53" i="147" s="1"/>
  <c r="U54" i="147" s="1"/>
  <c r="U55" i="147" s="1"/>
  <c r="U56" i="147" s="1"/>
  <c r="U57" i="147" s="1"/>
  <c r="U51" i="147"/>
  <c r="E22" i="142"/>
  <c r="V21" i="142"/>
  <c r="G19" i="142"/>
  <c r="X18" i="142"/>
  <c r="Y18" i="142" s="1"/>
  <c r="C22" i="142"/>
  <c r="AE20" i="142"/>
  <c r="F20" i="142"/>
  <c r="W20" i="142" s="1"/>
  <c r="G20" i="143"/>
  <c r="E24" i="143"/>
  <c r="C23" i="143"/>
  <c r="F21" i="143"/>
  <c r="G20" i="139"/>
  <c r="C21" i="139"/>
  <c r="F21" i="139"/>
  <c r="E23" i="139"/>
  <c r="G22" i="140"/>
  <c r="X22" i="140" s="1"/>
  <c r="W22" i="140"/>
  <c r="AE23" i="140"/>
  <c r="C23" i="140"/>
  <c r="F23" i="140"/>
  <c r="Y21" i="140"/>
  <c r="E23" i="140"/>
  <c r="V22" i="140"/>
  <c r="D17" i="113"/>
  <c r="L9" i="101"/>
  <c r="K10" i="101" s="1"/>
  <c r="Q8" i="94"/>
  <c r="R8" i="94" s="1"/>
  <c r="F37" i="165" l="1"/>
  <c r="X36" i="165"/>
  <c r="Y36" i="165" s="1"/>
  <c r="E39" i="163"/>
  <c r="W38" i="163"/>
  <c r="C22" i="138"/>
  <c r="E38" i="164"/>
  <c r="W37" i="164"/>
  <c r="D37" i="166"/>
  <c r="V36" i="166"/>
  <c r="A24" i="151"/>
  <c r="D37" i="146"/>
  <c r="V36" i="146"/>
  <c r="F36" i="167"/>
  <c r="X35" i="167"/>
  <c r="Y35" i="167" s="1"/>
  <c r="D38" i="157"/>
  <c r="V37" i="157"/>
  <c r="F36" i="166"/>
  <c r="X35" i="166"/>
  <c r="Y35" i="166" s="1"/>
  <c r="D40" i="168"/>
  <c r="V39" i="168"/>
  <c r="D36" i="167"/>
  <c r="V35" i="167"/>
  <c r="D38" i="165"/>
  <c r="V37" i="165"/>
  <c r="X20" i="168"/>
  <c r="Y20" i="168" s="1"/>
  <c r="F21" i="168"/>
  <c r="F21" i="157"/>
  <c r="X20" i="157"/>
  <c r="Y20" i="157" s="1"/>
  <c r="X27" i="146"/>
  <c r="Y27" i="146" s="1"/>
  <c r="X21" i="156"/>
  <c r="Y21" i="156" s="1"/>
  <c r="F22" i="156"/>
  <c r="F28" i="146"/>
  <c r="F29" i="146" s="1"/>
  <c r="X29" i="146" s="1"/>
  <c r="Y29" i="146" s="1"/>
  <c r="X23" i="155"/>
  <c r="Y23" i="155" s="1"/>
  <c r="F24" i="155"/>
  <c r="G34" i="163"/>
  <c r="Y33" i="163"/>
  <c r="Z33" i="163" s="1"/>
  <c r="D12" i="109"/>
  <c r="D13" i="110"/>
  <c r="G36" i="164"/>
  <c r="Y35" i="164"/>
  <c r="Z35" i="164" s="1"/>
  <c r="D23" i="147"/>
  <c r="U23" i="147" s="1"/>
  <c r="U24" i="147" s="1"/>
  <c r="U25" i="147" s="1"/>
  <c r="U26" i="147" s="1"/>
  <c r="U27" i="147" s="1"/>
  <c r="U28" i="147" s="1"/>
  <c r="U22" i="147"/>
  <c r="D81" i="147"/>
  <c r="U81" i="147" s="1"/>
  <c r="U82" i="147" s="1"/>
  <c r="U83" i="147" s="1"/>
  <c r="U84" i="147" s="1"/>
  <c r="U85" i="147" s="1"/>
  <c r="U86" i="147" s="1"/>
  <c r="U80" i="147"/>
  <c r="E23" i="142"/>
  <c r="V22" i="142"/>
  <c r="C23" i="142"/>
  <c r="AE21" i="142"/>
  <c r="F21" i="142"/>
  <c r="W21" i="142" s="1"/>
  <c r="G20" i="142"/>
  <c r="X19" i="142"/>
  <c r="Y19" i="142" s="1"/>
  <c r="Y22" i="140"/>
  <c r="G21" i="143"/>
  <c r="E25" i="143"/>
  <c r="C24" i="143"/>
  <c r="F22" i="143"/>
  <c r="E24" i="139"/>
  <c r="G21" i="139"/>
  <c r="C22" i="139"/>
  <c r="F22" i="139"/>
  <c r="F24" i="140"/>
  <c r="AE24" i="140"/>
  <c r="C24" i="140"/>
  <c r="V23" i="140"/>
  <c r="E24" i="140"/>
  <c r="G23" i="140"/>
  <c r="X23" i="140" s="1"/>
  <c r="W23" i="140"/>
  <c r="D18" i="113"/>
  <c r="D19" i="113" s="1"/>
  <c r="L10" i="101"/>
  <c r="K11" i="101" s="1"/>
  <c r="Q9" i="94"/>
  <c r="R9" i="94" s="1"/>
  <c r="E39" i="164" l="1"/>
  <c r="W38" i="164"/>
  <c r="V40" i="168"/>
  <c r="D41" i="168"/>
  <c r="D38" i="146"/>
  <c r="V37" i="146"/>
  <c r="C23" i="138"/>
  <c r="D37" i="167"/>
  <c r="V36" i="167"/>
  <c r="D39" i="165"/>
  <c r="V38" i="165"/>
  <c r="A25" i="151"/>
  <c r="F37" i="167"/>
  <c r="X36" i="167"/>
  <c r="Y36" i="167" s="1"/>
  <c r="F37" i="166"/>
  <c r="X36" i="166"/>
  <c r="Y36" i="166" s="1"/>
  <c r="D39" i="157"/>
  <c r="V38" i="157"/>
  <c r="E40" i="163"/>
  <c r="W39" i="163"/>
  <c r="D38" i="166"/>
  <c r="V37" i="166"/>
  <c r="F38" i="165"/>
  <c r="X37" i="165"/>
  <c r="Y37" i="165" s="1"/>
  <c r="X21" i="168"/>
  <c r="Y21" i="168" s="1"/>
  <c r="F22" i="168"/>
  <c r="X21" i="157"/>
  <c r="Y21" i="157" s="1"/>
  <c r="F22" i="157"/>
  <c r="F23" i="156"/>
  <c r="X22" i="156"/>
  <c r="Y22" i="156" s="1"/>
  <c r="X28" i="146"/>
  <c r="Y28" i="146" s="1"/>
  <c r="F30" i="146"/>
  <c r="F25" i="155"/>
  <c r="X24" i="155"/>
  <c r="Y24" i="155" s="1"/>
  <c r="G35" i="163"/>
  <c r="Y34" i="163"/>
  <c r="Z34" i="163" s="1"/>
  <c r="D14" i="110"/>
  <c r="D13" i="109"/>
  <c r="G37" i="164"/>
  <c r="Y36" i="164"/>
  <c r="Z36" i="164" s="1"/>
  <c r="E24" i="142"/>
  <c r="V23" i="142"/>
  <c r="G21" i="142"/>
  <c r="X20" i="142"/>
  <c r="Y20" i="142" s="1"/>
  <c r="C24" i="142"/>
  <c r="AE22" i="142"/>
  <c r="F22" i="142"/>
  <c r="W22" i="142" s="1"/>
  <c r="Y23" i="140"/>
  <c r="E26" i="143"/>
  <c r="G22" i="143"/>
  <c r="C25" i="143"/>
  <c r="F23" i="143"/>
  <c r="C23" i="139"/>
  <c r="F23" i="139"/>
  <c r="G22" i="139"/>
  <c r="E25" i="139"/>
  <c r="F25" i="140"/>
  <c r="AE25" i="140"/>
  <c r="C25" i="140"/>
  <c r="V24" i="140"/>
  <c r="E25" i="140"/>
  <c r="W24" i="140"/>
  <c r="G24" i="140"/>
  <c r="X24" i="140" s="1"/>
  <c r="D20" i="113"/>
  <c r="L11" i="101"/>
  <c r="K12" i="101" s="1"/>
  <c r="Q10" i="94"/>
  <c r="R10" i="94" s="1"/>
  <c r="F38" i="167" l="1"/>
  <c r="X37" i="167"/>
  <c r="Y37" i="167" s="1"/>
  <c r="C24" i="138"/>
  <c r="A26" i="151"/>
  <c r="E41" i="163"/>
  <c r="W40" i="163"/>
  <c r="D39" i="146"/>
  <c r="V38" i="146"/>
  <c r="F39" i="165"/>
  <c r="X38" i="165"/>
  <c r="Y38" i="165" s="1"/>
  <c r="D40" i="165"/>
  <c r="V39" i="165"/>
  <c r="V41" i="168"/>
  <c r="D42" i="168"/>
  <c r="D40" i="157"/>
  <c r="V39" i="157"/>
  <c r="D38" i="167"/>
  <c r="V37" i="167"/>
  <c r="D39" i="166"/>
  <c r="V38" i="166"/>
  <c r="F38" i="166"/>
  <c r="X37" i="166"/>
  <c r="Y37" i="166" s="1"/>
  <c r="E40" i="164"/>
  <c r="W39" i="164"/>
  <c r="F23" i="168"/>
  <c r="X22" i="168"/>
  <c r="Y22" i="168" s="1"/>
  <c r="F23" i="157"/>
  <c r="X22" i="157"/>
  <c r="Y22" i="157" s="1"/>
  <c r="X30" i="146"/>
  <c r="Y30" i="146" s="1"/>
  <c r="F31" i="146"/>
  <c r="F26" i="155"/>
  <c r="X25" i="155"/>
  <c r="Y25" i="155" s="1"/>
  <c r="F24" i="156"/>
  <c r="X23" i="156"/>
  <c r="Y23" i="156" s="1"/>
  <c r="Y35" i="163"/>
  <c r="Z35" i="163" s="1"/>
  <c r="G36" i="163"/>
  <c r="D14" i="109"/>
  <c r="D15" i="110"/>
  <c r="G38" i="164"/>
  <c r="Y37" i="164"/>
  <c r="Z37" i="164" s="1"/>
  <c r="C25" i="142"/>
  <c r="AE23" i="142"/>
  <c r="F23" i="142"/>
  <c r="W23" i="142" s="1"/>
  <c r="G22" i="142"/>
  <c r="X21" i="142"/>
  <c r="Y21" i="142" s="1"/>
  <c r="E25" i="142"/>
  <c r="V24" i="142"/>
  <c r="Y24" i="140"/>
  <c r="C26" i="143"/>
  <c r="F24" i="143"/>
  <c r="E27" i="143"/>
  <c r="G23" i="143"/>
  <c r="G23" i="139"/>
  <c r="E26" i="139"/>
  <c r="C24" i="139"/>
  <c r="F24" i="139"/>
  <c r="G25" i="140"/>
  <c r="X25" i="140" s="1"/>
  <c r="W25" i="140"/>
  <c r="V25" i="140"/>
  <c r="E26" i="140"/>
  <c r="C26" i="140"/>
  <c r="F26" i="140"/>
  <c r="AE26" i="140"/>
  <c r="D21" i="113"/>
  <c r="D22" i="113" s="1"/>
  <c r="L12" i="101"/>
  <c r="K13" i="101" s="1"/>
  <c r="Q11" i="94"/>
  <c r="R11" i="94" s="1"/>
  <c r="D40" i="166" l="1"/>
  <c r="V39" i="166"/>
  <c r="E42" i="163"/>
  <c r="W41" i="163"/>
  <c r="A27" i="151"/>
  <c r="C25" i="138"/>
  <c r="D43" i="168"/>
  <c r="V42" i="168"/>
  <c r="D39" i="167"/>
  <c r="V38" i="167"/>
  <c r="E41" i="164"/>
  <c r="W40" i="164"/>
  <c r="F40" i="165"/>
  <c r="X39" i="165"/>
  <c r="Y39" i="165" s="1"/>
  <c r="F39" i="167"/>
  <c r="X38" i="167"/>
  <c r="Y38" i="167" s="1"/>
  <c r="D41" i="165"/>
  <c r="V40" i="165"/>
  <c r="F39" i="166"/>
  <c r="X38" i="166"/>
  <c r="Y38" i="166" s="1"/>
  <c r="D41" i="157"/>
  <c r="V40" i="157"/>
  <c r="D40" i="146"/>
  <c r="V39" i="146"/>
  <c r="X23" i="168"/>
  <c r="Y23" i="168" s="1"/>
  <c r="F24" i="168"/>
  <c r="X23" i="157"/>
  <c r="Y23" i="157" s="1"/>
  <c r="F24" i="157"/>
  <c r="X24" i="156"/>
  <c r="Y24" i="156" s="1"/>
  <c r="F25" i="156"/>
  <c r="F27" i="155"/>
  <c r="X26" i="155"/>
  <c r="Y26" i="155" s="1"/>
  <c r="F32" i="146"/>
  <c r="X31" i="146"/>
  <c r="Y31" i="146" s="1"/>
  <c r="G37" i="163"/>
  <c r="Y36" i="163"/>
  <c r="Z36" i="163" s="1"/>
  <c r="D16" i="110"/>
  <c r="D15" i="109"/>
  <c r="G39" i="164"/>
  <c r="Y38" i="164"/>
  <c r="Z38" i="164" s="1"/>
  <c r="G23" i="142"/>
  <c r="X22" i="142"/>
  <c r="Y22" i="142" s="1"/>
  <c r="C26" i="142"/>
  <c r="AE24" i="142"/>
  <c r="F24" i="142"/>
  <c r="W24" i="142" s="1"/>
  <c r="E26" i="142"/>
  <c r="V25" i="142"/>
  <c r="G24" i="143"/>
  <c r="E28" i="143"/>
  <c r="C27" i="143"/>
  <c r="F25" i="143"/>
  <c r="C25" i="139"/>
  <c r="F25" i="139"/>
  <c r="G24" i="139"/>
  <c r="E27" i="139"/>
  <c r="G26" i="140"/>
  <c r="X26" i="140" s="1"/>
  <c r="W26" i="140"/>
  <c r="Y25" i="140"/>
  <c r="AE27" i="140"/>
  <c r="C27" i="140"/>
  <c r="F27" i="140"/>
  <c r="E27" i="140"/>
  <c r="V26" i="140"/>
  <c r="D23" i="113"/>
  <c r="L13" i="101"/>
  <c r="K14" i="101" s="1"/>
  <c r="Q12" i="94"/>
  <c r="R12" i="94" s="1"/>
  <c r="F40" i="166" l="1"/>
  <c r="X39" i="166"/>
  <c r="Y39" i="166" s="1"/>
  <c r="D44" i="168"/>
  <c r="V43" i="168"/>
  <c r="D42" i="165"/>
  <c r="V41" i="165"/>
  <c r="F41" i="165"/>
  <c r="X40" i="165"/>
  <c r="Y40" i="165" s="1"/>
  <c r="C26" i="138"/>
  <c r="A28" i="151"/>
  <c r="O5" i="151" s="1"/>
  <c r="D41" i="146"/>
  <c r="V40" i="146"/>
  <c r="F40" i="167"/>
  <c r="X39" i="167"/>
  <c r="Y39" i="167" s="1"/>
  <c r="E42" i="164"/>
  <c r="W41" i="164"/>
  <c r="E43" i="163"/>
  <c r="W42" i="163"/>
  <c r="D42" i="157"/>
  <c r="V41" i="157"/>
  <c r="D40" i="167"/>
  <c r="V39" i="167"/>
  <c r="D41" i="166"/>
  <c r="V40" i="166"/>
  <c r="X24" i="168"/>
  <c r="Y24" i="168" s="1"/>
  <c r="F25" i="168"/>
  <c r="F25" i="157"/>
  <c r="X24" i="157"/>
  <c r="Y24" i="157" s="1"/>
  <c r="F33" i="146"/>
  <c r="X33" i="146" s="1"/>
  <c r="Y33" i="146" s="1"/>
  <c r="X32" i="146"/>
  <c r="Y32" i="146" s="1"/>
  <c r="X27" i="155"/>
  <c r="Y27" i="155" s="1"/>
  <c r="F28" i="155"/>
  <c r="F26" i="156"/>
  <c r="X25" i="156"/>
  <c r="Y25" i="156" s="1"/>
  <c r="Y37" i="163"/>
  <c r="Z37" i="163" s="1"/>
  <c r="G38" i="163"/>
  <c r="D16" i="109"/>
  <c r="D17" i="110"/>
  <c r="G40" i="164"/>
  <c r="Y39" i="164"/>
  <c r="Z39" i="164" s="1"/>
  <c r="E27" i="142"/>
  <c r="V26" i="142"/>
  <c r="C27" i="142"/>
  <c r="AE25" i="142"/>
  <c r="F25" i="142"/>
  <c r="W25" i="142" s="1"/>
  <c r="G24" i="142"/>
  <c r="X23" i="142"/>
  <c r="Y23" i="142" s="1"/>
  <c r="G25" i="143"/>
  <c r="E29" i="143"/>
  <c r="C28" i="143"/>
  <c r="F26" i="143"/>
  <c r="C26" i="139"/>
  <c r="F26" i="139"/>
  <c r="E28" i="139"/>
  <c r="G25" i="139"/>
  <c r="G27" i="140"/>
  <c r="X27" i="140" s="1"/>
  <c r="W27" i="140"/>
  <c r="Y26" i="140"/>
  <c r="V27" i="140"/>
  <c r="E28" i="140"/>
  <c r="F28" i="140"/>
  <c r="C28" i="140"/>
  <c r="AE28" i="140"/>
  <c r="D24" i="113"/>
  <c r="D25" i="113" s="1"/>
  <c r="L14" i="101"/>
  <c r="Q13" i="94"/>
  <c r="R13" i="94" s="1"/>
  <c r="F41" i="166" l="1"/>
  <c r="X40" i="166"/>
  <c r="Y40" i="166" s="1"/>
  <c r="C27" i="138"/>
  <c r="F41" i="167"/>
  <c r="X40" i="167"/>
  <c r="Y40" i="167" s="1"/>
  <c r="F42" i="165"/>
  <c r="X41" i="165"/>
  <c r="Y41" i="165" s="1"/>
  <c r="D41" i="167"/>
  <c r="V40" i="167"/>
  <c r="E43" i="164"/>
  <c r="W42" i="164"/>
  <c r="D43" i="157"/>
  <c r="V42" i="157"/>
  <c r="D42" i="146"/>
  <c r="V41" i="146"/>
  <c r="D43" i="165"/>
  <c r="V42" i="165"/>
  <c r="I20" i="151"/>
  <c r="J20" i="151" s="1"/>
  <c r="K20" i="151"/>
  <c r="L20" i="151"/>
  <c r="D42" i="166"/>
  <c r="V41" i="166"/>
  <c r="E44" i="163"/>
  <c r="W43" i="163"/>
  <c r="D45" i="168"/>
  <c r="V44" i="168"/>
  <c r="L19" i="151"/>
  <c r="I19" i="151"/>
  <c r="J19" i="151" s="1"/>
  <c r="K19" i="151"/>
  <c r="I21" i="151"/>
  <c r="L21" i="151"/>
  <c r="K21" i="151"/>
  <c r="F34" i="146"/>
  <c r="F35" i="146" s="1"/>
  <c r="F36" i="146" s="1"/>
  <c r="X25" i="168"/>
  <c r="Y25" i="168" s="1"/>
  <c r="F26" i="168"/>
  <c r="F26" i="157"/>
  <c r="X25" i="157"/>
  <c r="Y25" i="157" s="1"/>
  <c r="X26" i="156"/>
  <c r="Y26" i="156" s="1"/>
  <c r="F27" i="156"/>
  <c r="X28" i="155"/>
  <c r="Y28" i="155" s="1"/>
  <c r="F29" i="155"/>
  <c r="Y38" i="163"/>
  <c r="Z38" i="163" s="1"/>
  <c r="G39" i="163"/>
  <c r="D18" i="110"/>
  <c r="D17" i="109"/>
  <c r="G41" i="164"/>
  <c r="Y40" i="164"/>
  <c r="Z40" i="164" s="1"/>
  <c r="C28" i="142"/>
  <c r="AE26" i="142"/>
  <c r="F26" i="142"/>
  <c r="W26" i="142" s="1"/>
  <c r="G25" i="142"/>
  <c r="X24" i="142"/>
  <c r="Y24" i="142" s="1"/>
  <c r="E28" i="142"/>
  <c r="V27" i="142"/>
  <c r="E30" i="143"/>
  <c r="C29" i="143"/>
  <c r="F27" i="143"/>
  <c r="G26" i="143"/>
  <c r="C27" i="139"/>
  <c r="F27" i="139"/>
  <c r="E29" i="139"/>
  <c r="G26" i="139"/>
  <c r="W28" i="140"/>
  <c r="G28" i="140"/>
  <c r="X28" i="140" s="1"/>
  <c r="Y27" i="140"/>
  <c r="E29" i="140"/>
  <c r="V28" i="140"/>
  <c r="AE29" i="140"/>
  <c r="C29" i="140"/>
  <c r="F29" i="140"/>
  <c r="D26" i="113"/>
  <c r="D27" i="113" s="1"/>
  <c r="Q14" i="94"/>
  <c r="R14" i="94" s="1"/>
  <c r="D44" i="157" l="1"/>
  <c r="V43" i="157"/>
  <c r="F42" i="167"/>
  <c r="X41" i="167"/>
  <c r="Y41" i="167" s="1"/>
  <c r="C28" i="138"/>
  <c r="D43" i="166"/>
  <c r="V42" i="166"/>
  <c r="E44" i="164"/>
  <c r="W43" i="164"/>
  <c r="O7" i="151"/>
  <c r="J21" i="151"/>
  <c r="D46" i="168"/>
  <c r="V45" i="168"/>
  <c r="F42" i="166"/>
  <c r="X41" i="166"/>
  <c r="Y41" i="166" s="1"/>
  <c r="D44" i="165"/>
  <c r="V43" i="165"/>
  <c r="D42" i="167"/>
  <c r="V41" i="167"/>
  <c r="E45" i="163"/>
  <c r="W44" i="163"/>
  <c r="D43" i="146"/>
  <c r="V42" i="146"/>
  <c r="F43" i="165"/>
  <c r="X42" i="165"/>
  <c r="Y42" i="165" s="1"/>
  <c r="X34" i="146"/>
  <c r="Y34" i="146" s="1"/>
  <c r="X26" i="168"/>
  <c r="Y26" i="168" s="1"/>
  <c r="F27" i="168"/>
  <c r="F27" i="157"/>
  <c r="X26" i="157"/>
  <c r="Y26" i="157" s="1"/>
  <c r="X36" i="146"/>
  <c r="Y36" i="146" s="1"/>
  <c r="X27" i="156"/>
  <c r="Y27" i="156" s="1"/>
  <c r="F28" i="156"/>
  <c r="F30" i="155"/>
  <c r="X29" i="155"/>
  <c r="Y29" i="155" s="1"/>
  <c r="X35" i="146"/>
  <c r="Y35" i="146" s="1"/>
  <c r="F37" i="146"/>
  <c r="F38" i="146" s="1"/>
  <c r="Y39" i="163"/>
  <c r="Z39" i="163" s="1"/>
  <c r="G40" i="163"/>
  <c r="D18" i="109"/>
  <c r="D19" i="110"/>
  <c r="G42" i="164"/>
  <c r="Y41" i="164"/>
  <c r="Z41" i="164" s="1"/>
  <c r="G26" i="142"/>
  <c r="X25" i="142"/>
  <c r="Y25" i="142" s="1"/>
  <c r="E29" i="142"/>
  <c r="V28" i="142"/>
  <c r="C29" i="142"/>
  <c r="AE27" i="142"/>
  <c r="F27" i="142"/>
  <c r="W27" i="142" s="1"/>
  <c r="C30" i="143"/>
  <c r="F28" i="143"/>
  <c r="G27" i="143"/>
  <c r="E31" i="143"/>
  <c r="E30" i="139"/>
  <c r="G27" i="139"/>
  <c r="C28" i="139"/>
  <c r="F28" i="139"/>
  <c r="G29" i="140"/>
  <c r="X29" i="140" s="1"/>
  <c r="W29" i="140"/>
  <c r="F30" i="140"/>
  <c r="AE30" i="140"/>
  <c r="C30" i="140"/>
  <c r="V29" i="140"/>
  <c r="E30" i="140"/>
  <c r="Y28" i="140"/>
  <c r="D28" i="113"/>
  <c r="Q15" i="94"/>
  <c r="R15" i="94" s="1"/>
  <c r="F44" i="165" l="1"/>
  <c r="X43" i="165"/>
  <c r="Y43" i="165" s="1"/>
  <c r="E46" i="163"/>
  <c r="W45" i="163"/>
  <c r="V46" i="168"/>
  <c r="D47" i="168"/>
  <c r="C29" i="138"/>
  <c r="D45" i="165"/>
  <c r="V44" i="165"/>
  <c r="O9" i="151"/>
  <c r="D44" i="146"/>
  <c r="V43" i="146"/>
  <c r="F43" i="167"/>
  <c r="X42" i="167"/>
  <c r="Y42" i="167" s="1"/>
  <c r="D43" i="167"/>
  <c r="V42" i="167"/>
  <c r="F43" i="166"/>
  <c r="X42" i="166"/>
  <c r="Y42" i="166" s="1"/>
  <c r="E45" i="164"/>
  <c r="W44" i="164"/>
  <c r="D44" i="166"/>
  <c r="V43" i="166"/>
  <c r="D45" i="157"/>
  <c r="V44" i="157"/>
  <c r="F28" i="168"/>
  <c r="X27" i="168"/>
  <c r="Y27" i="168" s="1"/>
  <c r="X27" i="157"/>
  <c r="Y27" i="157" s="1"/>
  <c r="F28" i="157"/>
  <c r="X38" i="146"/>
  <c r="Y38" i="146" s="1"/>
  <c r="F31" i="155"/>
  <c r="X30" i="155"/>
  <c r="Y30" i="155" s="1"/>
  <c r="X37" i="146"/>
  <c r="Y37" i="146" s="1"/>
  <c r="F39" i="146"/>
  <c r="F29" i="156"/>
  <c r="X28" i="156"/>
  <c r="Y28" i="156" s="1"/>
  <c r="G41" i="163"/>
  <c r="Y40" i="163"/>
  <c r="Z40" i="163" s="1"/>
  <c r="D20" i="110"/>
  <c r="D19" i="109"/>
  <c r="G43" i="164"/>
  <c r="Y42" i="164"/>
  <c r="Z42" i="164" s="1"/>
  <c r="G27" i="142"/>
  <c r="X26" i="142"/>
  <c r="Y26" i="142" s="1"/>
  <c r="E30" i="142"/>
  <c r="V29" i="142"/>
  <c r="C30" i="142"/>
  <c r="AE28" i="142"/>
  <c r="F28" i="142"/>
  <c r="W28" i="142" s="1"/>
  <c r="Y29" i="140"/>
  <c r="F29" i="143"/>
  <c r="C31" i="143"/>
  <c r="E32" i="143"/>
  <c r="G28" i="143"/>
  <c r="G28" i="139"/>
  <c r="C29" i="139"/>
  <c r="F29" i="139"/>
  <c r="E31" i="139"/>
  <c r="W30" i="140"/>
  <c r="G30" i="140"/>
  <c r="X30" i="140" s="1"/>
  <c r="V30" i="140"/>
  <c r="E31" i="140"/>
  <c r="AE31" i="140"/>
  <c r="C31" i="140"/>
  <c r="F31" i="140"/>
  <c r="D29" i="113"/>
  <c r="D30" i="113" s="1"/>
  <c r="Q16" i="94"/>
  <c r="R16" i="94" s="1"/>
  <c r="D46" i="165" l="1"/>
  <c r="V45" i="165"/>
  <c r="E46" i="164"/>
  <c r="W45" i="164"/>
  <c r="C30" i="138"/>
  <c r="F44" i="166"/>
  <c r="X43" i="166"/>
  <c r="Y43" i="166" s="1"/>
  <c r="D45" i="146"/>
  <c r="V44" i="146"/>
  <c r="D48" i="168"/>
  <c r="V47" i="168"/>
  <c r="D46" i="157"/>
  <c r="V45" i="157"/>
  <c r="D44" i="167"/>
  <c r="V43" i="167"/>
  <c r="E47" i="163"/>
  <c r="W46" i="163"/>
  <c r="D45" i="166"/>
  <c r="V44" i="166"/>
  <c r="F44" i="167"/>
  <c r="X43" i="167"/>
  <c r="Y43" i="167" s="1"/>
  <c r="F45" i="165"/>
  <c r="X44" i="165"/>
  <c r="Y44" i="165" s="1"/>
  <c r="F29" i="168"/>
  <c r="X28" i="168"/>
  <c r="Y28" i="168" s="1"/>
  <c r="F29" i="157"/>
  <c r="X28" i="157"/>
  <c r="Y28" i="157" s="1"/>
  <c r="X29" i="156"/>
  <c r="Y29" i="156" s="1"/>
  <c r="F30" i="156"/>
  <c r="F32" i="155"/>
  <c r="X31" i="155"/>
  <c r="Y31" i="155" s="1"/>
  <c r="X39" i="146"/>
  <c r="Y39" i="146" s="1"/>
  <c r="F40" i="146"/>
  <c r="F41" i="146" s="1"/>
  <c r="X41" i="146" s="1"/>
  <c r="Y41" i="146" s="1"/>
  <c r="Y41" i="163"/>
  <c r="Z41" i="163" s="1"/>
  <c r="G42" i="163"/>
  <c r="D20" i="109"/>
  <c r="D21" i="110"/>
  <c r="G44" i="164"/>
  <c r="Y43" i="164"/>
  <c r="Z43" i="164" s="1"/>
  <c r="E31" i="142"/>
  <c r="V30" i="142"/>
  <c r="C31" i="142"/>
  <c r="AE29" i="142"/>
  <c r="F29" i="142"/>
  <c r="W29" i="142" s="1"/>
  <c r="G28" i="142"/>
  <c r="X27" i="142"/>
  <c r="Y27" i="142" s="1"/>
  <c r="G29" i="143"/>
  <c r="E33" i="143"/>
  <c r="C32" i="143"/>
  <c r="F30" i="143"/>
  <c r="C30" i="139"/>
  <c r="F30" i="139"/>
  <c r="G29" i="139"/>
  <c r="E32" i="139"/>
  <c r="V31" i="140"/>
  <c r="E32" i="140"/>
  <c r="G31" i="140"/>
  <c r="X31" i="140" s="1"/>
  <c r="W31" i="140"/>
  <c r="F32" i="140"/>
  <c r="C32" i="140"/>
  <c r="AE32" i="140"/>
  <c r="Y30" i="140"/>
  <c r="D31" i="113"/>
  <c r="D32" i="113" s="1"/>
  <c r="Q17" i="94"/>
  <c r="R17" i="94" s="1"/>
  <c r="D45" i="167" l="1"/>
  <c r="V44" i="167"/>
  <c r="F45" i="166"/>
  <c r="X44" i="166"/>
  <c r="Y44" i="166" s="1"/>
  <c r="D47" i="157"/>
  <c r="V46" i="157"/>
  <c r="C31" i="138"/>
  <c r="V48" i="168"/>
  <c r="D49" i="168"/>
  <c r="D46" i="166"/>
  <c r="V45" i="166"/>
  <c r="F46" i="165"/>
  <c r="X45" i="165"/>
  <c r="Y45" i="165" s="1"/>
  <c r="E47" i="164"/>
  <c r="W46" i="164"/>
  <c r="E48" i="163"/>
  <c r="W47" i="163"/>
  <c r="D46" i="146"/>
  <c r="V45" i="146"/>
  <c r="F45" i="167"/>
  <c r="X44" i="167"/>
  <c r="Y44" i="167" s="1"/>
  <c r="D47" i="165"/>
  <c r="V46" i="165"/>
  <c r="X29" i="168"/>
  <c r="Y29" i="168" s="1"/>
  <c r="F30" i="168"/>
  <c r="X29" i="157"/>
  <c r="Y29" i="157" s="1"/>
  <c r="F30" i="157"/>
  <c r="X32" i="155"/>
  <c r="Y32" i="155" s="1"/>
  <c r="F33" i="155"/>
  <c r="X30" i="156"/>
  <c r="Y30" i="156" s="1"/>
  <c r="F31" i="156"/>
  <c r="X40" i="146"/>
  <c r="Y40" i="146" s="1"/>
  <c r="F42" i="146"/>
  <c r="G43" i="163"/>
  <c r="Y42" i="163"/>
  <c r="Z42" i="163" s="1"/>
  <c r="D22" i="110"/>
  <c r="D21" i="109"/>
  <c r="G45" i="164"/>
  <c r="Y44" i="164"/>
  <c r="Z44" i="164" s="1"/>
  <c r="C32" i="142"/>
  <c r="AE30" i="142"/>
  <c r="F30" i="142"/>
  <c r="W30" i="142" s="1"/>
  <c r="G29" i="142"/>
  <c r="X28" i="142"/>
  <c r="Y28" i="142" s="1"/>
  <c r="E32" i="142"/>
  <c r="V31" i="142"/>
  <c r="F31" i="143"/>
  <c r="C33" i="143"/>
  <c r="E34" i="143"/>
  <c r="G30" i="143"/>
  <c r="G30" i="139"/>
  <c r="E33" i="139"/>
  <c r="C31" i="139"/>
  <c r="F31" i="139"/>
  <c r="Y31" i="140"/>
  <c r="AE33" i="140"/>
  <c r="C33" i="140"/>
  <c r="F33" i="140"/>
  <c r="E33" i="140"/>
  <c r="V32" i="140"/>
  <c r="W32" i="140"/>
  <c r="G32" i="140"/>
  <c r="X32" i="140" s="1"/>
  <c r="D33" i="113"/>
  <c r="Q18" i="94"/>
  <c r="R18" i="94" s="1"/>
  <c r="D47" i="146" l="1"/>
  <c r="V46" i="146"/>
  <c r="F47" i="165"/>
  <c r="X46" i="165"/>
  <c r="Y46" i="165" s="1"/>
  <c r="D48" i="157"/>
  <c r="V47" i="157"/>
  <c r="E49" i="163"/>
  <c r="W48" i="163"/>
  <c r="D47" i="166"/>
  <c r="V46" i="166"/>
  <c r="D48" i="165"/>
  <c r="V47" i="165"/>
  <c r="D50" i="168"/>
  <c r="V49" i="168"/>
  <c r="F46" i="166"/>
  <c r="X45" i="166"/>
  <c r="Y45" i="166" s="1"/>
  <c r="F46" i="167"/>
  <c r="X45" i="167"/>
  <c r="Y45" i="167" s="1"/>
  <c r="E48" i="164"/>
  <c r="W47" i="164"/>
  <c r="C32" i="138"/>
  <c r="D46" i="167"/>
  <c r="V45" i="167"/>
  <c r="X30" i="168"/>
  <c r="Y30" i="168" s="1"/>
  <c r="F31" i="168"/>
  <c r="X30" i="157"/>
  <c r="Y30" i="157" s="1"/>
  <c r="F31" i="157"/>
  <c r="X42" i="146"/>
  <c r="Y42" i="146" s="1"/>
  <c r="F43" i="146"/>
  <c r="X43" i="146" s="1"/>
  <c r="Y43" i="146" s="1"/>
  <c r="X33" i="155"/>
  <c r="Y33" i="155" s="1"/>
  <c r="F34" i="155"/>
  <c r="F32" i="156"/>
  <c r="X31" i="156"/>
  <c r="Y31" i="156" s="1"/>
  <c r="G44" i="163"/>
  <c r="Y43" i="163"/>
  <c r="Z43" i="163" s="1"/>
  <c r="D22" i="109"/>
  <c r="D23" i="110"/>
  <c r="G46" i="164"/>
  <c r="Y45" i="164"/>
  <c r="Z45" i="164" s="1"/>
  <c r="C33" i="142"/>
  <c r="AE31" i="142"/>
  <c r="F31" i="142"/>
  <c r="W31" i="142" s="1"/>
  <c r="G30" i="142"/>
  <c r="X29" i="142"/>
  <c r="Y29" i="142" s="1"/>
  <c r="E33" i="142"/>
  <c r="V32" i="142"/>
  <c r="C34" i="143"/>
  <c r="F32" i="143"/>
  <c r="E35" i="143"/>
  <c r="G31" i="143"/>
  <c r="G31" i="139"/>
  <c r="E34" i="139"/>
  <c r="C32" i="139"/>
  <c r="F32" i="139"/>
  <c r="G33" i="140"/>
  <c r="X33" i="140" s="1"/>
  <c r="W33" i="140"/>
  <c r="V33" i="140"/>
  <c r="E34" i="140"/>
  <c r="Y32" i="140"/>
  <c r="F34" i="140"/>
  <c r="AE34" i="140"/>
  <c r="C34" i="140"/>
  <c r="D34" i="113"/>
  <c r="Q19" i="94"/>
  <c r="R19" i="94" s="1"/>
  <c r="D51" i="168" l="1"/>
  <c r="V50" i="168"/>
  <c r="E50" i="163"/>
  <c r="W49" i="163"/>
  <c r="F47" i="167"/>
  <c r="X46" i="167"/>
  <c r="Y46" i="167" s="1"/>
  <c r="D49" i="165"/>
  <c r="V48" i="165"/>
  <c r="E49" i="164"/>
  <c r="W48" i="164"/>
  <c r="D49" i="157"/>
  <c r="V48" i="157"/>
  <c r="D47" i="167"/>
  <c r="V46" i="167"/>
  <c r="F48" i="165"/>
  <c r="X47" i="165"/>
  <c r="Y47" i="165" s="1"/>
  <c r="C33" i="138"/>
  <c r="F47" i="166"/>
  <c r="X46" i="166"/>
  <c r="Y46" i="166" s="1"/>
  <c r="D48" i="166"/>
  <c r="V47" i="166"/>
  <c r="D48" i="146"/>
  <c r="V47" i="146"/>
  <c r="X31" i="168"/>
  <c r="Y31" i="168" s="1"/>
  <c r="F32" i="168"/>
  <c r="X31" i="157"/>
  <c r="Y31" i="157" s="1"/>
  <c r="F32" i="157"/>
  <c r="F44" i="146"/>
  <c r="X32" i="156"/>
  <c r="Y32" i="156" s="1"/>
  <c r="F33" i="156"/>
  <c r="X34" i="155"/>
  <c r="Y34" i="155" s="1"/>
  <c r="F35" i="155"/>
  <c r="Y44" i="163"/>
  <c r="Z44" i="163" s="1"/>
  <c r="G45" i="163"/>
  <c r="D24" i="110"/>
  <c r="D23" i="109"/>
  <c r="G47" i="164"/>
  <c r="Y46" i="164"/>
  <c r="Z46" i="164" s="1"/>
  <c r="G31" i="142"/>
  <c r="X30" i="142"/>
  <c r="Y30" i="142" s="1"/>
  <c r="E34" i="142"/>
  <c r="V33" i="142"/>
  <c r="C34" i="142"/>
  <c r="AE32" i="142"/>
  <c r="F32" i="142"/>
  <c r="W32" i="142" s="1"/>
  <c r="Y33" i="140"/>
  <c r="G32" i="143"/>
  <c r="E36" i="143"/>
  <c r="F33" i="143"/>
  <c r="C35" i="143"/>
  <c r="E35" i="139"/>
  <c r="C33" i="139"/>
  <c r="F33" i="139"/>
  <c r="G32" i="139"/>
  <c r="V34" i="140"/>
  <c r="E35" i="140"/>
  <c r="AE35" i="140"/>
  <c r="C35" i="140"/>
  <c r="F35" i="140"/>
  <c r="W34" i="140"/>
  <c r="G34" i="140"/>
  <c r="X34" i="140" s="1"/>
  <c r="D35" i="113"/>
  <c r="D36" i="113" s="1"/>
  <c r="F48" i="166" l="1"/>
  <c r="X47" i="166"/>
  <c r="Y47" i="166" s="1"/>
  <c r="F48" i="167"/>
  <c r="X47" i="167"/>
  <c r="Y47" i="167" s="1"/>
  <c r="C34" i="138"/>
  <c r="D50" i="157"/>
  <c r="V49" i="157"/>
  <c r="E51" i="163"/>
  <c r="W50" i="163"/>
  <c r="F49" i="165"/>
  <c r="X48" i="165"/>
  <c r="Y48" i="165" s="1"/>
  <c r="D49" i="146"/>
  <c r="V48" i="146"/>
  <c r="E50" i="164"/>
  <c r="W49" i="164"/>
  <c r="D48" i="167"/>
  <c r="V47" i="167"/>
  <c r="D49" i="166"/>
  <c r="V48" i="166"/>
  <c r="D50" i="165"/>
  <c r="V49" i="165"/>
  <c r="D52" i="168"/>
  <c r="V51" i="168"/>
  <c r="X32" i="168"/>
  <c r="Y32" i="168" s="1"/>
  <c r="F33" i="168"/>
  <c r="X32" i="157"/>
  <c r="Y32" i="157" s="1"/>
  <c r="F33" i="157"/>
  <c r="X44" i="146"/>
  <c r="Y44" i="146" s="1"/>
  <c r="F45" i="146"/>
  <c r="X35" i="155"/>
  <c r="Y35" i="155" s="1"/>
  <c r="F36" i="155"/>
  <c r="X33" i="156"/>
  <c r="Y33" i="156" s="1"/>
  <c r="F34" i="156"/>
  <c r="G46" i="163"/>
  <c r="Y45" i="163"/>
  <c r="Z45" i="163" s="1"/>
  <c r="D24" i="109"/>
  <c r="D25" i="110"/>
  <c r="G48" i="164"/>
  <c r="Y47" i="164"/>
  <c r="Z47" i="164" s="1"/>
  <c r="C35" i="142"/>
  <c r="AE33" i="142"/>
  <c r="F33" i="142"/>
  <c r="W33" i="142" s="1"/>
  <c r="G32" i="142"/>
  <c r="X31" i="142"/>
  <c r="Y31" i="142" s="1"/>
  <c r="E35" i="142"/>
  <c r="V34" i="142"/>
  <c r="Y34" i="140"/>
  <c r="C36" i="143"/>
  <c r="F34" i="143"/>
  <c r="G33" i="143"/>
  <c r="E37" i="143"/>
  <c r="C34" i="139"/>
  <c r="F34" i="139"/>
  <c r="E36" i="139"/>
  <c r="G33" i="139"/>
  <c r="V35" i="140"/>
  <c r="E36" i="140"/>
  <c r="F36" i="140"/>
  <c r="C36" i="140"/>
  <c r="AE36" i="140"/>
  <c r="G35" i="140"/>
  <c r="X35" i="140" s="1"/>
  <c r="W35" i="140"/>
  <c r="D37" i="113"/>
  <c r="B9" i="53"/>
  <c r="B18" i="53" s="1"/>
  <c r="C204" i="94"/>
  <c r="C203" i="94"/>
  <c r="C202" i="94"/>
  <c r="C201" i="94"/>
  <c r="C200" i="94"/>
  <c r="C199" i="94"/>
  <c r="C198" i="94"/>
  <c r="C197" i="94"/>
  <c r="C196" i="94"/>
  <c r="C195" i="94"/>
  <c r="C194" i="94"/>
  <c r="C193" i="94"/>
  <c r="C192" i="94"/>
  <c r="C191" i="94"/>
  <c r="C190" i="94"/>
  <c r="C189" i="94"/>
  <c r="C188" i="94"/>
  <c r="C187" i="94"/>
  <c r="C186" i="94"/>
  <c r="C185" i="94"/>
  <c r="C184" i="94"/>
  <c r="C183" i="94"/>
  <c r="C182" i="94"/>
  <c r="C181" i="94"/>
  <c r="C180" i="94"/>
  <c r="C179" i="94"/>
  <c r="C178" i="94"/>
  <c r="C177" i="94"/>
  <c r="C176" i="94"/>
  <c r="C175" i="94"/>
  <c r="C174" i="94"/>
  <c r="C173" i="94"/>
  <c r="C172" i="94"/>
  <c r="C171" i="94"/>
  <c r="C170" i="94"/>
  <c r="C169" i="94"/>
  <c r="C168" i="94"/>
  <c r="C167" i="94"/>
  <c r="C166" i="94"/>
  <c r="C165" i="94"/>
  <c r="C164" i="94"/>
  <c r="C163" i="94"/>
  <c r="C162" i="94"/>
  <c r="C161" i="94"/>
  <c r="C160" i="94"/>
  <c r="C159" i="94"/>
  <c r="C158" i="94"/>
  <c r="C157" i="94"/>
  <c r="C156" i="94"/>
  <c r="C155" i="94"/>
  <c r="C154" i="94"/>
  <c r="C153" i="94"/>
  <c r="C152" i="94"/>
  <c r="C151" i="94"/>
  <c r="C150" i="94"/>
  <c r="C149" i="94"/>
  <c r="C148" i="94"/>
  <c r="C147" i="94"/>
  <c r="C146" i="94"/>
  <c r="C145" i="94"/>
  <c r="C144" i="94"/>
  <c r="C143" i="94"/>
  <c r="C142" i="94"/>
  <c r="C141" i="94"/>
  <c r="C140" i="94"/>
  <c r="C139" i="94"/>
  <c r="C138" i="94"/>
  <c r="C137" i="94"/>
  <c r="C136" i="94"/>
  <c r="C135" i="94"/>
  <c r="C134" i="94"/>
  <c r="C133" i="94"/>
  <c r="C132" i="94"/>
  <c r="C131" i="94"/>
  <c r="C130" i="94"/>
  <c r="C129" i="94"/>
  <c r="C128" i="94"/>
  <c r="C127" i="94"/>
  <c r="C126" i="94"/>
  <c r="C125" i="94"/>
  <c r="C124" i="94"/>
  <c r="C123" i="94"/>
  <c r="C122" i="94"/>
  <c r="C121" i="94"/>
  <c r="C120" i="94"/>
  <c r="C119" i="94"/>
  <c r="C118" i="94"/>
  <c r="C117" i="94"/>
  <c r="C116" i="94"/>
  <c r="C115" i="94"/>
  <c r="C114" i="94"/>
  <c r="C113" i="94"/>
  <c r="C112" i="94"/>
  <c r="C111" i="94"/>
  <c r="C110" i="94"/>
  <c r="C109" i="94"/>
  <c r="C108" i="94"/>
  <c r="C107" i="94"/>
  <c r="C106" i="94"/>
  <c r="C105" i="94"/>
  <c r="C104" i="94"/>
  <c r="C103" i="94"/>
  <c r="C102" i="94"/>
  <c r="C101" i="94"/>
  <c r="C100" i="94"/>
  <c r="C99" i="94"/>
  <c r="C98" i="94"/>
  <c r="C97" i="94"/>
  <c r="C96" i="94"/>
  <c r="C95" i="94"/>
  <c r="C94" i="94"/>
  <c r="C93" i="94"/>
  <c r="C92" i="94"/>
  <c r="C91" i="94"/>
  <c r="C90" i="94"/>
  <c r="C89" i="94"/>
  <c r="C88" i="94"/>
  <c r="C87" i="94"/>
  <c r="C86" i="94"/>
  <c r="C85" i="94"/>
  <c r="C84" i="94"/>
  <c r="C83" i="94"/>
  <c r="C82" i="94"/>
  <c r="C81" i="94"/>
  <c r="C80" i="94"/>
  <c r="C79" i="94"/>
  <c r="C78" i="94"/>
  <c r="C77" i="94"/>
  <c r="C76" i="94"/>
  <c r="C75" i="94"/>
  <c r="C74" i="94"/>
  <c r="C73" i="94"/>
  <c r="C72" i="94"/>
  <c r="C71" i="94"/>
  <c r="C70" i="94"/>
  <c r="C69" i="94"/>
  <c r="C68" i="94"/>
  <c r="C67" i="94"/>
  <c r="C66" i="94"/>
  <c r="C65" i="94"/>
  <c r="C64" i="94"/>
  <c r="C63" i="94"/>
  <c r="C62" i="94"/>
  <c r="C61" i="94"/>
  <c r="C60" i="94"/>
  <c r="C59" i="94"/>
  <c r="C58" i="94"/>
  <c r="C57" i="94"/>
  <c r="C56" i="94"/>
  <c r="C55" i="94"/>
  <c r="C54" i="94"/>
  <c r="C53" i="94"/>
  <c r="C52" i="94"/>
  <c r="C51" i="94"/>
  <c r="C50" i="94"/>
  <c r="C49" i="94"/>
  <c r="C48" i="94"/>
  <c r="C47" i="94"/>
  <c r="C46" i="94"/>
  <c r="C45" i="94"/>
  <c r="C44" i="94"/>
  <c r="C43" i="94"/>
  <c r="C42" i="94"/>
  <c r="C41" i="94"/>
  <c r="C40" i="94"/>
  <c r="C39" i="94"/>
  <c r="C38" i="94"/>
  <c r="C37" i="94"/>
  <c r="C36" i="94"/>
  <c r="C35" i="94"/>
  <c r="C34" i="94"/>
  <c r="C33" i="94"/>
  <c r="C32" i="94"/>
  <c r="C31" i="94"/>
  <c r="C30" i="94"/>
  <c r="C29" i="94"/>
  <c r="C28" i="94"/>
  <c r="C27" i="94"/>
  <c r="C26" i="94"/>
  <c r="C25" i="94"/>
  <c r="C24" i="94"/>
  <c r="C23" i="94"/>
  <c r="C22" i="94"/>
  <c r="C21" i="94"/>
  <c r="C20" i="94"/>
  <c r="C19" i="94"/>
  <c r="C18" i="94"/>
  <c r="C17" i="94"/>
  <c r="C16" i="94"/>
  <c r="C15" i="94"/>
  <c r="C14" i="94"/>
  <c r="C13" i="94"/>
  <c r="C12" i="94"/>
  <c r="C11" i="94"/>
  <c r="C10" i="94"/>
  <c r="C9" i="94"/>
  <c r="C8" i="94"/>
  <c r="C7" i="94"/>
  <c r="E6" i="94"/>
  <c r="C6" i="94"/>
  <c r="A6" i="94"/>
  <c r="A7" i="94" s="1"/>
  <c r="A8" i="94" s="1"/>
  <c r="A9" i="94" s="1"/>
  <c r="A10" i="94" s="1"/>
  <c r="A11" i="94" s="1"/>
  <c r="A12" i="94" s="1"/>
  <c r="A13" i="94" s="1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A45" i="94" s="1"/>
  <c r="A46" i="94" s="1"/>
  <c r="A47" i="94" s="1"/>
  <c r="A48" i="94" s="1"/>
  <c r="A49" i="94" s="1"/>
  <c r="A50" i="94" s="1"/>
  <c r="A51" i="94" s="1"/>
  <c r="A52" i="94" s="1"/>
  <c r="A53" i="94" s="1"/>
  <c r="A54" i="94" s="1"/>
  <c r="A55" i="94" s="1"/>
  <c r="A56" i="94" s="1"/>
  <c r="A57" i="94" s="1"/>
  <c r="A58" i="94" s="1"/>
  <c r="A59" i="94" s="1"/>
  <c r="A60" i="94" s="1"/>
  <c r="A61" i="94" s="1"/>
  <c r="A62" i="94" s="1"/>
  <c r="A63" i="94" s="1"/>
  <c r="A64" i="94" s="1"/>
  <c r="A65" i="94" s="1"/>
  <c r="A66" i="94" s="1"/>
  <c r="A67" i="94" s="1"/>
  <c r="A68" i="94" s="1"/>
  <c r="A69" i="94" s="1"/>
  <c r="A70" i="94" s="1"/>
  <c r="A71" i="94" s="1"/>
  <c r="A72" i="94" s="1"/>
  <c r="A73" i="94" s="1"/>
  <c r="A74" i="94" s="1"/>
  <c r="A75" i="94" s="1"/>
  <c r="A76" i="94" s="1"/>
  <c r="A77" i="94" s="1"/>
  <c r="A78" i="94" s="1"/>
  <c r="A79" i="94" s="1"/>
  <c r="A80" i="94" s="1"/>
  <c r="A81" i="94" s="1"/>
  <c r="A82" i="94" s="1"/>
  <c r="A83" i="94" s="1"/>
  <c r="A84" i="94" s="1"/>
  <c r="A85" i="94" s="1"/>
  <c r="A86" i="94" s="1"/>
  <c r="A87" i="94" s="1"/>
  <c r="A88" i="94" s="1"/>
  <c r="A89" i="94" s="1"/>
  <c r="A90" i="94" s="1"/>
  <c r="A91" i="94" s="1"/>
  <c r="A92" i="94" s="1"/>
  <c r="A93" i="94" s="1"/>
  <c r="A94" i="94" s="1"/>
  <c r="A95" i="94" s="1"/>
  <c r="A96" i="94" s="1"/>
  <c r="A97" i="94" s="1"/>
  <c r="A98" i="94" s="1"/>
  <c r="A99" i="94" s="1"/>
  <c r="A100" i="94" s="1"/>
  <c r="A101" i="94" s="1"/>
  <c r="A102" i="94" s="1"/>
  <c r="A103" i="94" s="1"/>
  <c r="A104" i="94" s="1"/>
  <c r="A105" i="94" s="1"/>
  <c r="A106" i="94" s="1"/>
  <c r="A107" i="94" s="1"/>
  <c r="A108" i="94" s="1"/>
  <c r="A109" i="94" s="1"/>
  <c r="A110" i="94" s="1"/>
  <c r="A111" i="94" s="1"/>
  <c r="A112" i="94" s="1"/>
  <c r="A113" i="94" s="1"/>
  <c r="A114" i="94" s="1"/>
  <c r="A115" i="94" s="1"/>
  <c r="A116" i="94" s="1"/>
  <c r="A117" i="94" s="1"/>
  <c r="A118" i="94" s="1"/>
  <c r="A119" i="94" s="1"/>
  <c r="A120" i="94" s="1"/>
  <c r="A121" i="94" s="1"/>
  <c r="A122" i="94" s="1"/>
  <c r="A123" i="94" s="1"/>
  <c r="A124" i="94" s="1"/>
  <c r="A125" i="94" s="1"/>
  <c r="A126" i="94" s="1"/>
  <c r="A127" i="94" s="1"/>
  <c r="A128" i="94" s="1"/>
  <c r="A129" i="94" s="1"/>
  <c r="A130" i="94" s="1"/>
  <c r="A131" i="94" s="1"/>
  <c r="A132" i="94" s="1"/>
  <c r="A133" i="94" s="1"/>
  <c r="A134" i="94" s="1"/>
  <c r="A135" i="94" s="1"/>
  <c r="A136" i="94" s="1"/>
  <c r="A137" i="94" s="1"/>
  <c r="A138" i="94" s="1"/>
  <c r="A139" i="94" s="1"/>
  <c r="A140" i="94" s="1"/>
  <c r="A141" i="94" s="1"/>
  <c r="A142" i="94" s="1"/>
  <c r="A143" i="94" s="1"/>
  <c r="A144" i="94" s="1"/>
  <c r="A145" i="94" s="1"/>
  <c r="A146" i="94" s="1"/>
  <c r="A147" i="94" s="1"/>
  <c r="A148" i="94" s="1"/>
  <c r="A149" i="94" s="1"/>
  <c r="A150" i="94" s="1"/>
  <c r="A151" i="94" s="1"/>
  <c r="A152" i="94" s="1"/>
  <c r="A153" i="94" s="1"/>
  <c r="A154" i="94" s="1"/>
  <c r="A155" i="94" s="1"/>
  <c r="A156" i="94" s="1"/>
  <c r="A157" i="94" s="1"/>
  <c r="A158" i="94" s="1"/>
  <c r="A159" i="94" s="1"/>
  <c r="A160" i="94" s="1"/>
  <c r="A161" i="94" s="1"/>
  <c r="A162" i="94" s="1"/>
  <c r="A163" i="94" s="1"/>
  <c r="A164" i="94" s="1"/>
  <c r="A165" i="94" s="1"/>
  <c r="A166" i="94" s="1"/>
  <c r="A167" i="94" s="1"/>
  <c r="A168" i="94" s="1"/>
  <c r="A169" i="94" s="1"/>
  <c r="A170" i="94" s="1"/>
  <c r="A171" i="94" s="1"/>
  <c r="A172" i="94" s="1"/>
  <c r="A173" i="94" s="1"/>
  <c r="A174" i="94" s="1"/>
  <c r="A175" i="94" s="1"/>
  <c r="A176" i="94" s="1"/>
  <c r="A177" i="94" s="1"/>
  <c r="A178" i="94" s="1"/>
  <c r="A179" i="94" s="1"/>
  <c r="A180" i="94" s="1"/>
  <c r="A181" i="94" s="1"/>
  <c r="A182" i="94" s="1"/>
  <c r="A183" i="94" s="1"/>
  <c r="A184" i="94" s="1"/>
  <c r="A185" i="94" s="1"/>
  <c r="A186" i="94" s="1"/>
  <c r="A187" i="94" s="1"/>
  <c r="A188" i="94" s="1"/>
  <c r="A189" i="94" s="1"/>
  <c r="A190" i="94" s="1"/>
  <c r="A191" i="94" s="1"/>
  <c r="A192" i="94" s="1"/>
  <c r="A193" i="94" s="1"/>
  <c r="A194" i="94" s="1"/>
  <c r="A195" i="94" s="1"/>
  <c r="A196" i="94" s="1"/>
  <c r="A197" i="94" s="1"/>
  <c r="A198" i="94" s="1"/>
  <c r="A199" i="94" s="1"/>
  <c r="A200" i="94" s="1"/>
  <c r="A201" i="94" s="1"/>
  <c r="A202" i="94" s="1"/>
  <c r="A203" i="94" s="1"/>
  <c r="A204" i="94" s="1"/>
  <c r="G5" i="93"/>
  <c r="C204" i="93"/>
  <c r="C203" i="93"/>
  <c r="C202" i="93"/>
  <c r="C201" i="93"/>
  <c r="C200" i="93"/>
  <c r="C199" i="93"/>
  <c r="C198" i="93"/>
  <c r="C197" i="93"/>
  <c r="C196" i="93"/>
  <c r="C195" i="93"/>
  <c r="C194" i="93"/>
  <c r="C193" i="93"/>
  <c r="C192" i="93"/>
  <c r="C191" i="93"/>
  <c r="C190" i="93"/>
  <c r="C189" i="93"/>
  <c r="C188" i="93"/>
  <c r="C187" i="93"/>
  <c r="C186" i="93"/>
  <c r="C185" i="93"/>
  <c r="C184" i="93"/>
  <c r="C183" i="93"/>
  <c r="C182" i="93"/>
  <c r="C181" i="93"/>
  <c r="C180" i="93"/>
  <c r="C179" i="93"/>
  <c r="C178" i="93"/>
  <c r="C177" i="93"/>
  <c r="C176" i="93"/>
  <c r="C175" i="93"/>
  <c r="C174" i="93"/>
  <c r="C173" i="93"/>
  <c r="C172" i="93"/>
  <c r="C171" i="93"/>
  <c r="C170" i="93"/>
  <c r="C169" i="93"/>
  <c r="C168" i="93"/>
  <c r="C167" i="93"/>
  <c r="C166" i="93"/>
  <c r="C165" i="93"/>
  <c r="C164" i="93"/>
  <c r="C163" i="93"/>
  <c r="C162" i="93"/>
  <c r="C161" i="93"/>
  <c r="C160" i="93"/>
  <c r="C159" i="93"/>
  <c r="C158" i="93"/>
  <c r="C157" i="93"/>
  <c r="C156" i="93"/>
  <c r="C155" i="93"/>
  <c r="C154" i="93"/>
  <c r="C153" i="93"/>
  <c r="C152" i="93"/>
  <c r="C151" i="93"/>
  <c r="C150" i="93"/>
  <c r="C149" i="93"/>
  <c r="C148" i="93"/>
  <c r="C147" i="93"/>
  <c r="C146" i="93"/>
  <c r="C145" i="93"/>
  <c r="C144" i="93"/>
  <c r="C143" i="93"/>
  <c r="C142" i="93"/>
  <c r="C141" i="93"/>
  <c r="C140" i="93"/>
  <c r="C139" i="93"/>
  <c r="C138" i="93"/>
  <c r="C137" i="93"/>
  <c r="C136" i="93"/>
  <c r="C135" i="93"/>
  <c r="C134" i="93"/>
  <c r="C133" i="93"/>
  <c r="C132" i="93"/>
  <c r="C131" i="93"/>
  <c r="C130" i="93"/>
  <c r="C129" i="93"/>
  <c r="C128" i="93"/>
  <c r="C127" i="93"/>
  <c r="C126" i="93"/>
  <c r="C125" i="93"/>
  <c r="C124" i="93"/>
  <c r="C123" i="93"/>
  <c r="C122" i="93"/>
  <c r="C121" i="93"/>
  <c r="C120" i="93"/>
  <c r="C119" i="93"/>
  <c r="C118" i="93"/>
  <c r="C117" i="93"/>
  <c r="C116" i="93"/>
  <c r="C115" i="93"/>
  <c r="C114" i="93"/>
  <c r="C113" i="93"/>
  <c r="C112" i="93"/>
  <c r="C111" i="93"/>
  <c r="C110" i="93"/>
  <c r="C109" i="93"/>
  <c r="C108" i="93"/>
  <c r="C107" i="93"/>
  <c r="C106" i="93"/>
  <c r="C105" i="93"/>
  <c r="C104" i="93"/>
  <c r="C103" i="93"/>
  <c r="C102" i="93"/>
  <c r="C101" i="93"/>
  <c r="C100" i="93"/>
  <c r="C99" i="93"/>
  <c r="C98" i="93"/>
  <c r="C97" i="93"/>
  <c r="C96" i="93"/>
  <c r="C95" i="93"/>
  <c r="C94" i="93"/>
  <c r="C93" i="93"/>
  <c r="C92" i="93"/>
  <c r="C91" i="93"/>
  <c r="C90" i="93"/>
  <c r="C89" i="93"/>
  <c r="C88" i="93"/>
  <c r="C87" i="93"/>
  <c r="C86" i="93"/>
  <c r="C85" i="93"/>
  <c r="C84" i="93"/>
  <c r="C83" i="93"/>
  <c r="C82" i="93"/>
  <c r="C81" i="93"/>
  <c r="C80" i="93"/>
  <c r="C79" i="93"/>
  <c r="C78" i="93"/>
  <c r="C77" i="93"/>
  <c r="C76" i="93"/>
  <c r="C75" i="93"/>
  <c r="C74" i="93"/>
  <c r="C73" i="93"/>
  <c r="C72" i="93"/>
  <c r="C71" i="93"/>
  <c r="C70" i="93"/>
  <c r="C69" i="93"/>
  <c r="C68" i="93"/>
  <c r="C67" i="93"/>
  <c r="C66" i="93"/>
  <c r="C65" i="93"/>
  <c r="C64" i="93"/>
  <c r="C63" i="93"/>
  <c r="C62" i="93"/>
  <c r="C61" i="93"/>
  <c r="C60" i="93"/>
  <c r="C59" i="93"/>
  <c r="C58" i="93"/>
  <c r="C57" i="93"/>
  <c r="C56" i="93"/>
  <c r="C55" i="93"/>
  <c r="C54" i="93"/>
  <c r="C53" i="93"/>
  <c r="C52" i="93"/>
  <c r="C51" i="93"/>
  <c r="C50" i="93"/>
  <c r="C49" i="93"/>
  <c r="C48" i="93"/>
  <c r="C47" i="93"/>
  <c r="C46" i="93"/>
  <c r="C45" i="93"/>
  <c r="C44" i="93"/>
  <c r="C43" i="93"/>
  <c r="C42" i="93"/>
  <c r="C41" i="93"/>
  <c r="C40" i="93"/>
  <c r="C39" i="93"/>
  <c r="C38" i="93"/>
  <c r="C37" i="93"/>
  <c r="C36" i="93"/>
  <c r="C35" i="93"/>
  <c r="C34" i="93"/>
  <c r="C33" i="93"/>
  <c r="C32" i="93"/>
  <c r="C31" i="93"/>
  <c r="C30" i="93"/>
  <c r="C29" i="93"/>
  <c r="C28" i="93"/>
  <c r="C27" i="93"/>
  <c r="C26" i="93"/>
  <c r="C25" i="93"/>
  <c r="C24" i="93"/>
  <c r="C23" i="93"/>
  <c r="C22" i="93"/>
  <c r="C21" i="93"/>
  <c r="C20" i="93"/>
  <c r="C19" i="93"/>
  <c r="C18" i="93"/>
  <c r="C17" i="93"/>
  <c r="C16" i="93"/>
  <c r="C15" i="93"/>
  <c r="C14" i="93"/>
  <c r="C13" i="93"/>
  <c r="C12" i="93"/>
  <c r="C11" i="93"/>
  <c r="C10" i="93"/>
  <c r="C9" i="93"/>
  <c r="C8" i="93"/>
  <c r="E6" i="93"/>
  <c r="E7" i="93" s="1"/>
  <c r="E8" i="93" s="1"/>
  <c r="E9" i="93" s="1"/>
  <c r="E10" i="93" s="1"/>
  <c r="E11" i="93" s="1"/>
  <c r="E12" i="93" s="1"/>
  <c r="E13" i="93" s="1"/>
  <c r="E14" i="93" s="1"/>
  <c r="E15" i="93" s="1"/>
  <c r="E16" i="93" s="1"/>
  <c r="E17" i="93" s="1"/>
  <c r="E18" i="93" s="1"/>
  <c r="E19" i="93" s="1"/>
  <c r="C7" i="93"/>
  <c r="C6" i="93"/>
  <c r="A6" i="93"/>
  <c r="A7" i="93" s="1"/>
  <c r="A8" i="93" s="1"/>
  <c r="A9" i="93" s="1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A45" i="93" s="1"/>
  <c r="A46" i="93" s="1"/>
  <c r="A47" i="93" s="1"/>
  <c r="A48" i="93" s="1"/>
  <c r="A49" i="93" s="1"/>
  <c r="A50" i="93" s="1"/>
  <c r="A51" i="93" s="1"/>
  <c r="A52" i="93" s="1"/>
  <c r="A53" i="93" s="1"/>
  <c r="A54" i="93" s="1"/>
  <c r="A55" i="93" s="1"/>
  <c r="A56" i="93" s="1"/>
  <c r="A57" i="93" s="1"/>
  <c r="A58" i="93" s="1"/>
  <c r="A59" i="93" s="1"/>
  <c r="A60" i="93" s="1"/>
  <c r="A61" i="93" s="1"/>
  <c r="A62" i="93" s="1"/>
  <c r="A63" i="93" s="1"/>
  <c r="A64" i="93" s="1"/>
  <c r="A65" i="93" s="1"/>
  <c r="A66" i="93" s="1"/>
  <c r="A67" i="93" s="1"/>
  <c r="A68" i="93" s="1"/>
  <c r="A69" i="93" s="1"/>
  <c r="A70" i="93" s="1"/>
  <c r="A71" i="93" s="1"/>
  <c r="A72" i="93" s="1"/>
  <c r="A73" i="93" s="1"/>
  <c r="A74" i="93" s="1"/>
  <c r="A75" i="93" s="1"/>
  <c r="A76" i="93" s="1"/>
  <c r="A77" i="93" s="1"/>
  <c r="A78" i="93" s="1"/>
  <c r="A79" i="93" s="1"/>
  <c r="A80" i="93" s="1"/>
  <c r="A81" i="93" s="1"/>
  <c r="A82" i="93" s="1"/>
  <c r="A83" i="93" s="1"/>
  <c r="A84" i="93" s="1"/>
  <c r="A85" i="93" s="1"/>
  <c r="A86" i="93" s="1"/>
  <c r="A87" i="93" s="1"/>
  <c r="A88" i="93" s="1"/>
  <c r="A89" i="93" s="1"/>
  <c r="A90" i="93" s="1"/>
  <c r="A91" i="93" s="1"/>
  <c r="A92" i="93" s="1"/>
  <c r="A93" i="93" s="1"/>
  <c r="A94" i="93" s="1"/>
  <c r="A95" i="93" s="1"/>
  <c r="A96" i="93" s="1"/>
  <c r="A97" i="93" s="1"/>
  <c r="A98" i="93" s="1"/>
  <c r="A99" i="93" s="1"/>
  <c r="A100" i="93" s="1"/>
  <c r="A101" i="93" s="1"/>
  <c r="A102" i="93" s="1"/>
  <c r="A103" i="93" s="1"/>
  <c r="A104" i="93" s="1"/>
  <c r="A105" i="93" s="1"/>
  <c r="A106" i="93" s="1"/>
  <c r="A107" i="93" s="1"/>
  <c r="A108" i="93" s="1"/>
  <c r="A109" i="93" s="1"/>
  <c r="A110" i="93" s="1"/>
  <c r="A111" i="93" s="1"/>
  <c r="A112" i="93" s="1"/>
  <c r="A113" i="93" s="1"/>
  <c r="A114" i="93" s="1"/>
  <c r="A115" i="93" s="1"/>
  <c r="A116" i="93" s="1"/>
  <c r="A117" i="93" s="1"/>
  <c r="A118" i="93" s="1"/>
  <c r="A119" i="93" s="1"/>
  <c r="A120" i="93" s="1"/>
  <c r="A121" i="93" s="1"/>
  <c r="A122" i="93" s="1"/>
  <c r="A123" i="93" s="1"/>
  <c r="A124" i="93" s="1"/>
  <c r="A125" i="93" s="1"/>
  <c r="A126" i="93" s="1"/>
  <c r="A127" i="93" s="1"/>
  <c r="A128" i="93" s="1"/>
  <c r="A129" i="93" s="1"/>
  <c r="A130" i="93" s="1"/>
  <c r="A131" i="93" s="1"/>
  <c r="A132" i="93" s="1"/>
  <c r="A133" i="93" s="1"/>
  <c r="A134" i="93" s="1"/>
  <c r="A135" i="93" s="1"/>
  <c r="A136" i="93" s="1"/>
  <c r="A137" i="93" s="1"/>
  <c r="A138" i="93" s="1"/>
  <c r="A139" i="93" s="1"/>
  <c r="A140" i="93" s="1"/>
  <c r="A141" i="93" s="1"/>
  <c r="A142" i="93" s="1"/>
  <c r="A143" i="93" s="1"/>
  <c r="A144" i="93" s="1"/>
  <c r="A145" i="93" s="1"/>
  <c r="A146" i="93" s="1"/>
  <c r="A147" i="93" s="1"/>
  <c r="A148" i="93" s="1"/>
  <c r="A149" i="93" s="1"/>
  <c r="A150" i="93" s="1"/>
  <c r="A151" i="93" s="1"/>
  <c r="A152" i="93" s="1"/>
  <c r="A153" i="93" s="1"/>
  <c r="A154" i="93" s="1"/>
  <c r="A155" i="93" s="1"/>
  <c r="A156" i="93" s="1"/>
  <c r="A157" i="93" s="1"/>
  <c r="A158" i="93" s="1"/>
  <c r="A159" i="93" s="1"/>
  <c r="A160" i="93" s="1"/>
  <c r="A161" i="93" s="1"/>
  <c r="A162" i="93" s="1"/>
  <c r="A163" i="93" s="1"/>
  <c r="A164" i="93" s="1"/>
  <c r="A165" i="93" s="1"/>
  <c r="A166" i="93" s="1"/>
  <c r="A167" i="93" s="1"/>
  <c r="A168" i="93" s="1"/>
  <c r="A169" i="93" s="1"/>
  <c r="A170" i="93" s="1"/>
  <c r="A171" i="93" s="1"/>
  <c r="A172" i="93" s="1"/>
  <c r="A173" i="93" s="1"/>
  <c r="A174" i="93" s="1"/>
  <c r="A175" i="93" s="1"/>
  <c r="A176" i="93" s="1"/>
  <c r="A177" i="93" s="1"/>
  <c r="A178" i="93" s="1"/>
  <c r="A179" i="93" s="1"/>
  <c r="A180" i="93" s="1"/>
  <c r="A181" i="93" s="1"/>
  <c r="A182" i="93" s="1"/>
  <c r="A183" i="93" s="1"/>
  <c r="A184" i="93" s="1"/>
  <c r="A185" i="93" s="1"/>
  <c r="A186" i="93" s="1"/>
  <c r="A187" i="93" s="1"/>
  <c r="A188" i="93" s="1"/>
  <c r="A189" i="93" s="1"/>
  <c r="A190" i="93" s="1"/>
  <c r="A191" i="93" s="1"/>
  <c r="A192" i="93" s="1"/>
  <c r="A193" i="93" s="1"/>
  <c r="A194" i="93" s="1"/>
  <c r="A195" i="93" s="1"/>
  <c r="A196" i="93" s="1"/>
  <c r="A197" i="93" s="1"/>
  <c r="A198" i="93" s="1"/>
  <c r="A199" i="93" s="1"/>
  <c r="A200" i="93" s="1"/>
  <c r="A201" i="93" s="1"/>
  <c r="A202" i="93" s="1"/>
  <c r="A203" i="93" s="1"/>
  <c r="A204" i="93" s="1"/>
  <c r="G20" i="30"/>
  <c r="D50" i="166" l="1"/>
  <c r="V49" i="166"/>
  <c r="C35" i="138"/>
  <c r="G6" i="94"/>
  <c r="D49" i="167"/>
  <c r="V48" i="167"/>
  <c r="F50" i="165"/>
  <c r="X49" i="165"/>
  <c r="Y49" i="165" s="1"/>
  <c r="F49" i="167"/>
  <c r="X48" i="167"/>
  <c r="Y48" i="167" s="1"/>
  <c r="D53" i="168"/>
  <c r="V52" i="168"/>
  <c r="E51" i="164"/>
  <c r="W50" i="164"/>
  <c r="E52" i="163"/>
  <c r="W51" i="163"/>
  <c r="F49" i="166"/>
  <c r="X48" i="166"/>
  <c r="Y48" i="166" s="1"/>
  <c r="D51" i="165"/>
  <c r="V50" i="165"/>
  <c r="D50" i="146"/>
  <c r="V49" i="146"/>
  <c r="D51" i="157"/>
  <c r="V50" i="157"/>
  <c r="X33" i="168"/>
  <c r="Y33" i="168" s="1"/>
  <c r="F34" i="168"/>
  <c r="F34" i="157"/>
  <c r="X33" i="157"/>
  <c r="Y33" i="157" s="1"/>
  <c r="X45" i="146"/>
  <c r="Y45" i="146" s="1"/>
  <c r="F46" i="146"/>
  <c r="X36" i="155"/>
  <c r="Y36" i="155" s="1"/>
  <c r="F37" i="155"/>
  <c r="X34" i="156"/>
  <c r="Y34" i="156" s="1"/>
  <c r="F35" i="156"/>
  <c r="G47" i="163"/>
  <c r="Y46" i="163"/>
  <c r="Z46" i="163" s="1"/>
  <c r="D26" i="110"/>
  <c r="D25" i="109"/>
  <c r="G49" i="164"/>
  <c r="Y48" i="164"/>
  <c r="Z48" i="164" s="1"/>
  <c r="G33" i="142"/>
  <c r="X32" i="142"/>
  <c r="Y32" i="142" s="1"/>
  <c r="C36" i="142"/>
  <c r="AE34" i="142"/>
  <c r="F34" i="142"/>
  <c r="W34" i="142" s="1"/>
  <c r="E36" i="142"/>
  <c r="V35" i="142"/>
  <c r="E38" i="143"/>
  <c r="G34" i="143"/>
  <c r="F35" i="143"/>
  <c r="C37" i="143"/>
  <c r="E37" i="139"/>
  <c r="C35" i="139"/>
  <c r="F35" i="139"/>
  <c r="G34" i="139"/>
  <c r="E37" i="140"/>
  <c r="V36" i="140"/>
  <c r="AE37" i="140"/>
  <c r="C37" i="140"/>
  <c r="F37" i="140"/>
  <c r="Y35" i="140"/>
  <c r="W36" i="140"/>
  <c r="G36" i="140"/>
  <c r="X36" i="140" s="1"/>
  <c r="D38" i="113"/>
  <c r="D39" i="113" s="1"/>
  <c r="E7" i="94"/>
  <c r="F204" i="94"/>
  <c r="F204" i="93"/>
  <c r="D54" i="168" l="1"/>
  <c r="V53" i="168"/>
  <c r="F51" i="165"/>
  <c r="X50" i="165"/>
  <c r="Y50" i="165" s="1"/>
  <c r="D52" i="165"/>
  <c r="V51" i="165"/>
  <c r="F50" i="166"/>
  <c r="X49" i="166"/>
  <c r="Y49" i="166" s="1"/>
  <c r="D50" i="167"/>
  <c r="V49" i="167"/>
  <c r="D52" i="157"/>
  <c r="V51" i="157"/>
  <c r="E53" i="163"/>
  <c r="W52" i="163"/>
  <c r="G7" i="94"/>
  <c r="C36" i="138"/>
  <c r="D51" i="146"/>
  <c r="V50" i="146"/>
  <c r="E52" i="164"/>
  <c r="W51" i="164"/>
  <c r="F50" i="167"/>
  <c r="X49" i="167"/>
  <c r="Y49" i="167" s="1"/>
  <c r="D51" i="166"/>
  <c r="V50" i="166"/>
  <c r="F35" i="168"/>
  <c r="X34" i="168"/>
  <c r="Y34" i="168" s="1"/>
  <c r="F35" i="157"/>
  <c r="X34" i="157"/>
  <c r="Y34" i="157" s="1"/>
  <c r="X46" i="146"/>
  <c r="Y46" i="146" s="1"/>
  <c r="F47" i="146"/>
  <c r="F36" i="156"/>
  <c r="X35" i="156"/>
  <c r="Y35" i="156" s="1"/>
  <c r="F38" i="155"/>
  <c r="X37" i="155"/>
  <c r="Y37" i="155" s="1"/>
  <c r="G48" i="163"/>
  <c r="Y47" i="163"/>
  <c r="Z47" i="163" s="1"/>
  <c r="D26" i="109"/>
  <c r="D27" i="110"/>
  <c r="G50" i="164"/>
  <c r="Y49" i="164"/>
  <c r="Z49" i="164" s="1"/>
  <c r="C37" i="142"/>
  <c r="AE35" i="142"/>
  <c r="F35" i="142"/>
  <c r="W35" i="142" s="1"/>
  <c r="E37" i="142"/>
  <c r="V36" i="142"/>
  <c r="G34" i="142"/>
  <c r="X33" i="142"/>
  <c r="Y33" i="142" s="1"/>
  <c r="G35" i="143"/>
  <c r="C38" i="143"/>
  <c r="F36" i="143"/>
  <c r="E39" i="143"/>
  <c r="G35" i="139"/>
  <c r="E38" i="139"/>
  <c r="C36" i="139"/>
  <c r="F36" i="139"/>
  <c r="Y36" i="140"/>
  <c r="F38" i="140"/>
  <c r="AE38" i="140"/>
  <c r="C38" i="140"/>
  <c r="G37" i="140"/>
  <c r="X37" i="140" s="1"/>
  <c r="W37" i="140"/>
  <c r="V37" i="140"/>
  <c r="E38" i="140"/>
  <c r="D40" i="113"/>
  <c r="E8" i="94"/>
  <c r="E54" i="163" l="1"/>
  <c r="W53" i="163"/>
  <c r="D53" i="165"/>
  <c r="V52" i="165"/>
  <c r="E53" i="164"/>
  <c r="W52" i="164"/>
  <c r="D53" i="157"/>
  <c r="V52" i="157"/>
  <c r="F52" i="165"/>
  <c r="X51" i="165"/>
  <c r="Y51" i="165" s="1"/>
  <c r="D52" i="166"/>
  <c r="V51" i="166"/>
  <c r="G8" i="94"/>
  <c r="D52" i="146"/>
  <c r="V51" i="146"/>
  <c r="D51" i="167"/>
  <c r="V50" i="167"/>
  <c r="F51" i="167"/>
  <c r="X50" i="167"/>
  <c r="Y50" i="167" s="1"/>
  <c r="C37" i="138"/>
  <c r="F51" i="166"/>
  <c r="X50" i="166"/>
  <c r="Y50" i="166" s="1"/>
  <c r="D55" i="168"/>
  <c r="V54" i="168"/>
  <c r="X35" i="168"/>
  <c r="Y35" i="168" s="1"/>
  <c r="F36" i="168"/>
  <c r="F36" i="157"/>
  <c r="X35" i="157"/>
  <c r="Y35" i="157" s="1"/>
  <c r="X47" i="146"/>
  <c r="Y47" i="146" s="1"/>
  <c r="F48" i="146"/>
  <c r="F39" i="155"/>
  <c r="X38" i="155"/>
  <c r="Y38" i="155" s="1"/>
  <c r="F37" i="156"/>
  <c r="X36" i="156"/>
  <c r="Y36" i="156" s="1"/>
  <c r="G49" i="163"/>
  <c r="Y48" i="163"/>
  <c r="Z48" i="163" s="1"/>
  <c r="D28" i="110"/>
  <c r="D27" i="109"/>
  <c r="G51" i="164"/>
  <c r="Y50" i="164"/>
  <c r="Z50" i="164" s="1"/>
  <c r="E38" i="142"/>
  <c r="V37" i="142"/>
  <c r="G35" i="142"/>
  <c r="X34" i="142"/>
  <c r="Y34" i="142" s="1"/>
  <c r="C38" i="142"/>
  <c r="AE36" i="142"/>
  <c r="F36" i="142"/>
  <c r="W36" i="142" s="1"/>
  <c r="G36" i="143"/>
  <c r="E40" i="143"/>
  <c r="F37" i="143"/>
  <c r="C39" i="143"/>
  <c r="C37" i="139"/>
  <c r="F37" i="139"/>
  <c r="E39" i="139"/>
  <c r="G36" i="139"/>
  <c r="AE39" i="140"/>
  <c r="C39" i="140"/>
  <c r="F39" i="140"/>
  <c r="Y37" i="140"/>
  <c r="W38" i="140"/>
  <c r="G38" i="140"/>
  <c r="X38" i="140" s="1"/>
  <c r="V38" i="140"/>
  <c r="E39" i="140"/>
  <c r="D41" i="113"/>
  <c r="D42" i="113" s="1"/>
  <c r="E9" i="94"/>
  <c r="C38" i="138" l="1"/>
  <c r="E54" i="164"/>
  <c r="W53" i="164"/>
  <c r="F52" i="167"/>
  <c r="X51" i="167"/>
  <c r="Y51" i="167" s="1"/>
  <c r="D54" i="157"/>
  <c r="V53" i="157"/>
  <c r="G9" i="94"/>
  <c r="D56" i="168"/>
  <c r="V55" i="168"/>
  <c r="D53" i="166"/>
  <c r="V52" i="166"/>
  <c r="D52" i="167"/>
  <c r="V51" i="167"/>
  <c r="D54" i="165"/>
  <c r="V53" i="165"/>
  <c r="F52" i="166"/>
  <c r="X51" i="166"/>
  <c r="Y51" i="166" s="1"/>
  <c r="F53" i="165"/>
  <c r="X52" i="165"/>
  <c r="Y52" i="165" s="1"/>
  <c r="D53" i="146"/>
  <c r="V52" i="146"/>
  <c r="E55" i="163"/>
  <c r="W54" i="163"/>
  <c r="X36" i="168"/>
  <c r="Y36" i="168" s="1"/>
  <c r="F37" i="168"/>
  <c r="F37" i="157"/>
  <c r="X36" i="157"/>
  <c r="Y36" i="157" s="1"/>
  <c r="X48" i="146"/>
  <c r="Y48" i="146" s="1"/>
  <c r="F49" i="146"/>
  <c r="F40" i="155"/>
  <c r="X39" i="155"/>
  <c r="Y39" i="155" s="1"/>
  <c r="F38" i="156"/>
  <c r="X37" i="156"/>
  <c r="Y37" i="156" s="1"/>
  <c r="Y49" i="163"/>
  <c r="Z49" i="163" s="1"/>
  <c r="G50" i="163"/>
  <c r="D28" i="109"/>
  <c r="D29" i="110"/>
  <c r="G52" i="164"/>
  <c r="Y51" i="164"/>
  <c r="Z51" i="164" s="1"/>
  <c r="G36" i="142"/>
  <c r="X35" i="142"/>
  <c r="Y35" i="142" s="1"/>
  <c r="C39" i="142"/>
  <c r="AE37" i="142"/>
  <c r="F37" i="142"/>
  <c r="W37" i="142" s="1"/>
  <c r="E39" i="142"/>
  <c r="V38" i="142"/>
  <c r="C40" i="143"/>
  <c r="F38" i="143"/>
  <c r="G37" i="143"/>
  <c r="E41" i="143"/>
  <c r="C38" i="139"/>
  <c r="F38" i="139"/>
  <c r="E40" i="139"/>
  <c r="G37" i="139"/>
  <c r="G39" i="140"/>
  <c r="X39" i="140" s="1"/>
  <c r="W39" i="140"/>
  <c r="F40" i="140"/>
  <c r="AE40" i="140"/>
  <c r="C40" i="140"/>
  <c r="E40" i="140"/>
  <c r="V39" i="140"/>
  <c r="Y38" i="140"/>
  <c r="D43" i="113"/>
  <c r="D44" i="113" s="1"/>
  <c r="E10" i="94"/>
  <c r="F54" i="165" l="1"/>
  <c r="X53" i="165"/>
  <c r="Y53" i="165" s="1"/>
  <c r="D55" i="157"/>
  <c r="V54" i="157"/>
  <c r="F53" i="167"/>
  <c r="X52" i="167"/>
  <c r="Y52" i="167" s="1"/>
  <c r="D54" i="166"/>
  <c r="V53" i="166"/>
  <c r="E56" i="163"/>
  <c r="W55" i="163"/>
  <c r="D55" i="165"/>
  <c r="V54" i="165"/>
  <c r="E55" i="164"/>
  <c r="W54" i="164"/>
  <c r="F53" i="166"/>
  <c r="X52" i="166"/>
  <c r="Y52" i="166" s="1"/>
  <c r="D57" i="168"/>
  <c r="V56" i="168"/>
  <c r="G10" i="94"/>
  <c r="D54" i="146"/>
  <c r="V53" i="146"/>
  <c r="D53" i="167"/>
  <c r="V52" i="167"/>
  <c r="C39" i="138"/>
  <c r="F38" i="168"/>
  <c r="X37" i="168"/>
  <c r="Y37" i="168" s="1"/>
  <c r="F38" i="157"/>
  <c r="X37" i="157"/>
  <c r="Y37" i="157" s="1"/>
  <c r="F50" i="146"/>
  <c r="X49" i="146"/>
  <c r="Y49" i="146" s="1"/>
  <c r="X38" i="156"/>
  <c r="Y38" i="156" s="1"/>
  <c r="F39" i="156"/>
  <c r="F41" i="155"/>
  <c r="X40" i="155"/>
  <c r="Y40" i="155" s="1"/>
  <c r="G51" i="163"/>
  <c r="Y50" i="163"/>
  <c r="Z50" i="163" s="1"/>
  <c r="D30" i="110"/>
  <c r="D29" i="109"/>
  <c r="G53" i="164"/>
  <c r="Y52" i="164"/>
  <c r="Z52" i="164" s="1"/>
  <c r="G37" i="142"/>
  <c r="X36" i="142"/>
  <c r="Y36" i="142" s="1"/>
  <c r="C40" i="142"/>
  <c r="AE38" i="142"/>
  <c r="F38" i="142"/>
  <c r="W38" i="142" s="1"/>
  <c r="E40" i="142"/>
  <c r="V39" i="142"/>
  <c r="Y39" i="140"/>
  <c r="F39" i="143"/>
  <c r="C41" i="143"/>
  <c r="E42" i="143"/>
  <c r="G38" i="143"/>
  <c r="E41" i="139"/>
  <c r="G38" i="139"/>
  <c r="C39" i="139"/>
  <c r="F39" i="139"/>
  <c r="V40" i="140"/>
  <c r="E41" i="140"/>
  <c r="AE41" i="140"/>
  <c r="C41" i="140"/>
  <c r="F41" i="140"/>
  <c r="W40" i="140"/>
  <c r="G40" i="140"/>
  <c r="X40" i="140" s="1"/>
  <c r="D45" i="113"/>
  <c r="E11" i="94"/>
  <c r="D56" i="165" l="1"/>
  <c r="V55" i="165"/>
  <c r="G11" i="94"/>
  <c r="D55" i="146"/>
  <c r="V54" i="146"/>
  <c r="C40" i="138"/>
  <c r="D58" i="168"/>
  <c r="V57" i="168"/>
  <c r="E57" i="163"/>
  <c r="W56" i="163"/>
  <c r="D54" i="167"/>
  <c r="V53" i="167"/>
  <c r="F54" i="166"/>
  <c r="X53" i="166"/>
  <c r="Y53" i="166" s="1"/>
  <c r="D55" i="166"/>
  <c r="V54" i="166"/>
  <c r="D56" i="157"/>
  <c r="V55" i="157"/>
  <c r="E56" i="164"/>
  <c r="W55" i="164"/>
  <c r="F54" i="167"/>
  <c r="X53" i="167"/>
  <c r="Y53" i="167" s="1"/>
  <c r="F55" i="165"/>
  <c r="X54" i="165"/>
  <c r="Y54" i="165" s="1"/>
  <c r="X38" i="168"/>
  <c r="Y38" i="168" s="1"/>
  <c r="F39" i="168"/>
  <c r="F39" i="157"/>
  <c r="X38" i="157"/>
  <c r="Y38" i="157" s="1"/>
  <c r="X50" i="146"/>
  <c r="Y50" i="146" s="1"/>
  <c r="F51" i="146"/>
  <c r="X39" i="156"/>
  <c r="Y39" i="156" s="1"/>
  <c r="F40" i="156"/>
  <c r="F42" i="155"/>
  <c r="X41" i="155"/>
  <c r="Y41" i="155" s="1"/>
  <c r="G52" i="163"/>
  <c r="Y51" i="163"/>
  <c r="Z51" i="163" s="1"/>
  <c r="D30" i="109"/>
  <c r="D31" i="110"/>
  <c r="G54" i="164"/>
  <c r="Y53" i="164"/>
  <c r="Z53" i="164" s="1"/>
  <c r="E41" i="142"/>
  <c r="V40" i="142"/>
  <c r="C41" i="142"/>
  <c r="AE39" i="142"/>
  <c r="F39" i="142"/>
  <c r="W39" i="142" s="1"/>
  <c r="G38" i="142"/>
  <c r="X37" i="142"/>
  <c r="Y37" i="142" s="1"/>
  <c r="E43" i="143"/>
  <c r="C42" i="143"/>
  <c r="F40" i="143"/>
  <c r="G39" i="143"/>
  <c r="C40" i="139"/>
  <c r="F40" i="139"/>
  <c r="E42" i="139"/>
  <c r="G39" i="139"/>
  <c r="V41" i="140"/>
  <c r="E42" i="140"/>
  <c r="F42" i="140"/>
  <c r="C42" i="140"/>
  <c r="AE42" i="140"/>
  <c r="Y40" i="140"/>
  <c r="G41" i="140"/>
  <c r="X41" i="140" s="1"/>
  <c r="W41" i="140"/>
  <c r="D46" i="113"/>
  <c r="E12" i="94"/>
  <c r="F55" i="166" l="1"/>
  <c r="X54" i="166"/>
  <c r="Y54" i="166" s="1"/>
  <c r="V58" i="168"/>
  <c r="D59" i="168"/>
  <c r="C41" i="138"/>
  <c r="E57" i="164"/>
  <c r="W56" i="164"/>
  <c r="D55" i="167"/>
  <c r="V54" i="167"/>
  <c r="F56" i="165"/>
  <c r="X55" i="165"/>
  <c r="Y55" i="165" s="1"/>
  <c r="G12" i="94"/>
  <c r="D57" i="157"/>
  <c r="V56" i="157"/>
  <c r="D56" i="146"/>
  <c r="V55" i="146"/>
  <c r="F55" i="167"/>
  <c r="X54" i="167"/>
  <c r="Y54" i="167" s="1"/>
  <c r="D56" i="166"/>
  <c r="V55" i="166"/>
  <c r="E58" i="163"/>
  <c r="W57" i="163"/>
  <c r="D57" i="165"/>
  <c r="V56" i="165"/>
  <c r="F40" i="168"/>
  <c r="X39" i="168"/>
  <c r="Y39" i="168" s="1"/>
  <c r="X39" i="157"/>
  <c r="Y39" i="157" s="1"/>
  <c r="F40" i="157"/>
  <c r="F52" i="146"/>
  <c r="X51" i="146"/>
  <c r="Y51" i="146" s="1"/>
  <c r="F41" i="156"/>
  <c r="X40" i="156"/>
  <c r="Y40" i="156" s="1"/>
  <c r="F43" i="155"/>
  <c r="X42" i="155"/>
  <c r="Y42" i="155" s="1"/>
  <c r="G53" i="163"/>
  <c r="Y52" i="163"/>
  <c r="Z52" i="163" s="1"/>
  <c r="D31" i="109"/>
  <c r="D32" i="110"/>
  <c r="G55" i="164"/>
  <c r="Y54" i="164"/>
  <c r="Z54" i="164" s="1"/>
  <c r="C42" i="142"/>
  <c r="AE40" i="142"/>
  <c r="F40" i="142"/>
  <c r="W40" i="142" s="1"/>
  <c r="G39" i="142"/>
  <c r="X38" i="142"/>
  <c r="Y38" i="142" s="1"/>
  <c r="E42" i="142"/>
  <c r="V41" i="142"/>
  <c r="F41" i="143"/>
  <c r="C43" i="143"/>
  <c r="E44" i="143"/>
  <c r="G40" i="143"/>
  <c r="E43" i="139"/>
  <c r="G40" i="139"/>
  <c r="C41" i="139"/>
  <c r="F41" i="139"/>
  <c r="E43" i="140"/>
  <c r="V42" i="140"/>
  <c r="Y41" i="140"/>
  <c r="AE43" i="140"/>
  <c r="C43" i="140"/>
  <c r="F43" i="140"/>
  <c r="W42" i="140"/>
  <c r="G42" i="140"/>
  <c r="X42" i="140" s="1"/>
  <c r="D47" i="113"/>
  <c r="D48" i="113" s="1"/>
  <c r="E13" i="94"/>
  <c r="D57" i="166" l="1"/>
  <c r="V56" i="166"/>
  <c r="E58" i="164"/>
  <c r="W57" i="164"/>
  <c r="C42" i="138"/>
  <c r="F56" i="167"/>
  <c r="X55" i="167"/>
  <c r="Y55" i="167" s="1"/>
  <c r="F57" i="165"/>
  <c r="X56" i="165"/>
  <c r="Y56" i="165" s="1"/>
  <c r="D58" i="165"/>
  <c r="V57" i="165"/>
  <c r="D57" i="146"/>
  <c r="V56" i="146"/>
  <c r="D60" i="168"/>
  <c r="V59" i="168"/>
  <c r="G13" i="94"/>
  <c r="D56" i="167"/>
  <c r="V55" i="167"/>
  <c r="E59" i="163"/>
  <c r="W58" i="163"/>
  <c r="D58" i="157"/>
  <c r="V57" i="157"/>
  <c r="F56" i="166"/>
  <c r="X55" i="166"/>
  <c r="Y55" i="166" s="1"/>
  <c r="F41" i="168"/>
  <c r="X40" i="168"/>
  <c r="Y40" i="168" s="1"/>
  <c r="X40" i="157"/>
  <c r="Y40" i="157" s="1"/>
  <c r="F41" i="157"/>
  <c r="X52" i="146"/>
  <c r="Y52" i="146" s="1"/>
  <c r="F53" i="146"/>
  <c r="X43" i="155"/>
  <c r="Y43" i="155" s="1"/>
  <c r="F44" i="155"/>
  <c r="F42" i="156"/>
  <c r="X41" i="156"/>
  <c r="Y41" i="156" s="1"/>
  <c r="Y53" i="163"/>
  <c r="Z53" i="163" s="1"/>
  <c r="G54" i="163"/>
  <c r="D33" i="110"/>
  <c r="D32" i="109"/>
  <c r="G56" i="164"/>
  <c r="Y55" i="164"/>
  <c r="Z55" i="164" s="1"/>
  <c r="G40" i="142"/>
  <c r="X39" i="142"/>
  <c r="Y39" i="142" s="1"/>
  <c r="E43" i="142"/>
  <c r="V42" i="142"/>
  <c r="C43" i="142"/>
  <c r="AE41" i="142"/>
  <c r="F41" i="142"/>
  <c r="W41" i="142" s="1"/>
  <c r="E45" i="143"/>
  <c r="C44" i="143"/>
  <c r="F42" i="143"/>
  <c r="G41" i="143"/>
  <c r="G41" i="139"/>
  <c r="C42" i="139"/>
  <c r="F42" i="139"/>
  <c r="E44" i="139"/>
  <c r="F44" i="140"/>
  <c r="AE44" i="140"/>
  <c r="C44" i="140"/>
  <c r="G43" i="140"/>
  <c r="X43" i="140" s="1"/>
  <c r="W43" i="140"/>
  <c r="V43" i="140"/>
  <c r="E44" i="140"/>
  <c r="Y42" i="140"/>
  <c r="D49" i="113"/>
  <c r="E14" i="94"/>
  <c r="F57" i="167" l="1"/>
  <c r="X56" i="167"/>
  <c r="Y56" i="167" s="1"/>
  <c r="D58" i="146"/>
  <c r="V57" i="146"/>
  <c r="C43" i="138"/>
  <c r="E60" i="163"/>
  <c r="W59" i="163"/>
  <c r="D59" i="157"/>
  <c r="V58" i="157"/>
  <c r="D59" i="165"/>
  <c r="V58" i="165"/>
  <c r="G14" i="94"/>
  <c r="F57" i="166"/>
  <c r="X56" i="166"/>
  <c r="Y56" i="166" s="1"/>
  <c r="D57" i="167"/>
  <c r="V56" i="167"/>
  <c r="F58" i="165"/>
  <c r="X57" i="165"/>
  <c r="Y57" i="165" s="1"/>
  <c r="E59" i="164"/>
  <c r="W58" i="164"/>
  <c r="D61" i="168"/>
  <c r="V60" i="168"/>
  <c r="D58" i="166"/>
  <c r="V57" i="166"/>
  <c r="F42" i="168"/>
  <c r="X41" i="168"/>
  <c r="Y41" i="168" s="1"/>
  <c r="F42" i="157"/>
  <c r="X41" i="157"/>
  <c r="Y41" i="157" s="1"/>
  <c r="F54" i="146"/>
  <c r="X53" i="146"/>
  <c r="Y53" i="146" s="1"/>
  <c r="X44" i="155"/>
  <c r="Y44" i="155" s="1"/>
  <c r="F45" i="155"/>
  <c r="X42" i="156"/>
  <c r="Y42" i="156" s="1"/>
  <c r="F43" i="156"/>
  <c r="Y54" i="163"/>
  <c r="Z54" i="163" s="1"/>
  <c r="G55" i="163"/>
  <c r="D33" i="109"/>
  <c r="D34" i="110"/>
  <c r="G57" i="164"/>
  <c r="Y56" i="164"/>
  <c r="Z56" i="164" s="1"/>
  <c r="G41" i="142"/>
  <c r="X40" i="142"/>
  <c r="Y40" i="142" s="1"/>
  <c r="C44" i="142"/>
  <c r="AE42" i="142"/>
  <c r="F42" i="142"/>
  <c r="W42" i="142" s="1"/>
  <c r="E44" i="142"/>
  <c r="V43" i="142"/>
  <c r="E46" i="143"/>
  <c r="G42" i="143"/>
  <c r="F43" i="143"/>
  <c r="C45" i="143"/>
  <c r="C43" i="139"/>
  <c r="F43" i="139"/>
  <c r="E45" i="139"/>
  <c r="G42" i="139"/>
  <c r="V44" i="140"/>
  <c r="E45" i="140"/>
  <c r="AE45" i="140"/>
  <c r="C45" i="140"/>
  <c r="F45" i="140"/>
  <c r="Y43" i="140"/>
  <c r="W44" i="140"/>
  <c r="G44" i="140"/>
  <c r="X44" i="140" s="1"/>
  <c r="D50" i="113"/>
  <c r="D51" i="113" s="1"/>
  <c r="E15" i="94"/>
  <c r="E60" i="164" l="1"/>
  <c r="W59" i="164"/>
  <c r="D58" i="167"/>
  <c r="V57" i="167"/>
  <c r="F58" i="167"/>
  <c r="X57" i="167"/>
  <c r="Y57" i="167" s="1"/>
  <c r="V61" i="168"/>
  <c r="D62" i="168"/>
  <c r="D60" i="157"/>
  <c r="V59" i="157"/>
  <c r="E61" i="163"/>
  <c r="W60" i="163"/>
  <c r="C44" i="138"/>
  <c r="F58" i="166"/>
  <c r="X57" i="166"/>
  <c r="Y57" i="166" s="1"/>
  <c r="D59" i="166"/>
  <c r="V58" i="166"/>
  <c r="F59" i="165"/>
  <c r="X58" i="165"/>
  <c r="Y58" i="165" s="1"/>
  <c r="D60" i="165"/>
  <c r="V59" i="165"/>
  <c r="D59" i="146"/>
  <c r="V58" i="146"/>
  <c r="G15" i="94"/>
  <c r="X42" i="168"/>
  <c r="Y42" i="168" s="1"/>
  <c r="F43" i="168"/>
  <c r="X42" i="157"/>
  <c r="Y42" i="157" s="1"/>
  <c r="F43" i="157"/>
  <c r="X54" i="146"/>
  <c r="Y54" i="146" s="1"/>
  <c r="F55" i="146"/>
  <c r="X45" i="155"/>
  <c r="Y45" i="155" s="1"/>
  <c r="F46" i="155"/>
  <c r="F44" i="156"/>
  <c r="X43" i="156"/>
  <c r="Y43" i="156" s="1"/>
  <c r="Y55" i="163"/>
  <c r="Z55" i="163" s="1"/>
  <c r="G56" i="163"/>
  <c r="D35" i="110"/>
  <c r="D34" i="109"/>
  <c r="G58" i="164"/>
  <c r="Y57" i="164"/>
  <c r="Z57" i="164" s="1"/>
  <c r="E45" i="142"/>
  <c r="V44" i="142"/>
  <c r="C45" i="142"/>
  <c r="AE43" i="142"/>
  <c r="F43" i="142"/>
  <c r="W43" i="142" s="1"/>
  <c r="G42" i="142"/>
  <c r="X41" i="142"/>
  <c r="Y41" i="142" s="1"/>
  <c r="C46" i="143"/>
  <c r="F44" i="143"/>
  <c r="G43" i="143"/>
  <c r="E47" i="143"/>
  <c r="E46" i="139"/>
  <c r="G43" i="139"/>
  <c r="C44" i="139"/>
  <c r="F44" i="139"/>
  <c r="F46" i="140"/>
  <c r="C46" i="140"/>
  <c r="AE46" i="140"/>
  <c r="V45" i="140"/>
  <c r="E46" i="140"/>
  <c r="G45" i="140"/>
  <c r="X45" i="140" s="1"/>
  <c r="W45" i="140"/>
  <c r="Y44" i="140"/>
  <c r="D52" i="113"/>
  <c r="E16" i="94"/>
  <c r="A5" i="91"/>
  <c r="A6" i="91" s="1"/>
  <c r="A7" i="91" s="1"/>
  <c r="A8" i="91" s="1"/>
  <c r="A9" i="91" s="1"/>
  <c r="A10" i="91" s="1"/>
  <c r="A11" i="91" s="1"/>
  <c r="A12" i="91" s="1"/>
  <c r="A13" i="91" s="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A45" i="91" s="1"/>
  <c r="A46" i="91" s="1"/>
  <c r="A47" i="91" s="1"/>
  <c r="A48" i="91" s="1"/>
  <c r="A49" i="91" s="1"/>
  <c r="A50" i="91" s="1"/>
  <c r="A51" i="91" s="1"/>
  <c r="A52" i="91" s="1"/>
  <c r="A53" i="91" s="1"/>
  <c r="A54" i="91" s="1"/>
  <c r="A55" i="91" s="1"/>
  <c r="A56" i="91" s="1"/>
  <c r="A57" i="91" s="1"/>
  <c r="A58" i="91" s="1"/>
  <c r="A59" i="91" s="1"/>
  <c r="A60" i="91" s="1"/>
  <c r="A61" i="91" s="1"/>
  <c r="A62" i="91" s="1"/>
  <c r="A63" i="91" s="1"/>
  <c r="A64" i="91" s="1"/>
  <c r="A65" i="91" s="1"/>
  <c r="A66" i="91" s="1"/>
  <c r="A67" i="91" s="1"/>
  <c r="A68" i="91" s="1"/>
  <c r="A69" i="91" s="1"/>
  <c r="A70" i="91" s="1"/>
  <c r="A71" i="91" s="1"/>
  <c r="A72" i="91" s="1"/>
  <c r="A73" i="91" s="1"/>
  <c r="A74" i="91" s="1"/>
  <c r="A75" i="91" s="1"/>
  <c r="A76" i="91" s="1"/>
  <c r="A77" i="91" s="1"/>
  <c r="A78" i="91" s="1"/>
  <c r="A79" i="91" s="1"/>
  <c r="A80" i="91" s="1"/>
  <c r="A81" i="91" s="1"/>
  <c r="A82" i="91" s="1"/>
  <c r="A83" i="91" s="1"/>
  <c r="A84" i="91" s="1"/>
  <c r="A85" i="91" s="1"/>
  <c r="A86" i="91" s="1"/>
  <c r="A87" i="91" s="1"/>
  <c r="A88" i="91" s="1"/>
  <c r="A89" i="91" s="1"/>
  <c r="A90" i="91" s="1"/>
  <c r="A91" i="91" s="1"/>
  <c r="A92" i="91" s="1"/>
  <c r="A93" i="91" s="1"/>
  <c r="A94" i="91" s="1"/>
  <c r="A95" i="91" s="1"/>
  <c r="A96" i="91" s="1"/>
  <c r="A97" i="91" s="1"/>
  <c r="A98" i="91" s="1"/>
  <c r="A99" i="91" s="1"/>
  <c r="A100" i="91" s="1"/>
  <c r="A101" i="91" s="1"/>
  <c r="A102" i="91" s="1"/>
  <c r="A103" i="91" s="1"/>
  <c r="E4" i="90"/>
  <c r="E3" i="90"/>
  <c r="A5" i="90"/>
  <c r="A6" i="90" s="1"/>
  <c r="A7" i="90" s="1"/>
  <c r="A8" i="90" s="1"/>
  <c r="A9" i="90" s="1"/>
  <c r="A10" i="90" s="1"/>
  <c r="A11" i="90" s="1"/>
  <c r="A12" i="90" s="1"/>
  <c r="A13" i="90" s="1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A45" i="90" s="1"/>
  <c r="A46" i="90" s="1"/>
  <c r="A47" i="90" s="1"/>
  <c r="A48" i="90" s="1"/>
  <c r="A49" i="90" s="1"/>
  <c r="A50" i="90" s="1"/>
  <c r="A51" i="90" s="1"/>
  <c r="A52" i="90" s="1"/>
  <c r="A53" i="90" s="1"/>
  <c r="A54" i="90" s="1"/>
  <c r="A55" i="90" s="1"/>
  <c r="A56" i="90" s="1"/>
  <c r="A57" i="90" s="1"/>
  <c r="A58" i="90" s="1"/>
  <c r="A59" i="90" s="1"/>
  <c r="A60" i="90" s="1"/>
  <c r="A61" i="90" s="1"/>
  <c r="A62" i="90" s="1"/>
  <c r="A63" i="90" s="1"/>
  <c r="A64" i="90" s="1"/>
  <c r="A65" i="90" s="1"/>
  <c r="A66" i="90" s="1"/>
  <c r="A67" i="90" s="1"/>
  <c r="A68" i="90" s="1"/>
  <c r="A69" i="90" s="1"/>
  <c r="A70" i="90" s="1"/>
  <c r="A71" i="90" s="1"/>
  <c r="A72" i="90" s="1"/>
  <c r="A73" i="90" s="1"/>
  <c r="A74" i="90" s="1"/>
  <c r="A75" i="90" s="1"/>
  <c r="A76" i="90" s="1"/>
  <c r="A77" i="90" s="1"/>
  <c r="A78" i="90" s="1"/>
  <c r="A79" i="90" s="1"/>
  <c r="A80" i="90" s="1"/>
  <c r="A81" i="90" s="1"/>
  <c r="A82" i="90" s="1"/>
  <c r="A83" i="90" s="1"/>
  <c r="A84" i="90" s="1"/>
  <c r="A85" i="90" s="1"/>
  <c r="A86" i="90" s="1"/>
  <c r="A87" i="90" s="1"/>
  <c r="A88" i="90" s="1"/>
  <c r="A89" i="90" s="1"/>
  <c r="A90" i="90" s="1"/>
  <c r="A91" i="90" s="1"/>
  <c r="A92" i="90" s="1"/>
  <c r="A93" i="90" s="1"/>
  <c r="A94" i="90" s="1"/>
  <c r="A95" i="90" s="1"/>
  <c r="A96" i="90" s="1"/>
  <c r="A97" i="90" s="1"/>
  <c r="A98" i="90" s="1"/>
  <c r="A99" i="90" s="1"/>
  <c r="A100" i="90" s="1"/>
  <c r="A101" i="90" s="1"/>
  <c r="A102" i="90" s="1"/>
  <c r="A103" i="90" s="1"/>
  <c r="AA6" i="77"/>
  <c r="Y7" i="77"/>
  <c r="AA7" i="77"/>
  <c r="G6" i="77"/>
  <c r="E7" i="77"/>
  <c r="E8" i="77" s="1"/>
  <c r="G8" i="77" s="1"/>
  <c r="G7" i="77"/>
  <c r="F59" i="166" l="1"/>
  <c r="X58" i="166"/>
  <c r="Y58" i="166" s="1"/>
  <c r="D61" i="165"/>
  <c r="V60" i="165"/>
  <c r="F60" i="165"/>
  <c r="X59" i="165"/>
  <c r="Y59" i="165" s="1"/>
  <c r="E62" i="163"/>
  <c r="W61" i="163"/>
  <c r="F59" i="167"/>
  <c r="X58" i="167"/>
  <c r="Y58" i="167" s="1"/>
  <c r="C45" i="138"/>
  <c r="D60" i="166"/>
  <c r="V59" i="166"/>
  <c r="D61" i="157"/>
  <c r="V60" i="157"/>
  <c r="D59" i="167"/>
  <c r="V58" i="167"/>
  <c r="G16" i="94"/>
  <c r="D63" i="168"/>
  <c r="V62" i="168"/>
  <c r="D60" i="146"/>
  <c r="V59" i="146"/>
  <c r="E61" i="164"/>
  <c r="W60" i="164"/>
  <c r="F44" i="168"/>
  <c r="X43" i="168"/>
  <c r="Y43" i="168" s="1"/>
  <c r="F44" i="157"/>
  <c r="X43" i="157"/>
  <c r="Y43" i="157" s="1"/>
  <c r="F56" i="146"/>
  <c r="F57" i="146" s="1"/>
  <c r="X57" i="146" s="1"/>
  <c r="Y57" i="146" s="1"/>
  <c r="X55" i="146"/>
  <c r="Y55" i="146" s="1"/>
  <c r="F45" i="156"/>
  <c r="X44" i="156"/>
  <c r="Y44" i="156" s="1"/>
  <c r="X46" i="155"/>
  <c r="Y46" i="155" s="1"/>
  <c r="F47" i="155"/>
  <c r="G57" i="163"/>
  <c r="Y56" i="163"/>
  <c r="Z56" i="163" s="1"/>
  <c r="D35" i="109"/>
  <c r="Y8" i="77"/>
  <c r="D36" i="110"/>
  <c r="G59" i="164"/>
  <c r="Y58" i="164"/>
  <c r="Z58" i="164" s="1"/>
  <c r="C46" i="142"/>
  <c r="AE44" i="142"/>
  <c r="F44" i="142"/>
  <c r="W44" i="142" s="1"/>
  <c r="G43" i="142"/>
  <c r="X42" i="142"/>
  <c r="Y42" i="142" s="1"/>
  <c r="E46" i="142"/>
  <c r="V45" i="142"/>
  <c r="G44" i="143"/>
  <c r="E48" i="143"/>
  <c r="F45" i="143"/>
  <c r="C47" i="143"/>
  <c r="E47" i="139"/>
  <c r="G44" i="139"/>
  <c r="C45" i="139"/>
  <c r="F45" i="139"/>
  <c r="AE47" i="140"/>
  <c r="C47" i="140"/>
  <c r="F47" i="140"/>
  <c r="Y45" i="140"/>
  <c r="E47" i="140"/>
  <c r="V46" i="140"/>
  <c r="W46" i="140"/>
  <c r="G46" i="140"/>
  <c r="X46" i="140" s="1"/>
  <c r="D53" i="113"/>
  <c r="D54" i="113" s="1"/>
  <c r="E17" i="94"/>
  <c r="E8" i="90"/>
  <c r="E9" i="90" s="1"/>
  <c r="E9" i="77"/>
  <c r="C4" i="87"/>
  <c r="C5" i="87" s="1"/>
  <c r="F16" i="87"/>
  <c r="F13" i="87"/>
  <c r="A6" i="87"/>
  <c r="A7" i="87" s="1"/>
  <c r="A8" i="87" s="1"/>
  <c r="A9" i="87" s="1"/>
  <c r="A10" i="87" s="1"/>
  <c r="A11" i="87" s="1"/>
  <c r="A12" i="87" s="1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A46" i="87" s="1"/>
  <c r="A47" i="87" s="1"/>
  <c r="A48" i="87" s="1"/>
  <c r="A49" i="87" s="1"/>
  <c r="A50" i="87" s="1"/>
  <c r="A51" i="87" s="1"/>
  <c r="A52" i="87" s="1"/>
  <c r="A53" i="87" s="1"/>
  <c r="A54" i="87" s="1"/>
  <c r="A55" i="87" s="1"/>
  <c r="A56" i="87" s="1"/>
  <c r="A57" i="87" s="1"/>
  <c r="A58" i="87" s="1"/>
  <c r="A59" i="87" s="1"/>
  <c r="A60" i="87" s="1"/>
  <c r="A61" i="87" s="1"/>
  <c r="A62" i="87" s="1"/>
  <c r="A63" i="87" s="1"/>
  <c r="A64" i="87" s="1"/>
  <c r="A65" i="87" s="1"/>
  <c r="A66" i="87" s="1"/>
  <c r="A67" i="87" s="1"/>
  <c r="A68" i="87" s="1"/>
  <c r="A69" i="87" s="1"/>
  <c r="A70" i="87" s="1"/>
  <c r="A71" i="87" s="1"/>
  <c r="A72" i="87" s="1"/>
  <c r="A73" i="87" s="1"/>
  <c r="A74" i="87" s="1"/>
  <c r="A75" i="87" s="1"/>
  <c r="A76" i="87" s="1"/>
  <c r="A77" i="87" s="1"/>
  <c r="A78" i="87" s="1"/>
  <c r="A79" i="87" s="1"/>
  <c r="A80" i="87" s="1"/>
  <c r="A81" i="87" s="1"/>
  <c r="A82" i="87" s="1"/>
  <c r="A83" i="87" s="1"/>
  <c r="A84" i="87" s="1"/>
  <c r="A85" i="87" s="1"/>
  <c r="A86" i="87" s="1"/>
  <c r="A87" i="87" s="1"/>
  <c r="A88" i="87" s="1"/>
  <c r="A89" i="87" s="1"/>
  <c r="A90" i="87" s="1"/>
  <c r="A91" i="87" s="1"/>
  <c r="A92" i="87" s="1"/>
  <c r="A93" i="87" s="1"/>
  <c r="A94" i="87" s="1"/>
  <c r="A95" i="87" s="1"/>
  <c r="A96" i="87" s="1"/>
  <c r="A97" i="87" s="1"/>
  <c r="A98" i="87" s="1"/>
  <c r="A99" i="87" s="1"/>
  <c r="A100" i="87" s="1"/>
  <c r="A101" i="87" s="1"/>
  <c r="A102" i="87" s="1"/>
  <c r="A103" i="87" s="1"/>
  <c r="A5" i="87"/>
  <c r="A5" i="88"/>
  <c r="A6" i="88" s="1"/>
  <c r="A7" i="88" s="1"/>
  <c r="A8" i="88" s="1"/>
  <c r="A9" i="88" s="1"/>
  <c r="A10" i="88" s="1"/>
  <c r="A11" i="88" s="1"/>
  <c r="A12" i="88" s="1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A45" i="88" s="1"/>
  <c r="A46" i="88" s="1"/>
  <c r="A47" i="88" s="1"/>
  <c r="A48" i="88" s="1"/>
  <c r="A49" i="88" s="1"/>
  <c r="A50" i="88" s="1"/>
  <c r="A51" i="88" s="1"/>
  <c r="A52" i="88" s="1"/>
  <c r="A53" i="88" s="1"/>
  <c r="A54" i="88" s="1"/>
  <c r="A55" i="88" s="1"/>
  <c r="A56" i="88" s="1"/>
  <c r="A57" i="88" s="1"/>
  <c r="A58" i="88" s="1"/>
  <c r="A59" i="88" s="1"/>
  <c r="A60" i="88" s="1"/>
  <c r="A61" i="88" s="1"/>
  <c r="A62" i="88" s="1"/>
  <c r="A63" i="88" s="1"/>
  <c r="A64" i="88" s="1"/>
  <c r="A65" i="88" s="1"/>
  <c r="A66" i="88" s="1"/>
  <c r="A67" i="88" s="1"/>
  <c r="A68" i="88" s="1"/>
  <c r="A69" i="88" s="1"/>
  <c r="A70" i="88" s="1"/>
  <c r="A71" i="88" s="1"/>
  <c r="A72" i="88" s="1"/>
  <c r="A73" i="88" s="1"/>
  <c r="A74" i="88" s="1"/>
  <c r="A75" i="88" s="1"/>
  <c r="A76" i="88" s="1"/>
  <c r="A77" i="88" s="1"/>
  <c r="A78" i="88" s="1"/>
  <c r="A79" i="88" s="1"/>
  <c r="A80" i="88" s="1"/>
  <c r="A81" i="88" s="1"/>
  <c r="A82" i="88" s="1"/>
  <c r="A83" i="88" s="1"/>
  <c r="A84" i="88" s="1"/>
  <c r="A85" i="88" s="1"/>
  <c r="A86" i="88" s="1"/>
  <c r="A87" i="88" s="1"/>
  <c r="A88" i="88" s="1"/>
  <c r="A89" i="88" s="1"/>
  <c r="A90" i="88" s="1"/>
  <c r="A91" i="88" s="1"/>
  <c r="A92" i="88" s="1"/>
  <c r="A93" i="88" s="1"/>
  <c r="A94" i="88" s="1"/>
  <c r="A95" i="88" s="1"/>
  <c r="A96" i="88" s="1"/>
  <c r="A97" i="88" s="1"/>
  <c r="A98" i="88" s="1"/>
  <c r="A99" i="88" s="1"/>
  <c r="A100" i="88" s="1"/>
  <c r="A101" i="88" s="1"/>
  <c r="A102" i="88" s="1"/>
  <c r="A103" i="88" s="1"/>
  <c r="C4" i="89"/>
  <c r="E7" i="89"/>
  <c r="G6" i="89"/>
  <c r="A5" i="89"/>
  <c r="A6" i="89" s="1"/>
  <c r="A7" i="89" s="1"/>
  <c r="A8" i="89" s="1"/>
  <c r="A9" i="89" s="1"/>
  <c r="A10" i="89" s="1"/>
  <c r="A11" i="89" s="1"/>
  <c r="A12" i="89" s="1"/>
  <c r="A13" i="89" s="1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A43" i="89" s="1"/>
  <c r="A44" i="89" s="1"/>
  <c r="A45" i="89" s="1"/>
  <c r="A46" i="89" s="1"/>
  <c r="A47" i="89" s="1"/>
  <c r="A48" i="89" s="1"/>
  <c r="A49" i="89" s="1"/>
  <c r="A50" i="89" s="1"/>
  <c r="A51" i="89" s="1"/>
  <c r="A52" i="89" s="1"/>
  <c r="A53" i="89" s="1"/>
  <c r="A54" i="89" s="1"/>
  <c r="A55" i="89" s="1"/>
  <c r="A56" i="89" s="1"/>
  <c r="A57" i="89" s="1"/>
  <c r="A58" i="89" s="1"/>
  <c r="A59" i="89" s="1"/>
  <c r="A60" i="89" s="1"/>
  <c r="A61" i="89" s="1"/>
  <c r="A62" i="89" s="1"/>
  <c r="A63" i="89" s="1"/>
  <c r="A64" i="89" s="1"/>
  <c r="A65" i="89" s="1"/>
  <c r="A66" i="89" s="1"/>
  <c r="A67" i="89" s="1"/>
  <c r="A68" i="89" s="1"/>
  <c r="A69" i="89" s="1"/>
  <c r="A70" i="89" s="1"/>
  <c r="A71" i="89" s="1"/>
  <c r="A72" i="89" s="1"/>
  <c r="A73" i="89" s="1"/>
  <c r="A74" i="89" s="1"/>
  <c r="A75" i="89" s="1"/>
  <c r="A76" i="89" s="1"/>
  <c r="A77" i="89" s="1"/>
  <c r="A78" i="89" s="1"/>
  <c r="A79" i="89" s="1"/>
  <c r="A80" i="89" s="1"/>
  <c r="A81" i="89" s="1"/>
  <c r="A82" i="89" s="1"/>
  <c r="A83" i="89" s="1"/>
  <c r="A84" i="89" s="1"/>
  <c r="A85" i="89" s="1"/>
  <c r="A86" i="89" s="1"/>
  <c r="A87" i="89" s="1"/>
  <c r="A88" i="89" s="1"/>
  <c r="A89" i="89" s="1"/>
  <c r="A90" i="89" s="1"/>
  <c r="A91" i="89" s="1"/>
  <c r="A92" i="89" s="1"/>
  <c r="A93" i="89" s="1"/>
  <c r="A94" i="89" s="1"/>
  <c r="A95" i="89" s="1"/>
  <c r="A96" i="89" s="1"/>
  <c r="A97" i="89" s="1"/>
  <c r="A98" i="89" s="1"/>
  <c r="A99" i="89" s="1"/>
  <c r="A100" i="89" s="1"/>
  <c r="A101" i="89" s="1"/>
  <c r="A102" i="89" s="1"/>
  <c r="A103" i="89" s="1"/>
  <c r="C4" i="77"/>
  <c r="F61" i="165" l="1"/>
  <c r="X60" i="165"/>
  <c r="Y60" i="165" s="1"/>
  <c r="B4" i="147"/>
  <c r="B4" i="91"/>
  <c r="G17" i="94"/>
  <c r="D61" i="166"/>
  <c r="V60" i="166"/>
  <c r="D64" i="168"/>
  <c r="V63" i="168"/>
  <c r="C46" i="138"/>
  <c r="D61" i="146"/>
  <c r="V60" i="146"/>
  <c r="E62" i="164"/>
  <c r="W61" i="164"/>
  <c r="F60" i="167"/>
  <c r="X59" i="167"/>
  <c r="Y59" i="167" s="1"/>
  <c r="C5" i="89"/>
  <c r="D60" i="167"/>
  <c r="V59" i="167"/>
  <c r="D62" i="165"/>
  <c r="V61" i="165"/>
  <c r="E8" i="89"/>
  <c r="E9" i="89" s="1"/>
  <c r="E63" i="163"/>
  <c r="W62" i="163"/>
  <c r="D62" i="157"/>
  <c r="V61" i="157"/>
  <c r="F60" i="166"/>
  <c r="X59" i="166"/>
  <c r="Y59" i="166" s="1"/>
  <c r="F45" i="168"/>
  <c r="X44" i="168"/>
  <c r="Y44" i="168" s="1"/>
  <c r="F45" i="157"/>
  <c r="X44" i="157"/>
  <c r="Y44" i="157" s="1"/>
  <c r="X56" i="146"/>
  <c r="Y56" i="146" s="1"/>
  <c r="F58" i="146"/>
  <c r="F48" i="155"/>
  <c r="X47" i="155"/>
  <c r="Y47" i="155" s="1"/>
  <c r="X45" i="156"/>
  <c r="Y45" i="156" s="1"/>
  <c r="F46" i="156"/>
  <c r="Y57" i="163"/>
  <c r="Z57" i="163" s="1"/>
  <c r="G58" i="163"/>
  <c r="D36" i="109"/>
  <c r="D37" i="110"/>
  <c r="Y9" i="77"/>
  <c r="G60" i="164"/>
  <c r="Y59" i="164"/>
  <c r="Z59" i="164" s="1"/>
  <c r="G44" i="142"/>
  <c r="X43" i="142"/>
  <c r="Y43" i="142" s="1"/>
  <c r="E47" i="142"/>
  <c r="V46" i="142"/>
  <c r="C47" i="142"/>
  <c r="AE45" i="142"/>
  <c r="F45" i="142"/>
  <c r="W45" i="142" s="1"/>
  <c r="G45" i="143"/>
  <c r="C48" i="143"/>
  <c r="F46" i="143"/>
  <c r="E49" i="143"/>
  <c r="C46" i="139"/>
  <c r="F46" i="139"/>
  <c r="G45" i="139"/>
  <c r="E48" i="139"/>
  <c r="F48" i="140"/>
  <c r="AE48" i="140"/>
  <c r="C48" i="140"/>
  <c r="V47" i="140"/>
  <c r="E48" i="140"/>
  <c r="Y46" i="140"/>
  <c r="G47" i="140"/>
  <c r="X47" i="140" s="1"/>
  <c r="W47" i="140"/>
  <c r="D55" i="113"/>
  <c r="E18" i="94"/>
  <c r="E10" i="90"/>
  <c r="E10" i="77"/>
  <c r="G9" i="77"/>
  <c r="C5" i="77"/>
  <c r="C6" i="87"/>
  <c r="D6" i="87"/>
  <c r="L5" i="88"/>
  <c r="F7" i="88"/>
  <c r="E6" i="88"/>
  <c r="L4" i="88"/>
  <c r="F6" i="88"/>
  <c r="E63" i="164" l="1"/>
  <c r="W62" i="164"/>
  <c r="F61" i="166"/>
  <c r="X60" i="166"/>
  <c r="Y60" i="166" s="1"/>
  <c r="D65" i="168"/>
  <c r="V64" i="168"/>
  <c r="D63" i="165"/>
  <c r="V62" i="165"/>
  <c r="D62" i="166"/>
  <c r="V61" i="166"/>
  <c r="D61" i="167"/>
  <c r="V60" i="167"/>
  <c r="D62" i="146"/>
  <c r="V61" i="146"/>
  <c r="C6" i="89"/>
  <c r="AD33" i="147"/>
  <c r="E33" i="147"/>
  <c r="V33" i="147" s="1"/>
  <c r="X33" i="147" s="1"/>
  <c r="E62" i="147"/>
  <c r="V62" i="147" s="1"/>
  <c r="X62" i="147" s="1"/>
  <c r="AD4" i="147"/>
  <c r="E91" i="147"/>
  <c r="V91" i="147" s="1"/>
  <c r="X91" i="147" s="1"/>
  <c r="AD91" i="147"/>
  <c r="E4" i="147"/>
  <c r="V4" i="147" s="1"/>
  <c r="X4" i="147" s="1"/>
  <c r="AD62" i="147"/>
  <c r="D63" i="157"/>
  <c r="V62" i="157"/>
  <c r="G18" i="94"/>
  <c r="C47" i="138"/>
  <c r="B5" i="147"/>
  <c r="B5" i="91"/>
  <c r="E64" i="163"/>
  <c r="W63" i="163"/>
  <c r="F61" i="167"/>
  <c r="X60" i="167"/>
  <c r="Y60" i="167" s="1"/>
  <c r="F62" i="165"/>
  <c r="X61" i="165"/>
  <c r="Y61" i="165" s="1"/>
  <c r="X45" i="168"/>
  <c r="Y45" i="168" s="1"/>
  <c r="F46" i="168"/>
  <c r="F46" i="157"/>
  <c r="X45" i="157"/>
  <c r="Y45" i="157" s="1"/>
  <c r="X58" i="146"/>
  <c r="Y58" i="146" s="1"/>
  <c r="F59" i="146"/>
  <c r="F47" i="156"/>
  <c r="X46" i="156"/>
  <c r="Y46" i="156" s="1"/>
  <c r="X48" i="155"/>
  <c r="Y48" i="155" s="1"/>
  <c r="F49" i="155"/>
  <c r="G59" i="163"/>
  <c r="Y58" i="163"/>
  <c r="Z58" i="163" s="1"/>
  <c r="E10" i="89"/>
  <c r="D38" i="110"/>
  <c r="Y10" i="77"/>
  <c r="D37" i="109"/>
  <c r="G61" i="164"/>
  <c r="Y60" i="164"/>
  <c r="Z60" i="164" s="1"/>
  <c r="G45" i="142"/>
  <c r="X44" i="142"/>
  <c r="Y44" i="142" s="1"/>
  <c r="E48" i="142"/>
  <c r="V47" i="142"/>
  <c r="C48" i="142"/>
  <c r="AE46" i="142"/>
  <c r="F46" i="142"/>
  <c r="W46" i="142" s="1"/>
  <c r="Y47" i="140"/>
  <c r="G46" i="143"/>
  <c r="E50" i="143"/>
  <c r="F47" i="143"/>
  <c r="C49" i="143"/>
  <c r="G46" i="139"/>
  <c r="E49" i="139"/>
  <c r="C47" i="139"/>
  <c r="F47" i="139"/>
  <c r="AE49" i="140"/>
  <c r="C49" i="140"/>
  <c r="F49" i="140"/>
  <c r="V48" i="140"/>
  <c r="E49" i="140"/>
  <c r="W48" i="140"/>
  <c r="G48" i="140"/>
  <c r="X48" i="140" s="1"/>
  <c r="D56" i="113"/>
  <c r="D57" i="113" s="1"/>
  <c r="E19" i="94"/>
  <c r="G10" i="77"/>
  <c r="E11" i="77"/>
  <c r="C6" i="77"/>
  <c r="C7" i="87"/>
  <c r="D7" i="87"/>
  <c r="L6" i="88"/>
  <c r="H6" i="88"/>
  <c r="F8" i="88"/>
  <c r="E7" i="88"/>
  <c r="F62" i="167" l="1"/>
  <c r="X61" i="167"/>
  <c r="Y61" i="167" s="1"/>
  <c r="C48" i="138"/>
  <c r="D63" i="146"/>
  <c r="V62" i="146"/>
  <c r="D64" i="165"/>
  <c r="V63" i="165"/>
  <c r="D66" i="168"/>
  <c r="V65" i="168"/>
  <c r="E65" i="163"/>
  <c r="W64" i="163"/>
  <c r="B6" i="147"/>
  <c r="B6" i="91"/>
  <c r="G19" i="94"/>
  <c r="D64" i="157"/>
  <c r="V63" i="157"/>
  <c r="D62" i="167"/>
  <c r="V61" i="167"/>
  <c r="F62" i="166"/>
  <c r="X61" i="166"/>
  <c r="Y61" i="166" s="1"/>
  <c r="F63" i="165"/>
  <c r="X62" i="165"/>
  <c r="Y62" i="165" s="1"/>
  <c r="AD92" i="147"/>
  <c r="E92" i="147"/>
  <c r="V92" i="147" s="1"/>
  <c r="X92" i="147" s="1"/>
  <c r="AD34" i="147"/>
  <c r="AD63" i="147"/>
  <c r="E63" i="147"/>
  <c r="V63" i="147" s="1"/>
  <c r="X63" i="147" s="1"/>
  <c r="E5" i="147"/>
  <c r="V5" i="147" s="1"/>
  <c r="X5" i="147" s="1"/>
  <c r="AD5" i="147"/>
  <c r="E34" i="147"/>
  <c r="V34" i="147" s="1"/>
  <c r="X34" i="147" s="1"/>
  <c r="C7" i="89"/>
  <c r="D63" i="166"/>
  <c r="V62" i="166"/>
  <c r="E64" i="164"/>
  <c r="W63" i="164"/>
  <c r="X46" i="168"/>
  <c r="Y46" i="168" s="1"/>
  <c r="F47" i="168"/>
  <c r="F47" i="157"/>
  <c r="X46" i="157"/>
  <c r="Y46" i="157" s="1"/>
  <c r="F60" i="146"/>
  <c r="X59" i="146"/>
  <c r="Y59" i="146" s="1"/>
  <c r="F48" i="156"/>
  <c r="X47" i="156"/>
  <c r="Y47" i="156" s="1"/>
  <c r="X49" i="155"/>
  <c r="Y49" i="155" s="1"/>
  <c r="F50" i="155"/>
  <c r="Y59" i="163"/>
  <c r="Z59" i="163" s="1"/>
  <c r="G60" i="163"/>
  <c r="D38" i="109"/>
  <c r="Y11" i="77"/>
  <c r="D39" i="110"/>
  <c r="E11" i="89"/>
  <c r="G62" i="164"/>
  <c r="Y61" i="164"/>
  <c r="Z61" i="164" s="1"/>
  <c r="E49" i="142"/>
  <c r="V48" i="142"/>
  <c r="C49" i="142"/>
  <c r="AE47" i="142"/>
  <c r="F47" i="142"/>
  <c r="W47" i="142" s="1"/>
  <c r="G46" i="142"/>
  <c r="X45" i="142"/>
  <c r="Y45" i="142" s="1"/>
  <c r="C50" i="143"/>
  <c r="F48" i="143"/>
  <c r="E51" i="143"/>
  <c r="G47" i="143"/>
  <c r="E50" i="139"/>
  <c r="C48" i="139"/>
  <c r="F48" i="139"/>
  <c r="G47" i="139"/>
  <c r="Y48" i="140"/>
  <c r="F50" i="140"/>
  <c r="C50" i="140"/>
  <c r="AE50" i="140"/>
  <c r="V49" i="140"/>
  <c r="E50" i="140"/>
  <c r="G49" i="140"/>
  <c r="X49" i="140" s="1"/>
  <c r="W49" i="140"/>
  <c r="D58" i="113"/>
  <c r="D59" i="113" s="1"/>
  <c r="E12" i="77"/>
  <c r="G11" i="77"/>
  <c r="C7" i="77"/>
  <c r="D8" i="87"/>
  <c r="C8" i="87"/>
  <c r="F9" i="88"/>
  <c r="L7" i="88"/>
  <c r="H7" i="88"/>
  <c r="E8" i="88"/>
  <c r="B7" i="147" l="1"/>
  <c r="B7" i="91"/>
  <c r="F64" i="165"/>
  <c r="X63" i="165"/>
  <c r="Y63" i="165" s="1"/>
  <c r="E66" i="163"/>
  <c r="W65" i="163"/>
  <c r="E65" i="164"/>
  <c r="W64" i="164"/>
  <c r="D64" i="166"/>
  <c r="V63" i="166"/>
  <c r="F63" i="166"/>
  <c r="X62" i="166"/>
  <c r="Y62" i="166" s="1"/>
  <c r="E93" i="147"/>
  <c r="V93" i="147" s="1"/>
  <c r="X93" i="147" s="1"/>
  <c r="E35" i="147"/>
  <c r="V35" i="147" s="1"/>
  <c r="X35" i="147" s="1"/>
  <c r="E6" i="147"/>
  <c r="V6" i="147" s="1"/>
  <c r="X6" i="147" s="1"/>
  <c r="AD64" i="147"/>
  <c r="AD93" i="147"/>
  <c r="AD35" i="147"/>
  <c r="E64" i="147"/>
  <c r="V64" i="147" s="1"/>
  <c r="X64" i="147" s="1"/>
  <c r="AD6" i="147"/>
  <c r="D67" i="168"/>
  <c r="V66" i="168"/>
  <c r="D64" i="146"/>
  <c r="V63" i="146"/>
  <c r="D63" i="167"/>
  <c r="V62" i="167"/>
  <c r="C49" i="138"/>
  <c r="C8" i="89"/>
  <c r="D65" i="157"/>
  <c r="V64" i="157"/>
  <c r="D65" i="165"/>
  <c r="V64" i="165"/>
  <c r="F63" i="167"/>
  <c r="X62" i="167"/>
  <c r="Y62" i="167" s="1"/>
  <c r="X47" i="168"/>
  <c r="Y47" i="168" s="1"/>
  <c r="F48" i="168"/>
  <c r="X47" i="157"/>
  <c r="Y47" i="157" s="1"/>
  <c r="F48" i="157"/>
  <c r="X60" i="146"/>
  <c r="Y60" i="146" s="1"/>
  <c r="F61" i="146"/>
  <c r="F51" i="155"/>
  <c r="X50" i="155"/>
  <c r="Y50" i="155" s="1"/>
  <c r="X48" i="156"/>
  <c r="Y48" i="156" s="1"/>
  <c r="F49" i="156"/>
  <c r="G61" i="163"/>
  <c r="Y60" i="163"/>
  <c r="Z60" i="163" s="1"/>
  <c r="E12" i="89"/>
  <c r="D40" i="110"/>
  <c r="Y12" i="77"/>
  <c r="D39" i="109"/>
  <c r="G63" i="164"/>
  <c r="Y62" i="164"/>
  <c r="Z62" i="164" s="1"/>
  <c r="C50" i="142"/>
  <c r="AE48" i="142"/>
  <c r="F48" i="142"/>
  <c r="W48" i="142" s="1"/>
  <c r="G47" i="142"/>
  <c r="X46" i="142"/>
  <c r="Y46" i="142" s="1"/>
  <c r="E50" i="142"/>
  <c r="V49" i="142"/>
  <c r="Y49" i="140"/>
  <c r="F49" i="143"/>
  <c r="C51" i="143"/>
  <c r="E52" i="143"/>
  <c r="G48" i="143"/>
  <c r="C49" i="139"/>
  <c r="F49" i="139"/>
  <c r="E51" i="139"/>
  <c r="G48" i="139"/>
  <c r="AE51" i="140"/>
  <c r="C51" i="140"/>
  <c r="F51" i="140"/>
  <c r="E51" i="140"/>
  <c r="V50" i="140"/>
  <c r="W50" i="140"/>
  <c r="G50" i="140"/>
  <c r="X50" i="140" s="1"/>
  <c r="D60" i="113"/>
  <c r="G12" i="77"/>
  <c r="E13" i="77"/>
  <c r="C8" i="77"/>
  <c r="D9" i="87"/>
  <c r="C9" i="87"/>
  <c r="H8" i="88"/>
  <c r="F10" i="88"/>
  <c r="L8" i="88"/>
  <c r="E9" i="88"/>
  <c r="B8" i="147" l="1"/>
  <c r="B8" i="91"/>
  <c r="E67" i="163"/>
  <c r="W66" i="163"/>
  <c r="E66" i="164"/>
  <c r="W65" i="164"/>
  <c r="D66" i="165"/>
  <c r="V65" i="165"/>
  <c r="C50" i="138"/>
  <c r="F64" i="166"/>
  <c r="X63" i="166"/>
  <c r="Y63" i="166" s="1"/>
  <c r="V67" i="168"/>
  <c r="D68" i="168"/>
  <c r="F65" i="165"/>
  <c r="X64" i="165"/>
  <c r="Y64" i="165" s="1"/>
  <c r="F64" i="167"/>
  <c r="X63" i="167"/>
  <c r="Y63" i="167" s="1"/>
  <c r="D66" i="157"/>
  <c r="V65" i="157"/>
  <c r="D64" i="167"/>
  <c r="V63" i="167"/>
  <c r="C9" i="89"/>
  <c r="D65" i="166"/>
  <c r="V64" i="166"/>
  <c r="D65" i="146"/>
  <c r="V64" i="146"/>
  <c r="AD36" i="147"/>
  <c r="E36" i="147"/>
  <c r="AD7" i="147"/>
  <c r="AD65" i="147"/>
  <c r="AD94" i="147"/>
  <c r="E7" i="147"/>
  <c r="E94" i="147"/>
  <c r="E65" i="147"/>
  <c r="X48" i="168"/>
  <c r="Y48" i="168" s="1"/>
  <c r="F49" i="168"/>
  <c r="F49" i="157"/>
  <c r="X48" i="157"/>
  <c r="Y48" i="157" s="1"/>
  <c r="X61" i="146"/>
  <c r="Y61" i="146" s="1"/>
  <c r="F62" i="146"/>
  <c r="F50" i="156"/>
  <c r="X49" i="156"/>
  <c r="Y49" i="156" s="1"/>
  <c r="F52" i="155"/>
  <c r="X51" i="155"/>
  <c r="Y51" i="155" s="1"/>
  <c r="G62" i="163"/>
  <c r="Y61" i="163"/>
  <c r="Z61" i="163" s="1"/>
  <c r="D40" i="109"/>
  <c r="Y13" i="77"/>
  <c r="D41" i="110"/>
  <c r="E13" i="89"/>
  <c r="G64" i="164"/>
  <c r="Y63" i="164"/>
  <c r="Z63" i="164" s="1"/>
  <c r="G48" i="142"/>
  <c r="X47" i="142"/>
  <c r="Y47" i="142" s="1"/>
  <c r="E51" i="142"/>
  <c r="V50" i="142"/>
  <c r="C51" i="142"/>
  <c r="AE49" i="142"/>
  <c r="F49" i="142"/>
  <c r="W49" i="142" s="1"/>
  <c r="Y50" i="140"/>
  <c r="E53" i="143"/>
  <c r="C52" i="143"/>
  <c r="F50" i="143"/>
  <c r="G49" i="143"/>
  <c r="C50" i="139"/>
  <c r="F50" i="139"/>
  <c r="E52" i="139"/>
  <c r="G49" i="139"/>
  <c r="F52" i="140"/>
  <c r="AE52" i="140"/>
  <c r="C52" i="140"/>
  <c r="V51" i="140"/>
  <c r="E52" i="140"/>
  <c r="G51" i="140"/>
  <c r="X51" i="140" s="1"/>
  <c r="W51" i="140"/>
  <c r="D61" i="113"/>
  <c r="G13" i="77"/>
  <c r="E14" i="77"/>
  <c r="C9" i="77"/>
  <c r="C10" i="87"/>
  <c r="D10" i="87"/>
  <c r="H9" i="88"/>
  <c r="E10" i="88"/>
  <c r="L9" i="88"/>
  <c r="F11" i="88"/>
  <c r="B9" i="147" l="1"/>
  <c r="B9" i="91"/>
  <c r="F94" i="147"/>
  <c r="V94" i="147"/>
  <c r="D67" i="165"/>
  <c r="V66" i="165"/>
  <c r="V7" i="147"/>
  <c r="F7" i="147"/>
  <c r="D66" i="166"/>
  <c r="V65" i="166"/>
  <c r="D65" i="167"/>
  <c r="V64" i="167"/>
  <c r="E8" i="147"/>
  <c r="AD37" i="147"/>
  <c r="AD8" i="147"/>
  <c r="E66" i="147"/>
  <c r="E37" i="147"/>
  <c r="E95" i="147"/>
  <c r="AD66" i="147"/>
  <c r="AD95" i="147"/>
  <c r="D66" i="146"/>
  <c r="V65" i="146"/>
  <c r="C10" i="89"/>
  <c r="D67" i="157"/>
  <c r="V66" i="157"/>
  <c r="E67" i="164"/>
  <c r="W66" i="164"/>
  <c r="F65" i="166"/>
  <c r="X64" i="166"/>
  <c r="Y64" i="166" s="1"/>
  <c r="F65" i="167"/>
  <c r="X64" i="167"/>
  <c r="Y64" i="167" s="1"/>
  <c r="E68" i="163"/>
  <c r="W67" i="163"/>
  <c r="F36" i="147"/>
  <c r="V36" i="147"/>
  <c r="F66" i="165"/>
  <c r="X65" i="165"/>
  <c r="Y65" i="165" s="1"/>
  <c r="C51" i="138"/>
  <c r="F65" i="147"/>
  <c r="V65" i="147"/>
  <c r="D69" i="168"/>
  <c r="V68" i="168"/>
  <c r="X49" i="168"/>
  <c r="Y49" i="168" s="1"/>
  <c r="F50" i="168"/>
  <c r="F50" i="157"/>
  <c r="X49" i="157"/>
  <c r="Y49" i="157" s="1"/>
  <c r="F63" i="146"/>
  <c r="X62" i="146"/>
  <c r="Y62" i="146" s="1"/>
  <c r="F51" i="156"/>
  <c r="X50" i="156"/>
  <c r="Y50" i="156" s="1"/>
  <c r="F53" i="155"/>
  <c r="X52" i="155"/>
  <c r="Y52" i="155" s="1"/>
  <c r="Y62" i="163"/>
  <c r="Z62" i="163" s="1"/>
  <c r="G63" i="163"/>
  <c r="D42" i="110"/>
  <c r="Y14" i="77"/>
  <c r="E14" i="89"/>
  <c r="D41" i="109"/>
  <c r="G65" i="164"/>
  <c r="Y64" i="164"/>
  <c r="Z64" i="164" s="1"/>
  <c r="C52" i="142"/>
  <c r="AE50" i="142"/>
  <c r="F50" i="142"/>
  <c r="W50" i="142" s="1"/>
  <c r="E52" i="142"/>
  <c r="V51" i="142"/>
  <c r="G49" i="142"/>
  <c r="X48" i="142"/>
  <c r="Y48" i="142" s="1"/>
  <c r="F51" i="143"/>
  <c r="C53" i="143"/>
  <c r="E54" i="143"/>
  <c r="G50" i="143"/>
  <c r="E53" i="139"/>
  <c r="G50" i="139"/>
  <c r="C51" i="139"/>
  <c r="F51" i="139"/>
  <c r="AE53" i="140"/>
  <c r="C53" i="140"/>
  <c r="F53" i="140"/>
  <c r="Y51" i="140"/>
  <c r="V52" i="140"/>
  <c r="E53" i="140"/>
  <c r="W52" i="140"/>
  <c r="G52" i="140"/>
  <c r="X52" i="140" s="1"/>
  <c r="D62" i="113"/>
  <c r="G14" i="77"/>
  <c r="E15" i="77"/>
  <c r="C10" i="77"/>
  <c r="C11" i="87"/>
  <c r="D11" i="87"/>
  <c r="H10" i="88"/>
  <c r="L10" i="88"/>
  <c r="E11" i="88"/>
  <c r="F12" i="88"/>
  <c r="D68" i="157" l="1"/>
  <c r="V67" i="157"/>
  <c r="W65" i="147"/>
  <c r="X65" i="147" s="1"/>
  <c r="F66" i="167"/>
  <c r="X65" i="167"/>
  <c r="Y65" i="167" s="1"/>
  <c r="F95" i="147"/>
  <c r="W95" i="147" s="1"/>
  <c r="V95" i="147"/>
  <c r="D68" i="165"/>
  <c r="V67" i="165"/>
  <c r="V37" i="147"/>
  <c r="F37" i="147"/>
  <c r="W37" i="147" s="1"/>
  <c r="X37" i="147" s="1"/>
  <c r="D67" i="166"/>
  <c r="V66" i="166"/>
  <c r="W36" i="147"/>
  <c r="X36" i="147" s="1"/>
  <c r="C11" i="89"/>
  <c r="W7" i="147"/>
  <c r="X7" i="147" s="1"/>
  <c r="F66" i="166"/>
  <c r="X65" i="166"/>
  <c r="Y65" i="166" s="1"/>
  <c r="B10" i="147"/>
  <c r="B10" i="91"/>
  <c r="C52" i="138"/>
  <c r="D67" i="146"/>
  <c r="V66" i="146"/>
  <c r="V8" i="147"/>
  <c r="F8" i="147"/>
  <c r="W8" i="147" s="1"/>
  <c r="X8" i="147" s="1"/>
  <c r="W94" i="147"/>
  <c r="X94" i="147" s="1"/>
  <c r="D70" i="168"/>
  <c r="V69" i="168"/>
  <c r="F67" i="165"/>
  <c r="X66" i="165"/>
  <c r="Y66" i="165" s="1"/>
  <c r="E69" i="163"/>
  <c r="W68" i="163"/>
  <c r="E68" i="164"/>
  <c r="W67" i="164"/>
  <c r="F66" i="147"/>
  <c r="W66" i="147" s="1"/>
  <c r="V66" i="147"/>
  <c r="X66" i="147" s="1"/>
  <c r="D66" i="167"/>
  <c r="V65" i="167"/>
  <c r="AD96" i="147"/>
  <c r="AD38" i="147"/>
  <c r="E67" i="147"/>
  <c r="E38" i="147"/>
  <c r="AD9" i="147"/>
  <c r="E9" i="147"/>
  <c r="AD67" i="147"/>
  <c r="E96" i="147"/>
  <c r="X50" i="168"/>
  <c r="Y50" i="168" s="1"/>
  <c r="F51" i="168"/>
  <c r="X50" i="157"/>
  <c r="Y50" i="157" s="1"/>
  <c r="F51" i="157"/>
  <c r="F64" i="146"/>
  <c r="F65" i="146" s="1"/>
  <c r="X63" i="146"/>
  <c r="Y63" i="146" s="1"/>
  <c r="F54" i="155"/>
  <c r="X53" i="155"/>
  <c r="Y53" i="155" s="1"/>
  <c r="X51" i="156"/>
  <c r="Y51" i="156" s="1"/>
  <c r="F52" i="156"/>
  <c r="G64" i="163"/>
  <c r="Y63" i="163"/>
  <c r="Z63" i="163" s="1"/>
  <c r="D42" i="109"/>
  <c r="E15" i="89"/>
  <c r="Y15" i="77"/>
  <c r="D43" i="110"/>
  <c r="G66" i="164"/>
  <c r="Y65" i="164"/>
  <c r="Z65" i="164" s="1"/>
  <c r="G50" i="142"/>
  <c r="X49" i="142"/>
  <c r="Y49" i="142" s="1"/>
  <c r="E53" i="142"/>
  <c r="V52" i="142"/>
  <c r="C53" i="142"/>
  <c r="AE51" i="142"/>
  <c r="F51" i="142"/>
  <c r="W51" i="142" s="1"/>
  <c r="E55" i="143"/>
  <c r="C54" i="143"/>
  <c r="F52" i="143"/>
  <c r="G51" i="143"/>
  <c r="G51" i="139"/>
  <c r="C52" i="139"/>
  <c r="F52" i="139"/>
  <c r="E54" i="139"/>
  <c r="G53" i="140"/>
  <c r="X53" i="140" s="1"/>
  <c r="W53" i="140"/>
  <c r="V53" i="140"/>
  <c r="E54" i="140"/>
  <c r="F54" i="140"/>
  <c r="C54" i="140"/>
  <c r="AE54" i="140"/>
  <c r="Y52" i="140"/>
  <c r="D63" i="113"/>
  <c r="E16" i="77"/>
  <c r="G15" i="77"/>
  <c r="C11" i="77"/>
  <c r="C12" i="87"/>
  <c r="D12" i="87"/>
  <c r="F13" i="88"/>
  <c r="H11" i="88"/>
  <c r="E12" i="88"/>
  <c r="L11" i="88"/>
  <c r="V9" i="147" l="1"/>
  <c r="F9" i="147"/>
  <c r="D68" i="146"/>
  <c r="V67" i="146"/>
  <c r="F67" i="166"/>
  <c r="X66" i="166"/>
  <c r="Y66" i="166" s="1"/>
  <c r="F67" i="167"/>
  <c r="X66" i="167"/>
  <c r="Y66" i="167" s="1"/>
  <c r="E69" i="164"/>
  <c r="W68" i="164"/>
  <c r="F67" i="147"/>
  <c r="W67" i="147" s="1"/>
  <c r="V67" i="147"/>
  <c r="E70" i="163"/>
  <c r="W69" i="163"/>
  <c r="V38" i="147"/>
  <c r="F38" i="147"/>
  <c r="B11" i="147"/>
  <c r="B11" i="91"/>
  <c r="C53" i="138"/>
  <c r="D69" i="165"/>
  <c r="V68" i="165"/>
  <c r="F68" i="165"/>
  <c r="X67" i="165"/>
  <c r="Y67" i="165" s="1"/>
  <c r="D68" i="166"/>
  <c r="V67" i="166"/>
  <c r="X95" i="147"/>
  <c r="F96" i="147"/>
  <c r="V96" i="147"/>
  <c r="E39" i="147"/>
  <c r="AD97" i="147"/>
  <c r="AD39" i="147"/>
  <c r="AD10" i="147"/>
  <c r="E10" i="147"/>
  <c r="E68" i="147"/>
  <c r="E97" i="147"/>
  <c r="AD68" i="147"/>
  <c r="C12" i="89"/>
  <c r="D69" i="157"/>
  <c r="V68" i="157"/>
  <c r="D67" i="167"/>
  <c r="V66" i="167"/>
  <c r="V70" i="168"/>
  <c r="D71" i="168"/>
  <c r="F52" i="168"/>
  <c r="X51" i="168"/>
  <c r="Y51" i="168" s="1"/>
  <c r="X51" i="157"/>
  <c r="Y51" i="157" s="1"/>
  <c r="F52" i="157"/>
  <c r="X65" i="146"/>
  <c r="Y65" i="146" s="1"/>
  <c r="X64" i="146"/>
  <c r="Y64" i="146" s="1"/>
  <c r="F66" i="146"/>
  <c r="X66" i="146" s="1"/>
  <c r="Y66" i="146" s="1"/>
  <c r="X54" i="155"/>
  <c r="Y54" i="155" s="1"/>
  <c r="F55" i="155"/>
  <c r="F53" i="156"/>
  <c r="X52" i="156"/>
  <c r="Y52" i="156" s="1"/>
  <c r="Y64" i="163"/>
  <c r="Z64" i="163" s="1"/>
  <c r="G65" i="163"/>
  <c r="D44" i="110"/>
  <c r="Y16" i="77"/>
  <c r="E16" i="89"/>
  <c r="D43" i="109"/>
  <c r="G67" i="164"/>
  <c r="Y66" i="164"/>
  <c r="Z66" i="164" s="1"/>
  <c r="E54" i="142"/>
  <c r="V53" i="142"/>
  <c r="C54" i="142"/>
  <c r="AE52" i="142"/>
  <c r="F52" i="142"/>
  <c r="W52" i="142" s="1"/>
  <c r="G51" i="142"/>
  <c r="X50" i="142"/>
  <c r="Y50" i="142" s="1"/>
  <c r="Y53" i="140"/>
  <c r="E56" i="143"/>
  <c r="G52" i="143"/>
  <c r="F53" i="143"/>
  <c r="C55" i="143"/>
  <c r="G52" i="139"/>
  <c r="C53" i="139"/>
  <c r="F53" i="139"/>
  <c r="E55" i="139"/>
  <c r="AE55" i="140"/>
  <c r="C55" i="140"/>
  <c r="F55" i="140"/>
  <c r="E55" i="140"/>
  <c r="V54" i="140"/>
  <c r="W54" i="140"/>
  <c r="G54" i="140"/>
  <c r="X54" i="140" s="1"/>
  <c r="D64" i="113"/>
  <c r="D65" i="113" s="1"/>
  <c r="G16" i="77"/>
  <c r="E17" i="77"/>
  <c r="C12" i="77"/>
  <c r="D13" i="87"/>
  <c r="C13" i="87"/>
  <c r="H12" i="88"/>
  <c r="L12" i="88"/>
  <c r="F14" i="88"/>
  <c r="E13" i="88"/>
  <c r="F68" i="166" l="1"/>
  <c r="X67" i="166"/>
  <c r="Y67" i="166" s="1"/>
  <c r="C13" i="89"/>
  <c r="V39" i="147"/>
  <c r="F39" i="147"/>
  <c r="D69" i="166"/>
  <c r="V68" i="166"/>
  <c r="D70" i="165"/>
  <c r="V69" i="165"/>
  <c r="E11" i="147"/>
  <c r="AD11" i="147"/>
  <c r="AD40" i="147"/>
  <c r="AD98" i="147"/>
  <c r="AD69" i="147"/>
  <c r="E69" i="147"/>
  <c r="E40" i="147"/>
  <c r="E98" i="147"/>
  <c r="D69" i="146"/>
  <c r="V68" i="146"/>
  <c r="V97" i="147"/>
  <c r="F97" i="147"/>
  <c r="W97" i="147" s="1"/>
  <c r="E71" i="163"/>
  <c r="W70" i="163"/>
  <c r="E70" i="164"/>
  <c r="W69" i="164"/>
  <c r="D68" i="167"/>
  <c r="V67" i="167"/>
  <c r="F68" i="147"/>
  <c r="V68" i="147"/>
  <c r="W96" i="147"/>
  <c r="X96" i="147" s="1"/>
  <c r="C54" i="138"/>
  <c r="W9" i="147"/>
  <c r="X9" i="147" s="1"/>
  <c r="V10" i="147"/>
  <c r="F10" i="147"/>
  <c r="W38" i="147"/>
  <c r="X38" i="147" s="1"/>
  <c r="X67" i="147"/>
  <c r="D70" i="157"/>
  <c r="V69" i="157"/>
  <c r="F69" i="165"/>
  <c r="X68" i="165"/>
  <c r="Y68" i="165" s="1"/>
  <c r="F68" i="167"/>
  <c r="X67" i="167"/>
  <c r="Y67" i="167" s="1"/>
  <c r="V71" i="168"/>
  <c r="D72" i="168"/>
  <c r="B12" i="147"/>
  <c r="B12" i="91"/>
  <c r="X52" i="168"/>
  <c r="Y52" i="168" s="1"/>
  <c r="F53" i="168"/>
  <c r="F53" i="157"/>
  <c r="X52" i="157"/>
  <c r="Y52" i="157" s="1"/>
  <c r="F67" i="146"/>
  <c r="X67" i="146" s="1"/>
  <c r="Y67" i="146" s="1"/>
  <c r="F54" i="156"/>
  <c r="X53" i="156"/>
  <c r="Y53" i="156" s="1"/>
  <c r="F56" i="155"/>
  <c r="X55" i="155"/>
  <c r="Y55" i="155" s="1"/>
  <c r="Y65" i="163"/>
  <c r="Z65" i="163" s="1"/>
  <c r="G66" i="163"/>
  <c r="E17" i="89"/>
  <c r="Y17" i="77"/>
  <c r="D44" i="109"/>
  <c r="D45" i="110"/>
  <c r="G68" i="164"/>
  <c r="Y67" i="164"/>
  <c r="Z67" i="164" s="1"/>
  <c r="C55" i="142"/>
  <c r="AE53" i="142"/>
  <c r="F53" i="142"/>
  <c r="W53" i="142" s="1"/>
  <c r="E55" i="142"/>
  <c r="V54" i="142"/>
  <c r="G52" i="142"/>
  <c r="X51" i="142"/>
  <c r="Y51" i="142" s="1"/>
  <c r="G53" i="143"/>
  <c r="C56" i="143"/>
  <c r="F54" i="143"/>
  <c r="E57" i="143"/>
  <c r="G53" i="139"/>
  <c r="C54" i="139"/>
  <c r="F54" i="139"/>
  <c r="E56" i="139"/>
  <c r="G55" i="140"/>
  <c r="X55" i="140" s="1"/>
  <c r="W55" i="140"/>
  <c r="Y54" i="140"/>
  <c r="V55" i="140"/>
  <c r="E56" i="140"/>
  <c r="F56" i="140"/>
  <c r="AE56" i="140"/>
  <c r="C56" i="140"/>
  <c r="D66" i="113"/>
  <c r="D67" i="113" s="1"/>
  <c r="G17" i="77"/>
  <c r="E18" i="77"/>
  <c r="C13" i="77"/>
  <c r="C14" i="87"/>
  <c r="D14" i="87"/>
  <c r="H13" i="88"/>
  <c r="L13" i="88"/>
  <c r="F15" i="88"/>
  <c r="E14" i="88"/>
  <c r="F70" i="165" l="1"/>
  <c r="X69" i="165"/>
  <c r="Y69" i="165" s="1"/>
  <c r="E72" i="163"/>
  <c r="W71" i="163"/>
  <c r="C14" i="89"/>
  <c r="AD70" i="147"/>
  <c r="E41" i="147"/>
  <c r="AD12" i="147"/>
  <c r="E99" i="147"/>
  <c r="E12" i="147"/>
  <c r="E70" i="147"/>
  <c r="AD99" i="147"/>
  <c r="AD41" i="147"/>
  <c r="V11" i="147"/>
  <c r="F11" i="147"/>
  <c r="D73" i="168"/>
  <c r="V72" i="168"/>
  <c r="D71" i="157"/>
  <c r="V70" i="157"/>
  <c r="W68" i="147"/>
  <c r="X68" i="147" s="1"/>
  <c r="V98" i="147"/>
  <c r="F98" i="147"/>
  <c r="F69" i="166"/>
  <c r="X68" i="166"/>
  <c r="Y68" i="166" s="1"/>
  <c r="B13" i="147"/>
  <c r="B13" i="91"/>
  <c r="C55" i="138"/>
  <c r="V40" i="147"/>
  <c r="F40" i="147"/>
  <c r="D71" i="165"/>
  <c r="V70" i="165"/>
  <c r="D69" i="167"/>
  <c r="V68" i="167"/>
  <c r="X97" i="147"/>
  <c r="F69" i="147"/>
  <c r="V69" i="147"/>
  <c r="F69" i="167"/>
  <c r="X68" i="167"/>
  <c r="Y68" i="167" s="1"/>
  <c r="W10" i="147"/>
  <c r="X10" i="147" s="1"/>
  <c r="D70" i="166"/>
  <c r="V69" i="166"/>
  <c r="E71" i="164"/>
  <c r="W70" i="164"/>
  <c r="D70" i="146"/>
  <c r="V69" i="146"/>
  <c r="W39" i="147"/>
  <c r="X39" i="147" s="1"/>
  <c r="X53" i="168"/>
  <c r="Y53" i="168" s="1"/>
  <c r="F54" i="168"/>
  <c r="X53" i="157"/>
  <c r="Y53" i="157" s="1"/>
  <c r="F54" i="157"/>
  <c r="F68" i="146"/>
  <c r="X68" i="146" s="1"/>
  <c r="Y68" i="146" s="1"/>
  <c r="X56" i="155"/>
  <c r="Y56" i="155" s="1"/>
  <c r="F57" i="155"/>
  <c r="X54" i="156"/>
  <c r="Y54" i="156" s="1"/>
  <c r="F55" i="156"/>
  <c r="Y66" i="163"/>
  <c r="Z66" i="163" s="1"/>
  <c r="G67" i="163"/>
  <c r="D45" i="109"/>
  <c r="Y18" i="77"/>
  <c r="D46" i="110"/>
  <c r="E18" i="89"/>
  <c r="G69" i="164"/>
  <c r="Y68" i="164"/>
  <c r="Z68" i="164" s="1"/>
  <c r="C56" i="142"/>
  <c r="AE54" i="142"/>
  <c r="F54" i="142"/>
  <c r="W54" i="142" s="1"/>
  <c r="E56" i="142"/>
  <c r="V55" i="142"/>
  <c r="G53" i="142"/>
  <c r="X52" i="142"/>
  <c r="Y52" i="142" s="1"/>
  <c r="Y55" i="140"/>
  <c r="F55" i="143"/>
  <c r="C57" i="143"/>
  <c r="G54" i="143"/>
  <c r="E58" i="143"/>
  <c r="G54" i="139"/>
  <c r="C55" i="139"/>
  <c r="F55" i="139"/>
  <c r="E57" i="139"/>
  <c r="W56" i="140"/>
  <c r="G56" i="140"/>
  <c r="X56" i="140" s="1"/>
  <c r="AE57" i="140"/>
  <c r="C57" i="140"/>
  <c r="F57" i="140"/>
  <c r="V56" i="140"/>
  <c r="E57" i="140"/>
  <c r="D68" i="113"/>
  <c r="G18" i="77"/>
  <c r="E19" i="77"/>
  <c r="C14" i="77"/>
  <c r="C15" i="87"/>
  <c r="D15" i="87"/>
  <c r="H14" i="88"/>
  <c r="F16" i="88"/>
  <c r="E15" i="88"/>
  <c r="L14" i="88"/>
  <c r="F99" i="147" l="1"/>
  <c r="V99" i="147"/>
  <c r="E72" i="164"/>
  <c r="W71" i="164"/>
  <c r="D71" i="166"/>
  <c r="V70" i="166"/>
  <c r="W69" i="147"/>
  <c r="X69" i="147" s="1"/>
  <c r="E71" i="147"/>
  <c r="AD13" i="147"/>
  <c r="AD71" i="147"/>
  <c r="AD100" i="147"/>
  <c r="E42" i="147"/>
  <c r="E13" i="147"/>
  <c r="E100" i="147"/>
  <c r="AD42" i="147"/>
  <c r="W11" i="147"/>
  <c r="X11" i="147" s="1"/>
  <c r="F71" i="165"/>
  <c r="X70" i="165"/>
  <c r="Y70" i="165" s="1"/>
  <c r="C56" i="138"/>
  <c r="D72" i="157"/>
  <c r="V71" i="157"/>
  <c r="V41" i="147"/>
  <c r="F41" i="147"/>
  <c r="V12" i="147"/>
  <c r="F12" i="147"/>
  <c r="F70" i="166"/>
  <c r="X69" i="166"/>
  <c r="Y69" i="166" s="1"/>
  <c r="F70" i="167"/>
  <c r="X69" i="167"/>
  <c r="Y69" i="167" s="1"/>
  <c r="D70" i="167"/>
  <c r="V69" i="167"/>
  <c r="D72" i="165"/>
  <c r="V71" i="165"/>
  <c r="W98" i="147"/>
  <c r="V73" i="168"/>
  <c r="D74" i="168"/>
  <c r="C15" i="89"/>
  <c r="B14" i="147"/>
  <c r="B14" i="91"/>
  <c r="D71" i="146"/>
  <c r="V70" i="146"/>
  <c r="W40" i="147"/>
  <c r="X40" i="147" s="1"/>
  <c r="X98" i="147"/>
  <c r="V70" i="147"/>
  <c r="F70" i="147"/>
  <c r="E73" i="163"/>
  <c r="W72" i="163"/>
  <c r="F55" i="168"/>
  <c r="X54" i="168"/>
  <c r="Y54" i="168" s="1"/>
  <c r="F69" i="146"/>
  <c r="X54" i="157"/>
  <c r="Y54" i="157" s="1"/>
  <c r="F55" i="157"/>
  <c r="F58" i="155"/>
  <c r="X57" i="155"/>
  <c r="Y57" i="155" s="1"/>
  <c r="F56" i="156"/>
  <c r="X55" i="156"/>
  <c r="Y55" i="156" s="1"/>
  <c r="G68" i="163"/>
  <c r="Y67" i="163"/>
  <c r="Z67" i="163" s="1"/>
  <c r="E19" i="89"/>
  <c r="Y19" i="77"/>
  <c r="D47" i="110"/>
  <c r="D46" i="109"/>
  <c r="G70" i="164"/>
  <c r="Y69" i="164"/>
  <c r="Z69" i="164" s="1"/>
  <c r="E57" i="142"/>
  <c r="V56" i="142"/>
  <c r="G54" i="142"/>
  <c r="X53" i="142"/>
  <c r="Y53" i="142" s="1"/>
  <c r="C57" i="142"/>
  <c r="F55" i="142"/>
  <c r="W55" i="142" s="1"/>
  <c r="AE55" i="142"/>
  <c r="E59" i="143"/>
  <c r="C58" i="143"/>
  <c r="F56" i="143"/>
  <c r="G55" i="143"/>
  <c r="C56" i="139"/>
  <c r="F56" i="139"/>
  <c r="E58" i="139"/>
  <c r="G55" i="139"/>
  <c r="F58" i="140"/>
  <c r="C58" i="140"/>
  <c r="AE58" i="140"/>
  <c r="Y56" i="140"/>
  <c r="V57" i="140"/>
  <c r="E58" i="140"/>
  <c r="G57" i="140"/>
  <c r="X57" i="140" s="1"/>
  <c r="W57" i="140"/>
  <c r="D69" i="113"/>
  <c r="D70" i="113" s="1"/>
  <c r="G19" i="77"/>
  <c r="E20" i="77"/>
  <c r="G20" i="77" s="1"/>
  <c r="C15" i="77"/>
  <c r="D16" i="87"/>
  <c r="C16" i="87"/>
  <c r="H15" i="88"/>
  <c r="F17" i="88"/>
  <c r="L15" i="88"/>
  <c r="E16" i="88"/>
  <c r="AD43" i="147" l="1"/>
  <c r="E14" i="147"/>
  <c r="AD101" i="147"/>
  <c r="AD14" i="147"/>
  <c r="E72" i="147"/>
  <c r="E43" i="147"/>
  <c r="AD72" i="147"/>
  <c r="E101" i="147"/>
  <c r="F72" i="165"/>
  <c r="X71" i="165"/>
  <c r="Y71" i="165" s="1"/>
  <c r="E73" i="164"/>
  <c r="W72" i="164"/>
  <c r="W41" i="147"/>
  <c r="X41" i="147" s="1"/>
  <c r="C16" i="89"/>
  <c r="D71" i="167"/>
  <c r="V70" i="167"/>
  <c r="W70" i="147"/>
  <c r="D75" i="168"/>
  <c r="V74" i="168"/>
  <c r="W12" i="147"/>
  <c r="X12" i="147" s="1"/>
  <c r="D73" i="157"/>
  <c r="V72" i="157"/>
  <c r="V71" i="147"/>
  <c r="X71" i="147" s="1"/>
  <c r="F71" i="147"/>
  <c r="W71" i="147" s="1"/>
  <c r="X70" i="147"/>
  <c r="F71" i="167"/>
  <c r="X70" i="167"/>
  <c r="Y70" i="167" s="1"/>
  <c r="W99" i="147"/>
  <c r="X99" i="147" s="1"/>
  <c r="E74" i="163"/>
  <c r="W73" i="163"/>
  <c r="F100" i="147"/>
  <c r="V100" i="147"/>
  <c r="D73" i="165"/>
  <c r="V72" i="165"/>
  <c r="F71" i="166"/>
  <c r="X70" i="166"/>
  <c r="Y70" i="166" s="1"/>
  <c r="V13" i="147"/>
  <c r="F13" i="147"/>
  <c r="W13" i="147" s="1"/>
  <c r="X13" i="147" s="1"/>
  <c r="B15" i="147"/>
  <c r="B15" i="91"/>
  <c r="D72" i="146"/>
  <c r="V71" i="146"/>
  <c r="C57" i="138"/>
  <c r="V42" i="147"/>
  <c r="F42" i="147"/>
  <c r="W42" i="147" s="1"/>
  <c r="X42" i="147" s="1"/>
  <c r="D72" i="166"/>
  <c r="V71" i="166"/>
  <c r="X55" i="168"/>
  <c r="Y55" i="168" s="1"/>
  <c r="F56" i="168"/>
  <c r="X55" i="157"/>
  <c r="Y55" i="157" s="1"/>
  <c r="F56" i="157"/>
  <c r="X69" i="146"/>
  <c r="Y69" i="146" s="1"/>
  <c r="F70" i="146"/>
  <c r="F57" i="156"/>
  <c r="X56" i="156"/>
  <c r="Y56" i="156" s="1"/>
  <c r="F59" i="155"/>
  <c r="X58" i="155"/>
  <c r="Y58" i="155" s="1"/>
  <c r="Y68" i="163"/>
  <c r="Z68" i="163" s="1"/>
  <c r="G69" i="163"/>
  <c r="D48" i="110"/>
  <c r="Y20" i="77"/>
  <c r="D47" i="109"/>
  <c r="E20" i="89"/>
  <c r="G71" i="164"/>
  <c r="Y70" i="164"/>
  <c r="Z70" i="164" s="1"/>
  <c r="C58" i="142"/>
  <c r="AE56" i="142"/>
  <c r="F56" i="142"/>
  <c r="W56" i="142" s="1"/>
  <c r="G55" i="142"/>
  <c r="X54" i="142"/>
  <c r="Y54" i="142" s="1"/>
  <c r="E58" i="142"/>
  <c r="V57" i="142"/>
  <c r="G56" i="143"/>
  <c r="E60" i="143"/>
  <c r="F57" i="143"/>
  <c r="C59" i="143"/>
  <c r="E59" i="139"/>
  <c r="C57" i="139"/>
  <c r="F57" i="139"/>
  <c r="G56" i="139"/>
  <c r="Y57" i="140"/>
  <c r="E59" i="140"/>
  <c r="V58" i="140"/>
  <c r="AE59" i="140"/>
  <c r="C59" i="140"/>
  <c r="F59" i="140"/>
  <c r="W58" i="140"/>
  <c r="G58" i="140"/>
  <c r="X58" i="140" s="1"/>
  <c r="D71" i="113"/>
  <c r="C16" i="77"/>
  <c r="D17" i="87"/>
  <c r="C17" i="87"/>
  <c r="H16" i="88"/>
  <c r="F18" i="88"/>
  <c r="L16" i="88"/>
  <c r="E17" i="88"/>
  <c r="D73" i="166" l="1"/>
  <c r="V72" i="166"/>
  <c r="W100" i="147"/>
  <c r="X100" i="147"/>
  <c r="D76" i="168"/>
  <c r="V75" i="168"/>
  <c r="V43" i="147"/>
  <c r="F43" i="147"/>
  <c r="W43" i="147" s="1"/>
  <c r="E44" i="147"/>
  <c r="AD15" i="147"/>
  <c r="AD73" i="147"/>
  <c r="E73" i="147"/>
  <c r="AD102" i="147"/>
  <c r="E15" i="147"/>
  <c r="E102" i="147"/>
  <c r="AD44" i="147"/>
  <c r="D74" i="157"/>
  <c r="V73" i="157"/>
  <c r="F72" i="147"/>
  <c r="W72" i="147" s="1"/>
  <c r="V72" i="147"/>
  <c r="V101" i="147"/>
  <c r="F101" i="147"/>
  <c r="C58" i="138"/>
  <c r="F72" i="167"/>
  <c r="X71" i="167"/>
  <c r="Y71" i="167" s="1"/>
  <c r="C17" i="89"/>
  <c r="F72" i="166"/>
  <c r="X71" i="166"/>
  <c r="Y71" i="166" s="1"/>
  <c r="E74" i="164"/>
  <c r="W73" i="164"/>
  <c r="B16" i="147"/>
  <c r="B16" i="91"/>
  <c r="D73" i="146"/>
  <c r="V72" i="146"/>
  <c r="E75" i="163"/>
  <c r="W74" i="163"/>
  <c r="V14" i="147"/>
  <c r="F14" i="147"/>
  <c r="W14" i="147" s="1"/>
  <c r="D74" i="165"/>
  <c r="V73" i="165"/>
  <c r="D72" i="167"/>
  <c r="V71" i="167"/>
  <c r="F73" i="165"/>
  <c r="X72" i="165"/>
  <c r="Y72" i="165" s="1"/>
  <c r="F57" i="168"/>
  <c r="X56" i="168"/>
  <c r="Y56" i="168" s="1"/>
  <c r="X70" i="146"/>
  <c r="Y70" i="146" s="1"/>
  <c r="F71" i="146"/>
  <c r="X56" i="157"/>
  <c r="Y56" i="157" s="1"/>
  <c r="F57" i="157"/>
  <c r="F60" i="155"/>
  <c r="X59" i="155"/>
  <c r="Y59" i="155" s="1"/>
  <c r="F58" i="156"/>
  <c r="X57" i="156"/>
  <c r="Y57" i="156" s="1"/>
  <c r="G70" i="163"/>
  <c r="Y69" i="163"/>
  <c r="Z69" i="163" s="1"/>
  <c r="D48" i="109"/>
  <c r="D49" i="110"/>
  <c r="G72" i="164"/>
  <c r="Y71" i="164"/>
  <c r="Z71" i="164" s="1"/>
  <c r="E59" i="142"/>
  <c r="V58" i="142"/>
  <c r="G56" i="142"/>
  <c r="X55" i="142"/>
  <c r="Y55" i="142" s="1"/>
  <c r="C59" i="142"/>
  <c r="AE57" i="142"/>
  <c r="F57" i="142"/>
  <c r="W57" i="142" s="1"/>
  <c r="E61" i="143"/>
  <c r="G57" i="143"/>
  <c r="C60" i="143"/>
  <c r="F58" i="143"/>
  <c r="G57" i="139"/>
  <c r="E60" i="139"/>
  <c r="C58" i="139"/>
  <c r="F58" i="139"/>
  <c r="G59" i="140"/>
  <c r="X59" i="140" s="1"/>
  <c r="W59" i="140"/>
  <c r="V59" i="140"/>
  <c r="E60" i="140"/>
  <c r="F60" i="140"/>
  <c r="AE60" i="140"/>
  <c r="C60" i="140"/>
  <c r="Y58" i="140"/>
  <c r="D72" i="113"/>
  <c r="C17" i="77"/>
  <c r="C18" i="87"/>
  <c r="D18" i="87"/>
  <c r="H17" i="88"/>
  <c r="E18" i="88"/>
  <c r="F19" i="88"/>
  <c r="L17" i="88"/>
  <c r="F73" i="147" l="1"/>
  <c r="W73" i="147" s="1"/>
  <c r="V73" i="147"/>
  <c r="X73" i="147" s="1"/>
  <c r="X43" i="147"/>
  <c r="F74" i="165"/>
  <c r="X73" i="165"/>
  <c r="Y73" i="165" s="1"/>
  <c r="D75" i="157"/>
  <c r="V74" i="157"/>
  <c r="E75" i="164"/>
  <c r="W74" i="164"/>
  <c r="D73" i="167"/>
  <c r="V72" i="167"/>
  <c r="E76" i="163"/>
  <c r="W75" i="163"/>
  <c r="F73" i="167"/>
  <c r="X72" i="167"/>
  <c r="Y72" i="167" s="1"/>
  <c r="X72" i="147"/>
  <c r="V44" i="147"/>
  <c r="F44" i="147"/>
  <c r="W44" i="147" s="1"/>
  <c r="X44" i="147" s="1"/>
  <c r="D77" i="168"/>
  <c r="V76" i="168"/>
  <c r="D74" i="166"/>
  <c r="V73" i="166"/>
  <c r="B17" i="147"/>
  <c r="B17" i="91"/>
  <c r="D75" i="165"/>
  <c r="V74" i="165"/>
  <c r="D74" i="146"/>
  <c r="V73" i="146"/>
  <c r="V102" i="147"/>
  <c r="F102" i="147"/>
  <c r="W102" i="147" s="1"/>
  <c r="X14" i="147"/>
  <c r="F73" i="166"/>
  <c r="X72" i="166"/>
  <c r="Y72" i="166" s="1"/>
  <c r="C59" i="138"/>
  <c r="V15" i="147"/>
  <c r="F15" i="147"/>
  <c r="W15" i="147" s="1"/>
  <c r="X15" i="147" s="1"/>
  <c r="AD16" i="147"/>
  <c r="E16" i="147"/>
  <c r="AD74" i="147"/>
  <c r="E45" i="147"/>
  <c r="E103" i="147"/>
  <c r="AD103" i="147"/>
  <c r="AD45" i="147"/>
  <c r="E74" i="147"/>
  <c r="C18" i="89"/>
  <c r="W101" i="147"/>
  <c r="X101" i="147" s="1"/>
  <c r="F58" i="168"/>
  <c r="X57" i="168"/>
  <c r="Y57" i="168" s="1"/>
  <c r="X57" i="157"/>
  <c r="Y57" i="157" s="1"/>
  <c r="F58" i="157"/>
  <c r="X71" i="146"/>
  <c r="Y71" i="146" s="1"/>
  <c r="F72" i="146"/>
  <c r="X60" i="155"/>
  <c r="Y60" i="155" s="1"/>
  <c r="F61" i="155"/>
  <c r="F59" i="156"/>
  <c r="X58" i="156"/>
  <c r="Y58" i="156" s="1"/>
  <c r="Y70" i="163"/>
  <c r="Z70" i="163" s="1"/>
  <c r="G71" i="163"/>
  <c r="D50" i="110"/>
  <c r="D49" i="109"/>
  <c r="G73" i="164"/>
  <c r="Y72" i="164"/>
  <c r="Z72" i="164" s="1"/>
  <c r="G57" i="142"/>
  <c r="X56" i="142"/>
  <c r="Y56" i="142" s="1"/>
  <c r="C60" i="142"/>
  <c r="AE58" i="142"/>
  <c r="F58" i="142"/>
  <c r="W58" i="142" s="1"/>
  <c r="E60" i="142"/>
  <c r="V59" i="142"/>
  <c r="Y59" i="140"/>
  <c r="E62" i="143"/>
  <c r="G58" i="143"/>
  <c r="F59" i="143"/>
  <c r="C61" i="143"/>
  <c r="C59" i="139"/>
  <c r="F59" i="139"/>
  <c r="E61" i="139"/>
  <c r="G58" i="139"/>
  <c r="V60" i="140"/>
  <c r="E61" i="140"/>
  <c r="AE61" i="140"/>
  <c r="C61" i="140"/>
  <c r="F61" i="140"/>
  <c r="W60" i="140"/>
  <c r="G60" i="140"/>
  <c r="X60" i="140" s="1"/>
  <c r="D73" i="113"/>
  <c r="D74" i="113" s="1"/>
  <c r="C18" i="77"/>
  <c r="C19" i="87"/>
  <c r="D19" i="87"/>
  <c r="H18" i="88"/>
  <c r="F20" i="88"/>
  <c r="L18" i="88"/>
  <c r="E19" i="88"/>
  <c r="D75" i="146" l="1"/>
  <c r="V74" i="146"/>
  <c r="D78" i="168"/>
  <c r="V77" i="168"/>
  <c r="V45" i="147"/>
  <c r="F45" i="147"/>
  <c r="W45" i="147" s="1"/>
  <c r="X45" i="147" s="1"/>
  <c r="F74" i="166"/>
  <c r="X73" i="166"/>
  <c r="Y73" i="166" s="1"/>
  <c r="D74" i="167"/>
  <c r="V73" i="167"/>
  <c r="F75" i="165"/>
  <c r="X74" i="165"/>
  <c r="Y74" i="165" s="1"/>
  <c r="D76" i="165"/>
  <c r="V75" i="165"/>
  <c r="V16" i="147"/>
  <c r="F16" i="147"/>
  <c r="W16" i="147" s="1"/>
  <c r="B18" i="147"/>
  <c r="B18" i="91"/>
  <c r="C19" i="89"/>
  <c r="X102" i="147"/>
  <c r="E75" i="147"/>
  <c r="AD17" i="147"/>
  <c r="E17" i="147"/>
  <c r="AD46" i="147"/>
  <c r="E46" i="147"/>
  <c r="AD75" i="147"/>
  <c r="AD104" i="147"/>
  <c r="E104" i="147"/>
  <c r="V74" i="147"/>
  <c r="F74" i="147"/>
  <c r="W74" i="147" s="1"/>
  <c r="F74" i="167"/>
  <c r="X73" i="167"/>
  <c r="Y73" i="167" s="1"/>
  <c r="E76" i="164"/>
  <c r="W75" i="164"/>
  <c r="F103" i="147"/>
  <c r="W103" i="147" s="1"/>
  <c r="V103" i="147"/>
  <c r="D75" i="166"/>
  <c r="V74" i="166"/>
  <c r="C60" i="138"/>
  <c r="E77" i="163"/>
  <c r="W76" i="163"/>
  <c r="D76" i="157"/>
  <c r="V75" i="157"/>
  <c r="F59" i="168"/>
  <c r="X58" i="168"/>
  <c r="Y58" i="168" s="1"/>
  <c r="F73" i="146"/>
  <c r="X73" i="146" s="1"/>
  <c r="Y73" i="146" s="1"/>
  <c r="X72" i="146"/>
  <c r="Y72" i="146" s="1"/>
  <c r="X58" i="157"/>
  <c r="Y58" i="157" s="1"/>
  <c r="F59" i="157"/>
  <c r="F60" i="156"/>
  <c r="X59" i="156"/>
  <c r="Y59" i="156" s="1"/>
  <c r="F62" i="155"/>
  <c r="X61" i="155"/>
  <c r="Y61" i="155" s="1"/>
  <c r="Y71" i="163"/>
  <c r="Z71" i="163" s="1"/>
  <c r="G72" i="163"/>
  <c r="D50" i="109"/>
  <c r="D51" i="110"/>
  <c r="G74" i="164"/>
  <c r="Y73" i="164"/>
  <c r="Z73" i="164" s="1"/>
  <c r="C61" i="142"/>
  <c r="AE59" i="142"/>
  <c r="F59" i="142"/>
  <c r="W59" i="142" s="1"/>
  <c r="G58" i="142"/>
  <c r="X57" i="142"/>
  <c r="Y57" i="142" s="1"/>
  <c r="E61" i="142"/>
  <c r="V60" i="142"/>
  <c r="E63" i="143"/>
  <c r="C62" i="143"/>
  <c r="F60" i="143"/>
  <c r="G59" i="143"/>
  <c r="E62" i="139"/>
  <c r="G59" i="139"/>
  <c r="C60" i="139"/>
  <c r="F60" i="139"/>
  <c r="F62" i="140"/>
  <c r="C62" i="140"/>
  <c r="AE62" i="140"/>
  <c r="V61" i="140"/>
  <c r="E62" i="140"/>
  <c r="Y60" i="140"/>
  <c r="G61" i="140"/>
  <c r="X61" i="140" s="1"/>
  <c r="W61" i="140"/>
  <c r="D75" i="113"/>
  <c r="D76" i="113" s="1"/>
  <c r="C19" i="77"/>
  <c r="C20" i="87"/>
  <c r="D20" i="87"/>
  <c r="H19" i="88"/>
  <c r="F21" i="88"/>
  <c r="E20" i="88"/>
  <c r="L19" i="88"/>
  <c r="AD18" i="147" l="1"/>
  <c r="E47" i="147"/>
  <c r="E18" i="147"/>
  <c r="AD76" i="147"/>
  <c r="E105" i="147"/>
  <c r="AD47" i="147"/>
  <c r="AD105" i="147"/>
  <c r="E76" i="147"/>
  <c r="D76" i="166"/>
  <c r="V75" i="166"/>
  <c r="D77" i="165"/>
  <c r="V76" i="165"/>
  <c r="F76" i="165"/>
  <c r="X75" i="165"/>
  <c r="Y75" i="165" s="1"/>
  <c r="B19" i="147"/>
  <c r="B19" i="91"/>
  <c r="F75" i="167"/>
  <c r="X74" i="167"/>
  <c r="Y74" i="167" s="1"/>
  <c r="X103" i="147"/>
  <c r="X74" i="147"/>
  <c r="V17" i="147"/>
  <c r="F17" i="147"/>
  <c r="W17" i="147" s="1"/>
  <c r="X17" i="147" s="1"/>
  <c r="V46" i="147"/>
  <c r="F46" i="147"/>
  <c r="W46" i="147" s="1"/>
  <c r="D75" i="167"/>
  <c r="V74" i="167"/>
  <c r="D79" i="168"/>
  <c r="V78" i="168"/>
  <c r="C61" i="138"/>
  <c r="F74" i="146"/>
  <c r="F75" i="146" s="1"/>
  <c r="X75" i="146" s="1"/>
  <c r="Y75" i="146" s="1"/>
  <c r="V75" i="147"/>
  <c r="F75" i="147"/>
  <c r="W75" i="147" s="1"/>
  <c r="E77" i="164"/>
  <c r="W76" i="164"/>
  <c r="F104" i="147"/>
  <c r="W104" i="147" s="1"/>
  <c r="V104" i="147"/>
  <c r="X104" i="147" s="1"/>
  <c r="X16" i="147"/>
  <c r="D76" i="146"/>
  <c r="V75" i="146"/>
  <c r="F75" i="166"/>
  <c r="X74" i="166"/>
  <c r="Y74" i="166" s="1"/>
  <c r="D77" i="157"/>
  <c r="V76" i="157"/>
  <c r="E78" i="163"/>
  <c r="W77" i="163"/>
  <c r="C20" i="89"/>
  <c r="F60" i="168"/>
  <c r="X59" i="168"/>
  <c r="Y59" i="168" s="1"/>
  <c r="F60" i="157"/>
  <c r="X59" i="157"/>
  <c r="Y59" i="157" s="1"/>
  <c r="F63" i="155"/>
  <c r="X62" i="155"/>
  <c r="Y62" i="155" s="1"/>
  <c r="F61" i="156"/>
  <c r="X60" i="156"/>
  <c r="Y60" i="156" s="1"/>
  <c r="Y72" i="163"/>
  <c r="Z72" i="163" s="1"/>
  <c r="G73" i="163"/>
  <c r="D52" i="110"/>
  <c r="D51" i="109"/>
  <c r="G75" i="164"/>
  <c r="Y74" i="164"/>
  <c r="Z74" i="164" s="1"/>
  <c r="G59" i="142"/>
  <c r="X58" i="142"/>
  <c r="Y58" i="142" s="1"/>
  <c r="E62" i="142"/>
  <c r="V61" i="142"/>
  <c r="C62" i="142"/>
  <c r="AE60" i="142"/>
  <c r="F60" i="142"/>
  <c r="W60" i="142" s="1"/>
  <c r="Y61" i="140"/>
  <c r="E64" i="143"/>
  <c r="G60" i="143"/>
  <c r="F61" i="143"/>
  <c r="C63" i="143"/>
  <c r="C61" i="139"/>
  <c r="F61" i="139"/>
  <c r="G60" i="139"/>
  <c r="E63" i="139"/>
  <c r="AE63" i="140"/>
  <c r="C63" i="140"/>
  <c r="F63" i="140"/>
  <c r="E63" i="140"/>
  <c r="V62" i="140"/>
  <c r="W62" i="140"/>
  <c r="G62" i="140"/>
  <c r="X62" i="140" s="1"/>
  <c r="D77" i="113"/>
  <c r="C20" i="77"/>
  <c r="D21" i="87"/>
  <c r="C21" i="87"/>
  <c r="H20" i="88"/>
  <c r="F22" i="88"/>
  <c r="E21" i="88"/>
  <c r="L20" i="88"/>
  <c r="X74" i="146" l="1"/>
  <c r="Y74" i="146" s="1"/>
  <c r="F76" i="146"/>
  <c r="F77" i="146" s="1"/>
  <c r="X77" i="146" s="1"/>
  <c r="Y77" i="146" s="1"/>
  <c r="V76" i="147"/>
  <c r="F76" i="147"/>
  <c r="W76" i="147" s="1"/>
  <c r="D78" i="157"/>
  <c r="V77" i="157"/>
  <c r="V79" i="168"/>
  <c r="D80" i="168"/>
  <c r="AD106" i="147"/>
  <c r="AD77" i="147"/>
  <c r="E77" i="147"/>
  <c r="E48" i="147"/>
  <c r="AD48" i="147"/>
  <c r="AD19" i="147"/>
  <c r="E106" i="147"/>
  <c r="E19" i="147"/>
  <c r="C21" i="89"/>
  <c r="F76" i="166"/>
  <c r="X75" i="166"/>
  <c r="Y75" i="166" s="1"/>
  <c r="E78" i="164"/>
  <c r="W77" i="164"/>
  <c r="D76" i="167"/>
  <c r="V75" i="167"/>
  <c r="F77" i="165"/>
  <c r="X76" i="165"/>
  <c r="Y76" i="165" s="1"/>
  <c r="V105" i="147"/>
  <c r="F105" i="147"/>
  <c r="W105" i="147" s="1"/>
  <c r="D77" i="146"/>
  <c r="V76" i="146"/>
  <c r="X75" i="147"/>
  <c r="D78" i="165"/>
  <c r="V77" i="165"/>
  <c r="V18" i="147"/>
  <c r="F18" i="147"/>
  <c r="W18" i="147" s="1"/>
  <c r="B20" i="147"/>
  <c r="B20" i="91"/>
  <c r="X46" i="147"/>
  <c r="V47" i="147"/>
  <c r="X47" i="147" s="1"/>
  <c r="F47" i="147"/>
  <c r="W47" i="147" s="1"/>
  <c r="E79" i="163"/>
  <c r="W78" i="163"/>
  <c r="C62" i="138"/>
  <c r="F76" i="167"/>
  <c r="X75" i="167"/>
  <c r="Y75" i="167" s="1"/>
  <c r="D77" i="166"/>
  <c r="V76" i="166"/>
  <c r="F61" i="168"/>
  <c r="X60" i="168"/>
  <c r="Y60" i="168" s="1"/>
  <c r="X60" i="157"/>
  <c r="Y60" i="157" s="1"/>
  <c r="F61" i="157"/>
  <c r="X61" i="156"/>
  <c r="Y61" i="156" s="1"/>
  <c r="F62" i="156"/>
  <c r="F64" i="155"/>
  <c r="X63" i="155"/>
  <c r="Y63" i="155" s="1"/>
  <c r="G74" i="163"/>
  <c r="Y73" i="163"/>
  <c r="Z73" i="163" s="1"/>
  <c r="D52" i="109"/>
  <c r="D53" i="110"/>
  <c r="G76" i="164"/>
  <c r="Y75" i="164"/>
  <c r="Z75" i="164" s="1"/>
  <c r="G60" i="142"/>
  <c r="X59" i="142"/>
  <c r="Y59" i="142" s="1"/>
  <c r="E63" i="142"/>
  <c r="V62" i="142"/>
  <c r="C63" i="142"/>
  <c r="AE61" i="142"/>
  <c r="F61" i="142"/>
  <c r="W61" i="142" s="1"/>
  <c r="C64" i="143"/>
  <c r="F62" i="143"/>
  <c r="G61" i="143"/>
  <c r="E65" i="143"/>
  <c r="G61" i="139"/>
  <c r="E64" i="139"/>
  <c r="C62" i="139"/>
  <c r="F62" i="139"/>
  <c r="Y62" i="140"/>
  <c r="V63" i="140"/>
  <c r="E64" i="140"/>
  <c r="F64" i="140"/>
  <c r="AE64" i="140"/>
  <c r="C64" i="140"/>
  <c r="G63" i="140"/>
  <c r="X63" i="140" s="1"/>
  <c r="W63" i="140"/>
  <c r="D78" i="113"/>
  <c r="C21" i="77"/>
  <c r="C22" i="87"/>
  <c r="D22" i="87"/>
  <c r="L21" i="88"/>
  <c r="E22" i="88"/>
  <c r="F23" i="88"/>
  <c r="H21" i="88"/>
  <c r="F78" i="146" l="1"/>
  <c r="X78" i="146" s="1"/>
  <c r="Y78" i="146" s="1"/>
  <c r="X76" i="146"/>
  <c r="Y76" i="146" s="1"/>
  <c r="D79" i="157"/>
  <c r="V78" i="157"/>
  <c r="D78" i="166"/>
  <c r="V77" i="166"/>
  <c r="X105" i="147"/>
  <c r="E79" i="164"/>
  <c r="W78" i="164"/>
  <c r="V48" i="147"/>
  <c r="F48" i="147"/>
  <c r="W48" i="147" s="1"/>
  <c r="D79" i="165"/>
  <c r="V78" i="165"/>
  <c r="F77" i="147"/>
  <c r="W77" i="147" s="1"/>
  <c r="V77" i="147"/>
  <c r="X76" i="147"/>
  <c r="F77" i="167"/>
  <c r="X76" i="167"/>
  <c r="Y76" i="167" s="1"/>
  <c r="F78" i="165"/>
  <c r="X77" i="165"/>
  <c r="Y77" i="165" s="1"/>
  <c r="F77" i="166"/>
  <c r="X76" i="166"/>
  <c r="Y76" i="166" s="1"/>
  <c r="B21" i="147"/>
  <c r="B21" i="91"/>
  <c r="C63" i="138"/>
  <c r="C22" i="89"/>
  <c r="D78" i="146"/>
  <c r="V77" i="146"/>
  <c r="V19" i="147"/>
  <c r="F19" i="147"/>
  <c r="W19" i="147" s="1"/>
  <c r="X19" i="147" s="1"/>
  <c r="D81" i="168"/>
  <c r="V80" i="168"/>
  <c r="E80" i="163"/>
  <c r="W79" i="163"/>
  <c r="AD20" i="147"/>
  <c r="E107" i="147"/>
  <c r="AD107" i="147"/>
  <c r="AD78" i="147"/>
  <c r="AD49" i="147"/>
  <c r="E78" i="147"/>
  <c r="E49" i="147"/>
  <c r="E20" i="147"/>
  <c r="V106" i="147"/>
  <c r="F106" i="147"/>
  <c r="W106" i="147" s="1"/>
  <c r="X18" i="147"/>
  <c r="D77" i="167"/>
  <c r="V76" i="167"/>
  <c r="F62" i="168"/>
  <c r="X61" i="168"/>
  <c r="Y61" i="168" s="1"/>
  <c r="X61" i="157"/>
  <c r="Y61" i="157" s="1"/>
  <c r="F62" i="157"/>
  <c r="X62" i="156"/>
  <c r="Y62" i="156" s="1"/>
  <c r="F63" i="156"/>
  <c r="F65" i="155"/>
  <c r="X64" i="155"/>
  <c r="Y64" i="155" s="1"/>
  <c r="G75" i="163"/>
  <c r="Y74" i="163"/>
  <c r="Z74" i="163" s="1"/>
  <c r="D54" i="110"/>
  <c r="D53" i="109"/>
  <c r="G77" i="164"/>
  <c r="Y76" i="164"/>
  <c r="Z76" i="164" s="1"/>
  <c r="C64" i="142"/>
  <c r="AE62" i="142"/>
  <c r="F62" i="142"/>
  <c r="W62" i="142" s="1"/>
  <c r="E64" i="142"/>
  <c r="V63" i="142"/>
  <c r="G61" i="142"/>
  <c r="X60" i="142"/>
  <c r="Y60" i="142" s="1"/>
  <c r="G62" i="143"/>
  <c r="E66" i="143"/>
  <c r="F63" i="143"/>
  <c r="C65" i="143"/>
  <c r="G62" i="139"/>
  <c r="E65" i="139"/>
  <c r="C63" i="139"/>
  <c r="F63" i="139"/>
  <c r="Y63" i="140"/>
  <c r="W64" i="140"/>
  <c r="G64" i="140"/>
  <c r="X64" i="140" s="1"/>
  <c r="V64" i="140"/>
  <c r="E65" i="140"/>
  <c r="AE65" i="140"/>
  <c r="C65" i="140"/>
  <c r="F65" i="140"/>
  <c r="D79" i="113"/>
  <c r="D80" i="113" s="1"/>
  <c r="C22" i="77"/>
  <c r="C23" i="87"/>
  <c r="D23" i="87"/>
  <c r="L22" i="88"/>
  <c r="F24" i="88"/>
  <c r="E23" i="88"/>
  <c r="H22" i="88"/>
  <c r="F79" i="146" l="1"/>
  <c r="F80" i="146" s="1"/>
  <c r="V78" i="147"/>
  <c r="F78" i="147"/>
  <c r="W78" i="147" s="1"/>
  <c r="C23" i="89"/>
  <c r="X48" i="147"/>
  <c r="D82" i="168"/>
  <c r="V81" i="168"/>
  <c r="C64" i="138"/>
  <c r="E21" i="147"/>
  <c r="AD50" i="147"/>
  <c r="E79" i="147"/>
  <c r="AD21" i="147"/>
  <c r="AD79" i="147"/>
  <c r="E50" i="147"/>
  <c r="E108" i="147"/>
  <c r="AD108" i="147"/>
  <c r="V107" i="147"/>
  <c r="F107" i="147"/>
  <c r="W107" i="147" s="1"/>
  <c r="F78" i="167"/>
  <c r="X77" i="167"/>
  <c r="Y77" i="167" s="1"/>
  <c r="D80" i="165"/>
  <c r="V79" i="165"/>
  <c r="X106" i="147"/>
  <c r="D79" i="146"/>
  <c r="V78" i="146"/>
  <c r="F78" i="166"/>
  <c r="X77" i="166"/>
  <c r="Y77" i="166" s="1"/>
  <c r="D79" i="166"/>
  <c r="V78" i="166"/>
  <c r="D78" i="167"/>
  <c r="V77" i="167"/>
  <c r="E80" i="164"/>
  <c r="W79" i="164"/>
  <c r="B22" i="147"/>
  <c r="B22" i="91"/>
  <c r="V20" i="147"/>
  <c r="F20" i="147"/>
  <c r="W20" i="147" s="1"/>
  <c r="X20" i="147" s="1"/>
  <c r="X77" i="147"/>
  <c r="V49" i="147"/>
  <c r="F49" i="147"/>
  <c r="W49" i="147" s="1"/>
  <c r="E81" i="163"/>
  <c r="W80" i="163"/>
  <c r="F79" i="165"/>
  <c r="X78" i="165"/>
  <c r="Y78" i="165" s="1"/>
  <c r="D80" i="157"/>
  <c r="V79" i="157"/>
  <c r="F63" i="168"/>
  <c r="X62" i="168"/>
  <c r="Y62" i="168" s="1"/>
  <c r="F63" i="157"/>
  <c r="X62" i="157"/>
  <c r="Y62" i="157" s="1"/>
  <c r="F66" i="155"/>
  <c r="X65" i="155"/>
  <c r="Y65" i="155" s="1"/>
  <c r="X63" i="156"/>
  <c r="Y63" i="156" s="1"/>
  <c r="F64" i="156"/>
  <c r="G76" i="163"/>
  <c r="Y75" i="163"/>
  <c r="Z75" i="163" s="1"/>
  <c r="D54" i="109"/>
  <c r="D55" i="110"/>
  <c r="G78" i="164"/>
  <c r="Y77" i="164"/>
  <c r="Z77" i="164" s="1"/>
  <c r="G62" i="142"/>
  <c r="X61" i="142"/>
  <c r="Y61" i="142" s="1"/>
  <c r="E65" i="142"/>
  <c r="V64" i="142"/>
  <c r="C65" i="142"/>
  <c r="AE63" i="142"/>
  <c r="F63" i="142"/>
  <c r="W63" i="142" s="1"/>
  <c r="G63" i="143"/>
  <c r="C66" i="143"/>
  <c r="F64" i="143"/>
  <c r="E67" i="143"/>
  <c r="E66" i="139"/>
  <c r="C64" i="139"/>
  <c r="F64" i="139"/>
  <c r="G63" i="139"/>
  <c r="Y64" i="140"/>
  <c r="G65" i="140"/>
  <c r="X65" i="140" s="1"/>
  <c r="W65" i="140"/>
  <c r="F66" i="140"/>
  <c r="C66" i="140"/>
  <c r="AE66" i="140"/>
  <c r="V65" i="140"/>
  <c r="E66" i="140"/>
  <c r="D81" i="113"/>
  <c r="D82" i="113" s="1"/>
  <c r="C23" i="77"/>
  <c r="C24" i="87"/>
  <c r="D24" i="87"/>
  <c r="H23" i="88"/>
  <c r="F25" i="88"/>
  <c r="L23" i="88"/>
  <c r="E24" i="88"/>
  <c r="X79" i="146" l="1"/>
  <c r="Y79" i="146" s="1"/>
  <c r="D81" i="157"/>
  <c r="V80" i="157"/>
  <c r="D80" i="146"/>
  <c r="V79" i="146"/>
  <c r="D79" i="167"/>
  <c r="V78" i="167"/>
  <c r="X107" i="147"/>
  <c r="C65" i="138"/>
  <c r="F80" i="165"/>
  <c r="X79" i="165"/>
  <c r="Y79" i="165" s="1"/>
  <c r="V79" i="147"/>
  <c r="F79" i="147"/>
  <c r="W79" i="147" s="1"/>
  <c r="D80" i="166"/>
  <c r="V79" i="166"/>
  <c r="D81" i="165"/>
  <c r="V80" i="165"/>
  <c r="V82" i="168"/>
  <c r="D83" i="168"/>
  <c r="E82" i="163"/>
  <c r="W81" i="163"/>
  <c r="V21" i="147"/>
  <c r="F21" i="147"/>
  <c r="W21" i="147" s="1"/>
  <c r="X21" i="147" s="1"/>
  <c r="E51" i="147"/>
  <c r="E22" i="147"/>
  <c r="AD109" i="147"/>
  <c r="E80" i="147"/>
  <c r="AD22" i="147"/>
  <c r="AD80" i="147"/>
  <c r="E109" i="147"/>
  <c r="AD51" i="147"/>
  <c r="F79" i="167"/>
  <c r="X78" i="167"/>
  <c r="Y78" i="167" s="1"/>
  <c r="C24" i="89"/>
  <c r="B23" i="147"/>
  <c r="B23" i="91"/>
  <c r="X49" i="147"/>
  <c r="F79" i="166"/>
  <c r="X78" i="166"/>
  <c r="Y78" i="166" s="1"/>
  <c r="F108" i="147"/>
  <c r="W108" i="147" s="1"/>
  <c r="V108" i="147"/>
  <c r="E81" i="164"/>
  <c r="W80" i="164"/>
  <c r="V50" i="147"/>
  <c r="F50" i="147"/>
  <c r="W50" i="147" s="1"/>
  <c r="X78" i="147"/>
  <c r="X63" i="168"/>
  <c r="Y63" i="168" s="1"/>
  <c r="F64" i="168"/>
  <c r="X63" i="157"/>
  <c r="Y63" i="157" s="1"/>
  <c r="F64" i="157"/>
  <c r="F65" i="156"/>
  <c r="X64" i="156"/>
  <c r="Y64" i="156" s="1"/>
  <c r="F67" i="155"/>
  <c r="X66" i="155"/>
  <c r="Y66" i="155" s="1"/>
  <c r="X80" i="146"/>
  <c r="Y80" i="146" s="1"/>
  <c r="F81" i="146"/>
  <c r="G77" i="163"/>
  <c r="Y76" i="163"/>
  <c r="Z76" i="163" s="1"/>
  <c r="D56" i="110"/>
  <c r="D55" i="109"/>
  <c r="G79" i="164"/>
  <c r="Y78" i="164"/>
  <c r="Z78" i="164" s="1"/>
  <c r="G63" i="142"/>
  <c r="X62" i="142"/>
  <c r="Y62" i="142" s="1"/>
  <c r="E66" i="142"/>
  <c r="V65" i="142"/>
  <c r="C66" i="142"/>
  <c r="AE64" i="142"/>
  <c r="F64" i="142"/>
  <c r="W64" i="142" s="1"/>
  <c r="E68" i="143"/>
  <c r="G64" i="143"/>
  <c r="F65" i="143"/>
  <c r="C67" i="143"/>
  <c r="C65" i="139"/>
  <c r="F65" i="139"/>
  <c r="E67" i="139"/>
  <c r="G64" i="139"/>
  <c r="E67" i="140"/>
  <c r="V66" i="140"/>
  <c r="W66" i="140"/>
  <c r="G66" i="140"/>
  <c r="X66" i="140" s="1"/>
  <c r="Y65" i="140"/>
  <c r="AE67" i="140"/>
  <c r="C67" i="140"/>
  <c r="F67" i="140"/>
  <c r="D83" i="113"/>
  <c r="C24" i="77"/>
  <c r="D25" i="87"/>
  <c r="C25" i="87"/>
  <c r="L24" i="88"/>
  <c r="F26" i="88"/>
  <c r="E25" i="88"/>
  <c r="H24" i="88"/>
  <c r="F80" i="167" l="1"/>
  <c r="X79" i="167"/>
  <c r="Y79" i="167" s="1"/>
  <c r="D81" i="166"/>
  <c r="V80" i="166"/>
  <c r="X50" i="147"/>
  <c r="V22" i="147"/>
  <c r="F22" i="147"/>
  <c r="W22" i="147" s="1"/>
  <c r="F80" i="166"/>
  <c r="X79" i="166"/>
  <c r="Y79" i="166" s="1"/>
  <c r="V51" i="147"/>
  <c r="F51" i="147"/>
  <c r="W51" i="147" s="1"/>
  <c r="X51" i="147" s="1"/>
  <c r="E83" i="163"/>
  <c r="W82" i="163"/>
  <c r="X79" i="147"/>
  <c r="D80" i="167"/>
  <c r="V79" i="167"/>
  <c r="V83" i="168"/>
  <c r="D84" i="168"/>
  <c r="E82" i="164"/>
  <c r="W81" i="164"/>
  <c r="F109" i="147"/>
  <c r="W109" i="147" s="1"/>
  <c r="V109" i="147"/>
  <c r="B24" i="91"/>
  <c r="E110" i="147"/>
  <c r="E81" i="147"/>
  <c r="E52" i="147"/>
  <c r="E23" i="147"/>
  <c r="AD81" i="147"/>
  <c r="AD23" i="147"/>
  <c r="AD52" i="147"/>
  <c r="AD110" i="147"/>
  <c r="F81" i="165"/>
  <c r="X80" i="165"/>
  <c r="Y80" i="165" s="1"/>
  <c r="D81" i="146"/>
  <c r="V80" i="146"/>
  <c r="C25" i="89"/>
  <c r="D82" i="165"/>
  <c r="V81" i="165"/>
  <c r="C66" i="138"/>
  <c r="X108" i="147"/>
  <c r="F80" i="147"/>
  <c r="W80" i="147" s="1"/>
  <c r="V80" i="147"/>
  <c r="D82" i="157"/>
  <c r="V81" i="157"/>
  <c r="X64" i="168"/>
  <c r="Y64" i="168" s="1"/>
  <c r="F65" i="168"/>
  <c r="F65" i="157"/>
  <c r="X64" i="157"/>
  <c r="Y64" i="157" s="1"/>
  <c r="X65" i="156"/>
  <c r="Y65" i="156" s="1"/>
  <c r="F66" i="156"/>
  <c r="F68" i="155"/>
  <c r="X67" i="155"/>
  <c r="Y67" i="155" s="1"/>
  <c r="X81" i="146"/>
  <c r="Y81" i="146" s="1"/>
  <c r="F82" i="146"/>
  <c r="G78" i="163"/>
  <c r="Y77" i="163"/>
  <c r="Z77" i="163" s="1"/>
  <c r="D56" i="109"/>
  <c r="D57" i="110"/>
  <c r="G80" i="164"/>
  <c r="Y79" i="164"/>
  <c r="Z79" i="164" s="1"/>
  <c r="E67" i="142"/>
  <c r="V66" i="142"/>
  <c r="C67" i="142"/>
  <c r="AE65" i="142"/>
  <c r="F65" i="142"/>
  <c r="W65" i="142" s="1"/>
  <c r="G64" i="142"/>
  <c r="X63" i="142"/>
  <c r="Y63" i="142" s="1"/>
  <c r="C68" i="143"/>
  <c r="F66" i="143"/>
  <c r="G65" i="143"/>
  <c r="E69" i="143"/>
  <c r="G65" i="139"/>
  <c r="E68" i="139"/>
  <c r="C66" i="139"/>
  <c r="F66" i="139"/>
  <c r="G67" i="140"/>
  <c r="X67" i="140" s="1"/>
  <c r="W67" i="140"/>
  <c r="Y66" i="140"/>
  <c r="F68" i="140"/>
  <c r="AE68" i="140"/>
  <c r="C68" i="140"/>
  <c r="V67" i="140"/>
  <c r="E68" i="140"/>
  <c r="D84" i="113"/>
  <c r="C25" i="77"/>
  <c r="C26" i="87"/>
  <c r="D26" i="87"/>
  <c r="L25" i="88"/>
  <c r="F27" i="88"/>
  <c r="E26" i="88"/>
  <c r="H25" i="88"/>
  <c r="X109" i="147" l="1"/>
  <c r="D82" i="166"/>
  <c r="V81" i="166"/>
  <c r="AL14" i="147"/>
  <c r="D82" i="146"/>
  <c r="V81" i="146"/>
  <c r="D81" i="167"/>
  <c r="V80" i="167"/>
  <c r="F81" i="166"/>
  <c r="X80" i="166"/>
  <c r="Y80" i="166" s="1"/>
  <c r="V23" i="147"/>
  <c r="F23" i="147"/>
  <c r="J17" i="147"/>
  <c r="Q8" i="147" s="1"/>
  <c r="R8" i="147" s="1"/>
  <c r="S8" i="147" s="1"/>
  <c r="J19" i="147"/>
  <c r="J18" i="147"/>
  <c r="F81" i="167"/>
  <c r="X80" i="167"/>
  <c r="Y80" i="167" s="1"/>
  <c r="D83" i="157"/>
  <c r="V82" i="157"/>
  <c r="C67" i="138"/>
  <c r="F82" i="165"/>
  <c r="X81" i="165"/>
  <c r="Y81" i="165" s="1"/>
  <c r="V52" i="147"/>
  <c r="F52" i="147"/>
  <c r="J47" i="147"/>
  <c r="J48" i="147"/>
  <c r="J46" i="147"/>
  <c r="Q37" i="147" s="1"/>
  <c r="R37" i="147" s="1"/>
  <c r="S37" i="147" s="1"/>
  <c r="E83" i="164"/>
  <c r="W82" i="164"/>
  <c r="X22" i="147"/>
  <c r="V81" i="147"/>
  <c r="X82" i="147" s="1"/>
  <c r="F81" i="147"/>
  <c r="J75" i="147"/>
  <c r="Q65" i="147" s="1"/>
  <c r="J76" i="147"/>
  <c r="J77" i="147"/>
  <c r="V84" i="168"/>
  <c r="D85" i="168"/>
  <c r="X80" i="147"/>
  <c r="D83" i="165"/>
  <c r="V82" i="165"/>
  <c r="V110" i="147"/>
  <c r="F110" i="147"/>
  <c r="J106" i="147"/>
  <c r="J104" i="147"/>
  <c r="Q94" i="147" s="1"/>
  <c r="J105" i="147"/>
  <c r="E84" i="163"/>
  <c r="W83" i="163"/>
  <c r="AM16" i="147"/>
  <c r="AL10" i="147"/>
  <c r="AL16" i="147" s="1"/>
  <c r="B25" i="91"/>
  <c r="C26" i="89"/>
  <c r="F66" i="168"/>
  <c r="X65" i="168"/>
  <c r="Y65" i="168" s="1"/>
  <c r="F66" i="157"/>
  <c r="X65" i="157"/>
  <c r="Y65" i="157" s="1"/>
  <c r="F69" i="155"/>
  <c r="X68" i="155"/>
  <c r="Y68" i="155" s="1"/>
  <c r="X66" i="156"/>
  <c r="Y66" i="156" s="1"/>
  <c r="F67" i="156"/>
  <c r="X82" i="146"/>
  <c r="Y82" i="146" s="1"/>
  <c r="F83" i="146"/>
  <c r="G79" i="163"/>
  <c r="Y78" i="163"/>
  <c r="Z78" i="163" s="1"/>
  <c r="D58" i="110"/>
  <c r="D57" i="109"/>
  <c r="G81" i="164"/>
  <c r="Y80" i="164"/>
  <c r="Z80" i="164" s="1"/>
  <c r="C68" i="142"/>
  <c r="AE66" i="142"/>
  <c r="F66" i="142"/>
  <c r="W66" i="142" s="1"/>
  <c r="E68" i="142"/>
  <c r="V67" i="142"/>
  <c r="G65" i="142"/>
  <c r="X64" i="142"/>
  <c r="Y64" i="142" s="1"/>
  <c r="Y67" i="140"/>
  <c r="G66" i="143"/>
  <c r="F67" i="143"/>
  <c r="C69" i="143"/>
  <c r="E70" i="143"/>
  <c r="G66" i="139"/>
  <c r="C67" i="139"/>
  <c r="F67" i="139"/>
  <c r="E69" i="139"/>
  <c r="W68" i="140"/>
  <c r="G68" i="140"/>
  <c r="X68" i="140" s="1"/>
  <c r="V68" i="140"/>
  <c r="E69" i="140"/>
  <c r="AE69" i="140"/>
  <c r="C69" i="140"/>
  <c r="F69" i="140"/>
  <c r="D85" i="113"/>
  <c r="C26" i="77"/>
  <c r="C27" i="87"/>
  <c r="D27" i="87"/>
  <c r="L26" i="88"/>
  <c r="H26" i="88"/>
  <c r="E27" i="88"/>
  <c r="F28" i="88"/>
  <c r="AL15" i="147" l="1"/>
  <c r="AP19" i="147" s="1"/>
  <c r="AD82" i="147"/>
  <c r="X83" i="147"/>
  <c r="X111" i="147"/>
  <c r="W23" i="147"/>
  <c r="J15" i="147"/>
  <c r="J9" i="147"/>
  <c r="J16" i="147" s="1"/>
  <c r="J14" i="147"/>
  <c r="D82" i="167"/>
  <c r="V81" i="167"/>
  <c r="AN22" i="147"/>
  <c r="AO22" i="147" s="1"/>
  <c r="AP22" i="147"/>
  <c r="AQ22" i="147"/>
  <c r="AN20" i="147"/>
  <c r="AO20" i="147" s="1"/>
  <c r="AQ20" i="147"/>
  <c r="AP20" i="147"/>
  <c r="R65" i="147"/>
  <c r="S65" i="147" s="1"/>
  <c r="D84" i="157"/>
  <c r="V83" i="157"/>
  <c r="X23" i="147"/>
  <c r="X24" i="147"/>
  <c r="B26" i="91"/>
  <c r="W110" i="147"/>
  <c r="X110" i="147" s="1"/>
  <c r="J96" i="147"/>
  <c r="J103" i="147" s="1"/>
  <c r="J102" i="147"/>
  <c r="J101" i="147"/>
  <c r="C27" i="89"/>
  <c r="D84" i="165"/>
  <c r="V83" i="165"/>
  <c r="W81" i="147"/>
  <c r="J72" i="147"/>
  <c r="J73" i="147"/>
  <c r="J67" i="147"/>
  <c r="D83" i="146"/>
  <c r="V82" i="146"/>
  <c r="E85" i="163"/>
  <c r="W84" i="163"/>
  <c r="X81" i="147"/>
  <c r="X84" i="147"/>
  <c r="W52" i="147"/>
  <c r="J44" i="147"/>
  <c r="J38" i="147"/>
  <c r="J45" i="147" s="1"/>
  <c r="J43" i="147"/>
  <c r="F82" i="167"/>
  <c r="X81" i="167"/>
  <c r="Y81" i="167" s="1"/>
  <c r="AN19" i="147"/>
  <c r="AO19" i="147" s="1"/>
  <c r="AQ19" i="147"/>
  <c r="E84" i="164"/>
  <c r="W83" i="164"/>
  <c r="X53" i="147"/>
  <c r="X52" i="147"/>
  <c r="AN21" i="147"/>
  <c r="AO21" i="147" s="1"/>
  <c r="AP21" i="147"/>
  <c r="AQ21" i="147"/>
  <c r="S62" i="147"/>
  <c r="S64" i="147"/>
  <c r="J81" i="147"/>
  <c r="J83" i="147" s="1"/>
  <c r="S63" i="147"/>
  <c r="R94" i="147"/>
  <c r="S94" i="147" s="1"/>
  <c r="D86" i="168"/>
  <c r="V85" i="168"/>
  <c r="C68" i="138"/>
  <c r="J109" i="147"/>
  <c r="J111" i="147" s="1"/>
  <c r="J108" i="147" s="1"/>
  <c r="S93" i="147"/>
  <c r="J110" i="147"/>
  <c r="J112" i="147" s="1"/>
  <c r="S91" i="147"/>
  <c r="F83" i="165"/>
  <c r="X82" i="165"/>
  <c r="Y82" i="165" s="1"/>
  <c r="J23" i="147"/>
  <c r="J25" i="147" s="1"/>
  <c r="S7" i="147"/>
  <c r="S4" i="147"/>
  <c r="S6" i="147"/>
  <c r="J22" i="147"/>
  <c r="J24" i="147" s="1"/>
  <c r="J21" i="147" s="1"/>
  <c r="S5" i="147"/>
  <c r="F82" i="166"/>
  <c r="X81" i="166"/>
  <c r="Y81" i="166" s="1"/>
  <c r="D83" i="166"/>
  <c r="V82" i="166"/>
  <c r="X66" i="168"/>
  <c r="Y66" i="168" s="1"/>
  <c r="F67" i="168"/>
  <c r="X66" i="157"/>
  <c r="Y66" i="157" s="1"/>
  <c r="F67" i="157"/>
  <c r="X67" i="156"/>
  <c r="Y67" i="156" s="1"/>
  <c r="F68" i="156"/>
  <c r="F70" i="155"/>
  <c r="X69" i="155"/>
  <c r="Y69" i="155" s="1"/>
  <c r="X83" i="146"/>
  <c r="Y83" i="146" s="1"/>
  <c r="F84" i="146"/>
  <c r="G80" i="163"/>
  <c r="Y79" i="163"/>
  <c r="Z79" i="163" s="1"/>
  <c r="D58" i="109"/>
  <c r="D59" i="110"/>
  <c r="G82" i="164"/>
  <c r="Y81" i="164"/>
  <c r="Z81" i="164" s="1"/>
  <c r="E69" i="142"/>
  <c r="V68" i="142"/>
  <c r="G66" i="142"/>
  <c r="X65" i="142"/>
  <c r="Y65" i="142" s="1"/>
  <c r="C69" i="142"/>
  <c r="AE67" i="142"/>
  <c r="F67" i="142"/>
  <c r="W67" i="142" s="1"/>
  <c r="E71" i="143"/>
  <c r="G67" i="143"/>
  <c r="C70" i="143"/>
  <c r="F68" i="143"/>
  <c r="E70" i="139"/>
  <c r="C68" i="139"/>
  <c r="F68" i="139"/>
  <c r="G67" i="139"/>
  <c r="F70" i="140"/>
  <c r="C70" i="140"/>
  <c r="AE70" i="140"/>
  <c r="V69" i="140"/>
  <c r="E70" i="140"/>
  <c r="G69" i="140"/>
  <c r="X69" i="140" s="1"/>
  <c r="W69" i="140"/>
  <c r="Y68" i="140"/>
  <c r="D86" i="113"/>
  <c r="C27" i="77"/>
  <c r="C28" i="87"/>
  <c r="D28" i="87"/>
  <c r="L27" i="88"/>
  <c r="F29" i="88"/>
  <c r="E28" i="88"/>
  <c r="H27" i="88"/>
  <c r="Y35" i="147" l="1"/>
  <c r="Y46" i="147"/>
  <c r="Y33" i="147"/>
  <c r="Y39" i="147"/>
  <c r="Y50" i="147"/>
  <c r="Y54" i="147"/>
  <c r="Y51" i="147"/>
  <c r="Y41" i="147"/>
  <c r="Y40" i="147"/>
  <c r="Y43" i="147"/>
  <c r="Y56" i="147"/>
  <c r="Y44" i="147"/>
  <c r="Y47" i="147"/>
  <c r="Y37" i="147"/>
  <c r="Y57" i="147"/>
  <c r="Y34" i="147"/>
  <c r="Y45" i="147"/>
  <c r="Y52" i="147"/>
  <c r="Y42" i="147"/>
  <c r="Y55" i="147"/>
  <c r="Y38" i="147"/>
  <c r="Y49" i="147"/>
  <c r="Y36" i="147"/>
  <c r="Y53" i="147"/>
  <c r="AA53" i="147" s="1"/>
  <c r="Y48" i="147"/>
  <c r="S35" i="147"/>
  <c r="E85" i="164"/>
  <c r="W84" i="164"/>
  <c r="D84" i="146"/>
  <c r="V83" i="146"/>
  <c r="D85" i="165"/>
  <c r="V84" i="165"/>
  <c r="AD24" i="147"/>
  <c r="X25" i="147"/>
  <c r="J51" i="147"/>
  <c r="J53" i="147" s="1"/>
  <c r="J50" i="147" s="1"/>
  <c r="X112" i="147"/>
  <c r="AD111" i="147"/>
  <c r="C28" i="89"/>
  <c r="S34" i="147"/>
  <c r="X113" i="147"/>
  <c r="AD84" i="147"/>
  <c r="S33" i="147"/>
  <c r="D84" i="166"/>
  <c r="V83" i="166"/>
  <c r="C69" i="138"/>
  <c r="V86" i="168"/>
  <c r="D87" i="168"/>
  <c r="J80" i="147"/>
  <c r="J82" i="147" s="1"/>
  <c r="J79" i="147" s="1"/>
  <c r="J74" i="147"/>
  <c r="D83" i="167"/>
  <c r="V82" i="167"/>
  <c r="AD83" i="147"/>
  <c r="Y96" i="147"/>
  <c r="Y113" i="147"/>
  <c r="Y105" i="147"/>
  <c r="Y98" i="147"/>
  <c r="Y115" i="147"/>
  <c r="Y107" i="147"/>
  <c r="Y104" i="147"/>
  <c r="Y97" i="147"/>
  <c r="Y91" i="147"/>
  <c r="Y100" i="147"/>
  <c r="Y93" i="147"/>
  <c r="Y109" i="147"/>
  <c r="Y102" i="147"/>
  <c r="Y95" i="147"/>
  <c r="Y111" i="147"/>
  <c r="AA111" i="147" s="1"/>
  <c r="Y112" i="147"/>
  <c r="Z112" i="147" s="1"/>
  <c r="Y106" i="147"/>
  <c r="Y99" i="147"/>
  <c r="Y114" i="147"/>
  <c r="Y103" i="147"/>
  <c r="Y92" i="147"/>
  <c r="Y108" i="147"/>
  <c r="Y101" i="147"/>
  <c r="Y94" i="147"/>
  <c r="Y110" i="147"/>
  <c r="AA110" i="147" s="1"/>
  <c r="D85" i="157"/>
  <c r="V84" i="157"/>
  <c r="F83" i="166"/>
  <c r="X82" i="166"/>
  <c r="Y82" i="166" s="1"/>
  <c r="Z52" i="147"/>
  <c r="AA52" i="147"/>
  <c r="Y6" i="147"/>
  <c r="Y8" i="147"/>
  <c r="Y25" i="147"/>
  <c r="Y9" i="147"/>
  <c r="Y4" i="147"/>
  <c r="Y20" i="147"/>
  <c r="Y12" i="147"/>
  <c r="Y16" i="147"/>
  <c r="Y24" i="147"/>
  <c r="AA24" i="147" s="1"/>
  <c r="Y13" i="147"/>
  <c r="Y5" i="147"/>
  <c r="Y21" i="147"/>
  <c r="Y17" i="147"/>
  <c r="Y26" i="147"/>
  <c r="Y28" i="147"/>
  <c r="Y22" i="147"/>
  <c r="Y15" i="147"/>
  <c r="Y10" i="147"/>
  <c r="Y23" i="147"/>
  <c r="AA23" i="147" s="1"/>
  <c r="Y18" i="147"/>
  <c r="Y19" i="147"/>
  <c r="Y14" i="147"/>
  <c r="Y11" i="147"/>
  <c r="Y27" i="147"/>
  <c r="Y7" i="147"/>
  <c r="X85" i="147"/>
  <c r="B27" i="91"/>
  <c r="F84" i="165"/>
  <c r="X83" i="165"/>
  <c r="Y83" i="165" s="1"/>
  <c r="F83" i="167"/>
  <c r="X82" i="167"/>
  <c r="Y82" i="167" s="1"/>
  <c r="S36" i="147"/>
  <c r="S92" i="147"/>
  <c r="X54" i="147"/>
  <c r="AD53" i="147"/>
  <c r="E86" i="163"/>
  <c r="W85" i="163"/>
  <c r="J52" i="147"/>
  <c r="J54" i="147" s="1"/>
  <c r="X67" i="168"/>
  <c r="Y67" i="168" s="1"/>
  <c r="F68" i="168"/>
  <c r="F68" i="157"/>
  <c r="X67" i="157"/>
  <c r="Y67" i="157" s="1"/>
  <c r="X68" i="156"/>
  <c r="Y68" i="156" s="1"/>
  <c r="F69" i="156"/>
  <c r="X70" i="155"/>
  <c r="Y70" i="155" s="1"/>
  <c r="F71" i="155"/>
  <c r="X84" i="146"/>
  <c r="Y84" i="146" s="1"/>
  <c r="F85" i="146"/>
  <c r="G81" i="163"/>
  <c r="Y80" i="163"/>
  <c r="Z80" i="163" s="1"/>
  <c r="D60" i="110"/>
  <c r="D59" i="109"/>
  <c r="G83" i="164"/>
  <c r="Y82" i="164"/>
  <c r="Z82" i="164" s="1"/>
  <c r="C70" i="142"/>
  <c r="AE68" i="142"/>
  <c r="F68" i="142"/>
  <c r="W68" i="142" s="1"/>
  <c r="G67" i="142"/>
  <c r="X66" i="142"/>
  <c r="Y66" i="142" s="1"/>
  <c r="E70" i="142"/>
  <c r="V69" i="142"/>
  <c r="C71" i="143"/>
  <c r="F69" i="143"/>
  <c r="G68" i="143"/>
  <c r="E72" i="143"/>
  <c r="C69" i="139"/>
  <c r="F69" i="139"/>
  <c r="G68" i="139"/>
  <c r="E71" i="139"/>
  <c r="Y69" i="140"/>
  <c r="AE71" i="140"/>
  <c r="C71" i="140"/>
  <c r="F71" i="140"/>
  <c r="E71" i="140"/>
  <c r="V70" i="140"/>
  <c r="W70" i="140"/>
  <c r="G70" i="140"/>
  <c r="X70" i="140" s="1"/>
  <c r="D87" i="113"/>
  <c r="C28" i="77"/>
  <c r="D29" i="87"/>
  <c r="C29" i="87"/>
  <c r="H28" i="88"/>
  <c r="L28" i="88"/>
  <c r="F30" i="88"/>
  <c r="E29" i="88"/>
  <c r="Z53" i="147" l="1"/>
  <c r="X114" i="147"/>
  <c r="AA113" i="147"/>
  <c r="AD113" i="147"/>
  <c r="Z113" i="147"/>
  <c r="B28" i="91"/>
  <c r="F85" i="165"/>
  <c r="X84" i="165"/>
  <c r="Y84" i="165" s="1"/>
  <c r="Z18" i="147"/>
  <c r="AA18" i="147"/>
  <c r="AA21" i="147"/>
  <c r="Z21" i="147"/>
  <c r="Z9" i="147"/>
  <c r="AA9" i="147"/>
  <c r="AA103" i="147"/>
  <c r="Z103" i="147"/>
  <c r="AA109" i="147"/>
  <c r="Z109" i="147"/>
  <c r="Z98" i="147"/>
  <c r="AA98" i="147"/>
  <c r="AD112" i="147"/>
  <c r="AA112" i="147"/>
  <c r="X115" i="147"/>
  <c r="D86" i="165"/>
  <c r="V85" i="165"/>
  <c r="Z36" i="147"/>
  <c r="AA36" i="147"/>
  <c r="Z51" i="147"/>
  <c r="AA51" i="147"/>
  <c r="D86" i="157"/>
  <c r="V85" i="157"/>
  <c r="D85" i="146"/>
  <c r="V84" i="146"/>
  <c r="Z5" i="147"/>
  <c r="AA5" i="147"/>
  <c r="AA93" i="147"/>
  <c r="Z93" i="147"/>
  <c r="AA105" i="147"/>
  <c r="Z105" i="147"/>
  <c r="C70" i="138"/>
  <c r="Z49" i="147"/>
  <c r="AA49" i="147"/>
  <c r="Z37" i="147"/>
  <c r="AA37" i="147"/>
  <c r="AA7" i="147"/>
  <c r="Z7" i="147"/>
  <c r="Z15" i="147"/>
  <c r="AA15" i="147"/>
  <c r="AA6" i="147"/>
  <c r="Z6" i="147"/>
  <c r="AA106" i="147"/>
  <c r="Z106" i="147"/>
  <c r="Z91" i="147"/>
  <c r="AA91" i="147"/>
  <c r="Z96" i="147"/>
  <c r="AA96" i="147"/>
  <c r="D84" i="167"/>
  <c r="V83" i="167"/>
  <c r="D85" i="166"/>
  <c r="V84" i="166"/>
  <c r="Z24" i="147"/>
  <c r="Z44" i="147"/>
  <c r="AA44" i="147"/>
  <c r="AA39" i="147"/>
  <c r="Z39" i="147"/>
  <c r="X86" i="147"/>
  <c r="AD85" i="147"/>
  <c r="Z13" i="147"/>
  <c r="AA13" i="147"/>
  <c r="AA99" i="147"/>
  <c r="Z99" i="147"/>
  <c r="Z100" i="147"/>
  <c r="AA100" i="147"/>
  <c r="AA47" i="147"/>
  <c r="Z47" i="147"/>
  <c r="Z22" i="147"/>
  <c r="AA22" i="147"/>
  <c r="Z16" i="147"/>
  <c r="AA16" i="147"/>
  <c r="AA94" i="147"/>
  <c r="Z94" i="147"/>
  <c r="Z97" i="147"/>
  <c r="AA97" i="147"/>
  <c r="Y65" i="147"/>
  <c r="Y73" i="147"/>
  <c r="Y81" i="147"/>
  <c r="Y82" i="147"/>
  <c r="Y66" i="147"/>
  <c r="Y74" i="147"/>
  <c r="Y83" i="147"/>
  <c r="Y69" i="147"/>
  <c r="Y86" i="147"/>
  <c r="Y67" i="147"/>
  <c r="Y75" i="147"/>
  <c r="Y84" i="147"/>
  <c r="Y68" i="147"/>
  <c r="Y76" i="147"/>
  <c r="Y62" i="147"/>
  <c r="Y85" i="147"/>
  <c r="AA85" i="147" s="1"/>
  <c r="Y70" i="147"/>
  <c r="Y78" i="147"/>
  <c r="Y77" i="147"/>
  <c r="Y63" i="147"/>
  <c r="Y71" i="147"/>
  <c r="Y79" i="147"/>
  <c r="Y64" i="147"/>
  <c r="Y72" i="147"/>
  <c r="Y80" i="147"/>
  <c r="X26" i="147"/>
  <c r="X27" i="147" s="1"/>
  <c r="E86" i="164"/>
  <c r="W85" i="164"/>
  <c r="AA42" i="147"/>
  <c r="Z42" i="147"/>
  <c r="Z33" i="147"/>
  <c r="AA33" i="147"/>
  <c r="Z25" i="147"/>
  <c r="AD25" i="147"/>
  <c r="AA25" i="147"/>
  <c r="E87" i="163"/>
  <c r="W86" i="163"/>
  <c r="Z11" i="147"/>
  <c r="AA11" i="147"/>
  <c r="Z12" i="147"/>
  <c r="AA12" i="147"/>
  <c r="Z101" i="147"/>
  <c r="AA101" i="147"/>
  <c r="Z104" i="147"/>
  <c r="AA104" i="147"/>
  <c r="Z23" i="147"/>
  <c r="C29" i="89"/>
  <c r="Z43" i="147"/>
  <c r="AA43" i="147"/>
  <c r="Z46" i="147"/>
  <c r="AA46" i="147"/>
  <c r="Z38" i="147"/>
  <c r="AA38" i="147"/>
  <c r="F84" i="167"/>
  <c r="X83" i="167"/>
  <c r="Y83" i="167" s="1"/>
  <c r="AA14" i="147"/>
  <c r="Z14" i="147"/>
  <c r="Z20" i="147"/>
  <c r="AA20" i="147"/>
  <c r="Z108" i="147"/>
  <c r="AA108" i="147"/>
  <c r="Z95" i="147"/>
  <c r="AA95" i="147"/>
  <c r="Z107" i="147"/>
  <c r="AA107" i="147"/>
  <c r="Z111" i="147"/>
  <c r="AA48" i="147"/>
  <c r="Z48" i="147"/>
  <c r="AA45" i="147"/>
  <c r="Z45" i="147"/>
  <c r="AA40" i="147"/>
  <c r="Z40" i="147"/>
  <c r="Z35" i="147"/>
  <c r="AA35" i="147"/>
  <c r="AD54" i="147"/>
  <c r="Z54" i="147"/>
  <c r="AA54" i="147"/>
  <c r="X55" i="147"/>
  <c r="AA55" i="147" s="1"/>
  <c r="Z10" i="147"/>
  <c r="AA10" i="147"/>
  <c r="Z8" i="147"/>
  <c r="AA8" i="147"/>
  <c r="Z50" i="147"/>
  <c r="AA50" i="147"/>
  <c r="Z19" i="147"/>
  <c r="AA19" i="147"/>
  <c r="AA17" i="147"/>
  <c r="Z17" i="147"/>
  <c r="AA4" i="147"/>
  <c r="Z4" i="147"/>
  <c r="F84" i="166"/>
  <c r="X83" i="166"/>
  <c r="Y83" i="166" s="1"/>
  <c r="Z92" i="147"/>
  <c r="AA92" i="147"/>
  <c r="Z102" i="147"/>
  <c r="AA102" i="147"/>
  <c r="D88" i="168"/>
  <c r="V87" i="168"/>
  <c r="Z34" i="147"/>
  <c r="AA34" i="147"/>
  <c r="Z41" i="147"/>
  <c r="AA41" i="147"/>
  <c r="Z110" i="147"/>
  <c r="F69" i="168"/>
  <c r="X68" i="168"/>
  <c r="Y68" i="168" s="1"/>
  <c r="F69" i="157"/>
  <c r="X68" i="157"/>
  <c r="Y68" i="157" s="1"/>
  <c r="X71" i="155"/>
  <c r="Y71" i="155" s="1"/>
  <c r="F72" i="155"/>
  <c r="F70" i="156"/>
  <c r="X69" i="156"/>
  <c r="Y69" i="156" s="1"/>
  <c r="F86" i="146"/>
  <c r="F87" i="146" s="1"/>
  <c r="X87" i="146" s="1"/>
  <c r="Y87" i="146" s="1"/>
  <c r="X85" i="146"/>
  <c r="Y85" i="146" s="1"/>
  <c r="G82" i="163"/>
  <c r="Y81" i="163"/>
  <c r="Z81" i="163" s="1"/>
  <c r="D60" i="109"/>
  <c r="D61" i="110"/>
  <c r="G84" i="164"/>
  <c r="Y83" i="164"/>
  <c r="Z83" i="164" s="1"/>
  <c r="G68" i="142"/>
  <c r="X67" i="142"/>
  <c r="Y67" i="142" s="1"/>
  <c r="E71" i="142"/>
  <c r="V70" i="142"/>
  <c r="C71" i="142"/>
  <c r="AE69" i="142"/>
  <c r="F69" i="142"/>
  <c r="W69" i="142" s="1"/>
  <c r="E73" i="143"/>
  <c r="G69" i="143"/>
  <c r="F70" i="143"/>
  <c r="C72" i="143"/>
  <c r="G69" i="139"/>
  <c r="C70" i="139"/>
  <c r="F70" i="139"/>
  <c r="E72" i="139"/>
  <c r="V71" i="140"/>
  <c r="E72" i="140"/>
  <c r="G71" i="140"/>
  <c r="X71" i="140" s="1"/>
  <c r="W71" i="140"/>
  <c r="Y70" i="140"/>
  <c r="F72" i="140"/>
  <c r="AE72" i="140"/>
  <c r="C72" i="140"/>
  <c r="D88" i="113"/>
  <c r="C29" i="77"/>
  <c r="C30" i="87"/>
  <c r="D30" i="87"/>
  <c r="L29" i="88"/>
  <c r="E30" i="88"/>
  <c r="F31" i="88"/>
  <c r="H29" i="88"/>
  <c r="Z85" i="147" l="1"/>
  <c r="AA27" i="147"/>
  <c r="AD27" i="147"/>
  <c r="Z27" i="147"/>
  <c r="D89" i="168"/>
  <c r="V88" i="168"/>
  <c r="F85" i="167"/>
  <c r="X84" i="167"/>
  <c r="Y84" i="167" s="1"/>
  <c r="Z80" i="147"/>
  <c r="AA80" i="147"/>
  <c r="Z70" i="147"/>
  <c r="AA70" i="147"/>
  <c r="Z65" i="147"/>
  <c r="AA65" i="147"/>
  <c r="AA115" i="147"/>
  <c r="AD115" i="147"/>
  <c r="Z115" i="147"/>
  <c r="F86" i="165"/>
  <c r="X85" i="165"/>
  <c r="Y85" i="165" s="1"/>
  <c r="Z72" i="147"/>
  <c r="AA72" i="147"/>
  <c r="Z69" i="147"/>
  <c r="AA69" i="147"/>
  <c r="D87" i="157"/>
  <c r="V86" i="157"/>
  <c r="Z64" i="147"/>
  <c r="AA64" i="147"/>
  <c r="AA62" i="147"/>
  <c r="Z62" i="147"/>
  <c r="Z83" i="147"/>
  <c r="AA83" i="147"/>
  <c r="AA79" i="147"/>
  <c r="Z79" i="147"/>
  <c r="Z76" i="147"/>
  <c r="AA76" i="147"/>
  <c r="AA74" i="147"/>
  <c r="Z74" i="147"/>
  <c r="AD55" i="147"/>
  <c r="Z55" i="147"/>
  <c r="AA26" i="147"/>
  <c r="E88" i="163"/>
  <c r="W87" i="163"/>
  <c r="Z71" i="147"/>
  <c r="AA71" i="147"/>
  <c r="AA68" i="147"/>
  <c r="Z68" i="147"/>
  <c r="Z66" i="147"/>
  <c r="AA66" i="147"/>
  <c r="AA86" i="147"/>
  <c r="Z86" i="147"/>
  <c r="AD86" i="147"/>
  <c r="D86" i="166"/>
  <c r="V85" i="166"/>
  <c r="B29" i="91"/>
  <c r="X28" i="147"/>
  <c r="Z63" i="147"/>
  <c r="AA63" i="147"/>
  <c r="AA84" i="147"/>
  <c r="Z84" i="147"/>
  <c r="Z82" i="147"/>
  <c r="AA82" i="147"/>
  <c r="Z114" i="147"/>
  <c r="AA114" i="147"/>
  <c r="AD114" i="147"/>
  <c r="F85" i="166"/>
  <c r="X84" i="166"/>
  <c r="Y84" i="166" s="1"/>
  <c r="E87" i="164"/>
  <c r="W86" i="164"/>
  <c r="AA77" i="147"/>
  <c r="Z77" i="147"/>
  <c r="Z75" i="147"/>
  <c r="AA75" i="147"/>
  <c r="Z81" i="147"/>
  <c r="AA81" i="147"/>
  <c r="D85" i="167"/>
  <c r="V84" i="167"/>
  <c r="C30" i="89"/>
  <c r="AD26" i="147"/>
  <c r="Z26" i="147"/>
  <c r="Z78" i="147"/>
  <c r="AA78" i="147"/>
  <c r="AA67" i="147"/>
  <c r="Z67" i="147"/>
  <c r="Z73" i="147"/>
  <c r="AA73" i="147"/>
  <c r="C71" i="138"/>
  <c r="D86" i="146"/>
  <c r="V85" i="146"/>
  <c r="D87" i="165"/>
  <c r="V86" i="165"/>
  <c r="X56" i="147"/>
  <c r="X69" i="168"/>
  <c r="Y69" i="168" s="1"/>
  <c r="F70" i="168"/>
  <c r="F70" i="157"/>
  <c r="X69" i="157"/>
  <c r="Y69" i="157" s="1"/>
  <c r="F73" i="155"/>
  <c r="X72" i="155"/>
  <c r="Y72" i="155" s="1"/>
  <c r="F71" i="156"/>
  <c r="X70" i="156"/>
  <c r="Y70" i="156" s="1"/>
  <c r="X86" i="146"/>
  <c r="Y86" i="146" s="1"/>
  <c r="F88" i="146"/>
  <c r="Y82" i="163"/>
  <c r="Z82" i="163" s="1"/>
  <c r="G83" i="163"/>
  <c r="D62" i="110"/>
  <c r="D61" i="109"/>
  <c r="G85" i="164"/>
  <c r="Y84" i="164"/>
  <c r="Z84" i="164" s="1"/>
  <c r="G69" i="142"/>
  <c r="X68" i="142"/>
  <c r="Y68" i="142" s="1"/>
  <c r="E72" i="142"/>
  <c r="V71" i="142"/>
  <c r="C72" i="142"/>
  <c r="AE70" i="142"/>
  <c r="F70" i="142"/>
  <c r="W70" i="142" s="1"/>
  <c r="Y71" i="140"/>
  <c r="C73" i="143"/>
  <c r="F71" i="143"/>
  <c r="G70" i="143"/>
  <c r="E74" i="143"/>
  <c r="E73" i="139"/>
  <c r="C71" i="139"/>
  <c r="F71" i="139"/>
  <c r="G70" i="139"/>
  <c r="W72" i="140"/>
  <c r="G72" i="140"/>
  <c r="X72" i="140" s="1"/>
  <c r="AE73" i="140"/>
  <c r="C73" i="140"/>
  <c r="F73" i="140"/>
  <c r="V72" i="140"/>
  <c r="E73" i="140"/>
  <c r="D89" i="113"/>
  <c r="D90" i="113" s="1"/>
  <c r="C30" i="77"/>
  <c r="C31" i="87"/>
  <c r="D31" i="87"/>
  <c r="L30" i="88"/>
  <c r="F32" i="88"/>
  <c r="E31" i="88"/>
  <c r="H30" i="88"/>
  <c r="C31" i="89" l="1"/>
  <c r="Z28" i="147"/>
  <c r="AD28" i="147"/>
  <c r="AA28" i="147"/>
  <c r="E89" i="163"/>
  <c r="W88" i="163"/>
  <c r="Z56" i="147"/>
  <c r="AD56" i="147"/>
  <c r="AA56" i="147"/>
  <c r="X57" i="147"/>
  <c r="D88" i="157"/>
  <c r="V87" i="157"/>
  <c r="F86" i="167"/>
  <c r="X85" i="167"/>
  <c r="Y85" i="167" s="1"/>
  <c r="D88" i="165"/>
  <c r="V87" i="165"/>
  <c r="D86" i="167"/>
  <c r="V85" i="167"/>
  <c r="E88" i="164"/>
  <c r="W87" i="164"/>
  <c r="D90" i="168"/>
  <c r="V89" i="168"/>
  <c r="D87" i="166"/>
  <c r="V86" i="166"/>
  <c r="B30" i="91"/>
  <c r="D87" i="146"/>
  <c r="V86" i="146"/>
  <c r="F86" i="166"/>
  <c r="X85" i="166"/>
  <c r="Y85" i="166" s="1"/>
  <c r="C72" i="138"/>
  <c r="F87" i="165"/>
  <c r="X86" i="165"/>
  <c r="Y86" i="165" s="1"/>
  <c r="X70" i="168"/>
  <c r="Y70" i="168" s="1"/>
  <c r="F71" i="168"/>
  <c r="X70" i="157"/>
  <c r="Y70" i="157" s="1"/>
  <c r="F71" i="157"/>
  <c r="F74" i="155"/>
  <c r="X73" i="155"/>
  <c r="Y73" i="155" s="1"/>
  <c r="X71" i="156"/>
  <c r="Y71" i="156" s="1"/>
  <c r="F72" i="156"/>
  <c r="F89" i="146"/>
  <c r="X88" i="146"/>
  <c r="Y88" i="146" s="1"/>
  <c r="Y83" i="163"/>
  <c r="Z83" i="163" s="1"/>
  <c r="G84" i="163"/>
  <c r="D62" i="109"/>
  <c r="D63" i="110"/>
  <c r="G86" i="164"/>
  <c r="Y85" i="164"/>
  <c r="Z85" i="164" s="1"/>
  <c r="E73" i="142"/>
  <c r="V72" i="142"/>
  <c r="C73" i="142"/>
  <c r="AE71" i="142"/>
  <c r="F71" i="142"/>
  <c r="W71" i="142" s="1"/>
  <c r="G70" i="142"/>
  <c r="X69" i="142"/>
  <c r="Y69" i="142" s="1"/>
  <c r="E75" i="143"/>
  <c r="G71" i="143"/>
  <c r="F72" i="143"/>
  <c r="C74" i="143"/>
  <c r="C72" i="139"/>
  <c r="F72" i="139"/>
  <c r="E74" i="139"/>
  <c r="G71" i="139"/>
  <c r="V73" i="140"/>
  <c r="E74" i="140"/>
  <c r="G73" i="140"/>
  <c r="X73" i="140" s="1"/>
  <c r="W73" i="140"/>
  <c r="F74" i="140"/>
  <c r="C74" i="140"/>
  <c r="AE74" i="140"/>
  <c r="Y72" i="140"/>
  <c r="D91" i="113"/>
  <c r="C31" i="77"/>
  <c r="C32" i="87"/>
  <c r="D32" i="87"/>
  <c r="F33" i="88"/>
  <c r="H31" i="88"/>
  <c r="L31" i="88"/>
  <c r="E32" i="88"/>
  <c r="D89" i="165" l="1"/>
  <c r="V88" i="165"/>
  <c r="F87" i="166"/>
  <c r="X86" i="166"/>
  <c r="Y86" i="166" s="1"/>
  <c r="D91" i="168"/>
  <c r="V90" i="168"/>
  <c r="F87" i="167"/>
  <c r="X86" i="167"/>
  <c r="Y86" i="167" s="1"/>
  <c r="D88" i="146"/>
  <c r="V87" i="146"/>
  <c r="F88" i="165"/>
  <c r="X87" i="165"/>
  <c r="Y87" i="165" s="1"/>
  <c r="E89" i="164"/>
  <c r="W88" i="164"/>
  <c r="E90" i="163"/>
  <c r="W89" i="163"/>
  <c r="B31" i="91"/>
  <c r="C73" i="138"/>
  <c r="D88" i="166"/>
  <c r="V87" i="166"/>
  <c r="D87" i="167"/>
  <c r="V86" i="167"/>
  <c r="D89" i="157"/>
  <c r="V88" i="157"/>
  <c r="AA57" i="147"/>
  <c r="AD57" i="147"/>
  <c r="Z57" i="147"/>
  <c r="C32" i="89"/>
  <c r="X71" i="168"/>
  <c r="Y71" i="168" s="1"/>
  <c r="F72" i="168"/>
  <c r="X71" i="157"/>
  <c r="Y71" i="157" s="1"/>
  <c r="F72" i="157"/>
  <c r="F73" i="156"/>
  <c r="X72" i="156"/>
  <c r="Y72" i="156" s="1"/>
  <c r="F75" i="155"/>
  <c r="X74" i="155"/>
  <c r="Y74" i="155" s="1"/>
  <c r="F90" i="146"/>
  <c r="X89" i="146"/>
  <c r="Y89" i="146" s="1"/>
  <c r="G85" i="163"/>
  <c r="Y84" i="163"/>
  <c r="Z84" i="163" s="1"/>
  <c r="D64" i="110"/>
  <c r="D63" i="109"/>
  <c r="G87" i="164"/>
  <c r="Y86" i="164"/>
  <c r="Z86" i="164" s="1"/>
  <c r="C74" i="142"/>
  <c r="AE72" i="142"/>
  <c r="F72" i="142"/>
  <c r="W72" i="142" s="1"/>
  <c r="G71" i="142"/>
  <c r="X70" i="142"/>
  <c r="Y70" i="142" s="1"/>
  <c r="E74" i="142"/>
  <c r="V73" i="142"/>
  <c r="Y73" i="140"/>
  <c r="E76" i="143"/>
  <c r="C75" i="143"/>
  <c r="F73" i="143"/>
  <c r="G72" i="143"/>
  <c r="C73" i="139"/>
  <c r="F73" i="139"/>
  <c r="E75" i="139"/>
  <c r="G72" i="139"/>
  <c r="AE75" i="140"/>
  <c r="C75" i="140"/>
  <c r="F75" i="140"/>
  <c r="E75" i="140"/>
  <c r="V74" i="140"/>
  <c r="W74" i="140"/>
  <c r="G74" i="140"/>
  <c r="X74" i="140" s="1"/>
  <c r="D92" i="113"/>
  <c r="D93" i="113" s="1"/>
  <c r="C32" i="77"/>
  <c r="D33" i="87"/>
  <c r="C33" i="87"/>
  <c r="L32" i="88"/>
  <c r="H32" i="88"/>
  <c r="F34" i="88"/>
  <c r="E33" i="88"/>
  <c r="D89" i="166" l="1"/>
  <c r="V88" i="166"/>
  <c r="C74" i="138"/>
  <c r="F89" i="165"/>
  <c r="X88" i="165"/>
  <c r="Y88" i="165" s="1"/>
  <c r="D89" i="146"/>
  <c r="V88" i="146"/>
  <c r="F88" i="166"/>
  <c r="X87" i="166"/>
  <c r="Y87" i="166" s="1"/>
  <c r="B32" i="91"/>
  <c r="D90" i="157"/>
  <c r="V89" i="157"/>
  <c r="E91" i="163"/>
  <c r="W90" i="163"/>
  <c r="F88" i="167"/>
  <c r="X87" i="167"/>
  <c r="Y87" i="167" s="1"/>
  <c r="D90" i="165"/>
  <c r="V89" i="165"/>
  <c r="D88" i="167"/>
  <c r="V87" i="167"/>
  <c r="C33" i="89"/>
  <c r="E90" i="164"/>
  <c r="W89" i="164"/>
  <c r="D92" i="168"/>
  <c r="V91" i="168"/>
  <c r="X72" i="168"/>
  <c r="Y72" i="168" s="1"/>
  <c r="F73" i="168"/>
  <c r="X72" i="157"/>
  <c r="Y72" i="157" s="1"/>
  <c r="F73" i="157"/>
  <c r="X73" i="156"/>
  <c r="Y73" i="156" s="1"/>
  <c r="F74" i="156"/>
  <c r="F76" i="155"/>
  <c r="X75" i="155"/>
  <c r="Y75" i="155" s="1"/>
  <c r="X90" i="146"/>
  <c r="Y90" i="146" s="1"/>
  <c r="F91" i="146"/>
  <c r="G86" i="163"/>
  <c r="Y85" i="163"/>
  <c r="Z85" i="163" s="1"/>
  <c r="D64" i="109"/>
  <c r="D65" i="110"/>
  <c r="G88" i="164"/>
  <c r="Y87" i="164"/>
  <c r="Z87" i="164" s="1"/>
  <c r="G72" i="142"/>
  <c r="X71" i="142"/>
  <c r="Y71" i="142" s="1"/>
  <c r="E75" i="142"/>
  <c r="V74" i="142"/>
  <c r="C75" i="142"/>
  <c r="AE73" i="142"/>
  <c r="F73" i="142"/>
  <c r="W73" i="142" s="1"/>
  <c r="F74" i="143"/>
  <c r="C76" i="143"/>
  <c r="E77" i="143"/>
  <c r="G73" i="143"/>
  <c r="G73" i="139"/>
  <c r="E76" i="139"/>
  <c r="C74" i="139"/>
  <c r="F74" i="139"/>
  <c r="Y74" i="140"/>
  <c r="V75" i="140"/>
  <c r="E76" i="140"/>
  <c r="F76" i="140"/>
  <c r="AE76" i="140"/>
  <c r="C76" i="140"/>
  <c r="G75" i="140"/>
  <c r="X75" i="140" s="1"/>
  <c r="W75" i="140"/>
  <c r="D94" i="113"/>
  <c r="C33" i="77"/>
  <c r="C34" i="87"/>
  <c r="D34" i="87"/>
  <c r="H33" i="88"/>
  <c r="F35" i="88"/>
  <c r="L33" i="88"/>
  <c r="E34" i="88"/>
  <c r="D89" i="167" l="1"/>
  <c r="V88" i="167"/>
  <c r="D91" i="165"/>
  <c r="V90" i="165"/>
  <c r="D91" i="157"/>
  <c r="V90" i="157"/>
  <c r="D93" i="168"/>
  <c r="V92" i="168"/>
  <c r="F90" i="165"/>
  <c r="X89" i="165"/>
  <c r="Y89" i="165" s="1"/>
  <c r="F89" i="167"/>
  <c r="X88" i="167"/>
  <c r="Y88" i="167" s="1"/>
  <c r="C75" i="138"/>
  <c r="E91" i="164"/>
  <c r="W90" i="164"/>
  <c r="F89" i="166"/>
  <c r="X88" i="166"/>
  <c r="Y88" i="166" s="1"/>
  <c r="C34" i="89"/>
  <c r="E92" i="163"/>
  <c r="W91" i="163"/>
  <c r="B33" i="91"/>
  <c r="D90" i="146"/>
  <c r="V89" i="146"/>
  <c r="D90" i="166"/>
  <c r="V89" i="166"/>
  <c r="X73" i="168"/>
  <c r="Y73" i="168" s="1"/>
  <c r="F74" i="168"/>
  <c r="X73" i="157"/>
  <c r="Y73" i="157" s="1"/>
  <c r="F74" i="157"/>
  <c r="F75" i="156"/>
  <c r="X74" i="156"/>
  <c r="Y74" i="156" s="1"/>
  <c r="F77" i="155"/>
  <c r="X76" i="155"/>
  <c r="Y76" i="155" s="1"/>
  <c r="X91" i="146"/>
  <c r="Y91" i="146" s="1"/>
  <c r="F92" i="146"/>
  <c r="Y86" i="163"/>
  <c r="Z86" i="163" s="1"/>
  <c r="G87" i="163"/>
  <c r="D66" i="110"/>
  <c r="D65" i="109"/>
  <c r="G89" i="164"/>
  <c r="Y88" i="164"/>
  <c r="Z88" i="164" s="1"/>
  <c r="G73" i="142"/>
  <c r="X72" i="142"/>
  <c r="Y72" i="142" s="1"/>
  <c r="C76" i="142"/>
  <c r="AE74" i="142"/>
  <c r="F74" i="142"/>
  <c r="W74" i="142" s="1"/>
  <c r="E76" i="142"/>
  <c r="V75" i="142"/>
  <c r="E78" i="143"/>
  <c r="C77" i="143"/>
  <c r="F75" i="143"/>
  <c r="G74" i="143"/>
  <c r="C75" i="139"/>
  <c r="F75" i="139"/>
  <c r="E77" i="139"/>
  <c r="G74" i="139"/>
  <c r="V76" i="140"/>
  <c r="E77" i="140"/>
  <c r="Y75" i="140"/>
  <c r="W76" i="140"/>
  <c r="G76" i="140"/>
  <c r="X76" i="140" s="1"/>
  <c r="AE77" i="140"/>
  <c r="C77" i="140"/>
  <c r="F77" i="140"/>
  <c r="D95" i="113"/>
  <c r="D96" i="113" s="1"/>
  <c r="C34" i="77"/>
  <c r="C35" i="87"/>
  <c r="D35" i="87"/>
  <c r="L34" i="88"/>
  <c r="E35" i="88"/>
  <c r="F36" i="88"/>
  <c r="H34" i="88"/>
  <c r="V93" i="168" l="1"/>
  <c r="D94" i="168"/>
  <c r="C35" i="89"/>
  <c r="E93" i="163"/>
  <c r="W92" i="163"/>
  <c r="F90" i="167"/>
  <c r="X89" i="167"/>
  <c r="Y89" i="167" s="1"/>
  <c r="D91" i="166"/>
  <c r="V90" i="166"/>
  <c r="F90" i="166"/>
  <c r="X89" i="166"/>
  <c r="Y89" i="166" s="1"/>
  <c r="D92" i="157"/>
  <c r="V91" i="157"/>
  <c r="F91" i="165"/>
  <c r="X90" i="165"/>
  <c r="Y90" i="165" s="1"/>
  <c r="D91" i="146"/>
  <c r="V90" i="146"/>
  <c r="E92" i="164"/>
  <c r="W91" i="164"/>
  <c r="D92" i="165"/>
  <c r="V91" i="165"/>
  <c r="C76" i="138"/>
  <c r="B34" i="91"/>
  <c r="D90" i="167"/>
  <c r="V89" i="167"/>
  <c r="X74" i="168"/>
  <c r="Y74" i="168" s="1"/>
  <c r="F75" i="168"/>
  <c r="F75" i="157"/>
  <c r="X74" i="157"/>
  <c r="Y74" i="157" s="1"/>
  <c r="X75" i="156"/>
  <c r="Y75" i="156" s="1"/>
  <c r="F76" i="156"/>
  <c r="X77" i="155"/>
  <c r="Y77" i="155" s="1"/>
  <c r="F78" i="155"/>
  <c r="X92" i="146"/>
  <c r="Y92" i="146" s="1"/>
  <c r="F93" i="146"/>
  <c r="Y87" i="163"/>
  <c r="Z87" i="163" s="1"/>
  <c r="G88" i="163"/>
  <c r="D66" i="109"/>
  <c r="D67" i="110"/>
  <c r="G90" i="164"/>
  <c r="Y89" i="164"/>
  <c r="Z89" i="164" s="1"/>
  <c r="C77" i="142"/>
  <c r="AE75" i="142"/>
  <c r="F75" i="142"/>
  <c r="W75" i="142" s="1"/>
  <c r="E77" i="142"/>
  <c r="V76" i="142"/>
  <c r="G74" i="142"/>
  <c r="X73" i="142"/>
  <c r="Y73" i="142" s="1"/>
  <c r="Y76" i="140"/>
  <c r="E79" i="143"/>
  <c r="G75" i="143"/>
  <c r="F76" i="143"/>
  <c r="C78" i="143"/>
  <c r="E78" i="139"/>
  <c r="C76" i="139"/>
  <c r="F76" i="139"/>
  <c r="G75" i="139"/>
  <c r="V77" i="140"/>
  <c r="E78" i="140"/>
  <c r="G77" i="140"/>
  <c r="X77" i="140" s="1"/>
  <c r="W77" i="140"/>
  <c r="F78" i="140"/>
  <c r="C78" i="140"/>
  <c r="AE78" i="140"/>
  <c r="D97" i="113"/>
  <c r="D98" i="113" s="1"/>
  <c r="C35" i="77"/>
  <c r="C36" i="87"/>
  <c r="D36" i="87"/>
  <c r="L35" i="88"/>
  <c r="F37" i="88"/>
  <c r="E36" i="88"/>
  <c r="H35" i="88"/>
  <c r="E93" i="164" l="1"/>
  <c r="W92" i="164"/>
  <c r="D91" i="167"/>
  <c r="V90" i="167"/>
  <c r="D92" i="146"/>
  <c r="V91" i="146"/>
  <c r="F91" i="166"/>
  <c r="X90" i="166"/>
  <c r="Y90" i="166" s="1"/>
  <c r="E94" i="163"/>
  <c r="W93" i="163"/>
  <c r="C77" i="138"/>
  <c r="F92" i="165"/>
  <c r="X91" i="165"/>
  <c r="Y91" i="165" s="1"/>
  <c r="D92" i="166"/>
  <c r="V91" i="166"/>
  <c r="C36" i="89"/>
  <c r="B35" i="91"/>
  <c r="D93" i="165"/>
  <c r="V92" i="165"/>
  <c r="D93" i="157"/>
  <c r="V92" i="157"/>
  <c r="F91" i="167"/>
  <c r="X90" i="167"/>
  <c r="Y90" i="167" s="1"/>
  <c r="D95" i="168"/>
  <c r="V94" i="168"/>
  <c r="X75" i="168"/>
  <c r="Y75" i="168" s="1"/>
  <c r="F76" i="168"/>
  <c r="F76" i="157"/>
  <c r="X75" i="157"/>
  <c r="Y75" i="157" s="1"/>
  <c r="F79" i="155"/>
  <c r="X78" i="155"/>
  <c r="Y78" i="155" s="1"/>
  <c r="F77" i="156"/>
  <c r="X76" i="156"/>
  <c r="Y76" i="156" s="1"/>
  <c r="X93" i="146"/>
  <c r="Y93" i="146" s="1"/>
  <c r="F94" i="146"/>
  <c r="G89" i="163"/>
  <c r="Y88" i="163"/>
  <c r="Z88" i="163" s="1"/>
  <c r="D68" i="110"/>
  <c r="D67" i="109"/>
  <c r="G91" i="164"/>
  <c r="Y90" i="164"/>
  <c r="Z90" i="164" s="1"/>
  <c r="E78" i="142"/>
  <c r="V77" i="142"/>
  <c r="G75" i="142"/>
  <c r="X74" i="142"/>
  <c r="Y74" i="142" s="1"/>
  <c r="C78" i="142"/>
  <c r="AE76" i="142"/>
  <c r="F76" i="142"/>
  <c r="W76" i="142" s="1"/>
  <c r="Y77" i="140"/>
  <c r="C79" i="143"/>
  <c r="F77" i="143"/>
  <c r="G76" i="143"/>
  <c r="E80" i="143"/>
  <c r="C77" i="139"/>
  <c r="F77" i="139"/>
  <c r="G76" i="139"/>
  <c r="E79" i="139"/>
  <c r="AE79" i="140"/>
  <c r="C79" i="140"/>
  <c r="F79" i="140"/>
  <c r="E79" i="140"/>
  <c r="V78" i="140"/>
  <c r="W78" i="140"/>
  <c r="G78" i="140"/>
  <c r="X78" i="140" s="1"/>
  <c r="D99" i="113"/>
  <c r="C36" i="77"/>
  <c r="D37" i="87"/>
  <c r="C37" i="87"/>
  <c r="L36" i="88"/>
  <c r="F38" i="88"/>
  <c r="H36" i="88"/>
  <c r="E37" i="88"/>
  <c r="D94" i="165" l="1"/>
  <c r="V93" i="165"/>
  <c r="F93" i="165"/>
  <c r="X92" i="165"/>
  <c r="Y92" i="165" s="1"/>
  <c r="C78" i="138"/>
  <c r="D93" i="146"/>
  <c r="V92" i="146"/>
  <c r="D96" i="168"/>
  <c r="V95" i="168"/>
  <c r="C37" i="89"/>
  <c r="D92" i="167"/>
  <c r="V91" i="167"/>
  <c r="F92" i="167"/>
  <c r="X91" i="167"/>
  <c r="Y91" i="167" s="1"/>
  <c r="E95" i="163"/>
  <c r="W94" i="163"/>
  <c r="B36" i="91"/>
  <c r="D94" i="157"/>
  <c r="V93" i="157"/>
  <c r="D93" i="166"/>
  <c r="V92" i="166"/>
  <c r="F92" i="166"/>
  <c r="X91" i="166"/>
  <c r="Y91" i="166" s="1"/>
  <c r="E94" i="164"/>
  <c r="W93" i="164"/>
  <c r="X76" i="168"/>
  <c r="Y76" i="168" s="1"/>
  <c r="F77" i="168"/>
  <c r="X76" i="157"/>
  <c r="Y76" i="157" s="1"/>
  <c r="F77" i="157"/>
  <c r="F80" i="155"/>
  <c r="X79" i="155"/>
  <c r="Y79" i="155" s="1"/>
  <c r="X77" i="156"/>
  <c r="Y77" i="156" s="1"/>
  <c r="F78" i="156"/>
  <c r="X94" i="146"/>
  <c r="Y94" i="146" s="1"/>
  <c r="F95" i="146"/>
  <c r="Y89" i="163"/>
  <c r="Z89" i="163" s="1"/>
  <c r="G90" i="163"/>
  <c r="D68" i="109"/>
  <c r="D69" i="110"/>
  <c r="G92" i="164"/>
  <c r="Y91" i="164"/>
  <c r="Z91" i="164" s="1"/>
  <c r="C79" i="142"/>
  <c r="AE77" i="142"/>
  <c r="F77" i="142"/>
  <c r="W77" i="142" s="1"/>
  <c r="G76" i="142"/>
  <c r="X75" i="142"/>
  <c r="Y75" i="142" s="1"/>
  <c r="E79" i="142"/>
  <c r="V78" i="142"/>
  <c r="Y78" i="140"/>
  <c r="G77" i="143"/>
  <c r="E81" i="143"/>
  <c r="F78" i="143"/>
  <c r="C80" i="143"/>
  <c r="C78" i="139"/>
  <c r="F78" i="139"/>
  <c r="G77" i="139"/>
  <c r="E80" i="139"/>
  <c r="G79" i="140"/>
  <c r="X79" i="140" s="1"/>
  <c r="W79" i="140"/>
  <c r="F80" i="140"/>
  <c r="AE80" i="140"/>
  <c r="C80" i="140"/>
  <c r="V79" i="140"/>
  <c r="E80" i="140"/>
  <c r="D100" i="113"/>
  <c r="D101" i="113" s="1"/>
  <c r="C37" i="77"/>
  <c r="C38" i="87"/>
  <c r="D38" i="87"/>
  <c r="L37" i="88"/>
  <c r="F39" i="88"/>
  <c r="H37" i="88"/>
  <c r="E38" i="88"/>
  <c r="D97" i="168" l="1"/>
  <c r="V96" i="168"/>
  <c r="F93" i="167"/>
  <c r="X92" i="167"/>
  <c r="Y92" i="167" s="1"/>
  <c r="D94" i="166"/>
  <c r="V93" i="166"/>
  <c r="D94" i="146"/>
  <c r="V93" i="146"/>
  <c r="E95" i="164"/>
  <c r="W94" i="164"/>
  <c r="D93" i="167"/>
  <c r="V92" i="167"/>
  <c r="C79" i="138"/>
  <c r="D95" i="157"/>
  <c r="V94" i="157"/>
  <c r="F93" i="166"/>
  <c r="X92" i="166"/>
  <c r="Y92" i="166" s="1"/>
  <c r="F94" i="165"/>
  <c r="X93" i="165"/>
  <c r="Y93" i="165" s="1"/>
  <c r="C38" i="89"/>
  <c r="B37" i="91"/>
  <c r="E96" i="163"/>
  <c r="W95" i="163"/>
  <c r="D95" i="165"/>
  <c r="V94" i="165"/>
  <c r="F78" i="168"/>
  <c r="X77" i="168"/>
  <c r="Y77" i="168" s="1"/>
  <c r="F78" i="157"/>
  <c r="X77" i="157"/>
  <c r="Y77" i="157" s="1"/>
  <c r="X78" i="156"/>
  <c r="Y78" i="156" s="1"/>
  <c r="F79" i="156"/>
  <c r="X80" i="155"/>
  <c r="Y80" i="155" s="1"/>
  <c r="F81" i="155"/>
  <c r="X95" i="146"/>
  <c r="Y95" i="146" s="1"/>
  <c r="F96" i="146"/>
  <c r="G91" i="163"/>
  <c r="Y90" i="163"/>
  <c r="Z90" i="163" s="1"/>
  <c r="D70" i="110"/>
  <c r="D69" i="109"/>
  <c r="G93" i="164"/>
  <c r="Y92" i="164"/>
  <c r="Z92" i="164" s="1"/>
  <c r="E80" i="142"/>
  <c r="V79" i="142"/>
  <c r="G77" i="142"/>
  <c r="X76" i="142"/>
  <c r="Y76" i="142" s="1"/>
  <c r="C80" i="142"/>
  <c r="AE78" i="142"/>
  <c r="F78" i="142"/>
  <c r="W78" i="142" s="1"/>
  <c r="G78" i="143"/>
  <c r="C81" i="143"/>
  <c r="F79" i="143"/>
  <c r="E82" i="143"/>
  <c r="G78" i="139"/>
  <c r="E81" i="139"/>
  <c r="C79" i="139"/>
  <c r="F79" i="139"/>
  <c r="Y79" i="140"/>
  <c r="AE81" i="140"/>
  <c r="C81" i="140"/>
  <c r="F81" i="140"/>
  <c r="V80" i="140"/>
  <c r="E81" i="140"/>
  <c r="W80" i="140"/>
  <c r="G80" i="140"/>
  <c r="X80" i="140" s="1"/>
  <c r="D102" i="113"/>
  <c r="C38" i="77"/>
  <c r="C39" i="87"/>
  <c r="D39" i="87"/>
  <c r="L38" i="88"/>
  <c r="E39" i="88"/>
  <c r="F40" i="88"/>
  <c r="H38" i="88"/>
  <c r="F95" i="165" l="1"/>
  <c r="X94" i="165"/>
  <c r="Y94" i="165" s="1"/>
  <c r="C80" i="138"/>
  <c r="D95" i="166"/>
  <c r="V94" i="166"/>
  <c r="D96" i="165"/>
  <c r="V95" i="165"/>
  <c r="F94" i="166"/>
  <c r="X93" i="166"/>
  <c r="Y93" i="166" s="1"/>
  <c r="D94" i="167"/>
  <c r="V93" i="167"/>
  <c r="F94" i="167"/>
  <c r="X93" i="167"/>
  <c r="Y93" i="167" s="1"/>
  <c r="E97" i="163"/>
  <c r="W96" i="163"/>
  <c r="E96" i="164"/>
  <c r="W95" i="164"/>
  <c r="D98" i="168"/>
  <c r="V97" i="168"/>
  <c r="D96" i="157"/>
  <c r="V95" i="157"/>
  <c r="B38" i="91"/>
  <c r="C39" i="89"/>
  <c r="D95" i="146"/>
  <c r="V94" i="146"/>
  <c r="F79" i="168"/>
  <c r="X78" i="168"/>
  <c r="Y78" i="168" s="1"/>
  <c r="X78" i="157"/>
  <c r="Y78" i="157" s="1"/>
  <c r="F79" i="157"/>
  <c r="F82" i="155"/>
  <c r="X81" i="155"/>
  <c r="Y81" i="155" s="1"/>
  <c r="X79" i="156"/>
  <c r="Y79" i="156" s="1"/>
  <c r="F80" i="156"/>
  <c r="X96" i="146"/>
  <c r="Y96" i="146" s="1"/>
  <c r="F97" i="146"/>
  <c r="X97" i="146" s="1"/>
  <c r="Y97" i="146" s="1"/>
  <c r="Y91" i="163"/>
  <c r="Z91" i="163" s="1"/>
  <c r="G92" i="163"/>
  <c r="D70" i="109"/>
  <c r="D71" i="110"/>
  <c r="G94" i="164"/>
  <c r="Y93" i="164"/>
  <c r="Z93" i="164" s="1"/>
  <c r="C81" i="142"/>
  <c r="AE79" i="142"/>
  <c r="F79" i="142"/>
  <c r="W79" i="142" s="1"/>
  <c r="G78" i="142"/>
  <c r="X77" i="142"/>
  <c r="Y77" i="142" s="1"/>
  <c r="E81" i="142"/>
  <c r="V80" i="142"/>
  <c r="G79" i="143"/>
  <c r="E83" i="143"/>
  <c r="F80" i="143"/>
  <c r="C82" i="143"/>
  <c r="C80" i="139"/>
  <c r="F80" i="139"/>
  <c r="G79" i="139"/>
  <c r="E82" i="139"/>
  <c r="F82" i="140"/>
  <c r="C82" i="140"/>
  <c r="AE82" i="140"/>
  <c r="G81" i="140"/>
  <c r="X81" i="140" s="1"/>
  <c r="W81" i="140"/>
  <c r="Y80" i="140"/>
  <c r="V81" i="140"/>
  <c r="E82" i="140"/>
  <c r="D103" i="113"/>
  <c r="D104" i="113" s="1"/>
  <c r="C39" i="77"/>
  <c r="C40" i="87"/>
  <c r="D40" i="87"/>
  <c r="E40" i="88"/>
  <c r="H39" i="88"/>
  <c r="L39" i="88"/>
  <c r="F41" i="88"/>
  <c r="D99" i="168" l="1"/>
  <c r="V98" i="168"/>
  <c r="D96" i="146"/>
  <c r="V95" i="146"/>
  <c r="E97" i="164"/>
  <c r="W96" i="164"/>
  <c r="F95" i="166"/>
  <c r="X94" i="166"/>
  <c r="Y94" i="166" s="1"/>
  <c r="D95" i="167"/>
  <c r="V94" i="167"/>
  <c r="C40" i="89"/>
  <c r="E98" i="163"/>
  <c r="W97" i="163"/>
  <c r="D97" i="165"/>
  <c r="V96" i="165"/>
  <c r="D96" i="166"/>
  <c r="V95" i="166"/>
  <c r="C81" i="138"/>
  <c r="B39" i="91"/>
  <c r="D97" i="157"/>
  <c r="V96" i="157"/>
  <c r="F95" i="167"/>
  <c r="X94" i="167"/>
  <c r="Y94" i="167" s="1"/>
  <c r="F96" i="165"/>
  <c r="X95" i="165"/>
  <c r="Y95" i="165" s="1"/>
  <c r="X79" i="168"/>
  <c r="Y79" i="168" s="1"/>
  <c r="F80" i="168"/>
  <c r="F80" i="157"/>
  <c r="X79" i="157"/>
  <c r="Y79" i="157" s="1"/>
  <c r="F83" i="155"/>
  <c r="X82" i="155"/>
  <c r="Y82" i="155" s="1"/>
  <c r="X80" i="156"/>
  <c r="Y80" i="156" s="1"/>
  <c r="F81" i="156"/>
  <c r="F98" i="146"/>
  <c r="Y92" i="163"/>
  <c r="Z92" i="163" s="1"/>
  <c r="G93" i="163"/>
  <c r="D72" i="110"/>
  <c r="D71" i="109"/>
  <c r="G95" i="164"/>
  <c r="Y94" i="164"/>
  <c r="Z94" i="164" s="1"/>
  <c r="G79" i="142"/>
  <c r="X78" i="142"/>
  <c r="Y78" i="142" s="1"/>
  <c r="E82" i="142"/>
  <c r="V81" i="142"/>
  <c r="C82" i="142"/>
  <c r="AE80" i="142"/>
  <c r="F80" i="142"/>
  <c r="W80" i="142" s="1"/>
  <c r="E84" i="143"/>
  <c r="C83" i="143"/>
  <c r="F81" i="143"/>
  <c r="G80" i="143"/>
  <c r="E83" i="139"/>
  <c r="G80" i="139"/>
  <c r="C81" i="139"/>
  <c r="F81" i="139"/>
  <c r="AE83" i="140"/>
  <c r="C83" i="140"/>
  <c r="F83" i="140"/>
  <c r="E83" i="140"/>
  <c r="V82" i="140"/>
  <c r="Y81" i="140"/>
  <c r="W82" i="140"/>
  <c r="G82" i="140"/>
  <c r="X82" i="140" s="1"/>
  <c r="D105" i="113"/>
  <c r="C40" i="77"/>
  <c r="D41" i="87"/>
  <c r="C41" i="87"/>
  <c r="F42" i="88"/>
  <c r="L40" i="88"/>
  <c r="H40" i="88"/>
  <c r="E41" i="88"/>
  <c r="E98" i="164" l="1"/>
  <c r="W97" i="164"/>
  <c r="D98" i="157"/>
  <c r="V97" i="157"/>
  <c r="F97" i="165"/>
  <c r="X96" i="165"/>
  <c r="Y96" i="165" s="1"/>
  <c r="C82" i="138"/>
  <c r="E99" i="163"/>
  <c r="W98" i="163"/>
  <c r="C41" i="89"/>
  <c r="D97" i="146"/>
  <c r="V96" i="146"/>
  <c r="D98" i="165"/>
  <c r="V97" i="165"/>
  <c r="D96" i="167"/>
  <c r="V95" i="167"/>
  <c r="F96" i="167"/>
  <c r="X95" i="167"/>
  <c r="Y95" i="167" s="1"/>
  <c r="D97" i="166"/>
  <c r="V96" i="166"/>
  <c r="B40" i="91"/>
  <c r="F96" i="166"/>
  <c r="X95" i="166"/>
  <c r="Y95" i="166" s="1"/>
  <c r="D100" i="168"/>
  <c r="V99" i="168"/>
  <c r="F81" i="168"/>
  <c r="X80" i="168"/>
  <c r="Y80" i="168" s="1"/>
  <c r="F81" i="157"/>
  <c r="X80" i="157"/>
  <c r="Y80" i="157" s="1"/>
  <c r="X81" i="156"/>
  <c r="Y81" i="156" s="1"/>
  <c r="F82" i="156"/>
  <c r="F84" i="155"/>
  <c r="X83" i="155"/>
  <c r="Y83" i="155" s="1"/>
  <c r="X98" i="146"/>
  <c r="Y98" i="146" s="1"/>
  <c r="F99" i="146"/>
  <c r="G94" i="163"/>
  <c r="Y93" i="163"/>
  <c r="Z93" i="163" s="1"/>
  <c r="D72" i="109"/>
  <c r="D73" i="110"/>
  <c r="G96" i="164"/>
  <c r="Y95" i="164"/>
  <c r="Z95" i="164" s="1"/>
  <c r="G80" i="142"/>
  <c r="X79" i="142"/>
  <c r="Y79" i="142" s="1"/>
  <c r="C83" i="142"/>
  <c r="AE81" i="142"/>
  <c r="F81" i="142"/>
  <c r="W81" i="142" s="1"/>
  <c r="E83" i="142"/>
  <c r="V82" i="142"/>
  <c r="F82" i="143"/>
  <c r="C84" i="143"/>
  <c r="E85" i="143"/>
  <c r="G81" i="143"/>
  <c r="G81" i="139"/>
  <c r="C82" i="139"/>
  <c r="F82" i="139"/>
  <c r="E84" i="139"/>
  <c r="F84" i="140"/>
  <c r="AE84" i="140"/>
  <c r="C84" i="140"/>
  <c r="V83" i="140"/>
  <c r="E84" i="140"/>
  <c r="Y82" i="140"/>
  <c r="G83" i="140"/>
  <c r="X83" i="140" s="1"/>
  <c r="W83" i="140"/>
  <c r="D106" i="113"/>
  <c r="C41" i="77"/>
  <c r="C42" i="87"/>
  <c r="D42" i="87"/>
  <c r="L41" i="88"/>
  <c r="F43" i="88"/>
  <c r="H41" i="88"/>
  <c r="E42" i="88"/>
  <c r="C83" i="138" l="1"/>
  <c r="D98" i="166"/>
  <c r="V97" i="166"/>
  <c r="D99" i="165"/>
  <c r="V98" i="165"/>
  <c r="F98" i="165"/>
  <c r="X97" i="165"/>
  <c r="Y97" i="165" s="1"/>
  <c r="D101" i="168"/>
  <c r="V100" i="168"/>
  <c r="F97" i="167"/>
  <c r="X96" i="167"/>
  <c r="Y96" i="167" s="1"/>
  <c r="D98" i="146"/>
  <c r="V97" i="146"/>
  <c r="D99" i="157"/>
  <c r="V98" i="157"/>
  <c r="F97" i="166"/>
  <c r="X96" i="166"/>
  <c r="Y96" i="166" s="1"/>
  <c r="C42" i="89"/>
  <c r="D97" i="167"/>
  <c r="V96" i="167"/>
  <c r="E99" i="164"/>
  <c r="W98" i="164"/>
  <c r="B41" i="91"/>
  <c r="E100" i="163"/>
  <c r="W99" i="163"/>
  <c r="X81" i="168"/>
  <c r="Y81" i="168" s="1"/>
  <c r="F82" i="168"/>
  <c r="F82" i="157"/>
  <c r="X81" i="157"/>
  <c r="Y81" i="157" s="1"/>
  <c r="X82" i="156"/>
  <c r="Y82" i="156" s="1"/>
  <c r="F83" i="156"/>
  <c r="X84" i="155"/>
  <c r="Y84" i="155" s="1"/>
  <c r="F85" i="155"/>
  <c r="X99" i="146"/>
  <c r="Y99" i="146" s="1"/>
  <c r="F100" i="146"/>
  <c r="G95" i="163"/>
  <c r="Y94" i="163"/>
  <c r="Z94" i="163" s="1"/>
  <c r="D74" i="110"/>
  <c r="D73" i="109"/>
  <c r="G97" i="164"/>
  <c r="Y96" i="164"/>
  <c r="Z96" i="164" s="1"/>
  <c r="C84" i="142"/>
  <c r="AE82" i="142"/>
  <c r="F82" i="142"/>
  <c r="W82" i="142" s="1"/>
  <c r="E84" i="142"/>
  <c r="V83" i="142"/>
  <c r="G81" i="142"/>
  <c r="X80" i="142"/>
  <c r="Y80" i="142" s="1"/>
  <c r="E86" i="143"/>
  <c r="C85" i="143"/>
  <c r="F83" i="143"/>
  <c r="G82" i="143"/>
  <c r="C83" i="139"/>
  <c r="F83" i="139"/>
  <c r="E85" i="139"/>
  <c r="G82" i="139"/>
  <c r="W84" i="140"/>
  <c r="G84" i="140"/>
  <c r="X84" i="140" s="1"/>
  <c r="Y83" i="140"/>
  <c r="V84" i="140"/>
  <c r="E85" i="140"/>
  <c r="AE85" i="140"/>
  <c r="C85" i="140"/>
  <c r="F85" i="140"/>
  <c r="D107" i="113"/>
  <c r="D108" i="113" s="1"/>
  <c r="C42" i="77"/>
  <c r="C43" i="87"/>
  <c r="D43" i="87"/>
  <c r="L42" i="88"/>
  <c r="F44" i="88"/>
  <c r="H42" i="88"/>
  <c r="E43" i="88"/>
  <c r="B42" i="91" l="1"/>
  <c r="C43" i="89"/>
  <c r="F98" i="167"/>
  <c r="X97" i="167"/>
  <c r="Y97" i="167" s="1"/>
  <c r="F99" i="165"/>
  <c r="X98" i="165"/>
  <c r="Y98" i="165" s="1"/>
  <c r="E101" i="163"/>
  <c r="W100" i="163"/>
  <c r="F98" i="166"/>
  <c r="X97" i="166"/>
  <c r="Y97" i="166" s="1"/>
  <c r="D100" i="165"/>
  <c r="V99" i="165"/>
  <c r="D100" i="157"/>
  <c r="V99" i="157"/>
  <c r="D99" i="166"/>
  <c r="V98" i="166"/>
  <c r="E100" i="164"/>
  <c r="W99" i="164"/>
  <c r="D99" i="146"/>
  <c r="V98" i="146"/>
  <c r="D102" i="168"/>
  <c r="V101" i="168"/>
  <c r="D98" i="167"/>
  <c r="V97" i="167"/>
  <c r="C84" i="138"/>
  <c r="X82" i="168"/>
  <c r="Y82" i="168" s="1"/>
  <c r="F83" i="168"/>
  <c r="F83" i="157"/>
  <c r="X82" i="157"/>
  <c r="Y82" i="157" s="1"/>
  <c r="F84" i="156"/>
  <c r="X83" i="156"/>
  <c r="Y83" i="156" s="1"/>
  <c r="X85" i="155"/>
  <c r="Y85" i="155" s="1"/>
  <c r="F86" i="155"/>
  <c r="X100" i="146"/>
  <c r="Y100" i="146" s="1"/>
  <c r="F101" i="146"/>
  <c r="Y95" i="163"/>
  <c r="Z95" i="163" s="1"/>
  <c r="G96" i="163"/>
  <c r="D74" i="109"/>
  <c r="D75" i="110"/>
  <c r="G98" i="164"/>
  <c r="Y97" i="164"/>
  <c r="Z97" i="164" s="1"/>
  <c r="E85" i="142"/>
  <c r="V84" i="142"/>
  <c r="G82" i="142"/>
  <c r="X81" i="142"/>
  <c r="Y81" i="142" s="1"/>
  <c r="C85" i="142"/>
  <c r="AE83" i="142"/>
  <c r="F83" i="142"/>
  <c r="W83" i="142" s="1"/>
  <c r="G83" i="143"/>
  <c r="F84" i="143"/>
  <c r="C86" i="143"/>
  <c r="E87" i="143"/>
  <c r="C84" i="139"/>
  <c r="F84" i="139"/>
  <c r="E86" i="139"/>
  <c r="G83" i="139"/>
  <c r="V85" i="140"/>
  <c r="E86" i="140"/>
  <c r="G85" i="140"/>
  <c r="X85" i="140" s="1"/>
  <c r="W85" i="140"/>
  <c r="F86" i="140"/>
  <c r="C86" i="140"/>
  <c r="AE86" i="140"/>
  <c r="Y84" i="140"/>
  <c r="D109" i="113"/>
  <c r="D110" i="113" s="1"/>
  <c r="C43" i="77"/>
  <c r="D44" i="87"/>
  <c r="C44" i="87"/>
  <c r="L43" i="88"/>
  <c r="F45" i="88"/>
  <c r="E44" i="88"/>
  <c r="H43" i="88"/>
  <c r="C85" i="138" l="1"/>
  <c r="D103" i="168"/>
  <c r="V102" i="168"/>
  <c r="D101" i="157"/>
  <c r="V100" i="157"/>
  <c r="D100" i="146"/>
  <c r="V99" i="146"/>
  <c r="D101" i="165"/>
  <c r="V100" i="165"/>
  <c r="F100" i="165"/>
  <c r="X99" i="165"/>
  <c r="Y99" i="165" s="1"/>
  <c r="E101" i="164"/>
  <c r="W100" i="164"/>
  <c r="F99" i="166"/>
  <c r="X98" i="166"/>
  <c r="Y98" i="166" s="1"/>
  <c r="F99" i="167"/>
  <c r="X98" i="167"/>
  <c r="Y98" i="167" s="1"/>
  <c r="B43" i="91"/>
  <c r="C44" i="89"/>
  <c r="D99" i="167"/>
  <c r="V98" i="167"/>
  <c r="D100" i="166"/>
  <c r="V99" i="166"/>
  <c r="E102" i="163"/>
  <c r="W101" i="163"/>
  <c r="X83" i="168"/>
  <c r="Y83" i="168" s="1"/>
  <c r="F84" i="168"/>
  <c r="X83" i="157"/>
  <c r="Y83" i="157" s="1"/>
  <c r="F84" i="157"/>
  <c r="X86" i="155"/>
  <c r="Y86" i="155" s="1"/>
  <c r="F87" i="155"/>
  <c r="F85" i="156"/>
  <c r="X84" i="156"/>
  <c r="Y84" i="156" s="1"/>
  <c r="X101" i="146"/>
  <c r="Y101" i="146" s="1"/>
  <c r="F102" i="146"/>
  <c r="Y96" i="163"/>
  <c r="Z96" i="163" s="1"/>
  <c r="G97" i="163"/>
  <c r="D76" i="110"/>
  <c r="D75" i="109"/>
  <c r="G99" i="164"/>
  <c r="Y98" i="164"/>
  <c r="Z98" i="164" s="1"/>
  <c r="C86" i="142"/>
  <c r="AE84" i="142"/>
  <c r="F84" i="142"/>
  <c r="W84" i="142" s="1"/>
  <c r="E86" i="142"/>
  <c r="V85" i="142"/>
  <c r="G83" i="142"/>
  <c r="X82" i="142"/>
  <c r="Y82" i="142" s="1"/>
  <c r="C87" i="143"/>
  <c r="F85" i="143"/>
  <c r="G84" i="143"/>
  <c r="E88" i="143"/>
  <c r="C85" i="139"/>
  <c r="F85" i="139"/>
  <c r="G84" i="139"/>
  <c r="E87" i="139"/>
  <c r="AE87" i="140"/>
  <c r="C87" i="140"/>
  <c r="F87" i="140"/>
  <c r="W86" i="140"/>
  <c r="G86" i="140"/>
  <c r="X86" i="140" s="1"/>
  <c r="Y85" i="140"/>
  <c r="E87" i="140"/>
  <c r="V86" i="140"/>
  <c r="D111" i="113"/>
  <c r="C44" i="77"/>
  <c r="D45" i="87"/>
  <c r="C45" i="87"/>
  <c r="E45" i="88"/>
  <c r="L44" i="88"/>
  <c r="F46" i="88"/>
  <c r="H44" i="88"/>
  <c r="D101" i="146" l="1"/>
  <c r="V100" i="146"/>
  <c r="C45" i="89"/>
  <c r="E103" i="163"/>
  <c r="W102" i="163"/>
  <c r="F100" i="167"/>
  <c r="X99" i="167"/>
  <c r="Y99" i="167" s="1"/>
  <c r="D101" i="166"/>
  <c r="V100" i="166"/>
  <c r="F100" i="166"/>
  <c r="X99" i="166"/>
  <c r="Y99" i="166" s="1"/>
  <c r="F101" i="165"/>
  <c r="X100" i="165"/>
  <c r="Y100" i="165" s="1"/>
  <c r="D102" i="157"/>
  <c r="V101" i="157"/>
  <c r="B44" i="91"/>
  <c r="D100" i="167"/>
  <c r="V99" i="167"/>
  <c r="E102" i="164"/>
  <c r="W101" i="164"/>
  <c r="D102" i="165"/>
  <c r="V101" i="165"/>
  <c r="D104" i="168"/>
  <c r="V103" i="168"/>
  <c r="C86" i="138"/>
  <c r="F85" i="168"/>
  <c r="X84" i="168"/>
  <c r="Y84" i="168" s="1"/>
  <c r="X84" i="157"/>
  <c r="Y84" i="157" s="1"/>
  <c r="F85" i="157"/>
  <c r="F88" i="155"/>
  <c r="X87" i="155"/>
  <c r="Y87" i="155" s="1"/>
  <c r="X85" i="156"/>
  <c r="Y85" i="156" s="1"/>
  <c r="F86" i="156"/>
  <c r="X102" i="146"/>
  <c r="Y102" i="146" s="1"/>
  <c r="F103" i="146"/>
  <c r="X103" i="146" s="1"/>
  <c r="Y103" i="146" s="1"/>
  <c r="G98" i="163"/>
  <c r="Y97" i="163"/>
  <c r="Z97" i="163" s="1"/>
  <c r="D76" i="109"/>
  <c r="D77" i="110"/>
  <c r="G100" i="164"/>
  <c r="Y99" i="164"/>
  <c r="Z99" i="164" s="1"/>
  <c r="E87" i="142"/>
  <c r="V86" i="142"/>
  <c r="G84" i="142"/>
  <c r="X83" i="142"/>
  <c r="Y83" i="142" s="1"/>
  <c r="C87" i="142"/>
  <c r="AE85" i="142"/>
  <c r="F85" i="142"/>
  <c r="W85" i="142" s="1"/>
  <c r="Y86" i="140"/>
  <c r="E89" i="143"/>
  <c r="G85" i="143"/>
  <c r="F86" i="143"/>
  <c r="C88" i="143"/>
  <c r="G85" i="139"/>
  <c r="C86" i="139"/>
  <c r="F86" i="139"/>
  <c r="E88" i="139"/>
  <c r="G87" i="140"/>
  <c r="X87" i="140" s="1"/>
  <c r="W87" i="140"/>
  <c r="F88" i="140"/>
  <c r="AE88" i="140"/>
  <c r="C88" i="140"/>
  <c r="V87" i="140"/>
  <c r="E88" i="140"/>
  <c r="D112" i="113"/>
  <c r="C45" i="77"/>
  <c r="C46" i="87"/>
  <c r="D46" i="87"/>
  <c r="E46" i="88"/>
  <c r="L45" i="88"/>
  <c r="H45" i="88"/>
  <c r="F47" i="88"/>
  <c r="F101" i="166" l="1"/>
  <c r="X100" i="166"/>
  <c r="Y100" i="166" s="1"/>
  <c r="F101" i="167"/>
  <c r="X100" i="167"/>
  <c r="Y100" i="167" s="1"/>
  <c r="C87" i="138"/>
  <c r="D101" i="167"/>
  <c r="V100" i="167"/>
  <c r="D102" i="166"/>
  <c r="V101" i="166"/>
  <c r="E104" i="163"/>
  <c r="W103" i="163"/>
  <c r="B45" i="91"/>
  <c r="D105" i="168"/>
  <c r="V104" i="168"/>
  <c r="D103" i="157"/>
  <c r="V102" i="157"/>
  <c r="D103" i="165"/>
  <c r="V102" i="165"/>
  <c r="C46" i="89"/>
  <c r="F102" i="165"/>
  <c r="X101" i="165"/>
  <c r="Y101" i="165" s="1"/>
  <c r="E103" i="164"/>
  <c r="W102" i="164"/>
  <c r="D102" i="146"/>
  <c r="V101" i="146"/>
  <c r="F86" i="168"/>
  <c r="X85" i="168"/>
  <c r="Y85" i="168" s="1"/>
  <c r="X85" i="157"/>
  <c r="Y85" i="157" s="1"/>
  <c r="F86" i="157"/>
  <c r="X88" i="155"/>
  <c r="Y88" i="155" s="1"/>
  <c r="F89" i="155"/>
  <c r="F87" i="156"/>
  <c r="X86" i="156"/>
  <c r="Y86" i="156" s="1"/>
  <c r="F104" i="146"/>
  <c r="Y98" i="163"/>
  <c r="Z98" i="163" s="1"/>
  <c r="G99" i="163"/>
  <c r="D78" i="110"/>
  <c r="D77" i="109"/>
  <c r="G101" i="164"/>
  <c r="Y100" i="164"/>
  <c r="Z100" i="164" s="1"/>
  <c r="C88" i="142"/>
  <c r="AE86" i="142"/>
  <c r="F86" i="142"/>
  <c r="W86" i="142" s="1"/>
  <c r="G85" i="142"/>
  <c r="X84" i="142"/>
  <c r="Y84" i="142" s="1"/>
  <c r="E88" i="142"/>
  <c r="V87" i="142"/>
  <c r="G86" i="143"/>
  <c r="C89" i="143"/>
  <c r="F87" i="143"/>
  <c r="E90" i="143"/>
  <c r="C87" i="139"/>
  <c r="F87" i="139"/>
  <c r="E89" i="139"/>
  <c r="G86" i="139"/>
  <c r="V88" i="140"/>
  <c r="E89" i="140"/>
  <c r="W88" i="140"/>
  <c r="G88" i="140"/>
  <c r="X88" i="140" s="1"/>
  <c r="Y87" i="140"/>
  <c r="AE89" i="140"/>
  <c r="C89" i="140"/>
  <c r="F89" i="140"/>
  <c r="D113" i="113"/>
  <c r="D114" i="113" s="1"/>
  <c r="C46" i="77"/>
  <c r="C47" i="87"/>
  <c r="D47" i="87"/>
  <c r="E47" i="88"/>
  <c r="F48" i="88"/>
  <c r="L46" i="88"/>
  <c r="H46" i="88"/>
  <c r="D103" i="166" l="1"/>
  <c r="V102" i="166"/>
  <c r="D104" i="157"/>
  <c r="V103" i="157"/>
  <c r="D103" i="146"/>
  <c r="V102" i="146"/>
  <c r="F103" i="165"/>
  <c r="X102" i="165"/>
  <c r="Y102" i="165" s="1"/>
  <c r="D102" i="167"/>
  <c r="V101" i="167"/>
  <c r="C47" i="89"/>
  <c r="D106" i="168"/>
  <c r="V105" i="168"/>
  <c r="C88" i="138"/>
  <c r="F102" i="167"/>
  <c r="X101" i="167"/>
  <c r="Y101" i="167" s="1"/>
  <c r="E104" i="164"/>
  <c r="W103" i="164"/>
  <c r="E105" i="163"/>
  <c r="W104" i="163"/>
  <c r="B46" i="91"/>
  <c r="D104" i="165"/>
  <c r="V103" i="165"/>
  <c r="F102" i="166"/>
  <c r="X101" i="166"/>
  <c r="Y101" i="166" s="1"/>
  <c r="F87" i="168"/>
  <c r="X86" i="168"/>
  <c r="Y86" i="168" s="1"/>
  <c r="F87" i="157"/>
  <c r="X86" i="157"/>
  <c r="Y86" i="157" s="1"/>
  <c r="X87" i="156"/>
  <c r="Y87" i="156" s="1"/>
  <c r="F88" i="156"/>
  <c r="X89" i="155"/>
  <c r="Y89" i="155" s="1"/>
  <c r="F90" i="155"/>
  <c r="X104" i="146"/>
  <c r="Y104" i="146" s="1"/>
  <c r="F105" i="146"/>
  <c r="Y99" i="163"/>
  <c r="Z99" i="163" s="1"/>
  <c r="G100" i="163"/>
  <c r="D78" i="109"/>
  <c r="D79" i="110"/>
  <c r="G102" i="164"/>
  <c r="Y101" i="164"/>
  <c r="Z101" i="164" s="1"/>
  <c r="G86" i="142"/>
  <c r="X85" i="142"/>
  <c r="Y85" i="142" s="1"/>
  <c r="E89" i="142"/>
  <c r="V88" i="142"/>
  <c r="C89" i="142"/>
  <c r="AE87" i="142"/>
  <c r="F87" i="142"/>
  <c r="W87" i="142" s="1"/>
  <c r="G87" i="143"/>
  <c r="C90" i="143"/>
  <c r="F88" i="143"/>
  <c r="E91" i="143"/>
  <c r="E90" i="139"/>
  <c r="G87" i="139"/>
  <c r="C88" i="139"/>
  <c r="F88" i="139"/>
  <c r="G89" i="140"/>
  <c r="X89" i="140" s="1"/>
  <c r="W89" i="140"/>
  <c r="F90" i="140"/>
  <c r="C90" i="140"/>
  <c r="AE90" i="140"/>
  <c r="Y88" i="140"/>
  <c r="V89" i="140"/>
  <c r="E90" i="140"/>
  <c r="D115" i="113"/>
  <c r="C47" i="77"/>
  <c r="C48" i="87"/>
  <c r="D48" i="87"/>
  <c r="E48" i="88"/>
  <c r="L47" i="88"/>
  <c r="H47" i="88"/>
  <c r="F49" i="88"/>
  <c r="F104" i="165" l="1"/>
  <c r="X103" i="165"/>
  <c r="Y103" i="165" s="1"/>
  <c r="B47" i="91"/>
  <c r="C89" i="138"/>
  <c r="E106" i="163"/>
  <c r="W105" i="163"/>
  <c r="D104" i="146"/>
  <c r="V103" i="146"/>
  <c r="F103" i="166"/>
  <c r="X102" i="166"/>
  <c r="Y102" i="166" s="1"/>
  <c r="D107" i="168"/>
  <c r="V106" i="168"/>
  <c r="E105" i="164"/>
  <c r="W104" i="164"/>
  <c r="C48" i="89"/>
  <c r="D105" i="157"/>
  <c r="V104" i="157"/>
  <c r="D105" i="165"/>
  <c r="V104" i="165"/>
  <c r="F103" i="167"/>
  <c r="X102" i="167"/>
  <c r="Y102" i="167" s="1"/>
  <c r="D103" i="167"/>
  <c r="V102" i="167"/>
  <c r="D104" i="166"/>
  <c r="V103" i="166"/>
  <c r="X87" i="168"/>
  <c r="Y87" i="168" s="1"/>
  <c r="F88" i="168"/>
  <c r="X87" i="157"/>
  <c r="Y87" i="157" s="1"/>
  <c r="F88" i="157"/>
  <c r="X90" i="155"/>
  <c r="Y90" i="155" s="1"/>
  <c r="F91" i="155"/>
  <c r="X88" i="156"/>
  <c r="Y88" i="156" s="1"/>
  <c r="F89" i="156"/>
  <c r="X105" i="146"/>
  <c r="Y105" i="146" s="1"/>
  <c r="F106" i="146"/>
  <c r="G101" i="163"/>
  <c r="Y100" i="163"/>
  <c r="Z100" i="163" s="1"/>
  <c r="D80" i="110"/>
  <c r="D79" i="109"/>
  <c r="G103" i="164"/>
  <c r="Y102" i="164"/>
  <c r="Z102" i="164" s="1"/>
  <c r="E90" i="142"/>
  <c r="V89" i="142"/>
  <c r="G87" i="142"/>
  <c r="X86" i="142"/>
  <c r="Y86" i="142" s="1"/>
  <c r="C90" i="142"/>
  <c r="AE88" i="142"/>
  <c r="F88" i="142"/>
  <c r="W88" i="142" s="1"/>
  <c r="Y89" i="140"/>
  <c r="E92" i="143"/>
  <c r="C91" i="143"/>
  <c r="F89" i="143"/>
  <c r="G88" i="143"/>
  <c r="C89" i="139"/>
  <c r="F89" i="139"/>
  <c r="G88" i="139"/>
  <c r="E91" i="139"/>
  <c r="E91" i="140"/>
  <c r="V90" i="140"/>
  <c r="F91" i="140"/>
  <c r="C91" i="140"/>
  <c r="AE91" i="140"/>
  <c r="W90" i="140"/>
  <c r="G90" i="140"/>
  <c r="X90" i="140" s="1"/>
  <c r="D116" i="113"/>
  <c r="D117" i="113" s="1"/>
  <c r="C48" i="77"/>
  <c r="D49" i="87"/>
  <c r="C49" i="87"/>
  <c r="E49" i="88"/>
  <c r="L48" i="88"/>
  <c r="H48" i="88"/>
  <c r="F50" i="88"/>
  <c r="E106" i="164" l="1"/>
  <c r="W105" i="164"/>
  <c r="E107" i="163"/>
  <c r="W106" i="163"/>
  <c r="B48" i="91"/>
  <c r="D105" i="166"/>
  <c r="V104" i="166"/>
  <c r="F104" i="167"/>
  <c r="X103" i="167"/>
  <c r="Y103" i="167" s="1"/>
  <c r="D108" i="168"/>
  <c r="V108" i="168" s="1"/>
  <c r="V109" i="168" s="1"/>
  <c r="V110" i="168" s="1"/>
  <c r="V111" i="168" s="1"/>
  <c r="V112" i="168" s="1"/>
  <c r="V113" i="168" s="1"/>
  <c r="V107" i="168"/>
  <c r="D106" i="165"/>
  <c r="V105" i="165"/>
  <c r="C90" i="138"/>
  <c r="F104" i="166"/>
  <c r="X103" i="166"/>
  <c r="Y103" i="166" s="1"/>
  <c r="D104" i="167"/>
  <c r="V103" i="167"/>
  <c r="D106" i="157"/>
  <c r="V106" i="157" s="1"/>
  <c r="V107" i="157" s="1"/>
  <c r="V108" i="157" s="1"/>
  <c r="V109" i="157" s="1"/>
  <c r="V110" i="157" s="1"/>
  <c r="V111" i="157" s="1"/>
  <c r="V105" i="157"/>
  <c r="C49" i="89"/>
  <c r="D105" i="146"/>
  <c r="V104" i="146"/>
  <c r="F105" i="165"/>
  <c r="X104" i="165"/>
  <c r="Y104" i="165" s="1"/>
  <c r="F89" i="168"/>
  <c r="X88" i="168"/>
  <c r="Y88" i="168" s="1"/>
  <c r="X88" i="157"/>
  <c r="Y88" i="157" s="1"/>
  <c r="F89" i="157"/>
  <c r="F90" i="156"/>
  <c r="X89" i="156"/>
  <c r="Y89" i="156" s="1"/>
  <c r="X91" i="155"/>
  <c r="Y91" i="155" s="1"/>
  <c r="F92" i="155"/>
  <c r="X106" i="146"/>
  <c r="Y106" i="146" s="1"/>
  <c r="F107" i="146"/>
  <c r="G102" i="163"/>
  <c r="Y101" i="163"/>
  <c r="Z101" i="163" s="1"/>
  <c r="D80" i="109"/>
  <c r="D81" i="110"/>
  <c r="G104" i="164"/>
  <c r="Y103" i="164"/>
  <c r="Z103" i="164" s="1"/>
  <c r="G88" i="142"/>
  <c r="X87" i="142"/>
  <c r="Y87" i="142" s="1"/>
  <c r="C91" i="142"/>
  <c r="AE89" i="142"/>
  <c r="F89" i="142"/>
  <c r="W89" i="142" s="1"/>
  <c r="E91" i="142"/>
  <c r="V90" i="142"/>
  <c r="C92" i="143"/>
  <c r="F90" i="143"/>
  <c r="G89" i="143"/>
  <c r="E93" i="143"/>
  <c r="G89" i="139"/>
  <c r="C90" i="139"/>
  <c r="F90" i="139"/>
  <c r="E92" i="139"/>
  <c r="AE92" i="140"/>
  <c r="C92" i="140"/>
  <c r="F92" i="140"/>
  <c r="W91" i="140"/>
  <c r="G91" i="140"/>
  <c r="X91" i="140" s="1"/>
  <c r="Y90" i="140"/>
  <c r="E92" i="140"/>
  <c r="V91" i="140"/>
  <c r="D118" i="113"/>
  <c r="C49" i="77"/>
  <c r="C50" i="87"/>
  <c r="D50" i="87"/>
  <c r="E50" i="88"/>
  <c r="F51" i="88"/>
  <c r="L49" i="88"/>
  <c r="H49" i="88"/>
  <c r="B49" i="91" l="1"/>
  <c r="D106" i="166"/>
  <c r="V105" i="166"/>
  <c r="C91" i="138"/>
  <c r="F106" i="165"/>
  <c r="X105" i="165"/>
  <c r="Y105" i="165" s="1"/>
  <c r="F105" i="167"/>
  <c r="X104" i="167"/>
  <c r="Y104" i="167" s="1"/>
  <c r="D107" i="165"/>
  <c r="V107" i="165" s="1"/>
  <c r="V108" i="165" s="1"/>
  <c r="V109" i="165" s="1"/>
  <c r="V110" i="165" s="1"/>
  <c r="V111" i="165" s="1"/>
  <c r="V112" i="165" s="1"/>
  <c r="V106" i="165"/>
  <c r="D106" i="146"/>
  <c r="V105" i="146"/>
  <c r="D105" i="167"/>
  <c r="V104" i="167"/>
  <c r="E108" i="163"/>
  <c r="W107" i="163"/>
  <c r="C50" i="89"/>
  <c r="F105" i="166"/>
  <c r="X104" i="166"/>
  <c r="Y104" i="166" s="1"/>
  <c r="E107" i="164"/>
  <c r="W106" i="164"/>
  <c r="X89" i="168"/>
  <c r="Y89" i="168" s="1"/>
  <c r="F90" i="168"/>
  <c r="F90" i="157"/>
  <c r="X89" i="157"/>
  <c r="Y89" i="157" s="1"/>
  <c r="F93" i="155"/>
  <c r="X92" i="155"/>
  <c r="Y92" i="155" s="1"/>
  <c r="X90" i="156"/>
  <c r="Y90" i="156" s="1"/>
  <c r="F91" i="156"/>
  <c r="F108" i="146"/>
  <c r="X108" i="146" s="1"/>
  <c r="Y108" i="146" s="1"/>
  <c r="X107" i="146"/>
  <c r="G103" i="163"/>
  <c r="Y102" i="163"/>
  <c r="Z102" i="163" s="1"/>
  <c r="D82" i="110"/>
  <c r="D81" i="109"/>
  <c r="G105" i="164"/>
  <c r="Y104" i="164"/>
  <c r="Z104" i="164" s="1"/>
  <c r="C92" i="142"/>
  <c r="AE90" i="142"/>
  <c r="F90" i="142"/>
  <c r="W90" i="142" s="1"/>
  <c r="G89" i="142"/>
  <c r="X88" i="142"/>
  <c r="Y88" i="142" s="1"/>
  <c r="E92" i="142"/>
  <c r="V91" i="142"/>
  <c r="Y91" i="140"/>
  <c r="G90" i="143"/>
  <c r="E94" i="143"/>
  <c r="F91" i="143"/>
  <c r="C93" i="143"/>
  <c r="C91" i="139"/>
  <c r="F91" i="139"/>
  <c r="E93" i="139"/>
  <c r="G90" i="139"/>
  <c r="F93" i="140"/>
  <c r="AE93" i="140"/>
  <c r="C93" i="140"/>
  <c r="V92" i="140"/>
  <c r="E93" i="140"/>
  <c r="G92" i="140"/>
  <c r="X92" i="140" s="1"/>
  <c r="W92" i="140"/>
  <c r="D119" i="113"/>
  <c r="D120" i="113" s="1"/>
  <c r="C50" i="77"/>
  <c r="C51" i="87"/>
  <c r="D51" i="87"/>
  <c r="E51" i="88"/>
  <c r="H50" i="88"/>
  <c r="F52" i="88"/>
  <c r="L50" i="88"/>
  <c r="F106" i="167" l="1"/>
  <c r="X105" i="167"/>
  <c r="Y105" i="167" s="1"/>
  <c r="E108" i="164"/>
  <c r="W107" i="164"/>
  <c r="D106" i="167"/>
  <c r="V106" i="167" s="1"/>
  <c r="V107" i="167" s="1"/>
  <c r="V108" i="167" s="1"/>
  <c r="V109" i="167" s="1"/>
  <c r="V110" i="167" s="1"/>
  <c r="V111" i="167" s="1"/>
  <c r="V105" i="167"/>
  <c r="F107" i="165"/>
  <c r="X106" i="165"/>
  <c r="Y106" i="165" s="1"/>
  <c r="J8" i="146"/>
  <c r="J22" i="146" s="1"/>
  <c r="J24" i="146" s="1"/>
  <c r="F106" i="166"/>
  <c r="X105" i="166"/>
  <c r="Y105" i="166" s="1"/>
  <c r="C92" i="138"/>
  <c r="E109" i="163"/>
  <c r="W108" i="163"/>
  <c r="B50" i="91"/>
  <c r="D107" i="146"/>
  <c r="V106" i="146"/>
  <c r="D107" i="166"/>
  <c r="V107" i="166" s="1"/>
  <c r="V108" i="166" s="1"/>
  <c r="V109" i="166" s="1"/>
  <c r="V110" i="166" s="1"/>
  <c r="V111" i="166" s="1"/>
  <c r="V112" i="166" s="1"/>
  <c r="V106" i="166"/>
  <c r="C51" i="89"/>
  <c r="X90" i="168"/>
  <c r="Y90" i="168" s="1"/>
  <c r="F91" i="168"/>
  <c r="F91" i="157"/>
  <c r="X90" i="157"/>
  <c r="Y90" i="157" s="1"/>
  <c r="X93" i="155"/>
  <c r="Y93" i="155" s="1"/>
  <c r="F94" i="155"/>
  <c r="F92" i="156"/>
  <c r="X91" i="156"/>
  <c r="Y91" i="156" s="1"/>
  <c r="J14" i="146"/>
  <c r="Y107" i="146"/>
  <c r="Y109" i="146"/>
  <c r="J13" i="146"/>
  <c r="Y103" i="163"/>
  <c r="Z103" i="163" s="1"/>
  <c r="G104" i="163"/>
  <c r="D82" i="109"/>
  <c r="D83" i="110"/>
  <c r="G106" i="164"/>
  <c r="Y105" i="164"/>
  <c r="Z105" i="164" s="1"/>
  <c r="G90" i="142"/>
  <c r="X89" i="142"/>
  <c r="Y89" i="142" s="1"/>
  <c r="E93" i="142"/>
  <c r="V92" i="142"/>
  <c r="C93" i="142"/>
  <c r="AE91" i="142"/>
  <c r="F91" i="142"/>
  <c r="W91" i="142" s="1"/>
  <c r="Y92" i="140"/>
  <c r="G91" i="143"/>
  <c r="E95" i="143"/>
  <c r="C94" i="143"/>
  <c r="F92" i="143"/>
  <c r="E94" i="139"/>
  <c r="G91" i="139"/>
  <c r="C92" i="139"/>
  <c r="F92" i="139"/>
  <c r="AE94" i="140"/>
  <c r="C94" i="140"/>
  <c r="F94" i="140"/>
  <c r="V93" i="140"/>
  <c r="E94" i="140"/>
  <c r="W93" i="140"/>
  <c r="G93" i="140"/>
  <c r="X93" i="140" s="1"/>
  <c r="D121" i="113"/>
  <c r="C51" i="77"/>
  <c r="D52" i="87"/>
  <c r="C52" i="87"/>
  <c r="E52" i="88"/>
  <c r="L51" i="88"/>
  <c r="H51" i="88"/>
  <c r="F53" i="88"/>
  <c r="F107" i="166" l="1"/>
  <c r="X106" i="166"/>
  <c r="Y106" i="166" s="1"/>
  <c r="B51" i="91"/>
  <c r="E109" i="164"/>
  <c r="W108" i="164"/>
  <c r="J21" i="146"/>
  <c r="J23" i="146" s="1"/>
  <c r="J20" i="146" s="1"/>
  <c r="D108" i="146"/>
  <c r="V108" i="146" s="1"/>
  <c r="V109" i="146" s="1"/>
  <c r="V110" i="146" s="1"/>
  <c r="V111" i="146" s="1"/>
  <c r="V112" i="146" s="1"/>
  <c r="V113" i="146" s="1"/>
  <c r="V107" i="146"/>
  <c r="J15" i="146"/>
  <c r="Z103" i="146" s="1"/>
  <c r="X107" i="165"/>
  <c r="J13" i="165"/>
  <c r="J14" i="165"/>
  <c r="J8" i="165"/>
  <c r="E110" i="163"/>
  <c r="W110" i="163" s="1"/>
  <c r="W111" i="163" s="1"/>
  <c r="W112" i="163" s="1"/>
  <c r="W113" i="163" s="1"/>
  <c r="W114" i="163" s="1"/>
  <c r="W115" i="163" s="1"/>
  <c r="W109" i="163"/>
  <c r="X106" i="167"/>
  <c r="J14" i="167"/>
  <c r="J13" i="167"/>
  <c r="J8" i="167"/>
  <c r="C52" i="89"/>
  <c r="C93" i="138"/>
  <c r="X91" i="168"/>
  <c r="Y91" i="168" s="1"/>
  <c r="F92" i="168"/>
  <c r="X91" i="157"/>
  <c r="Y91" i="157" s="1"/>
  <c r="F92" i="157"/>
  <c r="F93" i="156"/>
  <c r="X92" i="156"/>
  <c r="Y92" i="156" s="1"/>
  <c r="F95" i="155"/>
  <c r="X94" i="155"/>
  <c r="Y94" i="155" s="1"/>
  <c r="AE109" i="146"/>
  <c r="Y110" i="146"/>
  <c r="Z91" i="146"/>
  <c r="Z101" i="146"/>
  <c r="Z44" i="146"/>
  <c r="Z6" i="146"/>
  <c r="Z82" i="146"/>
  <c r="Z24" i="146"/>
  <c r="Z10" i="146"/>
  <c r="Z4" i="146"/>
  <c r="Z110" i="146"/>
  <c r="Z27" i="146"/>
  <c r="Z77" i="146"/>
  <c r="Z73" i="146"/>
  <c r="Z78" i="146"/>
  <c r="Z32" i="146"/>
  <c r="Z64" i="146"/>
  <c r="Z96" i="146"/>
  <c r="Z76" i="146"/>
  <c r="Z14" i="146"/>
  <c r="Z90" i="146"/>
  <c r="Z107" i="146"/>
  <c r="Z25" i="146"/>
  <c r="Z79" i="146"/>
  <c r="Z53" i="146"/>
  <c r="Z26" i="146"/>
  <c r="Z13" i="146"/>
  <c r="Z22" i="146"/>
  <c r="Z34" i="146"/>
  <c r="Z104" i="146"/>
  <c r="Z72" i="146"/>
  <c r="Z68" i="146"/>
  <c r="Z67" i="146"/>
  <c r="Z102" i="146"/>
  <c r="Z48" i="146"/>
  <c r="Z59" i="146"/>
  <c r="Z83" i="146"/>
  <c r="Z43" i="146"/>
  <c r="Z55" i="146"/>
  <c r="Z23" i="146"/>
  <c r="Z92" i="146"/>
  <c r="Z100" i="146"/>
  <c r="Z54" i="146"/>
  <c r="Z16" i="146"/>
  <c r="Z15" i="146"/>
  <c r="Z98" i="146"/>
  <c r="Z30" i="146"/>
  <c r="Z80" i="146"/>
  <c r="Z19" i="146"/>
  <c r="Z21" i="146"/>
  <c r="Z97" i="146"/>
  <c r="Z69" i="146"/>
  <c r="Z57" i="146"/>
  <c r="Z70" i="146"/>
  <c r="Z38" i="146"/>
  <c r="Z50" i="146"/>
  <c r="Z18" i="146"/>
  <c r="Z88" i="146"/>
  <c r="Z93" i="146"/>
  <c r="Z36" i="146"/>
  <c r="Z20" i="146"/>
  <c r="Z94" i="146"/>
  <c r="Z65" i="146"/>
  <c r="Z99" i="146"/>
  <c r="Z17" i="146"/>
  <c r="Z71" i="146"/>
  <c r="Z45" i="146"/>
  <c r="Z109" i="146"/>
  <c r="Z60" i="146"/>
  <c r="Z86" i="146"/>
  <c r="Z58" i="146"/>
  <c r="Z52" i="146"/>
  <c r="Z46" i="146"/>
  <c r="Z111" i="146"/>
  <c r="Z112" i="146"/>
  <c r="Z51" i="146"/>
  <c r="Z35" i="146"/>
  <c r="Z47" i="146"/>
  <c r="Z7" i="146"/>
  <c r="Z85" i="146"/>
  <c r="Z89" i="146"/>
  <c r="Z95" i="146"/>
  <c r="Z12" i="146"/>
  <c r="Z66" i="146"/>
  <c r="Z42" i="146"/>
  <c r="Z108" i="146"/>
  <c r="Z49" i="146"/>
  <c r="Z75" i="146"/>
  <c r="Z74" i="146"/>
  <c r="Z84" i="146"/>
  <c r="Z8" i="146"/>
  <c r="Z11" i="146"/>
  <c r="Z5" i="146"/>
  <c r="Z87" i="146"/>
  <c r="Z61" i="146"/>
  <c r="Z40" i="146"/>
  <c r="Z39" i="146"/>
  <c r="Z29" i="146"/>
  <c r="Z28" i="146"/>
  <c r="Z81" i="146"/>
  <c r="Z62" i="146"/>
  <c r="G105" i="163"/>
  <c r="Y104" i="163"/>
  <c r="Z104" i="163" s="1"/>
  <c r="D84" i="110"/>
  <c r="D83" i="109"/>
  <c r="G107" i="164"/>
  <c r="Y106" i="164"/>
  <c r="Z106" i="164" s="1"/>
  <c r="G91" i="142"/>
  <c r="X90" i="142"/>
  <c r="Y90" i="142" s="1"/>
  <c r="E94" i="142"/>
  <c r="V93" i="142"/>
  <c r="C94" i="142"/>
  <c r="AE92" i="142"/>
  <c r="F92" i="142"/>
  <c r="W92" i="142" s="1"/>
  <c r="Y93" i="140"/>
  <c r="G92" i="143"/>
  <c r="F93" i="143"/>
  <c r="C95" i="143"/>
  <c r="E96" i="143"/>
  <c r="C93" i="139"/>
  <c r="F93" i="139"/>
  <c r="E95" i="139"/>
  <c r="G92" i="139"/>
  <c r="F95" i="140"/>
  <c r="C95" i="140"/>
  <c r="AE95" i="140"/>
  <c r="V94" i="140"/>
  <c r="E95" i="140"/>
  <c r="G94" i="140"/>
  <c r="X94" i="140" s="1"/>
  <c r="W94" i="140"/>
  <c r="D122" i="113"/>
  <c r="D123" i="113" s="1"/>
  <c r="C52" i="77"/>
  <c r="D53" i="87"/>
  <c r="C53" i="87"/>
  <c r="E53" i="88"/>
  <c r="F54" i="88"/>
  <c r="L52" i="88"/>
  <c r="H52" i="88"/>
  <c r="Z105" i="146" l="1"/>
  <c r="AA105" i="146" s="1"/>
  <c r="Z113" i="146"/>
  <c r="Z41" i="146"/>
  <c r="AB41" i="146" s="1"/>
  <c r="Z31" i="146"/>
  <c r="Z106" i="146"/>
  <c r="Z33" i="146"/>
  <c r="AA33" i="146" s="1"/>
  <c r="Z63" i="146"/>
  <c r="AA63" i="146" s="1"/>
  <c r="Z37" i="146"/>
  <c r="AA37" i="146" s="1"/>
  <c r="Z56" i="146"/>
  <c r="AA56" i="146" s="1"/>
  <c r="Z9" i="146"/>
  <c r="J22" i="167"/>
  <c r="J24" i="167" s="1"/>
  <c r="J21" i="167"/>
  <c r="J23" i="167" s="1"/>
  <c r="J20" i="167" s="1"/>
  <c r="J15" i="167"/>
  <c r="J15" i="165"/>
  <c r="J22" i="165"/>
  <c r="J24" i="165" s="1"/>
  <c r="J21" i="165"/>
  <c r="J23" i="165" s="1"/>
  <c r="J20" i="165" s="1"/>
  <c r="Y107" i="167"/>
  <c r="Y106" i="167"/>
  <c r="Y107" i="165"/>
  <c r="Y108" i="165"/>
  <c r="E110" i="164"/>
  <c r="W110" i="164" s="1"/>
  <c r="W111" i="164" s="1"/>
  <c r="W112" i="164" s="1"/>
  <c r="W113" i="164" s="1"/>
  <c r="W114" i="164" s="1"/>
  <c r="W115" i="164" s="1"/>
  <c r="W109" i="164"/>
  <c r="C53" i="89"/>
  <c r="B52" i="91"/>
  <c r="C94" i="138"/>
  <c r="X107" i="166"/>
  <c r="J13" i="166"/>
  <c r="J14" i="166"/>
  <c r="J8" i="166"/>
  <c r="X92" i="168"/>
  <c r="Y92" i="168" s="1"/>
  <c r="F93" i="168"/>
  <c r="F93" i="157"/>
  <c r="X92" i="157"/>
  <c r="Y92" i="157" s="1"/>
  <c r="X95" i="155"/>
  <c r="Y95" i="155" s="1"/>
  <c r="F96" i="155"/>
  <c r="F94" i="156"/>
  <c r="X93" i="156"/>
  <c r="Y93" i="156" s="1"/>
  <c r="AB28" i="146"/>
  <c r="AA28" i="146"/>
  <c r="AA61" i="146"/>
  <c r="AB61" i="146"/>
  <c r="AA8" i="146"/>
  <c r="AB8" i="146"/>
  <c r="AA49" i="146"/>
  <c r="AB49" i="146"/>
  <c r="AB12" i="146"/>
  <c r="AA12" i="146"/>
  <c r="AB7" i="146"/>
  <c r="AA7" i="146"/>
  <c r="AA58" i="146"/>
  <c r="AB58" i="146"/>
  <c r="AB45" i="146"/>
  <c r="AA45" i="146"/>
  <c r="AB65" i="146"/>
  <c r="AA65" i="146"/>
  <c r="AB93" i="146"/>
  <c r="AA93" i="146"/>
  <c r="AA38" i="146"/>
  <c r="AB38" i="146"/>
  <c r="AB97" i="146"/>
  <c r="AA97" i="146"/>
  <c r="AA30" i="146"/>
  <c r="AB30" i="146"/>
  <c r="AA54" i="146"/>
  <c r="AB54" i="146"/>
  <c r="AA55" i="146"/>
  <c r="AB55" i="146"/>
  <c r="AA48" i="146"/>
  <c r="AB48" i="146"/>
  <c r="AA72" i="146"/>
  <c r="AB72" i="146"/>
  <c r="AB13" i="146"/>
  <c r="AA13" i="146"/>
  <c r="AA25" i="146"/>
  <c r="AB25" i="146"/>
  <c r="AB76" i="146"/>
  <c r="AA76" i="146"/>
  <c r="AA78" i="146"/>
  <c r="AB78" i="146"/>
  <c r="AB37" i="146"/>
  <c r="AA4" i="146"/>
  <c r="AB4" i="146"/>
  <c r="AA44" i="146"/>
  <c r="AB44" i="146"/>
  <c r="AB9" i="146"/>
  <c r="AA9" i="146"/>
  <c r="Y111" i="146"/>
  <c r="AA110" i="146"/>
  <c r="AB110" i="146"/>
  <c r="AE110" i="146"/>
  <c r="AA29" i="146"/>
  <c r="AB29" i="146"/>
  <c r="AB87" i="146"/>
  <c r="AA87" i="146"/>
  <c r="AA84" i="146"/>
  <c r="AB84" i="146"/>
  <c r="AA108" i="146"/>
  <c r="AB108" i="146"/>
  <c r="AA95" i="146"/>
  <c r="AB95" i="146"/>
  <c r="AA47" i="146"/>
  <c r="AB47" i="146"/>
  <c r="AA86" i="146"/>
  <c r="AB86" i="146"/>
  <c r="AA71" i="146"/>
  <c r="AB71" i="146"/>
  <c r="AB94" i="146"/>
  <c r="AA94" i="146"/>
  <c r="AA88" i="146"/>
  <c r="AB88" i="146"/>
  <c r="AB70" i="146"/>
  <c r="AA70" i="146"/>
  <c r="AA21" i="146"/>
  <c r="AB21" i="146"/>
  <c r="AA98" i="146"/>
  <c r="AB98" i="146"/>
  <c r="AB100" i="146"/>
  <c r="AA100" i="146"/>
  <c r="AA43" i="146"/>
  <c r="AB43" i="146"/>
  <c r="AB102" i="146"/>
  <c r="AA102" i="146"/>
  <c r="AB104" i="146"/>
  <c r="AA104" i="146"/>
  <c r="AA26" i="146"/>
  <c r="AB26" i="146"/>
  <c r="AA107" i="146"/>
  <c r="AB107" i="146"/>
  <c r="AA96" i="146"/>
  <c r="AB96" i="146"/>
  <c r="AA73" i="146"/>
  <c r="AB73" i="146"/>
  <c r="AB27" i="146"/>
  <c r="AA27" i="146"/>
  <c r="AA10" i="146"/>
  <c r="AB10" i="146"/>
  <c r="AA82" i="146"/>
  <c r="AB82" i="146"/>
  <c r="AA101" i="146"/>
  <c r="AB101" i="146"/>
  <c r="AA91" i="146"/>
  <c r="AB91" i="146"/>
  <c r="AB62" i="146"/>
  <c r="AA62" i="146"/>
  <c r="AA39" i="146"/>
  <c r="AB39" i="146"/>
  <c r="AB5" i="146"/>
  <c r="AA5" i="146"/>
  <c r="AB74" i="146"/>
  <c r="AA74" i="146"/>
  <c r="AA42" i="146"/>
  <c r="AB42" i="146"/>
  <c r="AB89" i="146"/>
  <c r="AA89" i="146"/>
  <c r="AA35" i="146"/>
  <c r="AB35" i="146"/>
  <c r="AA46" i="146"/>
  <c r="AB46" i="146"/>
  <c r="AB60" i="146"/>
  <c r="AA60" i="146"/>
  <c r="AB17" i="146"/>
  <c r="AA17" i="146"/>
  <c r="AB20" i="146"/>
  <c r="AA20" i="146"/>
  <c r="AB18" i="146"/>
  <c r="AA18" i="146"/>
  <c r="AB57" i="146"/>
  <c r="AA57" i="146"/>
  <c r="AB19" i="146"/>
  <c r="AA19" i="146"/>
  <c r="AA15" i="146"/>
  <c r="AB15" i="146"/>
  <c r="AA92" i="146"/>
  <c r="AB92" i="146"/>
  <c r="AB83" i="146"/>
  <c r="AA83" i="146"/>
  <c r="AB67" i="146"/>
  <c r="AA67" i="146"/>
  <c r="AA34" i="146"/>
  <c r="AB34" i="146"/>
  <c r="AA53" i="146"/>
  <c r="AB53" i="146"/>
  <c r="AB90" i="146"/>
  <c r="AA90" i="146"/>
  <c r="AB64" i="146"/>
  <c r="AA64" i="146"/>
  <c r="AB77" i="146"/>
  <c r="AA77" i="146"/>
  <c r="AA24" i="146"/>
  <c r="AB24" i="146"/>
  <c r="AB31" i="146"/>
  <c r="AA31" i="146"/>
  <c r="AA81" i="146"/>
  <c r="AB81" i="146"/>
  <c r="AB40" i="146"/>
  <c r="AA40" i="146"/>
  <c r="AB11" i="146"/>
  <c r="AA11" i="146"/>
  <c r="AB75" i="146"/>
  <c r="AA75" i="146"/>
  <c r="AA66" i="146"/>
  <c r="AB66" i="146"/>
  <c r="AA85" i="146"/>
  <c r="AB85" i="146"/>
  <c r="AA51" i="146"/>
  <c r="AB51" i="146"/>
  <c r="AB52" i="146"/>
  <c r="AA52" i="146"/>
  <c r="AB109" i="146"/>
  <c r="AA109" i="146"/>
  <c r="AA99" i="146"/>
  <c r="AB99" i="146"/>
  <c r="AB36" i="146"/>
  <c r="AA36" i="146"/>
  <c r="AA50" i="146"/>
  <c r="AB50" i="146"/>
  <c r="AB69" i="146"/>
  <c r="AA69" i="146"/>
  <c r="AB80" i="146"/>
  <c r="AA80" i="146"/>
  <c r="AA16" i="146"/>
  <c r="AB16" i="146"/>
  <c r="AA23" i="146"/>
  <c r="AB23" i="146"/>
  <c r="AA59" i="146"/>
  <c r="AB59" i="146"/>
  <c r="AA68" i="146"/>
  <c r="AB68" i="146"/>
  <c r="AB22" i="146"/>
  <c r="AA22" i="146"/>
  <c r="AA79" i="146"/>
  <c r="AB79" i="146"/>
  <c r="AB14" i="146"/>
  <c r="AA14" i="146"/>
  <c r="AA32" i="146"/>
  <c r="AB32" i="146"/>
  <c r="AB106" i="146"/>
  <c r="AA106" i="146"/>
  <c r="AA6" i="146"/>
  <c r="AB6" i="146"/>
  <c r="AA103" i="146"/>
  <c r="AB103" i="146"/>
  <c r="Y105" i="163"/>
  <c r="Z105" i="163" s="1"/>
  <c r="G106" i="163"/>
  <c r="D84" i="109"/>
  <c r="D85" i="110"/>
  <c r="G108" i="164"/>
  <c r="Y107" i="164"/>
  <c r="Z107" i="164" s="1"/>
  <c r="E95" i="142"/>
  <c r="V94" i="142"/>
  <c r="C95" i="142"/>
  <c r="AE93" i="142"/>
  <c r="F93" i="142"/>
  <c r="W93" i="142" s="1"/>
  <c r="G92" i="142"/>
  <c r="X91" i="142"/>
  <c r="Y91" i="142" s="1"/>
  <c r="C96" i="143"/>
  <c r="F94" i="143"/>
  <c r="E97" i="143"/>
  <c r="G93" i="143"/>
  <c r="C94" i="139"/>
  <c r="F94" i="139"/>
  <c r="G93" i="139"/>
  <c r="E96" i="139"/>
  <c r="AE96" i="140"/>
  <c r="C96" i="140"/>
  <c r="F96" i="140"/>
  <c r="W95" i="140"/>
  <c r="G95" i="140"/>
  <c r="X95" i="140" s="1"/>
  <c r="E96" i="140"/>
  <c r="V95" i="140"/>
  <c r="Y94" i="140"/>
  <c r="D124" i="113"/>
  <c r="D125" i="113" s="1"/>
  <c r="C53" i="77"/>
  <c r="C54" i="87"/>
  <c r="D54" i="87"/>
  <c r="E54" i="88"/>
  <c r="L53" i="88"/>
  <c r="H53" i="88"/>
  <c r="F55" i="88"/>
  <c r="AB63" i="146" l="1"/>
  <c r="AB33" i="146"/>
  <c r="AB105" i="146"/>
  <c r="AA41" i="146"/>
  <c r="AB56" i="146"/>
  <c r="AE109" i="167"/>
  <c r="Y108" i="167"/>
  <c r="J21" i="166"/>
  <c r="J23" i="166" s="1"/>
  <c r="J20" i="166" s="1"/>
  <c r="J15" i="166"/>
  <c r="J22" i="166"/>
  <c r="J24" i="166" s="1"/>
  <c r="C54" i="89"/>
  <c r="B53" i="91"/>
  <c r="Z73" i="165"/>
  <c r="Z93" i="165"/>
  <c r="Z81" i="165"/>
  <c r="Z4" i="165"/>
  <c r="Z65" i="165"/>
  <c r="Z52" i="165"/>
  <c r="Z28" i="165"/>
  <c r="Z10" i="165"/>
  <c r="Z42" i="165"/>
  <c r="Z88" i="165"/>
  <c r="Z33" i="165"/>
  <c r="Z63" i="165"/>
  <c r="Z85" i="165"/>
  <c r="Z107" i="165"/>
  <c r="AA107" i="165" s="1"/>
  <c r="Z86" i="165"/>
  <c r="Z51" i="165"/>
  <c r="Z19" i="165"/>
  <c r="Z95" i="165"/>
  <c r="Z64" i="165"/>
  <c r="Z106" i="165"/>
  <c r="Z78" i="165"/>
  <c r="Z48" i="165"/>
  <c r="Z24" i="165"/>
  <c r="Z14" i="165"/>
  <c r="Z46" i="165"/>
  <c r="Z5" i="165"/>
  <c r="Z37" i="165"/>
  <c r="Z66" i="165"/>
  <c r="Z87" i="165"/>
  <c r="Z105" i="165"/>
  <c r="Z84" i="165"/>
  <c r="Z47" i="165"/>
  <c r="Z15" i="165"/>
  <c r="Z36" i="165"/>
  <c r="Z53" i="165"/>
  <c r="Z104" i="165"/>
  <c r="Z76" i="165"/>
  <c r="Z20" i="165"/>
  <c r="Z97" i="165"/>
  <c r="Z18" i="165"/>
  <c r="Z50" i="165"/>
  <c r="Z9" i="165"/>
  <c r="Z41" i="165"/>
  <c r="Z69" i="165"/>
  <c r="Z90" i="165"/>
  <c r="Z103" i="165"/>
  <c r="Z75" i="165"/>
  <c r="Z43" i="165"/>
  <c r="Z11" i="165"/>
  <c r="Z77" i="165"/>
  <c r="Z102" i="165"/>
  <c r="Z67" i="165"/>
  <c r="Z44" i="165"/>
  <c r="Z16" i="165"/>
  <c r="Z22" i="165"/>
  <c r="Z54" i="165"/>
  <c r="Z13" i="165"/>
  <c r="Z45" i="165"/>
  <c r="Z71" i="165"/>
  <c r="Z92" i="165"/>
  <c r="Z101" i="165"/>
  <c r="Z39" i="165"/>
  <c r="Z7" i="165"/>
  <c r="Z62" i="165"/>
  <c r="Z21" i="165"/>
  <c r="Z68" i="165"/>
  <c r="Z100" i="165"/>
  <c r="Z40" i="165"/>
  <c r="Z89" i="165"/>
  <c r="Z26" i="165"/>
  <c r="Z58" i="165"/>
  <c r="Z17" i="165"/>
  <c r="Z49" i="165"/>
  <c r="Z74" i="165"/>
  <c r="Z94" i="165"/>
  <c r="Z99" i="165"/>
  <c r="Z70" i="165"/>
  <c r="Z35" i="165"/>
  <c r="Z12" i="165"/>
  <c r="Z96" i="165"/>
  <c r="Z60" i="165"/>
  <c r="Z32" i="165"/>
  <c r="Z8" i="165"/>
  <c r="Z34" i="165"/>
  <c r="Z72" i="165"/>
  <c r="Z25" i="165"/>
  <c r="Z57" i="165"/>
  <c r="Z79" i="165"/>
  <c r="Z98" i="165"/>
  <c r="Z91" i="165"/>
  <c r="Z59" i="165"/>
  <c r="Z27" i="165"/>
  <c r="Z30" i="165"/>
  <c r="Z83" i="165"/>
  <c r="Z56" i="165"/>
  <c r="Z6" i="165"/>
  <c r="Z38" i="165"/>
  <c r="Z80" i="165"/>
  <c r="Z29" i="165"/>
  <c r="Z61" i="165"/>
  <c r="Z82" i="165"/>
  <c r="Z55" i="165"/>
  <c r="Z23" i="165"/>
  <c r="Z31" i="165"/>
  <c r="Z110" i="165"/>
  <c r="Z109" i="165"/>
  <c r="Z112" i="165"/>
  <c r="Z108" i="165"/>
  <c r="AB108" i="165" s="1"/>
  <c r="Z111" i="165"/>
  <c r="Z6" i="167"/>
  <c r="Z22" i="167"/>
  <c r="Z38" i="167"/>
  <c r="Z54" i="167"/>
  <c r="Z70" i="167"/>
  <c r="Z86" i="167"/>
  <c r="Z93" i="167"/>
  <c r="Z37" i="167"/>
  <c r="Z104" i="167"/>
  <c r="Z67" i="167"/>
  <c r="Z49" i="167"/>
  <c r="Z23" i="167"/>
  <c r="Z15" i="167"/>
  <c r="Z8" i="167"/>
  <c r="Z24" i="167"/>
  <c r="Z40" i="167"/>
  <c r="Z56" i="167"/>
  <c r="Z72" i="167"/>
  <c r="Z88" i="167"/>
  <c r="Z97" i="167"/>
  <c r="Z45" i="167"/>
  <c r="Z11" i="167"/>
  <c r="Z75" i="167"/>
  <c r="Z57" i="167"/>
  <c r="Z55" i="167"/>
  <c r="Z47" i="167"/>
  <c r="Z10" i="167"/>
  <c r="Z26" i="167"/>
  <c r="Z42" i="167"/>
  <c r="Z58" i="167"/>
  <c r="Z74" i="167"/>
  <c r="Z90" i="167"/>
  <c r="Z101" i="167"/>
  <c r="Z53" i="167"/>
  <c r="Z19" i="167"/>
  <c r="Z83" i="167"/>
  <c r="Z65" i="167"/>
  <c r="Z87" i="167"/>
  <c r="Z79" i="167"/>
  <c r="Z12" i="167"/>
  <c r="Z28" i="167"/>
  <c r="Z44" i="167"/>
  <c r="Z60" i="167"/>
  <c r="Z76" i="167"/>
  <c r="Z94" i="167"/>
  <c r="Z105" i="167"/>
  <c r="Z61" i="167"/>
  <c r="Z27" i="167"/>
  <c r="Z9" i="167"/>
  <c r="Z73" i="167"/>
  <c r="Z31" i="167"/>
  <c r="Z91" i="167"/>
  <c r="Z14" i="167"/>
  <c r="Z30" i="167"/>
  <c r="Z46" i="167"/>
  <c r="Z62" i="167"/>
  <c r="Z78" i="167"/>
  <c r="Z98" i="167"/>
  <c r="Z5" i="167"/>
  <c r="Z69" i="167"/>
  <c r="Z35" i="167"/>
  <c r="Z17" i="167"/>
  <c r="Z81" i="167"/>
  <c r="Z63" i="167"/>
  <c r="Z95" i="167"/>
  <c r="Z16" i="167"/>
  <c r="Z32" i="167"/>
  <c r="Z48" i="167"/>
  <c r="Z64" i="167"/>
  <c r="Z80" i="167"/>
  <c r="Z102" i="167"/>
  <c r="Z13" i="167"/>
  <c r="Z77" i="167"/>
  <c r="Z43" i="167"/>
  <c r="Z25" i="167"/>
  <c r="Z89" i="167"/>
  <c r="Z7" i="167"/>
  <c r="Z99" i="167"/>
  <c r="Z18" i="167"/>
  <c r="Z34" i="167"/>
  <c r="Z50" i="167"/>
  <c r="Z66" i="167"/>
  <c r="Z82" i="167"/>
  <c r="Z106" i="167"/>
  <c r="AA106" i="167" s="1"/>
  <c r="Z21" i="167"/>
  <c r="Z85" i="167"/>
  <c r="Z51" i="167"/>
  <c r="Z33" i="167"/>
  <c r="Z92" i="167"/>
  <c r="Z39" i="167"/>
  <c r="Z103" i="167"/>
  <c r="Z20" i="167"/>
  <c r="Z36" i="167"/>
  <c r="Z52" i="167"/>
  <c r="Z68" i="167"/>
  <c r="Z84" i="167"/>
  <c r="Z4" i="167"/>
  <c r="Z29" i="167"/>
  <c r="Z96" i="167"/>
  <c r="Z59" i="167"/>
  <c r="Z41" i="167"/>
  <c r="Z100" i="167"/>
  <c r="Z71" i="167"/>
  <c r="Z110" i="167"/>
  <c r="Z109" i="167"/>
  <c r="Z111" i="167"/>
  <c r="Z108" i="167"/>
  <c r="Z107" i="167"/>
  <c r="AB107" i="167" s="1"/>
  <c r="Y108" i="166"/>
  <c r="Y107" i="166"/>
  <c r="Y110" i="165"/>
  <c r="AE109" i="165"/>
  <c r="Y109" i="165"/>
  <c r="C95" i="138"/>
  <c r="AB107" i="165"/>
  <c r="F94" i="168"/>
  <c r="X93" i="168"/>
  <c r="Y93" i="168" s="1"/>
  <c r="X93" i="157"/>
  <c r="Y93" i="157" s="1"/>
  <c r="F94" i="157"/>
  <c r="X96" i="155"/>
  <c r="Y96" i="155" s="1"/>
  <c r="F97" i="155"/>
  <c r="F95" i="156"/>
  <c r="X94" i="156"/>
  <c r="Y94" i="156" s="1"/>
  <c r="Y112" i="146"/>
  <c r="Y113" i="146" s="1"/>
  <c r="AA111" i="146"/>
  <c r="AB111" i="146"/>
  <c r="AE111" i="146"/>
  <c r="G107" i="163"/>
  <c r="Y106" i="163"/>
  <c r="Z106" i="163" s="1"/>
  <c r="D86" i="110"/>
  <c r="D85" i="109"/>
  <c r="G109" i="164"/>
  <c r="Y108" i="164"/>
  <c r="Z108" i="164" s="1"/>
  <c r="C96" i="142"/>
  <c r="AE94" i="142"/>
  <c r="F94" i="142"/>
  <c r="W94" i="142" s="1"/>
  <c r="G93" i="142"/>
  <c r="X92" i="142"/>
  <c r="Y92" i="142" s="1"/>
  <c r="E96" i="142"/>
  <c r="V95" i="142"/>
  <c r="Y95" i="140"/>
  <c r="F95" i="143"/>
  <c r="C97" i="143"/>
  <c r="E98" i="143"/>
  <c r="G94" i="143"/>
  <c r="G94" i="139"/>
  <c r="E97" i="139"/>
  <c r="C95" i="139"/>
  <c r="F95" i="139"/>
  <c r="V96" i="140"/>
  <c r="E97" i="140"/>
  <c r="F97" i="140"/>
  <c r="AE97" i="140"/>
  <c r="C97" i="140"/>
  <c r="G96" i="140"/>
  <c r="X96" i="140" s="1"/>
  <c r="W96" i="140"/>
  <c r="D126" i="113"/>
  <c r="C54" i="77"/>
  <c r="C55" i="87"/>
  <c r="D55" i="87"/>
  <c r="E55" i="88"/>
  <c r="F56" i="88"/>
  <c r="L54" i="88"/>
  <c r="H54" i="88"/>
  <c r="B54" i="91" l="1"/>
  <c r="AB84" i="167"/>
  <c r="AA84" i="167"/>
  <c r="AB33" i="167"/>
  <c r="AA33" i="167"/>
  <c r="AA34" i="167"/>
  <c r="AB34" i="167"/>
  <c r="AA13" i="167"/>
  <c r="AB13" i="167"/>
  <c r="AB63" i="167"/>
  <c r="AA63" i="167"/>
  <c r="AB62" i="167"/>
  <c r="AA62" i="167"/>
  <c r="AB27" i="167"/>
  <c r="AA27" i="167"/>
  <c r="AB12" i="167"/>
  <c r="AA12" i="167"/>
  <c r="AA90" i="167"/>
  <c r="AB90" i="167"/>
  <c r="AB57" i="167"/>
  <c r="AA57" i="167"/>
  <c r="AB40" i="167"/>
  <c r="AA40" i="167"/>
  <c r="AB37" i="167"/>
  <c r="AA37" i="167"/>
  <c r="AB82" i="165"/>
  <c r="AA82" i="165"/>
  <c r="AB30" i="165"/>
  <c r="AA30" i="165"/>
  <c r="AB72" i="165"/>
  <c r="AA72" i="165"/>
  <c r="AA70" i="165"/>
  <c r="AB70" i="165"/>
  <c r="AA89" i="165"/>
  <c r="AB89" i="165"/>
  <c r="AA101" i="165"/>
  <c r="AB101" i="165"/>
  <c r="AB44" i="165"/>
  <c r="AA44" i="165"/>
  <c r="AB90" i="165"/>
  <c r="AA90" i="165"/>
  <c r="AB76" i="165"/>
  <c r="AA76" i="165"/>
  <c r="AB87" i="165"/>
  <c r="AA87" i="165"/>
  <c r="AB78" i="165"/>
  <c r="AA78" i="165"/>
  <c r="AB85" i="165"/>
  <c r="AA85" i="165"/>
  <c r="AA65" i="165"/>
  <c r="AB65" i="165"/>
  <c r="Z8" i="166"/>
  <c r="Z16" i="166"/>
  <c r="Z24" i="166"/>
  <c r="Z32" i="166"/>
  <c r="Z40" i="166"/>
  <c r="Z104" i="166"/>
  <c r="Z96" i="166"/>
  <c r="Z88" i="166"/>
  <c r="Z80" i="166"/>
  <c r="Z72" i="166"/>
  <c r="Z64" i="166"/>
  <c r="Z56" i="166"/>
  <c r="Z48" i="166"/>
  <c r="Z13" i="166"/>
  <c r="Z91" i="166"/>
  <c r="Z67" i="166"/>
  <c r="Z9" i="166"/>
  <c r="Z17" i="166"/>
  <c r="Z25" i="166"/>
  <c r="Z33" i="166"/>
  <c r="Z41" i="166"/>
  <c r="Z103" i="166"/>
  <c r="Z95" i="166"/>
  <c r="Z87" i="166"/>
  <c r="Z79" i="166"/>
  <c r="Z71" i="166"/>
  <c r="Z63" i="166"/>
  <c r="Z55" i="166"/>
  <c r="Z47" i="166"/>
  <c r="Z37" i="166"/>
  <c r="Z75" i="166"/>
  <c r="Z10" i="166"/>
  <c r="Z18" i="166"/>
  <c r="Z26" i="166"/>
  <c r="Z34" i="166"/>
  <c r="Z42" i="166"/>
  <c r="Z102" i="166"/>
  <c r="Z94" i="166"/>
  <c r="Z86" i="166"/>
  <c r="Z78" i="166"/>
  <c r="Z70" i="166"/>
  <c r="Z62" i="166"/>
  <c r="Z54" i="166"/>
  <c r="Z46" i="166"/>
  <c r="Z107" i="166"/>
  <c r="Z11" i="166"/>
  <c r="Z19" i="166"/>
  <c r="Z27" i="166"/>
  <c r="Z35" i="166"/>
  <c r="Z101" i="166"/>
  <c r="Z93" i="166"/>
  <c r="Z85" i="166"/>
  <c r="Z77" i="166"/>
  <c r="Z69" i="166"/>
  <c r="Z61" i="166"/>
  <c r="Z53" i="166"/>
  <c r="Z45" i="166"/>
  <c r="Z21" i="166"/>
  <c r="Z83" i="166"/>
  <c r="Z59" i="166"/>
  <c r="Z12" i="166"/>
  <c r="Z20" i="166"/>
  <c r="Z28" i="166"/>
  <c r="Z36" i="166"/>
  <c r="Z4" i="166"/>
  <c r="Z100" i="166"/>
  <c r="Z92" i="166"/>
  <c r="Z84" i="166"/>
  <c r="Z76" i="166"/>
  <c r="Z68" i="166"/>
  <c r="Z60" i="166"/>
  <c r="Z52" i="166"/>
  <c r="Z44" i="166"/>
  <c r="Z99" i="166"/>
  <c r="Z51" i="166"/>
  <c r="Z6" i="166"/>
  <c r="Z14" i="166"/>
  <c r="Z22" i="166"/>
  <c r="Z30" i="166"/>
  <c r="Z38" i="166"/>
  <c r="Z106" i="166"/>
  <c r="Z98" i="166"/>
  <c r="Z90" i="166"/>
  <c r="Z82" i="166"/>
  <c r="Z74" i="166"/>
  <c r="Z66" i="166"/>
  <c r="Z58" i="166"/>
  <c r="Z50" i="166"/>
  <c r="Z5" i="166"/>
  <c r="Z23" i="166"/>
  <c r="Z105" i="166"/>
  <c r="Z89" i="166"/>
  <c r="Z81" i="166"/>
  <c r="Z65" i="166"/>
  <c r="Z57" i="166"/>
  <c r="Z29" i="166"/>
  <c r="Z43" i="166"/>
  <c r="Z7" i="166"/>
  <c r="Z15" i="166"/>
  <c r="Z31" i="166"/>
  <c r="Z39" i="166"/>
  <c r="Z97" i="166"/>
  <c r="Z73" i="166"/>
  <c r="Z49" i="166"/>
  <c r="Z108" i="166"/>
  <c r="AA108" i="166" s="1"/>
  <c r="Z111" i="166"/>
  <c r="Z110" i="166"/>
  <c r="Z109" i="166"/>
  <c r="Z112" i="166"/>
  <c r="AB110" i="165"/>
  <c r="AA110" i="165"/>
  <c r="AA71" i="167"/>
  <c r="AB71" i="167"/>
  <c r="AB68" i="167"/>
  <c r="AA68" i="167"/>
  <c r="AA51" i="167"/>
  <c r="AB51" i="167"/>
  <c r="AA18" i="167"/>
  <c r="AB18" i="167"/>
  <c r="AA102" i="167"/>
  <c r="AB102" i="167"/>
  <c r="AB81" i="167"/>
  <c r="AA81" i="167"/>
  <c r="AA46" i="167"/>
  <c r="AB46" i="167"/>
  <c r="AA61" i="167"/>
  <c r="AB61" i="167"/>
  <c r="AB79" i="167"/>
  <c r="AA79" i="167"/>
  <c r="AB74" i="167"/>
  <c r="AA74" i="167"/>
  <c r="AB75" i="167"/>
  <c r="AA75" i="167"/>
  <c r="AA24" i="167"/>
  <c r="AB24" i="167"/>
  <c r="AA93" i="167"/>
  <c r="AB93" i="167"/>
  <c r="AB61" i="165"/>
  <c r="AA61" i="165"/>
  <c r="AB27" i="165"/>
  <c r="AA27" i="165"/>
  <c r="AB34" i="165"/>
  <c r="AA34" i="165"/>
  <c r="AA99" i="165"/>
  <c r="AB99" i="165"/>
  <c r="AB40" i="165"/>
  <c r="AA40" i="165"/>
  <c r="AB92" i="165"/>
  <c r="AA92" i="165"/>
  <c r="AB67" i="165"/>
  <c r="AA67" i="165"/>
  <c r="AB69" i="165"/>
  <c r="AA69" i="165"/>
  <c r="AB104" i="165"/>
  <c r="AA104" i="165"/>
  <c r="AA66" i="165"/>
  <c r="AB66" i="165"/>
  <c r="AB106" i="165"/>
  <c r="AA106" i="165"/>
  <c r="AB63" i="165"/>
  <c r="AA63" i="165"/>
  <c r="AB4" i="165"/>
  <c r="AA4" i="165"/>
  <c r="AA107" i="166"/>
  <c r="AB107" i="166"/>
  <c r="AB100" i="167"/>
  <c r="AA100" i="167"/>
  <c r="AA52" i="167"/>
  <c r="AB52" i="167"/>
  <c r="AB85" i="167"/>
  <c r="AA85" i="167"/>
  <c r="AA99" i="167"/>
  <c r="AB99" i="167"/>
  <c r="AA80" i="167"/>
  <c r="AB80" i="167"/>
  <c r="AA17" i="167"/>
  <c r="AB17" i="167"/>
  <c r="AB30" i="167"/>
  <c r="AA30" i="167"/>
  <c r="AA105" i="167"/>
  <c r="AB105" i="167"/>
  <c r="AB87" i="167"/>
  <c r="AA87" i="167"/>
  <c r="AA58" i="167"/>
  <c r="AB58" i="167"/>
  <c r="AA11" i="167"/>
  <c r="AB11" i="167"/>
  <c r="AA8" i="167"/>
  <c r="AB8" i="167"/>
  <c r="AB86" i="167"/>
  <c r="AA86" i="167"/>
  <c r="AB29" i="165"/>
  <c r="AA29" i="165"/>
  <c r="AB59" i="165"/>
  <c r="AA59" i="165"/>
  <c r="AB8" i="165"/>
  <c r="AA8" i="165"/>
  <c r="AA94" i="165"/>
  <c r="AB94" i="165"/>
  <c r="AB100" i="165"/>
  <c r="AA100" i="165"/>
  <c r="AB71" i="165"/>
  <c r="AA71" i="165"/>
  <c r="AB102" i="165"/>
  <c r="AA102" i="165"/>
  <c r="AB41" i="165"/>
  <c r="AA41" i="165"/>
  <c r="AB53" i="165"/>
  <c r="AA53" i="165"/>
  <c r="AB37" i="165"/>
  <c r="AA37" i="165"/>
  <c r="AB64" i="165"/>
  <c r="AA64" i="165"/>
  <c r="AB33" i="165"/>
  <c r="AA33" i="165"/>
  <c r="AB81" i="165"/>
  <c r="AA81" i="165"/>
  <c r="AA107" i="167"/>
  <c r="AE109" i="166"/>
  <c r="Y110" i="166"/>
  <c r="Y109" i="166"/>
  <c r="AB41" i="167"/>
  <c r="AA41" i="167"/>
  <c r="AA36" i="167"/>
  <c r="AB36" i="167"/>
  <c r="AA21" i="167"/>
  <c r="AB21" i="167"/>
  <c r="AA7" i="167"/>
  <c r="AB7" i="167"/>
  <c r="AB64" i="167"/>
  <c r="AA64" i="167"/>
  <c r="AB35" i="167"/>
  <c r="AA35" i="167"/>
  <c r="AB14" i="167"/>
  <c r="AA14" i="167"/>
  <c r="AB94" i="167"/>
  <c r="AA94" i="167"/>
  <c r="AA65" i="167"/>
  <c r="AB65" i="167"/>
  <c r="AA42" i="167"/>
  <c r="AB42" i="167"/>
  <c r="AA45" i="167"/>
  <c r="AB45" i="167"/>
  <c r="AB15" i="167"/>
  <c r="AA15" i="167"/>
  <c r="AB70" i="167"/>
  <c r="AA70" i="167"/>
  <c r="AB80" i="165"/>
  <c r="AA80" i="165"/>
  <c r="AA91" i="165"/>
  <c r="AB91" i="165"/>
  <c r="AB32" i="165"/>
  <c r="AA32" i="165"/>
  <c r="AA74" i="165"/>
  <c r="AB74" i="165"/>
  <c r="AB68" i="165"/>
  <c r="AA68" i="165"/>
  <c r="AB45" i="165"/>
  <c r="AA45" i="165"/>
  <c r="AB77" i="165"/>
  <c r="AA77" i="165"/>
  <c r="AB9" i="165"/>
  <c r="AA9" i="165"/>
  <c r="AB36" i="165"/>
  <c r="AA36" i="165"/>
  <c r="AB5" i="165"/>
  <c r="AA5" i="165"/>
  <c r="AB95" i="165"/>
  <c r="AA95" i="165"/>
  <c r="AB88" i="165"/>
  <c r="AA88" i="165"/>
  <c r="AB93" i="165"/>
  <c r="AA93" i="165"/>
  <c r="AE110" i="167"/>
  <c r="AB108" i="167"/>
  <c r="AA108" i="167"/>
  <c r="C96" i="138"/>
  <c r="AB59" i="167"/>
  <c r="AA59" i="167"/>
  <c r="AB20" i="167"/>
  <c r="AA20" i="167"/>
  <c r="AB89" i="167"/>
  <c r="AA89" i="167"/>
  <c r="AA48" i="167"/>
  <c r="AB48" i="167"/>
  <c r="AA69" i="167"/>
  <c r="AB69" i="167"/>
  <c r="AA91" i="167"/>
  <c r="AB91" i="167"/>
  <c r="AB76" i="167"/>
  <c r="AA76" i="167"/>
  <c r="AA83" i="167"/>
  <c r="AB83" i="167"/>
  <c r="AB26" i="167"/>
  <c r="AA26" i="167"/>
  <c r="AA97" i="167"/>
  <c r="AB97" i="167"/>
  <c r="AA23" i="167"/>
  <c r="AB23" i="167"/>
  <c r="AA54" i="167"/>
  <c r="AB54" i="167"/>
  <c r="AB38" i="165"/>
  <c r="AA38" i="165"/>
  <c r="AA98" i="165"/>
  <c r="AB98" i="165"/>
  <c r="AB60" i="165"/>
  <c r="AA60" i="165"/>
  <c r="AB49" i="165"/>
  <c r="AA49" i="165"/>
  <c r="AB21" i="165"/>
  <c r="AA21" i="165"/>
  <c r="AB13" i="165"/>
  <c r="AA13" i="165"/>
  <c r="AB11" i="165"/>
  <c r="AA11" i="165"/>
  <c r="AB50" i="165"/>
  <c r="AA50" i="165"/>
  <c r="AB15" i="165"/>
  <c r="AA15" i="165"/>
  <c r="AB46" i="165"/>
  <c r="AA46" i="165"/>
  <c r="AB19" i="165"/>
  <c r="AA19" i="165"/>
  <c r="AB42" i="165"/>
  <c r="AA42" i="165"/>
  <c r="AA73" i="165"/>
  <c r="AB73" i="165"/>
  <c r="Y109" i="167"/>
  <c r="AA108" i="165"/>
  <c r="AB96" i="167"/>
  <c r="AA96" i="167"/>
  <c r="AB103" i="167"/>
  <c r="AA103" i="167"/>
  <c r="AA82" i="167"/>
  <c r="AB82" i="167"/>
  <c r="AB25" i="167"/>
  <c r="AA25" i="167"/>
  <c r="AA32" i="167"/>
  <c r="AB32" i="167"/>
  <c r="AA5" i="167"/>
  <c r="AB5" i="167"/>
  <c r="AA31" i="167"/>
  <c r="AB31" i="167"/>
  <c r="AA60" i="167"/>
  <c r="AB60" i="167"/>
  <c r="AB19" i="167"/>
  <c r="AA19" i="167"/>
  <c r="AB10" i="167"/>
  <c r="AA10" i="167"/>
  <c r="AB88" i="167"/>
  <c r="AA88" i="167"/>
  <c r="AA49" i="167"/>
  <c r="AB49" i="167"/>
  <c r="AB38" i="167"/>
  <c r="AA38" i="167"/>
  <c r="AB31" i="165"/>
  <c r="AA31" i="165"/>
  <c r="AB6" i="165"/>
  <c r="AA6" i="165"/>
  <c r="AB79" i="165"/>
  <c r="AA79" i="165"/>
  <c r="AA96" i="165"/>
  <c r="AB96" i="165"/>
  <c r="AB17" i="165"/>
  <c r="AA17" i="165"/>
  <c r="AA62" i="165"/>
  <c r="AB62" i="165"/>
  <c r="AB54" i="165"/>
  <c r="AA54" i="165"/>
  <c r="AB43" i="165"/>
  <c r="AA43" i="165"/>
  <c r="AB18" i="165"/>
  <c r="AA18" i="165"/>
  <c r="AB47" i="165"/>
  <c r="AA47" i="165"/>
  <c r="AB14" i="165"/>
  <c r="AA14" i="165"/>
  <c r="AB51" i="165"/>
  <c r="AA51" i="165"/>
  <c r="AB10" i="165"/>
  <c r="AA10" i="165"/>
  <c r="AA29" i="167"/>
  <c r="AB29" i="167"/>
  <c r="AA39" i="167"/>
  <c r="AB39" i="167"/>
  <c r="AA66" i="167"/>
  <c r="AB66" i="167"/>
  <c r="AB43" i="167"/>
  <c r="AA43" i="167"/>
  <c r="AB16" i="167"/>
  <c r="AA16" i="167"/>
  <c r="AB98" i="167"/>
  <c r="AA98" i="167"/>
  <c r="AA73" i="167"/>
  <c r="AB73" i="167"/>
  <c r="AA44" i="167"/>
  <c r="AB44" i="167"/>
  <c r="AB53" i="167"/>
  <c r="AA53" i="167"/>
  <c r="AA47" i="167"/>
  <c r="AB47" i="167"/>
  <c r="AB72" i="167"/>
  <c r="AA72" i="167"/>
  <c r="AB67" i="167"/>
  <c r="AA67" i="167"/>
  <c r="AB22" i="167"/>
  <c r="AA22" i="167"/>
  <c r="AB23" i="165"/>
  <c r="AA23" i="165"/>
  <c r="AB56" i="165"/>
  <c r="AA56" i="165"/>
  <c r="AB57" i="165"/>
  <c r="AA57" i="165"/>
  <c r="AB12" i="165"/>
  <c r="AA12" i="165"/>
  <c r="AB58" i="165"/>
  <c r="AA58" i="165"/>
  <c r="AB7" i="165"/>
  <c r="AA7" i="165"/>
  <c r="AB22" i="165"/>
  <c r="AA22" i="165"/>
  <c r="AB75" i="165"/>
  <c r="AA75" i="165"/>
  <c r="AA97" i="165"/>
  <c r="AB97" i="165"/>
  <c r="AB84" i="165"/>
  <c r="AA84" i="165"/>
  <c r="AB24" i="165"/>
  <c r="AA24" i="165"/>
  <c r="AA86" i="165"/>
  <c r="AB86" i="165"/>
  <c r="AB28" i="165"/>
  <c r="AA28" i="165"/>
  <c r="C55" i="89"/>
  <c r="AB106" i="167"/>
  <c r="AE110" i="165"/>
  <c r="AE111" i="165" s="1"/>
  <c r="Y111" i="165"/>
  <c r="AB109" i="165"/>
  <c r="AA109" i="165"/>
  <c r="AA4" i="167"/>
  <c r="AB4" i="167"/>
  <c r="AB92" i="167"/>
  <c r="AA92" i="167"/>
  <c r="AB50" i="167"/>
  <c r="AA50" i="167"/>
  <c r="AA77" i="167"/>
  <c r="AB77" i="167"/>
  <c r="AB95" i="167"/>
  <c r="AA95" i="167"/>
  <c r="AA78" i="167"/>
  <c r="AB78" i="167"/>
  <c r="AA9" i="167"/>
  <c r="AB9" i="167"/>
  <c r="AA28" i="167"/>
  <c r="AB28" i="167"/>
  <c r="AA101" i="167"/>
  <c r="AB101" i="167"/>
  <c r="AA55" i="167"/>
  <c r="AB55" i="167"/>
  <c r="AA56" i="167"/>
  <c r="AB56" i="167"/>
  <c r="AA104" i="167"/>
  <c r="AB104" i="167"/>
  <c r="AB6" i="167"/>
  <c r="AA6" i="167"/>
  <c r="AB55" i="165"/>
  <c r="AA55" i="165"/>
  <c r="AB83" i="165"/>
  <c r="AA83" i="165"/>
  <c r="AB25" i="165"/>
  <c r="AA25" i="165"/>
  <c r="AB35" i="165"/>
  <c r="AA35" i="165"/>
  <c r="AB26" i="165"/>
  <c r="AA26" i="165"/>
  <c r="AB39" i="165"/>
  <c r="AA39" i="165"/>
  <c r="AB16" i="165"/>
  <c r="AA16" i="165"/>
  <c r="AA103" i="165"/>
  <c r="AB103" i="165"/>
  <c r="AB20" i="165"/>
  <c r="AA20" i="165"/>
  <c r="AA105" i="165"/>
  <c r="AB105" i="165"/>
  <c r="AB48" i="165"/>
  <c r="AA48" i="165"/>
  <c r="AB52" i="165"/>
  <c r="AA52" i="165"/>
  <c r="X94" i="168"/>
  <c r="Y94" i="168" s="1"/>
  <c r="F95" i="168"/>
  <c r="X94" i="157"/>
  <c r="Y94" i="157" s="1"/>
  <c r="F95" i="157"/>
  <c r="X97" i="155"/>
  <c r="Y97" i="155" s="1"/>
  <c r="F98" i="155"/>
  <c r="F96" i="156"/>
  <c r="X95" i="156"/>
  <c r="Y95" i="156" s="1"/>
  <c r="AE112" i="146"/>
  <c r="AB112" i="146"/>
  <c r="AA112" i="146"/>
  <c r="AA113" i="146"/>
  <c r="AE113" i="146"/>
  <c r="AB113" i="146"/>
  <c r="G108" i="163"/>
  <c r="Y107" i="163"/>
  <c r="Z107" i="163" s="1"/>
  <c r="D86" i="109"/>
  <c r="D87" i="110"/>
  <c r="G110" i="164"/>
  <c r="Y109" i="164"/>
  <c r="Z109" i="164" s="1"/>
  <c r="G94" i="142"/>
  <c r="X93" i="142"/>
  <c r="Y93" i="142" s="1"/>
  <c r="E97" i="142"/>
  <c r="V96" i="142"/>
  <c r="C97" i="142"/>
  <c r="AE95" i="142"/>
  <c r="F95" i="142"/>
  <c r="W95" i="142" s="1"/>
  <c r="Y96" i="140"/>
  <c r="E99" i="143"/>
  <c r="C98" i="143"/>
  <c r="F96" i="143"/>
  <c r="G95" i="143"/>
  <c r="E98" i="139"/>
  <c r="C96" i="139"/>
  <c r="F96" i="139"/>
  <c r="G95" i="139"/>
  <c r="V97" i="140"/>
  <c r="E98" i="140"/>
  <c r="AE98" i="140"/>
  <c r="C98" i="140"/>
  <c r="F98" i="140"/>
  <c r="W97" i="140"/>
  <c r="G97" i="140"/>
  <c r="X97" i="140" s="1"/>
  <c r="D127" i="113"/>
  <c r="C55" i="77"/>
  <c r="C56" i="87"/>
  <c r="D56" i="87"/>
  <c r="E56" i="88"/>
  <c r="H55" i="88"/>
  <c r="L55" i="88"/>
  <c r="F57" i="88"/>
  <c r="AB108" i="166" l="1"/>
  <c r="B55" i="91"/>
  <c r="AE111" i="167"/>
  <c r="AB110" i="166"/>
  <c r="AA110" i="166"/>
  <c r="AA39" i="166"/>
  <c r="AB39" i="166"/>
  <c r="AB81" i="166"/>
  <c r="AA81" i="166"/>
  <c r="AA74" i="166"/>
  <c r="AB74" i="166"/>
  <c r="AA14" i="166"/>
  <c r="AB14" i="166"/>
  <c r="AB76" i="166"/>
  <c r="AA76" i="166"/>
  <c r="AB12" i="166"/>
  <c r="AA12" i="166"/>
  <c r="AB77" i="166"/>
  <c r="AA77" i="166"/>
  <c r="AB102" i="166"/>
  <c r="AA102" i="166"/>
  <c r="AB47" i="166"/>
  <c r="AA47" i="166"/>
  <c r="AA41" i="166"/>
  <c r="AB41" i="166"/>
  <c r="AA48" i="166"/>
  <c r="AB48" i="166"/>
  <c r="AA40" i="166"/>
  <c r="AB40" i="166"/>
  <c r="AB101" i="166"/>
  <c r="AA101" i="166"/>
  <c r="AA109" i="167"/>
  <c r="AB109" i="167"/>
  <c r="AA31" i="166"/>
  <c r="AB31" i="166"/>
  <c r="AB89" i="166"/>
  <c r="AA89" i="166"/>
  <c r="AB82" i="166"/>
  <c r="AA82" i="166"/>
  <c r="AB6" i="166"/>
  <c r="AA6" i="166"/>
  <c r="AA84" i="166"/>
  <c r="AB84" i="166"/>
  <c r="AA59" i="166"/>
  <c r="AB59" i="166"/>
  <c r="AB85" i="166"/>
  <c r="AA85" i="166"/>
  <c r="AB46" i="166"/>
  <c r="AA46" i="166"/>
  <c r="AB42" i="166"/>
  <c r="AA42" i="166"/>
  <c r="AB55" i="166"/>
  <c r="AA55" i="166"/>
  <c r="AA33" i="166"/>
  <c r="AB33" i="166"/>
  <c r="AB56" i="166"/>
  <c r="AA56" i="166"/>
  <c r="AA32" i="166"/>
  <c r="AB32" i="166"/>
  <c r="AB7" i="166"/>
  <c r="AA7" i="166"/>
  <c r="AB62" i="166"/>
  <c r="AA62" i="166"/>
  <c r="AB15" i="166"/>
  <c r="AA15" i="166"/>
  <c r="AB105" i="166"/>
  <c r="AA105" i="166"/>
  <c r="AB90" i="166"/>
  <c r="AA90" i="166"/>
  <c r="AB51" i="166"/>
  <c r="AA51" i="166"/>
  <c r="AB92" i="166"/>
  <c r="AA92" i="166"/>
  <c r="AB83" i="166"/>
  <c r="AA83" i="166"/>
  <c r="AB93" i="166"/>
  <c r="AA93" i="166"/>
  <c r="AA54" i="166"/>
  <c r="AB54" i="166"/>
  <c r="AB34" i="166"/>
  <c r="AA34" i="166"/>
  <c r="AA63" i="166"/>
  <c r="AB63" i="166"/>
  <c r="AA25" i="166"/>
  <c r="AB25" i="166"/>
  <c r="AA64" i="166"/>
  <c r="AB64" i="166"/>
  <c r="AB24" i="166"/>
  <c r="AA24" i="166"/>
  <c r="AA23" i="166"/>
  <c r="AB23" i="166"/>
  <c r="AA21" i="166"/>
  <c r="AB21" i="166"/>
  <c r="AB26" i="166"/>
  <c r="AA26" i="166"/>
  <c r="AA72" i="166"/>
  <c r="AB72" i="166"/>
  <c r="AA16" i="166"/>
  <c r="AB16" i="166"/>
  <c r="AA111" i="165"/>
  <c r="AB111" i="165"/>
  <c r="C97" i="138"/>
  <c r="AA43" i="166"/>
  <c r="AB43" i="166"/>
  <c r="AB5" i="166"/>
  <c r="AA5" i="166"/>
  <c r="AA106" i="166"/>
  <c r="AB106" i="166"/>
  <c r="AB44" i="166"/>
  <c r="AA44" i="166"/>
  <c r="AB4" i="166"/>
  <c r="AA4" i="166"/>
  <c r="AB45" i="166"/>
  <c r="AA45" i="166"/>
  <c r="AB35" i="166"/>
  <c r="AA35" i="166"/>
  <c r="AB70" i="166"/>
  <c r="AA70" i="166"/>
  <c r="AB18" i="166"/>
  <c r="AA18" i="166"/>
  <c r="AA79" i="166"/>
  <c r="AB79" i="166"/>
  <c r="AB9" i="166"/>
  <c r="AA9" i="166"/>
  <c r="AA80" i="166"/>
  <c r="AB80" i="166"/>
  <c r="AA8" i="166"/>
  <c r="AB8" i="166"/>
  <c r="AB99" i="166"/>
  <c r="AA99" i="166"/>
  <c r="AB17" i="166"/>
  <c r="AA17" i="166"/>
  <c r="AE112" i="165"/>
  <c r="AA49" i="166"/>
  <c r="AB49" i="166"/>
  <c r="AB29" i="166"/>
  <c r="AA29" i="166"/>
  <c r="AB50" i="166"/>
  <c r="AA50" i="166"/>
  <c r="AB38" i="166"/>
  <c r="AA38" i="166"/>
  <c r="AB52" i="166"/>
  <c r="AA52" i="166"/>
  <c r="AA36" i="166"/>
  <c r="AB36" i="166"/>
  <c r="AB53" i="166"/>
  <c r="AA53" i="166"/>
  <c r="AB27" i="166"/>
  <c r="AA27" i="166"/>
  <c r="AB78" i="166"/>
  <c r="AA78" i="166"/>
  <c r="AB10" i="166"/>
  <c r="AA10" i="166"/>
  <c r="AA87" i="166"/>
  <c r="AB87" i="166"/>
  <c r="AA67" i="166"/>
  <c r="AB67" i="166"/>
  <c r="AA88" i="166"/>
  <c r="AB88" i="166"/>
  <c r="AA100" i="166"/>
  <c r="AB100" i="166"/>
  <c r="AA73" i="166"/>
  <c r="AB73" i="166"/>
  <c r="AB57" i="166"/>
  <c r="AA57" i="166"/>
  <c r="AA58" i="166"/>
  <c r="AB58" i="166"/>
  <c r="AA30" i="166"/>
  <c r="AB30" i="166"/>
  <c r="AB60" i="166"/>
  <c r="AA60" i="166"/>
  <c r="AA28" i="166"/>
  <c r="AB28" i="166"/>
  <c r="AA61" i="166"/>
  <c r="AB61" i="166"/>
  <c r="AB19" i="166"/>
  <c r="AA19" i="166"/>
  <c r="AB86" i="166"/>
  <c r="AA86" i="166"/>
  <c r="AA75" i="166"/>
  <c r="AB75" i="166"/>
  <c r="AB95" i="166"/>
  <c r="AA95" i="166"/>
  <c r="AB91" i="166"/>
  <c r="AA91" i="166"/>
  <c r="AA96" i="166"/>
  <c r="AB96" i="166"/>
  <c r="AB98" i="166"/>
  <c r="AA98" i="166"/>
  <c r="AB71" i="166"/>
  <c r="AA71" i="166"/>
  <c r="C56" i="89"/>
  <c r="Y110" i="167"/>
  <c r="Y111" i="167" s="1"/>
  <c r="AE110" i="166"/>
  <c r="AE111" i="166" s="1"/>
  <c r="Y111" i="166"/>
  <c r="AB109" i="166"/>
  <c r="AA109" i="166"/>
  <c r="Y112" i="165"/>
  <c r="AB97" i="166"/>
  <c r="AA97" i="166"/>
  <c r="AB65" i="166"/>
  <c r="AA65" i="166"/>
  <c r="AB66" i="166"/>
  <c r="AA66" i="166"/>
  <c r="AB22" i="166"/>
  <c r="AA22" i="166"/>
  <c r="AB68" i="166"/>
  <c r="AA68" i="166"/>
  <c r="AA20" i="166"/>
  <c r="AB20" i="166"/>
  <c r="AB69" i="166"/>
  <c r="AA69" i="166"/>
  <c r="AA11" i="166"/>
  <c r="AB11" i="166"/>
  <c r="AA94" i="166"/>
  <c r="AB94" i="166"/>
  <c r="AA37" i="166"/>
  <c r="AB37" i="166"/>
  <c r="AA103" i="166"/>
  <c r="AB103" i="166"/>
  <c r="AA13" i="166"/>
  <c r="AB13" i="166"/>
  <c r="AB104" i="166"/>
  <c r="AA104" i="166"/>
  <c r="F96" i="168"/>
  <c r="X95" i="168"/>
  <c r="Y95" i="168" s="1"/>
  <c r="F96" i="157"/>
  <c r="X95" i="157"/>
  <c r="Y95" i="157" s="1"/>
  <c r="F99" i="155"/>
  <c r="X98" i="155"/>
  <c r="Y98" i="155" s="1"/>
  <c r="F97" i="156"/>
  <c r="X96" i="156"/>
  <c r="Y96" i="156" s="1"/>
  <c r="Y108" i="163"/>
  <c r="Z108" i="163" s="1"/>
  <c r="G109" i="163"/>
  <c r="D88" i="110"/>
  <c r="D87" i="109"/>
  <c r="Y110" i="164"/>
  <c r="K15" i="164"/>
  <c r="K14" i="164"/>
  <c r="K9" i="164"/>
  <c r="C98" i="142"/>
  <c r="AE96" i="142"/>
  <c r="F96" i="142"/>
  <c r="W96" i="142" s="1"/>
  <c r="E98" i="142"/>
  <c r="V97" i="142"/>
  <c r="G95" i="142"/>
  <c r="X94" i="142"/>
  <c r="Y94" i="142" s="1"/>
  <c r="E100" i="143"/>
  <c r="G96" i="143"/>
  <c r="F97" i="143"/>
  <c r="C99" i="143"/>
  <c r="C97" i="139"/>
  <c r="F97" i="139"/>
  <c r="G96" i="139"/>
  <c r="E99" i="139"/>
  <c r="Y97" i="140"/>
  <c r="F99" i="140"/>
  <c r="C99" i="140"/>
  <c r="AE99" i="140"/>
  <c r="V98" i="140"/>
  <c r="E99" i="140"/>
  <c r="G98" i="140"/>
  <c r="X98" i="140" s="1"/>
  <c r="W98" i="140"/>
  <c r="D128" i="113"/>
  <c r="D129" i="113" s="1"/>
  <c r="C56" i="77"/>
  <c r="D57" i="87"/>
  <c r="C57" i="87"/>
  <c r="E57" i="88"/>
  <c r="H56" i="88"/>
  <c r="L56" i="88"/>
  <c r="F58" i="88"/>
  <c r="AA111" i="167" l="1"/>
  <c r="AB111" i="167"/>
  <c r="AB112" i="165"/>
  <c r="AA112" i="165"/>
  <c r="C98" i="138"/>
  <c r="AE113" i="165"/>
  <c r="AA111" i="166"/>
  <c r="AB111" i="166"/>
  <c r="AE112" i="166"/>
  <c r="Y112" i="166"/>
  <c r="B56" i="91"/>
  <c r="AB110" i="167"/>
  <c r="AA110" i="167"/>
  <c r="AE112" i="167"/>
  <c r="AE113" i="167" s="1"/>
  <c r="C57" i="89"/>
  <c r="X96" i="168"/>
  <c r="Y96" i="168" s="1"/>
  <c r="F97" i="168"/>
  <c r="F97" i="157"/>
  <c r="X96" i="157"/>
  <c r="Y96" i="157" s="1"/>
  <c r="F98" i="156"/>
  <c r="X97" i="156"/>
  <c r="Y97" i="156" s="1"/>
  <c r="F100" i="155"/>
  <c r="X99" i="155"/>
  <c r="Y99" i="155" s="1"/>
  <c r="G110" i="163"/>
  <c r="Y109" i="163"/>
  <c r="Z109" i="163" s="1"/>
  <c r="D88" i="109"/>
  <c r="D89" i="110"/>
  <c r="Z110" i="164"/>
  <c r="Z111" i="164"/>
  <c r="K23" i="164"/>
  <c r="K25" i="164" s="1"/>
  <c r="K16" i="164"/>
  <c r="K22" i="164"/>
  <c r="K24" i="164" s="1"/>
  <c r="K21" i="164" s="1"/>
  <c r="E99" i="142"/>
  <c r="V98" i="142"/>
  <c r="G96" i="142"/>
  <c r="X95" i="142"/>
  <c r="Y95" i="142" s="1"/>
  <c r="C99" i="142"/>
  <c r="AE97" i="142"/>
  <c r="F97" i="142"/>
  <c r="W97" i="142" s="1"/>
  <c r="E101" i="143"/>
  <c r="G97" i="143"/>
  <c r="C100" i="143"/>
  <c r="F98" i="143"/>
  <c r="C98" i="139"/>
  <c r="F98" i="139"/>
  <c r="G97" i="139"/>
  <c r="E100" i="139"/>
  <c r="Y98" i="140"/>
  <c r="AE100" i="140"/>
  <c r="C100" i="140"/>
  <c r="F100" i="140"/>
  <c r="E100" i="140"/>
  <c r="V99" i="140"/>
  <c r="W99" i="140"/>
  <c r="G99" i="140"/>
  <c r="X99" i="140" s="1"/>
  <c r="D130" i="113"/>
  <c r="C57" i="77"/>
  <c r="C58" i="87"/>
  <c r="D58" i="87"/>
  <c r="E58" i="88"/>
  <c r="L57" i="88"/>
  <c r="H57" i="88"/>
  <c r="F59" i="88"/>
  <c r="C58" i="89" l="1"/>
  <c r="C99" i="138"/>
  <c r="AB112" i="166"/>
  <c r="AA112" i="166"/>
  <c r="B57" i="91"/>
  <c r="AE113" i="166"/>
  <c r="F98" i="168"/>
  <c r="X97" i="168"/>
  <c r="Y97" i="168" s="1"/>
  <c r="X97" i="157"/>
  <c r="Y97" i="157" s="1"/>
  <c r="F98" i="157"/>
  <c r="X98" i="156"/>
  <c r="Y98" i="156" s="1"/>
  <c r="F99" i="156"/>
  <c r="X100" i="155"/>
  <c r="Y100" i="155" s="1"/>
  <c r="F101" i="155"/>
  <c r="K9" i="163"/>
  <c r="K15" i="163"/>
  <c r="Y110" i="163"/>
  <c r="K14" i="163"/>
  <c r="D90" i="110"/>
  <c r="D89" i="109"/>
  <c r="AA114" i="164"/>
  <c r="AA7" i="164"/>
  <c r="AA9" i="164"/>
  <c r="AA11" i="164"/>
  <c r="AA13" i="164"/>
  <c r="AA15" i="164"/>
  <c r="AA17" i="164"/>
  <c r="AA19" i="164"/>
  <c r="AA21" i="164"/>
  <c r="AA23" i="164"/>
  <c r="AA25" i="164"/>
  <c r="AA27" i="164"/>
  <c r="AA29" i="164"/>
  <c r="AA31" i="164"/>
  <c r="AA33" i="164"/>
  <c r="AA35" i="164"/>
  <c r="AA37" i="164"/>
  <c r="AA39" i="164"/>
  <c r="AA41" i="164"/>
  <c r="AA43" i="164"/>
  <c r="AA45" i="164"/>
  <c r="AA47" i="164"/>
  <c r="AA49" i="164"/>
  <c r="AA51" i="164"/>
  <c r="AA53" i="164"/>
  <c r="AA55" i="164"/>
  <c r="AA57" i="164"/>
  <c r="AA59" i="164"/>
  <c r="AA61" i="164"/>
  <c r="AA66" i="164"/>
  <c r="AA74" i="164"/>
  <c r="AA82" i="164"/>
  <c r="AA90" i="164"/>
  <c r="AA6" i="164"/>
  <c r="AA112" i="164"/>
  <c r="AA63" i="164"/>
  <c r="AA65" i="164"/>
  <c r="AA68" i="164"/>
  <c r="AA71" i="164"/>
  <c r="AA73" i="164"/>
  <c r="AA76" i="164"/>
  <c r="AA79" i="164"/>
  <c r="AA81" i="164"/>
  <c r="AA84" i="164"/>
  <c r="AA87" i="164"/>
  <c r="AA89" i="164"/>
  <c r="AA92" i="164"/>
  <c r="AA94" i="164"/>
  <c r="AA96" i="164"/>
  <c r="AA98" i="164"/>
  <c r="AA100" i="164"/>
  <c r="AA102" i="164"/>
  <c r="AA104" i="164"/>
  <c r="AA106" i="164"/>
  <c r="AA108" i="164"/>
  <c r="AA110" i="164"/>
  <c r="AC110" i="164" s="1"/>
  <c r="AA115" i="164"/>
  <c r="AA69" i="164"/>
  <c r="AA72" i="164"/>
  <c r="AA75" i="164"/>
  <c r="AA85" i="164"/>
  <c r="AA88" i="164"/>
  <c r="AA91" i="164"/>
  <c r="AA95" i="164"/>
  <c r="AA99" i="164"/>
  <c r="AA103" i="164"/>
  <c r="AA107" i="164"/>
  <c r="AA113" i="164"/>
  <c r="AA64" i="164"/>
  <c r="AA80" i="164"/>
  <c r="AA93" i="164"/>
  <c r="AA101" i="164"/>
  <c r="AA109" i="164"/>
  <c r="AA111" i="164"/>
  <c r="AC111" i="164" s="1"/>
  <c r="AA14" i="164"/>
  <c r="AA22" i="164"/>
  <c r="AA30" i="164"/>
  <c r="AA38" i="164"/>
  <c r="AA46" i="164"/>
  <c r="AA54" i="164"/>
  <c r="AA62" i="164"/>
  <c r="AA8" i="164"/>
  <c r="AA12" i="164"/>
  <c r="AA16" i="164"/>
  <c r="AA20" i="164"/>
  <c r="AA24" i="164"/>
  <c r="AA28" i="164"/>
  <c r="AA32" i="164"/>
  <c r="AA36" i="164"/>
  <c r="AA40" i="164"/>
  <c r="AA44" i="164"/>
  <c r="AA48" i="164"/>
  <c r="AA52" i="164"/>
  <c r="AA56" i="164"/>
  <c r="AA60" i="164"/>
  <c r="AA70" i="164"/>
  <c r="AA86" i="164"/>
  <c r="AA67" i="164"/>
  <c r="AA77" i="164"/>
  <c r="AA83" i="164"/>
  <c r="AA97" i="164"/>
  <c r="AA105" i="164"/>
  <c r="AA10" i="164"/>
  <c r="AA18" i="164"/>
  <c r="AA26" i="164"/>
  <c r="AA34" i="164"/>
  <c r="AA42" i="164"/>
  <c r="AA50" i="164"/>
  <c r="AA58" i="164"/>
  <c r="AA78" i="164"/>
  <c r="Z112" i="164"/>
  <c r="AF111" i="164"/>
  <c r="C100" i="142"/>
  <c r="AE98" i="142"/>
  <c r="F98" i="142"/>
  <c r="W98" i="142" s="1"/>
  <c r="E100" i="142"/>
  <c r="V99" i="142"/>
  <c r="G97" i="142"/>
  <c r="X96" i="142"/>
  <c r="Y96" i="142" s="1"/>
  <c r="E102" i="143"/>
  <c r="F99" i="143"/>
  <c r="C101" i="143"/>
  <c r="G98" i="143"/>
  <c r="G98" i="139"/>
  <c r="C99" i="139"/>
  <c r="F99" i="139"/>
  <c r="E101" i="139"/>
  <c r="Y99" i="140"/>
  <c r="G100" i="140"/>
  <c r="X100" i="140" s="1"/>
  <c r="W100" i="140"/>
  <c r="F101" i="140"/>
  <c r="AE101" i="140"/>
  <c r="C101" i="140"/>
  <c r="V100" i="140"/>
  <c r="E101" i="140"/>
  <c r="D131" i="113"/>
  <c r="D132" i="113" s="1"/>
  <c r="C58" i="77"/>
  <c r="C59" i="87"/>
  <c r="D59" i="87"/>
  <c r="E59" i="88"/>
  <c r="F60" i="88"/>
  <c r="L58" i="88"/>
  <c r="H58" i="88"/>
  <c r="B58" i="91" l="1"/>
  <c r="C100" i="138"/>
  <c r="C59" i="89"/>
  <c r="F99" i="168"/>
  <c r="X98" i="168"/>
  <c r="Y98" i="168" s="1"/>
  <c r="F99" i="157"/>
  <c r="X98" i="157"/>
  <c r="Y98" i="157" s="1"/>
  <c r="F102" i="155"/>
  <c r="X101" i="155"/>
  <c r="Y101" i="155" s="1"/>
  <c r="F100" i="156"/>
  <c r="X99" i="156"/>
  <c r="Y99" i="156" s="1"/>
  <c r="Z111" i="163"/>
  <c r="Z110" i="163"/>
  <c r="K22" i="163"/>
  <c r="K24" i="163" s="1"/>
  <c r="K21" i="163" s="1"/>
  <c r="K16" i="163"/>
  <c r="K23" i="163"/>
  <c r="K25" i="163" s="1"/>
  <c r="D90" i="109"/>
  <c r="D91" i="110"/>
  <c r="AB110" i="164"/>
  <c r="AB111" i="164"/>
  <c r="AB112" i="164"/>
  <c r="AC10" i="164"/>
  <c r="AB10" i="164"/>
  <c r="AB60" i="164"/>
  <c r="AC60" i="164"/>
  <c r="AB28" i="164"/>
  <c r="AC28" i="164"/>
  <c r="AB46" i="164"/>
  <c r="AC46" i="164"/>
  <c r="AB14" i="164"/>
  <c r="AC14" i="164"/>
  <c r="AB107" i="164"/>
  <c r="AC107" i="164"/>
  <c r="AB91" i="164"/>
  <c r="AC91" i="164"/>
  <c r="AC72" i="164"/>
  <c r="AB72" i="164"/>
  <c r="AB108" i="164"/>
  <c r="AC108" i="164"/>
  <c r="AC100" i="164"/>
  <c r="AB100" i="164"/>
  <c r="AB92" i="164"/>
  <c r="AC92" i="164"/>
  <c r="AC81" i="164"/>
  <c r="AB81" i="164"/>
  <c r="AC71" i="164"/>
  <c r="AB71" i="164"/>
  <c r="AC57" i="164"/>
  <c r="AB57" i="164"/>
  <c r="AB41" i="164"/>
  <c r="AC41" i="164"/>
  <c r="AC25" i="164"/>
  <c r="AB25" i="164"/>
  <c r="AC9" i="164"/>
  <c r="AB9" i="164"/>
  <c r="Z113" i="164"/>
  <c r="AC113" i="164" s="1"/>
  <c r="AF112" i="164"/>
  <c r="AC112" i="164"/>
  <c r="AC78" i="164"/>
  <c r="AB78" i="164"/>
  <c r="AB34" i="164"/>
  <c r="AC34" i="164"/>
  <c r="AB105" i="164"/>
  <c r="AC105" i="164"/>
  <c r="AB67" i="164"/>
  <c r="AC67" i="164"/>
  <c r="AB56" i="164"/>
  <c r="AC56" i="164"/>
  <c r="AB40" i="164"/>
  <c r="AC40" i="164"/>
  <c r="AB24" i="164"/>
  <c r="AC24" i="164"/>
  <c r="AB8" i="164"/>
  <c r="AC8" i="164"/>
  <c r="AB38" i="164"/>
  <c r="AC38" i="164"/>
  <c r="AC80" i="164"/>
  <c r="AB80" i="164"/>
  <c r="AB103" i="164"/>
  <c r="AC103" i="164"/>
  <c r="AC88" i="164"/>
  <c r="AB88" i="164"/>
  <c r="AC69" i="164"/>
  <c r="AB69" i="164"/>
  <c r="AB106" i="164"/>
  <c r="AC106" i="164"/>
  <c r="AB98" i="164"/>
  <c r="AC98" i="164"/>
  <c r="AB89" i="164"/>
  <c r="AC89" i="164"/>
  <c r="AB79" i="164"/>
  <c r="AC79" i="164"/>
  <c r="AC68" i="164"/>
  <c r="AB68" i="164"/>
  <c r="AB6" i="164"/>
  <c r="AC6" i="164"/>
  <c r="AB66" i="164"/>
  <c r="AC66" i="164"/>
  <c r="AB55" i="164"/>
  <c r="AC55" i="164"/>
  <c r="AB47" i="164"/>
  <c r="AC47" i="164"/>
  <c r="AB39" i="164"/>
  <c r="AC39" i="164"/>
  <c r="AB31" i="164"/>
  <c r="AC31" i="164"/>
  <c r="AB23" i="164"/>
  <c r="AC23" i="164"/>
  <c r="AC15" i="164"/>
  <c r="AB15" i="164"/>
  <c r="AB7" i="164"/>
  <c r="AC7" i="164"/>
  <c r="AB42" i="164"/>
  <c r="AC42" i="164"/>
  <c r="AC77" i="164"/>
  <c r="AB77" i="164"/>
  <c r="AB44" i="164"/>
  <c r="AC44" i="164"/>
  <c r="AB12" i="164"/>
  <c r="AC12" i="164"/>
  <c r="AB93" i="164"/>
  <c r="AC93" i="164"/>
  <c r="AC74" i="164"/>
  <c r="AB74" i="164"/>
  <c r="AB49" i="164"/>
  <c r="AC49" i="164"/>
  <c r="AB33" i="164"/>
  <c r="AC33" i="164"/>
  <c r="AB17" i="164"/>
  <c r="AC17" i="164"/>
  <c r="AC58" i="164"/>
  <c r="AB58" i="164"/>
  <c r="AB26" i="164"/>
  <c r="AC26" i="164"/>
  <c r="AB97" i="164"/>
  <c r="AC97" i="164"/>
  <c r="AC86" i="164"/>
  <c r="AB86" i="164"/>
  <c r="AB52" i="164"/>
  <c r="AC52" i="164"/>
  <c r="AB36" i="164"/>
  <c r="AC36" i="164"/>
  <c r="AB20" i="164"/>
  <c r="AC20" i="164"/>
  <c r="AB62" i="164"/>
  <c r="AC62" i="164"/>
  <c r="AB30" i="164"/>
  <c r="AC30" i="164"/>
  <c r="AB109" i="164"/>
  <c r="AC109" i="164"/>
  <c r="AC64" i="164"/>
  <c r="AB64" i="164"/>
  <c r="AB99" i="164"/>
  <c r="AC99" i="164"/>
  <c r="AB85" i="164"/>
  <c r="AC85" i="164"/>
  <c r="AB104" i="164"/>
  <c r="AC104" i="164"/>
  <c r="AB96" i="164"/>
  <c r="AC96" i="164"/>
  <c r="AC87" i="164"/>
  <c r="AB87" i="164"/>
  <c r="AB76" i="164"/>
  <c r="AC76" i="164"/>
  <c r="AC65" i="164"/>
  <c r="AB65" i="164"/>
  <c r="AC90" i="164"/>
  <c r="AB90" i="164"/>
  <c r="AC61" i="164"/>
  <c r="AB61" i="164"/>
  <c r="AC53" i="164"/>
  <c r="AB53" i="164"/>
  <c r="AB45" i="164"/>
  <c r="AC45" i="164"/>
  <c r="AB37" i="164"/>
  <c r="AC37" i="164"/>
  <c r="AB29" i="164"/>
  <c r="AC29" i="164"/>
  <c r="AB21" i="164"/>
  <c r="AC21" i="164"/>
  <c r="AC13" i="164"/>
  <c r="AB13" i="164"/>
  <c r="AC50" i="164"/>
  <c r="AB50" i="164"/>
  <c r="AB18" i="164"/>
  <c r="AC18" i="164"/>
  <c r="AC83" i="164"/>
  <c r="AB83" i="164"/>
  <c r="AB70" i="164"/>
  <c r="AC70" i="164"/>
  <c r="AB48" i="164"/>
  <c r="AC48" i="164"/>
  <c r="AB32" i="164"/>
  <c r="AC32" i="164"/>
  <c r="AB16" i="164"/>
  <c r="AC16" i="164"/>
  <c r="AB54" i="164"/>
  <c r="AC54" i="164"/>
  <c r="AB22" i="164"/>
  <c r="AC22" i="164"/>
  <c r="AC101" i="164"/>
  <c r="AB101" i="164"/>
  <c r="AC95" i="164"/>
  <c r="AB95" i="164"/>
  <c r="AC75" i="164"/>
  <c r="AB75" i="164"/>
  <c r="AC102" i="164"/>
  <c r="AB102" i="164"/>
  <c r="AB94" i="164"/>
  <c r="AC94" i="164"/>
  <c r="AC84" i="164"/>
  <c r="AB84" i="164"/>
  <c r="AC73" i="164"/>
  <c r="AB73" i="164"/>
  <c r="AC63" i="164"/>
  <c r="AB63" i="164"/>
  <c r="AC82" i="164"/>
  <c r="AB82" i="164"/>
  <c r="AB59" i="164"/>
  <c r="AC59" i="164"/>
  <c r="AB51" i="164"/>
  <c r="AC51" i="164"/>
  <c r="AB43" i="164"/>
  <c r="AC43" i="164"/>
  <c r="AB35" i="164"/>
  <c r="AC35" i="164"/>
  <c r="AB27" i="164"/>
  <c r="AC27" i="164"/>
  <c r="AB19" i="164"/>
  <c r="AC19" i="164"/>
  <c r="AC11" i="164"/>
  <c r="AB11" i="164"/>
  <c r="E101" i="142"/>
  <c r="V100" i="142"/>
  <c r="G98" i="142"/>
  <c r="X97" i="142"/>
  <c r="Y97" i="142" s="1"/>
  <c r="C101" i="142"/>
  <c r="AE99" i="142"/>
  <c r="F99" i="142"/>
  <c r="W99" i="142" s="1"/>
  <c r="G99" i="143"/>
  <c r="E103" i="143"/>
  <c r="C102" i="143"/>
  <c r="F100" i="143"/>
  <c r="C100" i="139"/>
  <c r="F100" i="139"/>
  <c r="E102" i="139"/>
  <c r="G99" i="139"/>
  <c r="W101" i="140"/>
  <c r="G101" i="140"/>
  <c r="X101" i="140" s="1"/>
  <c r="V101" i="140"/>
  <c r="E102" i="140"/>
  <c r="Y100" i="140"/>
  <c r="AE102" i="140"/>
  <c r="C102" i="140"/>
  <c r="F102" i="140"/>
  <c r="D133" i="113"/>
  <c r="D134" i="113" s="1"/>
  <c r="C59" i="77"/>
  <c r="D60" i="87"/>
  <c r="C60" i="87"/>
  <c r="E60" i="88"/>
  <c r="F61" i="88"/>
  <c r="L59" i="88"/>
  <c r="H59" i="88"/>
  <c r="B59" i="91" l="1"/>
  <c r="C60" i="89"/>
  <c r="C101" i="138"/>
  <c r="X99" i="168"/>
  <c r="Y99" i="168" s="1"/>
  <c r="F100" i="168"/>
  <c r="F100" i="157"/>
  <c r="X99" i="157"/>
  <c r="Y99" i="157" s="1"/>
  <c r="X100" i="156"/>
  <c r="Y100" i="156" s="1"/>
  <c r="F101" i="156"/>
  <c r="X102" i="155"/>
  <c r="Y102" i="155" s="1"/>
  <c r="F103" i="155"/>
  <c r="AA12" i="163"/>
  <c r="AA28" i="163"/>
  <c r="AA44" i="163"/>
  <c r="AA60" i="163"/>
  <c r="AA75" i="163"/>
  <c r="AA7" i="163"/>
  <c r="AA23" i="163"/>
  <c r="AA39" i="163"/>
  <c r="AA55" i="163"/>
  <c r="AA71" i="163"/>
  <c r="AA82" i="163"/>
  <c r="AA93" i="163"/>
  <c r="AA101" i="163"/>
  <c r="AA109" i="163"/>
  <c r="AA30" i="163"/>
  <c r="AA62" i="163"/>
  <c r="AA10" i="163"/>
  <c r="AA87" i="163"/>
  <c r="AA53" i="163"/>
  <c r="AA98" i="163"/>
  <c r="AA17" i="163"/>
  <c r="AA49" i="163"/>
  <c r="AA76" i="163"/>
  <c r="AA96" i="163"/>
  <c r="AA18" i="163"/>
  <c r="AA21" i="163"/>
  <c r="AA81" i="163"/>
  <c r="AA16" i="163"/>
  <c r="AA32" i="163"/>
  <c r="AA48" i="163"/>
  <c r="AA64" i="163"/>
  <c r="AA83" i="163"/>
  <c r="AA11" i="163"/>
  <c r="AA27" i="163"/>
  <c r="AA43" i="163"/>
  <c r="AA59" i="163"/>
  <c r="AA74" i="163"/>
  <c r="AA85" i="163"/>
  <c r="AA95" i="163"/>
  <c r="AA103" i="163"/>
  <c r="AA112" i="163"/>
  <c r="AA38" i="163"/>
  <c r="AA70" i="163"/>
  <c r="AA26" i="163"/>
  <c r="AA115" i="163"/>
  <c r="AA69" i="163"/>
  <c r="AA106" i="163"/>
  <c r="AA25" i="163"/>
  <c r="AA57" i="163"/>
  <c r="AA86" i="163"/>
  <c r="AA100" i="163"/>
  <c r="AA34" i="163"/>
  <c r="AA29" i="163"/>
  <c r="AA94" i="163"/>
  <c r="AA111" i="163"/>
  <c r="AA20" i="163"/>
  <c r="AA36" i="163"/>
  <c r="AA52" i="163"/>
  <c r="AA68" i="163"/>
  <c r="AA91" i="163"/>
  <c r="AA15" i="163"/>
  <c r="AA31" i="163"/>
  <c r="AA47" i="163"/>
  <c r="AA63" i="163"/>
  <c r="AA77" i="163"/>
  <c r="AA88" i="163"/>
  <c r="AA97" i="163"/>
  <c r="AA105" i="163"/>
  <c r="AA14" i="163"/>
  <c r="AA46" i="163"/>
  <c r="AA79" i="163"/>
  <c r="AA42" i="163"/>
  <c r="AA13" i="163"/>
  <c r="AA78" i="163"/>
  <c r="AA113" i="163"/>
  <c r="AA33" i="163"/>
  <c r="AA65" i="163"/>
  <c r="AA89" i="163"/>
  <c r="AA104" i="163"/>
  <c r="AA50" i="163"/>
  <c r="AA45" i="163"/>
  <c r="AA102" i="163"/>
  <c r="AA8" i="163"/>
  <c r="AA24" i="163"/>
  <c r="AA40" i="163"/>
  <c r="AA56" i="163"/>
  <c r="AA72" i="163"/>
  <c r="AA114" i="163"/>
  <c r="AA19" i="163"/>
  <c r="AA35" i="163"/>
  <c r="AA51" i="163"/>
  <c r="AA67" i="163"/>
  <c r="AA80" i="163"/>
  <c r="AA90" i="163"/>
  <c r="AA99" i="163"/>
  <c r="AA107" i="163"/>
  <c r="AA22" i="163"/>
  <c r="AA54" i="163"/>
  <c r="AA6" i="163"/>
  <c r="AA58" i="163"/>
  <c r="AA37" i="163"/>
  <c r="AA84" i="163"/>
  <c r="AA9" i="163"/>
  <c r="AA41" i="163"/>
  <c r="AA73" i="163"/>
  <c r="AA92" i="163"/>
  <c r="AA108" i="163"/>
  <c r="AA66" i="163"/>
  <c r="AA61" i="163"/>
  <c r="AA110" i="163"/>
  <c r="AF111" i="163"/>
  <c r="Z112" i="163"/>
  <c r="D92" i="110"/>
  <c r="D91" i="109"/>
  <c r="Z114" i="164"/>
  <c r="AF113" i="164"/>
  <c r="AB113" i="164"/>
  <c r="C102" i="142"/>
  <c r="AE100" i="142"/>
  <c r="F100" i="142"/>
  <c r="W100" i="142" s="1"/>
  <c r="G99" i="142"/>
  <c r="X98" i="142"/>
  <c r="Y98" i="142" s="1"/>
  <c r="E102" i="142"/>
  <c r="V101" i="142"/>
  <c r="E104" i="143"/>
  <c r="F101" i="143"/>
  <c r="C103" i="143"/>
  <c r="G100" i="143"/>
  <c r="E103" i="139"/>
  <c r="G100" i="139"/>
  <c r="C101" i="139"/>
  <c r="F101" i="139"/>
  <c r="V102" i="140"/>
  <c r="E103" i="140"/>
  <c r="G102" i="140"/>
  <c r="X102" i="140" s="1"/>
  <c r="W102" i="140"/>
  <c r="F103" i="140"/>
  <c r="C103" i="140"/>
  <c r="AE103" i="140"/>
  <c r="Y101" i="140"/>
  <c r="D135" i="113"/>
  <c r="C60" i="77"/>
  <c r="D61" i="87"/>
  <c r="C61" i="87"/>
  <c r="E61" i="88"/>
  <c r="F62" i="88"/>
  <c r="L60" i="88"/>
  <c r="H60" i="88"/>
  <c r="C102" i="138" l="1"/>
  <c r="C61" i="89"/>
  <c r="B60" i="91"/>
  <c r="X100" i="168"/>
  <c r="Y100" i="168" s="1"/>
  <c r="F101" i="168"/>
  <c r="F101" i="157"/>
  <c r="X100" i="157"/>
  <c r="Y100" i="157" s="1"/>
  <c r="X101" i="156"/>
  <c r="Y101" i="156" s="1"/>
  <c r="F102" i="156"/>
  <c r="F104" i="155"/>
  <c r="X103" i="155"/>
  <c r="Y103" i="155" s="1"/>
  <c r="AF112" i="163"/>
  <c r="AB112" i="163"/>
  <c r="Z113" i="163"/>
  <c r="AC112" i="163"/>
  <c r="AB66" i="163"/>
  <c r="AC66" i="163"/>
  <c r="AB41" i="163"/>
  <c r="AC41" i="163"/>
  <c r="AB58" i="163"/>
  <c r="AC58" i="163"/>
  <c r="AC107" i="163"/>
  <c r="AB107" i="163"/>
  <c r="AB67" i="163"/>
  <c r="AC67" i="163"/>
  <c r="AB24" i="163"/>
  <c r="AC24" i="163"/>
  <c r="AC50" i="163"/>
  <c r="AB50" i="163"/>
  <c r="AC33" i="163"/>
  <c r="AB33" i="163"/>
  <c r="AC42" i="163"/>
  <c r="AB42" i="163"/>
  <c r="AC105" i="163"/>
  <c r="AB105" i="163"/>
  <c r="AC63" i="163"/>
  <c r="AB63" i="163"/>
  <c r="AC91" i="163"/>
  <c r="AB91" i="163"/>
  <c r="AC20" i="163"/>
  <c r="AB20" i="163"/>
  <c r="AC34" i="163"/>
  <c r="AB34" i="163"/>
  <c r="AC25" i="163"/>
  <c r="AB25" i="163"/>
  <c r="AB26" i="163"/>
  <c r="AC26" i="163"/>
  <c r="AC103" i="163"/>
  <c r="AB103" i="163"/>
  <c r="AB59" i="163"/>
  <c r="AC59" i="163"/>
  <c r="AC83" i="163"/>
  <c r="AB83" i="163"/>
  <c r="AC16" i="163"/>
  <c r="AB16" i="163"/>
  <c r="AC96" i="163"/>
  <c r="AB96" i="163"/>
  <c r="AC98" i="163"/>
  <c r="AB98" i="163"/>
  <c r="AC62" i="163"/>
  <c r="AB62" i="163"/>
  <c r="AB93" i="163"/>
  <c r="AC93" i="163"/>
  <c r="AB39" i="163"/>
  <c r="AC39" i="163"/>
  <c r="AB60" i="163"/>
  <c r="AC60" i="163"/>
  <c r="AB108" i="163"/>
  <c r="AC108" i="163"/>
  <c r="AB9" i="163"/>
  <c r="AC9" i="163"/>
  <c r="AC6" i="163"/>
  <c r="AB6" i="163"/>
  <c r="AB99" i="163"/>
  <c r="AC99" i="163"/>
  <c r="AB51" i="163"/>
  <c r="AC51" i="163"/>
  <c r="AB72" i="163"/>
  <c r="AC72" i="163"/>
  <c r="AC8" i="163"/>
  <c r="AB8" i="163"/>
  <c r="AB104" i="163"/>
  <c r="AC104" i="163"/>
  <c r="AB79" i="163"/>
  <c r="AC79" i="163"/>
  <c r="AC97" i="163"/>
  <c r="AB97" i="163"/>
  <c r="AB47" i="163"/>
  <c r="AC47" i="163"/>
  <c r="AC68" i="163"/>
  <c r="AB68" i="163"/>
  <c r="AC111" i="163"/>
  <c r="AB111" i="163"/>
  <c r="AB100" i="163"/>
  <c r="AC100" i="163"/>
  <c r="AB106" i="163"/>
  <c r="AC106" i="163"/>
  <c r="AB70" i="163"/>
  <c r="AC70" i="163"/>
  <c r="AB95" i="163"/>
  <c r="AC95" i="163"/>
  <c r="AB43" i="163"/>
  <c r="AC43" i="163"/>
  <c r="AB64" i="163"/>
  <c r="AC64" i="163"/>
  <c r="AC81" i="163"/>
  <c r="AB81" i="163"/>
  <c r="AB76" i="163"/>
  <c r="AC76" i="163"/>
  <c r="AC53" i="163"/>
  <c r="AB53" i="163"/>
  <c r="AC30" i="163"/>
  <c r="AB30" i="163"/>
  <c r="AC82" i="163"/>
  <c r="AB82" i="163"/>
  <c r="AC23" i="163"/>
  <c r="AB23" i="163"/>
  <c r="AC44" i="163"/>
  <c r="AB44" i="163"/>
  <c r="AB110" i="163"/>
  <c r="AC110" i="163"/>
  <c r="AB92" i="163"/>
  <c r="AC92" i="163"/>
  <c r="AB84" i="163"/>
  <c r="AC84" i="163"/>
  <c r="AB54" i="163"/>
  <c r="AC54" i="163"/>
  <c r="AC90" i="163"/>
  <c r="AB90" i="163"/>
  <c r="AC35" i="163"/>
  <c r="AB35" i="163"/>
  <c r="AB56" i="163"/>
  <c r="AC56" i="163"/>
  <c r="AB102" i="163"/>
  <c r="AC102" i="163"/>
  <c r="AC89" i="163"/>
  <c r="AB89" i="163"/>
  <c r="AB78" i="163"/>
  <c r="AC78" i="163"/>
  <c r="AC46" i="163"/>
  <c r="AB46" i="163"/>
  <c r="AB88" i="163"/>
  <c r="AC88" i="163"/>
  <c r="AC31" i="163"/>
  <c r="AB31" i="163"/>
  <c r="AB52" i="163"/>
  <c r="AC52" i="163"/>
  <c r="AC94" i="163"/>
  <c r="AB94" i="163"/>
  <c r="AC86" i="163"/>
  <c r="AB86" i="163"/>
  <c r="AC69" i="163"/>
  <c r="AB69" i="163"/>
  <c r="AC38" i="163"/>
  <c r="AB38" i="163"/>
  <c r="AC85" i="163"/>
  <c r="AB85" i="163"/>
  <c r="AC27" i="163"/>
  <c r="AB27" i="163"/>
  <c r="AC48" i="163"/>
  <c r="AB48" i="163"/>
  <c r="AC21" i="163"/>
  <c r="AB21" i="163"/>
  <c r="AB49" i="163"/>
  <c r="AC49" i="163"/>
  <c r="AB87" i="163"/>
  <c r="AC87" i="163"/>
  <c r="AC109" i="163"/>
  <c r="AB109" i="163"/>
  <c r="AC71" i="163"/>
  <c r="AB71" i="163"/>
  <c r="AB7" i="163"/>
  <c r="AC7" i="163"/>
  <c r="AB28" i="163"/>
  <c r="AC28" i="163"/>
  <c r="AB61" i="163"/>
  <c r="AC61" i="163"/>
  <c r="AB73" i="163"/>
  <c r="AC73" i="163"/>
  <c r="AB37" i="163"/>
  <c r="AC37" i="163"/>
  <c r="AB22" i="163"/>
  <c r="AC22" i="163"/>
  <c r="AB80" i="163"/>
  <c r="AC80" i="163"/>
  <c r="AB19" i="163"/>
  <c r="AC19" i="163"/>
  <c r="AB40" i="163"/>
  <c r="AC40" i="163"/>
  <c r="AC45" i="163"/>
  <c r="AB45" i="163"/>
  <c r="AB65" i="163"/>
  <c r="AC65" i="163"/>
  <c r="AB13" i="163"/>
  <c r="AC13" i="163"/>
  <c r="AB14" i="163"/>
  <c r="AC14" i="163"/>
  <c r="AB77" i="163"/>
  <c r="AC77" i="163"/>
  <c r="AC15" i="163"/>
  <c r="AB15" i="163"/>
  <c r="AB36" i="163"/>
  <c r="AC36" i="163"/>
  <c r="AB29" i="163"/>
  <c r="AC29" i="163"/>
  <c r="AC57" i="163"/>
  <c r="AB57" i="163"/>
  <c r="AB74" i="163"/>
  <c r="AC74" i="163"/>
  <c r="AB11" i="163"/>
  <c r="AC11" i="163"/>
  <c r="AB32" i="163"/>
  <c r="AC32" i="163"/>
  <c r="AB18" i="163"/>
  <c r="AC18" i="163"/>
  <c r="AC17" i="163"/>
  <c r="AB17" i="163"/>
  <c r="AC10" i="163"/>
  <c r="AB10" i="163"/>
  <c r="AB101" i="163"/>
  <c r="AC101" i="163"/>
  <c r="AC55" i="163"/>
  <c r="AB55" i="163"/>
  <c r="AC75" i="163"/>
  <c r="AB75" i="163"/>
  <c r="AC12" i="163"/>
  <c r="AB12" i="163"/>
  <c r="D92" i="109"/>
  <c r="D93" i="110"/>
  <c r="AF114" i="164"/>
  <c r="Z115" i="164"/>
  <c r="AC114" i="164"/>
  <c r="AB114" i="164"/>
  <c r="G100" i="142"/>
  <c r="X99" i="142"/>
  <c r="Y99" i="142" s="1"/>
  <c r="E103" i="142"/>
  <c r="V102" i="142"/>
  <c r="C103" i="142"/>
  <c r="AE101" i="142"/>
  <c r="F101" i="142"/>
  <c r="W101" i="142" s="1"/>
  <c r="G101" i="143"/>
  <c r="C104" i="143"/>
  <c r="F102" i="143"/>
  <c r="E105" i="143"/>
  <c r="C102" i="139"/>
  <c r="F102" i="139"/>
  <c r="G101" i="139"/>
  <c r="E104" i="139"/>
  <c r="Y102" i="140"/>
  <c r="AE104" i="140"/>
  <c r="C104" i="140"/>
  <c r="F104" i="140"/>
  <c r="E104" i="140"/>
  <c r="V103" i="140"/>
  <c r="G103" i="140"/>
  <c r="X103" i="140" s="1"/>
  <c r="W103" i="140"/>
  <c r="D136" i="113"/>
  <c r="C61" i="77"/>
  <c r="C62" i="87"/>
  <c r="D62" i="87"/>
  <c r="E62" i="88"/>
  <c r="L61" i="88"/>
  <c r="F63" i="88"/>
  <c r="H61" i="88"/>
  <c r="B61" i="91" l="1"/>
  <c r="C62" i="89"/>
  <c r="C103" i="138"/>
  <c r="X101" i="168"/>
  <c r="Y101" i="168" s="1"/>
  <c r="F102" i="168"/>
  <c r="F102" i="157"/>
  <c r="X101" i="157"/>
  <c r="Y101" i="157" s="1"/>
  <c r="F105" i="155"/>
  <c r="X104" i="155"/>
  <c r="Y104" i="155" s="1"/>
  <c r="F103" i="156"/>
  <c r="X102" i="156"/>
  <c r="Y102" i="156" s="1"/>
  <c r="AC113" i="163"/>
  <c r="AB113" i="163"/>
  <c r="AF113" i="163"/>
  <c r="Z114" i="163"/>
  <c r="D94" i="110"/>
  <c r="D93" i="109"/>
  <c r="AC115" i="164"/>
  <c r="AF115" i="164"/>
  <c r="AB115" i="164"/>
  <c r="C104" i="142"/>
  <c r="AE102" i="142"/>
  <c r="F102" i="142"/>
  <c r="W102" i="142" s="1"/>
  <c r="E104" i="142"/>
  <c r="V103" i="142"/>
  <c r="G101" i="142"/>
  <c r="X100" i="142"/>
  <c r="Y100" i="142" s="1"/>
  <c r="G102" i="143"/>
  <c r="E106" i="143"/>
  <c r="F103" i="143"/>
  <c r="C105" i="143"/>
  <c r="G102" i="139"/>
  <c r="E105" i="139"/>
  <c r="C103" i="139"/>
  <c r="F103" i="139"/>
  <c r="F105" i="140"/>
  <c r="AE105" i="140"/>
  <c r="C105" i="140"/>
  <c r="Y103" i="140"/>
  <c r="W104" i="140"/>
  <c r="G104" i="140"/>
  <c r="X104" i="140" s="1"/>
  <c r="V104" i="140"/>
  <c r="E105" i="140"/>
  <c r="D137" i="113"/>
  <c r="D138" i="113" s="1"/>
  <c r="C62" i="77"/>
  <c r="C63" i="87"/>
  <c r="D63" i="87"/>
  <c r="E63" i="88"/>
  <c r="L62" i="88"/>
  <c r="F64" i="88"/>
  <c r="H62" i="88"/>
  <c r="B62" i="91" l="1"/>
  <c r="C104" i="138"/>
  <c r="C63" i="89"/>
  <c r="X102" i="168"/>
  <c r="Y102" i="168" s="1"/>
  <c r="F103" i="168"/>
  <c r="X102" i="157"/>
  <c r="Y102" i="157" s="1"/>
  <c r="F103" i="157"/>
  <c r="F104" i="156"/>
  <c r="X103" i="156"/>
  <c r="Y103" i="156" s="1"/>
  <c r="X105" i="155"/>
  <c r="Y105" i="155" s="1"/>
  <c r="F106" i="155"/>
  <c r="AB114" i="163"/>
  <c r="Z115" i="163"/>
  <c r="AF114" i="163"/>
  <c r="AC114" i="163"/>
  <c r="D94" i="109"/>
  <c r="D95" i="110"/>
  <c r="E105" i="142"/>
  <c r="V104" i="142"/>
  <c r="G102" i="142"/>
  <c r="X101" i="142"/>
  <c r="Y101" i="142" s="1"/>
  <c r="C105" i="142"/>
  <c r="AE103" i="142"/>
  <c r="F103" i="142"/>
  <c r="W103" i="142" s="1"/>
  <c r="C106" i="143"/>
  <c r="F104" i="143"/>
  <c r="G103" i="143"/>
  <c r="E107" i="143"/>
  <c r="E106" i="139"/>
  <c r="C104" i="139"/>
  <c r="F104" i="139"/>
  <c r="G103" i="139"/>
  <c r="E106" i="140"/>
  <c r="V105" i="140"/>
  <c r="AE106" i="140"/>
  <c r="C106" i="140"/>
  <c r="F106" i="140"/>
  <c r="Y104" i="140"/>
  <c r="G105" i="140"/>
  <c r="X105" i="140" s="1"/>
  <c r="W105" i="140"/>
  <c r="D139" i="113"/>
  <c r="C63" i="77"/>
  <c r="C64" i="87"/>
  <c r="D64" i="87"/>
  <c r="E64" i="88"/>
  <c r="F65" i="88"/>
  <c r="L63" i="88"/>
  <c r="H63" i="88"/>
  <c r="C64" i="89" l="1"/>
  <c r="B63" i="91"/>
  <c r="C105" i="138"/>
  <c r="F104" i="168"/>
  <c r="X103" i="168"/>
  <c r="Y103" i="168" s="1"/>
  <c r="X103" i="157"/>
  <c r="Y103" i="157" s="1"/>
  <c r="F104" i="157"/>
  <c r="X104" i="156"/>
  <c r="Y104" i="156" s="1"/>
  <c r="F105" i="156"/>
  <c r="F107" i="155"/>
  <c r="X106" i="155"/>
  <c r="Y106" i="155" s="1"/>
  <c r="AF115" i="163"/>
  <c r="AB115" i="163"/>
  <c r="AC115" i="163"/>
  <c r="D96" i="110"/>
  <c r="D95" i="109"/>
  <c r="C106" i="142"/>
  <c r="AE104" i="142"/>
  <c r="F104" i="142"/>
  <c r="W104" i="142" s="1"/>
  <c r="G103" i="142"/>
  <c r="X102" i="142"/>
  <c r="Y102" i="142" s="1"/>
  <c r="E106" i="142"/>
  <c r="V105" i="142"/>
  <c r="Y105" i="140"/>
  <c r="E108" i="143"/>
  <c r="G104" i="143"/>
  <c r="F105" i="143"/>
  <c r="C107" i="143"/>
  <c r="C105" i="139"/>
  <c r="F105" i="139"/>
  <c r="G104" i="139"/>
  <c r="E107" i="139"/>
  <c r="V106" i="140"/>
  <c r="E107" i="140"/>
  <c r="F107" i="140"/>
  <c r="C107" i="140"/>
  <c r="AE107" i="140"/>
  <c r="W106" i="140"/>
  <c r="G106" i="140"/>
  <c r="X106" i="140" s="1"/>
  <c r="D140" i="113"/>
  <c r="D141" i="113" s="1"/>
  <c r="C64" i="77"/>
  <c r="D65" i="87"/>
  <c r="C65" i="87"/>
  <c r="E65" i="88"/>
  <c r="L64" i="88"/>
  <c r="F66" i="88"/>
  <c r="H64" i="88"/>
  <c r="C106" i="138" l="1"/>
  <c r="B64" i="91"/>
  <c r="C65" i="89"/>
  <c r="X104" i="168"/>
  <c r="Y104" i="168" s="1"/>
  <c r="F105" i="168"/>
  <c r="F105" i="157"/>
  <c r="X104" i="157"/>
  <c r="Y104" i="157" s="1"/>
  <c r="X107" i="155"/>
  <c r="J13" i="155"/>
  <c r="J14" i="155"/>
  <c r="J8" i="155"/>
  <c r="X105" i="156"/>
  <c r="Y105" i="156" s="1"/>
  <c r="F106" i="156"/>
  <c r="D96" i="109"/>
  <c r="D97" i="110"/>
  <c r="E107" i="142"/>
  <c r="V106" i="142"/>
  <c r="G104" i="142"/>
  <c r="X103" i="142"/>
  <c r="Y103" i="142" s="1"/>
  <c r="C107" i="142"/>
  <c r="AE105" i="142"/>
  <c r="F105" i="142"/>
  <c r="W105" i="142" s="1"/>
  <c r="G105" i="143"/>
  <c r="E109" i="143"/>
  <c r="C108" i="143"/>
  <c r="F106" i="143"/>
  <c r="G105" i="139"/>
  <c r="E108" i="139"/>
  <c r="C106" i="139"/>
  <c r="F106" i="139"/>
  <c r="AE108" i="140"/>
  <c r="C108" i="140"/>
  <c r="F108" i="140"/>
  <c r="E108" i="140"/>
  <c r="V107" i="140"/>
  <c r="G107" i="140"/>
  <c r="X107" i="140" s="1"/>
  <c r="W107" i="140"/>
  <c r="Y106" i="140"/>
  <c r="D142" i="113"/>
  <c r="C65" i="77"/>
  <c r="C66" i="87"/>
  <c r="D66" i="87"/>
  <c r="E66" i="88"/>
  <c r="F67" i="88"/>
  <c r="L65" i="88"/>
  <c r="H65" i="88"/>
  <c r="B65" i="91" l="1"/>
  <c r="C66" i="89"/>
  <c r="C107" i="138"/>
  <c r="X105" i="168"/>
  <c r="Y105" i="168" s="1"/>
  <c r="F106" i="168"/>
  <c r="X105" i="157"/>
  <c r="Y105" i="157" s="1"/>
  <c r="F106" i="157"/>
  <c r="X106" i="157" s="1"/>
  <c r="X106" i="156"/>
  <c r="Y106" i="156" s="1"/>
  <c r="F107" i="156"/>
  <c r="J22" i="155"/>
  <c r="J24" i="155" s="1"/>
  <c r="J15" i="155"/>
  <c r="J21" i="155"/>
  <c r="J23" i="155" s="1"/>
  <c r="J20" i="155" s="1"/>
  <c r="J14" i="156"/>
  <c r="Y108" i="155"/>
  <c r="Y107" i="155"/>
  <c r="D98" i="110"/>
  <c r="D97" i="109"/>
  <c r="G105" i="142"/>
  <c r="X104" i="142"/>
  <c r="Y104" i="142" s="1"/>
  <c r="E108" i="142"/>
  <c r="V107" i="142"/>
  <c r="C108" i="142"/>
  <c r="AE106" i="142"/>
  <c r="F106" i="142"/>
  <c r="W106" i="142" s="1"/>
  <c r="G106" i="143"/>
  <c r="F107" i="143"/>
  <c r="C109" i="143"/>
  <c r="E110" i="143"/>
  <c r="G106" i="139"/>
  <c r="C107" i="139"/>
  <c r="F107" i="139"/>
  <c r="E109" i="139"/>
  <c r="V108" i="140"/>
  <c r="E109" i="140"/>
  <c r="Y107" i="140"/>
  <c r="W108" i="140"/>
  <c r="G108" i="140"/>
  <c r="X108" i="140" s="1"/>
  <c r="F109" i="140"/>
  <c r="C109" i="140"/>
  <c r="AE109" i="140"/>
  <c r="D143" i="113"/>
  <c r="D144" i="113" s="1"/>
  <c r="C66" i="77"/>
  <c r="C67" i="87"/>
  <c r="D67" i="87"/>
  <c r="E67" i="88"/>
  <c r="L66" i="88"/>
  <c r="F68" i="88"/>
  <c r="H66" i="88"/>
  <c r="C108" i="138" l="1"/>
  <c r="B66" i="91"/>
  <c r="C67" i="89"/>
  <c r="J14" i="157"/>
  <c r="J13" i="157"/>
  <c r="X106" i="168"/>
  <c r="Y106" i="168" s="1"/>
  <c r="F107" i="168"/>
  <c r="Y106" i="157"/>
  <c r="Y107" i="157"/>
  <c r="J8" i="157"/>
  <c r="Z86" i="155"/>
  <c r="Z97" i="155"/>
  <c r="Z26" i="155"/>
  <c r="Z20" i="155"/>
  <c r="Z59" i="155"/>
  <c r="Z50" i="155"/>
  <c r="Z25" i="155"/>
  <c r="Z46" i="155"/>
  <c r="Z32" i="155"/>
  <c r="Z53" i="155"/>
  <c r="Z41" i="155"/>
  <c r="Z24" i="155"/>
  <c r="Z4" i="155"/>
  <c r="Z101" i="155"/>
  <c r="Z36" i="155"/>
  <c r="Z38" i="155"/>
  <c r="Z67" i="155"/>
  <c r="Z37" i="155"/>
  <c r="Z62" i="155"/>
  <c r="Z107" i="155"/>
  <c r="Z13" i="155"/>
  <c r="Z110" i="155"/>
  <c r="Z28" i="155"/>
  <c r="Z30" i="155"/>
  <c r="Z33" i="155"/>
  <c r="Z52" i="155"/>
  <c r="Z100" i="155"/>
  <c r="Z85" i="155"/>
  <c r="Z79" i="155"/>
  <c r="Z94" i="155"/>
  <c r="Z11" i="155"/>
  <c r="Z51" i="155"/>
  <c r="Z29" i="155"/>
  <c r="Z95" i="155"/>
  <c r="Z75" i="155"/>
  <c r="Z47" i="155"/>
  <c r="Z83" i="155"/>
  <c r="Z18" i="155"/>
  <c r="Z19" i="155"/>
  <c r="Z48" i="155"/>
  <c r="Z6" i="155"/>
  <c r="Z84" i="155"/>
  <c r="Z39" i="155"/>
  <c r="Z92" i="155"/>
  <c r="Z16" i="155"/>
  <c r="Z21" i="155"/>
  <c r="Z22" i="155"/>
  <c r="Z88" i="155"/>
  <c r="Z91" i="155"/>
  <c r="Z31" i="155"/>
  <c r="Z15" i="155"/>
  <c r="Z109" i="155"/>
  <c r="Z17" i="155"/>
  <c r="Z12" i="155"/>
  <c r="Z105" i="155"/>
  <c r="Z102" i="155"/>
  <c r="Z55" i="155"/>
  <c r="Z66" i="155"/>
  <c r="Z49" i="155"/>
  <c r="Z34" i="155"/>
  <c r="Z87" i="155"/>
  <c r="Z45" i="155"/>
  <c r="Z96" i="155"/>
  <c r="Z54" i="155"/>
  <c r="Z72" i="155"/>
  <c r="Z69" i="155"/>
  <c r="Z27" i="155"/>
  <c r="Z104" i="155"/>
  <c r="Z112" i="155"/>
  <c r="Z90" i="155"/>
  <c r="Z89" i="155"/>
  <c r="Z71" i="155"/>
  <c r="Z76" i="155"/>
  <c r="Z23" i="155"/>
  <c r="Z10" i="155"/>
  <c r="Z9" i="155"/>
  <c r="Z82" i="155"/>
  <c r="Z99" i="155"/>
  <c r="Z43" i="155"/>
  <c r="Z111" i="155"/>
  <c r="Z8" i="155"/>
  <c r="Z80" i="155"/>
  <c r="Z74" i="155"/>
  <c r="Z63" i="155"/>
  <c r="Z14" i="155"/>
  <c r="Z93" i="155"/>
  <c r="Z77" i="155"/>
  <c r="Z35" i="155"/>
  <c r="Z40" i="155"/>
  <c r="Z5" i="155"/>
  <c r="Z57" i="155"/>
  <c r="Z61" i="155"/>
  <c r="Z58" i="155"/>
  <c r="Z108" i="155"/>
  <c r="Z56" i="155"/>
  <c r="Z81" i="155"/>
  <c r="Z44" i="155"/>
  <c r="Z78" i="155"/>
  <c r="Z64" i="155"/>
  <c r="Z106" i="155"/>
  <c r="Z7" i="155"/>
  <c r="Z98" i="155"/>
  <c r="Z103" i="155"/>
  <c r="Z65" i="155"/>
  <c r="Z68" i="155"/>
  <c r="Z70" i="155"/>
  <c r="Z42" i="155"/>
  <c r="Z73" i="155"/>
  <c r="Z60" i="155"/>
  <c r="X107" i="156"/>
  <c r="J8" i="156"/>
  <c r="J13" i="156"/>
  <c r="AE109" i="155"/>
  <c r="Y109" i="155"/>
  <c r="D98" i="109"/>
  <c r="D99" i="110"/>
  <c r="C109" i="142"/>
  <c r="AE107" i="142"/>
  <c r="F107" i="142"/>
  <c r="W107" i="142" s="1"/>
  <c r="E109" i="142"/>
  <c r="V108" i="142"/>
  <c r="G106" i="142"/>
  <c r="X105" i="142"/>
  <c r="Y105" i="142" s="1"/>
  <c r="G107" i="143"/>
  <c r="C110" i="143"/>
  <c r="F108" i="143"/>
  <c r="E110" i="139"/>
  <c r="C108" i="139"/>
  <c r="F108" i="139"/>
  <c r="G107" i="139"/>
  <c r="G109" i="140"/>
  <c r="X109" i="140" s="1"/>
  <c r="W109" i="140"/>
  <c r="E110" i="140"/>
  <c r="V109" i="140"/>
  <c r="Y108" i="140"/>
  <c r="AE110" i="140"/>
  <c r="C110" i="140"/>
  <c r="F110" i="140"/>
  <c r="D145" i="113"/>
  <c r="D146" i="113" s="1"/>
  <c r="C67" i="77"/>
  <c r="D68" i="87"/>
  <c r="C68" i="87"/>
  <c r="E68" i="88"/>
  <c r="F69" i="88"/>
  <c r="L67" i="88"/>
  <c r="H67" i="88"/>
  <c r="B67" i="91" l="1"/>
  <c r="C68" i="89"/>
  <c r="C109" i="138"/>
  <c r="F108" i="168"/>
  <c r="X107" i="168"/>
  <c r="Y107" i="168" s="1"/>
  <c r="J21" i="157"/>
  <c r="J23" i="157" s="1"/>
  <c r="J20" i="157" s="1"/>
  <c r="J15" i="157"/>
  <c r="J22" i="157"/>
  <c r="J24" i="157" s="1"/>
  <c r="Y108" i="157"/>
  <c r="AE109" i="157"/>
  <c r="AA73" i="155"/>
  <c r="AB73" i="155"/>
  <c r="AA65" i="155"/>
  <c r="AB65" i="155"/>
  <c r="AA106" i="155"/>
  <c r="AB106" i="155"/>
  <c r="AA81" i="155"/>
  <c r="AB81" i="155"/>
  <c r="AB61" i="155"/>
  <c r="AA61" i="155"/>
  <c r="AA35" i="155"/>
  <c r="AB35" i="155"/>
  <c r="AA63" i="155"/>
  <c r="AB63" i="155"/>
  <c r="AB9" i="155"/>
  <c r="AA9" i="155"/>
  <c r="AB71" i="155"/>
  <c r="AA71" i="155"/>
  <c r="AA104" i="155"/>
  <c r="AB104" i="155"/>
  <c r="AA54" i="155"/>
  <c r="AB54" i="155"/>
  <c r="AB34" i="155"/>
  <c r="AA34" i="155"/>
  <c r="AA102" i="155"/>
  <c r="AB102" i="155"/>
  <c r="AB88" i="155"/>
  <c r="AA88" i="155"/>
  <c r="AB92" i="155"/>
  <c r="AA92" i="155"/>
  <c r="AA48" i="155"/>
  <c r="AB48" i="155"/>
  <c r="AB47" i="155"/>
  <c r="AA47" i="155"/>
  <c r="AB51" i="155"/>
  <c r="AA51" i="155"/>
  <c r="AA85" i="155"/>
  <c r="AB85" i="155"/>
  <c r="AB30" i="155"/>
  <c r="AA30" i="155"/>
  <c r="AB107" i="155"/>
  <c r="AA107" i="155"/>
  <c r="AB38" i="155"/>
  <c r="AA38" i="155"/>
  <c r="AA24" i="155"/>
  <c r="AB24" i="155"/>
  <c r="AB46" i="155"/>
  <c r="AA46" i="155"/>
  <c r="AA20" i="155"/>
  <c r="AB20" i="155"/>
  <c r="J15" i="156"/>
  <c r="J22" i="156"/>
  <c r="J24" i="156" s="1"/>
  <c r="J21" i="156"/>
  <c r="J23" i="156" s="1"/>
  <c r="J20" i="156" s="1"/>
  <c r="AA42" i="155"/>
  <c r="AB42" i="155"/>
  <c r="AB103" i="155"/>
  <c r="AA103" i="155"/>
  <c r="AA64" i="155"/>
  <c r="AB64" i="155"/>
  <c r="AB56" i="155"/>
  <c r="AA56" i="155"/>
  <c r="AB57" i="155"/>
  <c r="AA57" i="155"/>
  <c r="AA77" i="155"/>
  <c r="AB77" i="155"/>
  <c r="AA74" i="155"/>
  <c r="AB74" i="155"/>
  <c r="AB43" i="155"/>
  <c r="AA43" i="155"/>
  <c r="AA10" i="155"/>
  <c r="AB10" i="155"/>
  <c r="AB89" i="155"/>
  <c r="AA89" i="155"/>
  <c r="AB27" i="155"/>
  <c r="AA27" i="155"/>
  <c r="AA96" i="155"/>
  <c r="AB96" i="155"/>
  <c r="AA49" i="155"/>
  <c r="AB49" i="155"/>
  <c r="AA105" i="155"/>
  <c r="AB105" i="155"/>
  <c r="AB15" i="155"/>
  <c r="AA15" i="155"/>
  <c r="AA22" i="155"/>
  <c r="AB22" i="155"/>
  <c r="AB39" i="155"/>
  <c r="AA39" i="155"/>
  <c r="AB19" i="155"/>
  <c r="AA19" i="155"/>
  <c r="AA75" i="155"/>
  <c r="AB75" i="155"/>
  <c r="AA11" i="155"/>
  <c r="AB11" i="155"/>
  <c r="AB100" i="155"/>
  <c r="AA100" i="155"/>
  <c r="AB28" i="155"/>
  <c r="AA28" i="155"/>
  <c r="AA62" i="155"/>
  <c r="AB62" i="155"/>
  <c r="AA36" i="155"/>
  <c r="AB36" i="155"/>
  <c r="AA41" i="155"/>
  <c r="AB41" i="155"/>
  <c r="AB25" i="155"/>
  <c r="AA25" i="155"/>
  <c r="AB26" i="155"/>
  <c r="AA26" i="155"/>
  <c r="Y110" i="155"/>
  <c r="AB109" i="155"/>
  <c r="AA109" i="155"/>
  <c r="AE110" i="155"/>
  <c r="Y108" i="156"/>
  <c r="Y107" i="156"/>
  <c r="AA70" i="155"/>
  <c r="AB70" i="155"/>
  <c r="AA98" i="155"/>
  <c r="AB98" i="155"/>
  <c r="AB78" i="155"/>
  <c r="AA78" i="155"/>
  <c r="AA108" i="155"/>
  <c r="AB108" i="155"/>
  <c r="AA5" i="155"/>
  <c r="AB5" i="155"/>
  <c r="AB93" i="155"/>
  <c r="AA93" i="155"/>
  <c r="AA80" i="155"/>
  <c r="AB80" i="155"/>
  <c r="AB99" i="155"/>
  <c r="AA99" i="155"/>
  <c r="AA23" i="155"/>
  <c r="AB23" i="155"/>
  <c r="AA90" i="155"/>
  <c r="AB90" i="155"/>
  <c r="AA69" i="155"/>
  <c r="AB69" i="155"/>
  <c r="AB45" i="155"/>
  <c r="AA45" i="155"/>
  <c r="AA66" i="155"/>
  <c r="AB66" i="155"/>
  <c r="AB12" i="155"/>
  <c r="AA12" i="155"/>
  <c r="AB31" i="155"/>
  <c r="AA31" i="155"/>
  <c r="AB21" i="155"/>
  <c r="AA21" i="155"/>
  <c r="AB84" i="155"/>
  <c r="AA84" i="155"/>
  <c r="AB18" i="155"/>
  <c r="AA18" i="155"/>
  <c r="AA95" i="155"/>
  <c r="AB95" i="155"/>
  <c r="AA94" i="155"/>
  <c r="AB94" i="155"/>
  <c r="AB52" i="155"/>
  <c r="AA52" i="155"/>
  <c r="AA37" i="155"/>
  <c r="AB37" i="155"/>
  <c r="AB101" i="155"/>
  <c r="AA101" i="155"/>
  <c r="AB53" i="155"/>
  <c r="AA53" i="155"/>
  <c r="AA50" i="155"/>
  <c r="AB50" i="155"/>
  <c r="AB97" i="155"/>
  <c r="AA97" i="155"/>
  <c r="AB60" i="155"/>
  <c r="AA60" i="155"/>
  <c r="AA68" i="155"/>
  <c r="AB68" i="155"/>
  <c r="AA7" i="155"/>
  <c r="AB7" i="155"/>
  <c r="AA44" i="155"/>
  <c r="AB44" i="155"/>
  <c r="AB58" i="155"/>
  <c r="AA58" i="155"/>
  <c r="AB40" i="155"/>
  <c r="AA40" i="155"/>
  <c r="AB14" i="155"/>
  <c r="AA14" i="155"/>
  <c r="AA8" i="155"/>
  <c r="AB8" i="155"/>
  <c r="AA82" i="155"/>
  <c r="AB82" i="155"/>
  <c r="AB76" i="155"/>
  <c r="AA76" i="155"/>
  <c r="AA72" i="155"/>
  <c r="AB72" i="155"/>
  <c r="AA87" i="155"/>
  <c r="AB87" i="155"/>
  <c r="AB55" i="155"/>
  <c r="AA55" i="155"/>
  <c r="AB17" i="155"/>
  <c r="AA17" i="155"/>
  <c r="AA91" i="155"/>
  <c r="AB91" i="155"/>
  <c r="AA16" i="155"/>
  <c r="AB16" i="155"/>
  <c r="AA6" i="155"/>
  <c r="AB6" i="155"/>
  <c r="AB83" i="155"/>
  <c r="AA83" i="155"/>
  <c r="AA29" i="155"/>
  <c r="AB29" i="155"/>
  <c r="AB79" i="155"/>
  <c r="AA79" i="155"/>
  <c r="AB33" i="155"/>
  <c r="AA33" i="155"/>
  <c r="AA13" i="155"/>
  <c r="AB13" i="155"/>
  <c r="AA67" i="155"/>
  <c r="AB67" i="155"/>
  <c r="AB4" i="155"/>
  <c r="AA4" i="155"/>
  <c r="AA32" i="155"/>
  <c r="AB32" i="155"/>
  <c r="AB59" i="155"/>
  <c r="AA59" i="155"/>
  <c r="AA86" i="155"/>
  <c r="AB86" i="155"/>
  <c r="D100" i="110"/>
  <c r="D99" i="109"/>
  <c r="C110" i="142"/>
  <c r="AE108" i="142"/>
  <c r="F108" i="142"/>
  <c r="W108" i="142" s="1"/>
  <c r="E110" i="142"/>
  <c r="V110" i="142" s="1"/>
  <c r="V111" i="142" s="1"/>
  <c r="V112" i="142" s="1"/>
  <c r="V113" i="142" s="1"/>
  <c r="V114" i="142" s="1"/>
  <c r="V115" i="142" s="1"/>
  <c r="V109" i="142"/>
  <c r="G107" i="142"/>
  <c r="X106" i="142"/>
  <c r="Y106" i="142" s="1"/>
  <c r="Y109" i="140"/>
  <c r="G108" i="143"/>
  <c r="F109" i="143"/>
  <c r="C111" i="143"/>
  <c r="K14" i="143" s="1"/>
  <c r="C109" i="139"/>
  <c r="F109" i="139"/>
  <c r="G108" i="139"/>
  <c r="E111" i="139"/>
  <c r="W110" i="140"/>
  <c r="G110" i="140"/>
  <c r="X110" i="140" s="1"/>
  <c r="V110" i="140"/>
  <c r="E111" i="140"/>
  <c r="F111" i="140"/>
  <c r="AE111" i="140"/>
  <c r="C111" i="140"/>
  <c r="D147" i="113"/>
  <c r="C68" i="77"/>
  <c r="D69" i="87"/>
  <c r="C69" i="87"/>
  <c r="E69" i="88"/>
  <c r="L68" i="88"/>
  <c r="F70" i="88"/>
  <c r="H68" i="88"/>
  <c r="B68" i="91" l="1"/>
  <c r="C110" i="138"/>
  <c r="C69" i="89"/>
  <c r="J13" i="168"/>
  <c r="J14" i="168"/>
  <c r="J8" i="168"/>
  <c r="X108" i="168"/>
  <c r="AE110" i="157"/>
  <c r="Y109" i="157"/>
  <c r="Z72" i="157"/>
  <c r="Z14" i="157"/>
  <c r="Z87" i="157"/>
  <c r="Z25" i="157"/>
  <c r="Z91" i="157"/>
  <c r="Z96" i="157"/>
  <c r="Z53" i="157"/>
  <c r="Z78" i="157"/>
  <c r="Z9" i="157"/>
  <c r="Z17" i="157"/>
  <c r="Z56" i="157"/>
  <c r="Z36" i="157"/>
  <c r="Z57" i="157"/>
  <c r="Z67" i="157"/>
  <c r="Z33" i="157"/>
  <c r="Z28" i="157"/>
  <c r="Z73" i="157"/>
  <c r="Z43" i="157"/>
  <c r="Z106" i="157"/>
  <c r="Z46" i="157"/>
  <c r="Z55" i="157"/>
  <c r="Z98" i="157"/>
  <c r="Z27" i="157"/>
  <c r="Z110" i="157"/>
  <c r="Z30" i="157"/>
  <c r="Z104" i="157"/>
  <c r="Z77" i="157"/>
  <c r="Z97" i="157"/>
  <c r="Z52" i="157"/>
  <c r="Z26" i="157"/>
  <c r="Z83" i="157"/>
  <c r="Z37" i="157"/>
  <c r="Z38" i="157"/>
  <c r="Z79" i="157"/>
  <c r="Z93" i="157"/>
  <c r="Z47" i="157"/>
  <c r="Z59" i="157"/>
  <c r="Z102" i="157"/>
  <c r="Z41" i="157"/>
  <c r="Z94" i="157"/>
  <c r="Z21" i="157"/>
  <c r="Z35" i="157"/>
  <c r="Z74" i="157"/>
  <c r="Z24" i="157"/>
  <c r="Z85" i="157"/>
  <c r="Z39" i="157"/>
  <c r="Z84" i="157"/>
  <c r="Z92" i="157"/>
  <c r="Z8" i="157"/>
  <c r="Z69" i="157"/>
  <c r="Z23" i="157"/>
  <c r="Z68" i="157"/>
  <c r="Z42" i="157"/>
  <c r="Z58" i="157"/>
  <c r="Z5" i="157"/>
  <c r="Z61" i="157"/>
  <c r="Z49" i="157"/>
  <c r="Z105" i="157"/>
  <c r="Z64" i="157"/>
  <c r="Z22" i="157"/>
  <c r="Z63" i="157"/>
  <c r="Z76" i="157"/>
  <c r="Z29" i="157"/>
  <c r="Z103" i="157"/>
  <c r="Z7" i="157"/>
  <c r="Z100" i="157"/>
  <c r="Z75" i="157"/>
  <c r="Z6" i="157"/>
  <c r="Z71" i="157"/>
  <c r="Z86" i="157"/>
  <c r="Z51" i="157"/>
  <c r="Z4" i="157"/>
  <c r="Z70" i="157"/>
  <c r="Z12" i="157"/>
  <c r="Z81" i="157"/>
  <c r="Z82" i="157"/>
  <c r="Z32" i="157"/>
  <c r="Z54" i="157"/>
  <c r="Z88" i="157"/>
  <c r="Z65" i="157"/>
  <c r="Z19" i="157"/>
  <c r="Z80" i="157"/>
  <c r="Z15" i="157"/>
  <c r="Z62" i="157"/>
  <c r="Z109" i="157"/>
  <c r="Z34" i="157"/>
  <c r="Z111" i="157"/>
  <c r="Z45" i="157"/>
  <c r="Z13" i="157"/>
  <c r="Z60" i="157"/>
  <c r="Z108" i="157"/>
  <c r="AB108" i="157" s="1"/>
  <c r="Z107" i="157"/>
  <c r="Z89" i="157"/>
  <c r="Z44" i="157"/>
  <c r="Z40" i="157"/>
  <c r="Z18" i="157"/>
  <c r="Z101" i="157"/>
  <c r="Z90" i="157"/>
  <c r="Z48" i="157"/>
  <c r="Z20" i="157"/>
  <c r="Z11" i="157"/>
  <c r="Z31" i="157"/>
  <c r="Z99" i="157"/>
  <c r="Z66" i="157"/>
  <c r="Z16" i="157"/>
  <c r="Z10" i="157"/>
  <c r="Z50" i="157"/>
  <c r="Z95" i="157"/>
  <c r="Z28" i="156"/>
  <c r="Z90" i="156"/>
  <c r="Z51" i="156"/>
  <c r="Z85" i="156"/>
  <c r="Z73" i="156"/>
  <c r="Z33" i="156"/>
  <c r="Z24" i="156"/>
  <c r="Z42" i="156"/>
  <c r="Z56" i="156"/>
  <c r="Z15" i="156"/>
  <c r="Z70" i="156"/>
  <c r="Z112" i="156"/>
  <c r="Z102" i="156"/>
  <c r="Z107" i="156"/>
  <c r="AB107" i="156" s="1"/>
  <c r="Z69" i="156"/>
  <c r="Z92" i="156"/>
  <c r="Z99" i="156"/>
  <c r="Z104" i="156"/>
  <c r="Z55" i="156"/>
  <c r="Z103" i="156"/>
  <c r="Z80" i="156"/>
  <c r="Z43" i="156"/>
  <c r="Z58" i="156"/>
  <c r="Z64" i="156"/>
  <c r="Z23" i="156"/>
  <c r="Z37" i="156"/>
  <c r="Z91" i="156"/>
  <c r="Z40" i="156"/>
  <c r="Z111" i="156"/>
  <c r="Z71" i="156"/>
  <c r="Z67" i="156"/>
  <c r="Z18" i="156"/>
  <c r="Z39" i="156"/>
  <c r="Z29" i="156"/>
  <c r="Z110" i="156"/>
  <c r="Z95" i="156"/>
  <c r="Z36" i="156"/>
  <c r="Z16" i="156"/>
  <c r="Z25" i="156"/>
  <c r="Z4" i="156"/>
  <c r="Z49" i="156"/>
  <c r="Z21" i="156"/>
  <c r="Z52" i="156"/>
  <c r="Z100" i="156"/>
  <c r="Z5" i="156"/>
  <c r="Z79" i="156"/>
  <c r="Z59" i="156"/>
  <c r="Z53" i="156"/>
  <c r="Z78" i="156"/>
  <c r="Z20" i="156"/>
  <c r="Z84" i="156"/>
  <c r="Z76" i="156"/>
  <c r="Z46" i="156"/>
  <c r="Z108" i="156"/>
  <c r="AA108" i="156" s="1"/>
  <c r="Z54" i="156"/>
  <c r="Z11" i="156"/>
  <c r="Z77" i="156"/>
  <c r="Z98" i="156"/>
  <c r="Z6" i="156"/>
  <c r="Z61" i="156"/>
  <c r="Z74" i="156"/>
  <c r="Z86" i="156"/>
  <c r="Z82" i="156"/>
  <c r="Z10" i="156"/>
  <c r="Z45" i="156"/>
  <c r="Z34" i="156"/>
  <c r="Z32" i="156"/>
  <c r="Z9" i="156"/>
  <c r="Z93" i="156"/>
  <c r="Z81" i="156"/>
  <c r="Z57" i="156"/>
  <c r="Z83" i="156"/>
  <c r="Z12" i="156"/>
  <c r="Z106" i="156"/>
  <c r="Z13" i="156"/>
  <c r="Z60" i="156"/>
  <c r="Z19" i="156"/>
  <c r="Z105" i="156"/>
  <c r="Z50" i="156"/>
  <c r="Z88" i="156"/>
  <c r="Z44" i="156"/>
  <c r="Z75" i="156"/>
  <c r="Z65" i="156"/>
  <c r="Z66" i="156"/>
  <c r="Z94" i="156"/>
  <c r="Z109" i="156"/>
  <c r="Z87" i="156"/>
  <c r="Z89" i="156"/>
  <c r="Z35" i="156"/>
  <c r="Z72" i="156"/>
  <c r="Z22" i="156"/>
  <c r="Z27" i="156"/>
  <c r="Z8" i="156"/>
  <c r="Z47" i="156"/>
  <c r="Z63" i="156"/>
  <c r="Z96" i="156"/>
  <c r="Z101" i="156"/>
  <c r="Z7" i="156"/>
  <c r="Z97" i="156"/>
  <c r="Z26" i="156"/>
  <c r="Z68" i="156"/>
  <c r="Z38" i="156"/>
  <c r="Z14" i="156"/>
  <c r="Z17" i="156"/>
  <c r="Z31" i="156"/>
  <c r="Z62" i="156"/>
  <c r="Z41" i="156"/>
  <c r="Z30" i="156"/>
  <c r="Z48" i="156"/>
  <c r="Y109" i="156"/>
  <c r="AE109" i="156"/>
  <c r="AE111" i="155"/>
  <c r="AB110" i="155"/>
  <c r="AA110" i="155"/>
  <c r="Y111" i="155"/>
  <c r="D100" i="109"/>
  <c r="D101" i="110"/>
  <c r="C111" i="142"/>
  <c r="AE109" i="142"/>
  <c r="F109" i="142"/>
  <c r="W109" i="142" s="1"/>
  <c r="G108" i="142"/>
  <c r="X107" i="142"/>
  <c r="Y107" i="142" s="1"/>
  <c r="F110" i="143"/>
  <c r="G109" i="143"/>
  <c r="G109" i="139"/>
  <c r="C110" i="139"/>
  <c r="F110" i="139"/>
  <c r="E112" i="139"/>
  <c r="E112" i="140"/>
  <c r="V112" i="140" s="1"/>
  <c r="V113" i="140" s="1"/>
  <c r="V114" i="140" s="1"/>
  <c r="V115" i="140" s="1"/>
  <c r="V116" i="140" s="1"/>
  <c r="V117" i="140" s="1"/>
  <c r="V111" i="140"/>
  <c r="G111" i="140"/>
  <c r="X111" i="140" s="1"/>
  <c r="W111" i="140"/>
  <c r="F112" i="140"/>
  <c r="AE112" i="140"/>
  <c r="Y110" i="140"/>
  <c r="D148" i="113"/>
  <c r="C69" i="77"/>
  <c r="C70" i="87"/>
  <c r="D70" i="87"/>
  <c r="E70" i="88"/>
  <c r="F71" i="88"/>
  <c r="L69" i="88"/>
  <c r="H69" i="88"/>
  <c r="B69" i="91" l="1"/>
  <c r="C70" i="89"/>
  <c r="C111" i="138"/>
  <c r="Y108" i="168"/>
  <c r="Y109" i="168"/>
  <c r="J15" i="168"/>
  <c r="J22" i="168"/>
  <c r="J24" i="168" s="1"/>
  <c r="J21" i="168"/>
  <c r="J23" i="168" s="1"/>
  <c r="J20" i="168" s="1"/>
  <c r="AB95" i="157"/>
  <c r="AA95" i="157"/>
  <c r="AA66" i="157"/>
  <c r="AB66" i="157"/>
  <c r="AA20" i="157"/>
  <c r="AB20" i="157"/>
  <c r="AB18" i="157"/>
  <c r="AA18" i="157"/>
  <c r="AB107" i="157"/>
  <c r="AA107" i="157"/>
  <c r="AB45" i="157"/>
  <c r="AA45" i="157"/>
  <c r="AA62" i="157"/>
  <c r="AB62" i="157"/>
  <c r="AA65" i="157"/>
  <c r="AB65" i="157"/>
  <c r="AA82" i="157"/>
  <c r="AB82" i="157"/>
  <c r="AB4" i="157"/>
  <c r="AA4" i="157"/>
  <c r="AB6" i="157"/>
  <c r="AA6" i="157"/>
  <c r="AA103" i="157"/>
  <c r="AB103" i="157"/>
  <c r="AB22" i="157"/>
  <c r="AA22" i="157"/>
  <c r="AA61" i="157"/>
  <c r="AB61" i="157"/>
  <c r="AA68" i="157"/>
  <c r="AB68" i="157"/>
  <c r="AB92" i="157"/>
  <c r="AA92" i="157"/>
  <c r="AA24" i="157"/>
  <c r="AB24" i="157"/>
  <c r="AB94" i="157"/>
  <c r="AA94" i="157"/>
  <c r="AA47" i="157"/>
  <c r="AB47" i="157"/>
  <c r="AB37" i="157"/>
  <c r="AA37" i="157"/>
  <c r="AA97" i="157"/>
  <c r="AB97" i="157"/>
  <c r="AA46" i="157"/>
  <c r="AB46" i="157"/>
  <c r="AA28" i="157"/>
  <c r="AB28" i="157"/>
  <c r="AB36" i="157"/>
  <c r="AA36" i="157"/>
  <c r="AB78" i="157"/>
  <c r="AA78" i="157"/>
  <c r="AA25" i="157"/>
  <c r="AB25" i="157"/>
  <c r="AE111" i="157"/>
  <c r="Y110" i="157"/>
  <c r="Y111" i="157" s="1"/>
  <c r="AA109" i="157"/>
  <c r="AB109" i="157"/>
  <c r="AB50" i="157"/>
  <c r="AA50" i="157"/>
  <c r="AB99" i="157"/>
  <c r="AA99" i="157"/>
  <c r="AA48" i="157"/>
  <c r="AB48" i="157"/>
  <c r="AB40" i="157"/>
  <c r="AA40" i="157"/>
  <c r="AA15" i="157"/>
  <c r="AB15" i="157"/>
  <c r="AA88" i="157"/>
  <c r="AB88" i="157"/>
  <c r="AA81" i="157"/>
  <c r="AB81" i="157"/>
  <c r="AB51" i="157"/>
  <c r="AA51" i="157"/>
  <c r="AA75" i="157"/>
  <c r="AB75" i="157"/>
  <c r="AB29" i="157"/>
  <c r="AA29" i="157"/>
  <c r="AA64" i="157"/>
  <c r="AB64" i="157"/>
  <c r="AB5" i="157"/>
  <c r="AA5" i="157"/>
  <c r="AB23" i="157"/>
  <c r="AA23" i="157"/>
  <c r="AA84" i="157"/>
  <c r="AB84" i="157"/>
  <c r="AB74" i="157"/>
  <c r="AA74" i="157"/>
  <c r="AA41" i="157"/>
  <c r="AB41" i="157"/>
  <c r="AA93" i="157"/>
  <c r="AB93" i="157"/>
  <c r="AB83" i="157"/>
  <c r="AA83" i="157"/>
  <c r="AB77" i="157"/>
  <c r="AA77" i="157"/>
  <c r="AA27" i="157"/>
  <c r="AB27" i="157"/>
  <c r="AA106" i="157"/>
  <c r="AB106" i="157"/>
  <c r="AB33" i="157"/>
  <c r="AA33" i="157"/>
  <c r="AA56" i="157"/>
  <c r="AB56" i="157"/>
  <c r="AB53" i="157"/>
  <c r="AA53" i="157"/>
  <c r="AB87" i="157"/>
  <c r="AA87" i="157"/>
  <c r="AA108" i="157"/>
  <c r="AB10" i="157"/>
  <c r="AA10" i="157"/>
  <c r="AB31" i="157"/>
  <c r="AA31" i="157"/>
  <c r="AA90" i="157"/>
  <c r="AB90" i="157"/>
  <c r="AB44" i="157"/>
  <c r="AA44" i="157"/>
  <c r="AB60" i="157"/>
  <c r="AA60" i="157"/>
  <c r="AA34" i="157"/>
  <c r="AB34" i="157"/>
  <c r="AB80" i="157"/>
  <c r="AA80" i="157"/>
  <c r="AB54" i="157"/>
  <c r="AA54" i="157"/>
  <c r="AA12" i="157"/>
  <c r="AB12" i="157"/>
  <c r="AA86" i="157"/>
  <c r="AB86" i="157"/>
  <c r="AA100" i="157"/>
  <c r="AB100" i="157"/>
  <c r="AA76" i="157"/>
  <c r="AB76" i="157"/>
  <c r="AB105" i="157"/>
  <c r="AA105" i="157"/>
  <c r="AB58" i="157"/>
  <c r="AA58" i="157"/>
  <c r="AA69" i="157"/>
  <c r="AB69" i="157"/>
  <c r="AA39" i="157"/>
  <c r="AB39" i="157"/>
  <c r="AA35" i="157"/>
  <c r="AB35" i="157"/>
  <c r="AA102" i="157"/>
  <c r="AB102" i="157"/>
  <c r="AB79" i="157"/>
  <c r="AA79" i="157"/>
  <c r="AB26" i="157"/>
  <c r="AA26" i="157"/>
  <c r="AA104" i="157"/>
  <c r="AB104" i="157"/>
  <c r="AB98" i="157"/>
  <c r="AA98" i="157"/>
  <c r="AB43" i="157"/>
  <c r="AA43" i="157"/>
  <c r="AA67" i="157"/>
  <c r="AB67" i="157"/>
  <c r="AA17" i="157"/>
  <c r="AB17" i="157"/>
  <c r="AB96" i="157"/>
  <c r="AA96" i="157"/>
  <c r="AA14" i="157"/>
  <c r="AB14" i="157"/>
  <c r="AB16" i="157"/>
  <c r="AA16" i="157"/>
  <c r="AA11" i="157"/>
  <c r="AB11" i="157"/>
  <c r="AA101" i="157"/>
  <c r="AB101" i="157"/>
  <c r="AA89" i="157"/>
  <c r="AB89" i="157"/>
  <c r="AB13" i="157"/>
  <c r="AA13" i="157"/>
  <c r="AA19" i="157"/>
  <c r="AB19" i="157"/>
  <c r="AA32" i="157"/>
  <c r="AB32" i="157"/>
  <c r="AA70" i="157"/>
  <c r="AB70" i="157"/>
  <c r="AB71" i="157"/>
  <c r="AA71" i="157"/>
  <c r="AA7" i="157"/>
  <c r="AB7" i="157"/>
  <c r="AA63" i="157"/>
  <c r="AB63" i="157"/>
  <c r="AA49" i="157"/>
  <c r="AB49" i="157"/>
  <c r="AB42" i="157"/>
  <c r="AA42" i="157"/>
  <c r="AB8" i="157"/>
  <c r="AA8" i="157"/>
  <c r="AA85" i="157"/>
  <c r="AB85" i="157"/>
  <c r="AA21" i="157"/>
  <c r="AB21" i="157"/>
  <c r="AB59" i="157"/>
  <c r="AA59" i="157"/>
  <c r="AA38" i="157"/>
  <c r="AB38" i="157"/>
  <c r="AB52" i="157"/>
  <c r="AA52" i="157"/>
  <c r="AA30" i="157"/>
  <c r="AB30" i="157"/>
  <c r="AA55" i="157"/>
  <c r="AB55" i="157"/>
  <c r="AA73" i="157"/>
  <c r="AB73" i="157"/>
  <c r="AB57" i="157"/>
  <c r="AA57" i="157"/>
  <c r="AA9" i="157"/>
  <c r="AB9" i="157"/>
  <c r="AA91" i="157"/>
  <c r="AB91" i="157"/>
  <c r="AA72" i="157"/>
  <c r="AB72" i="157"/>
  <c r="AB108" i="156"/>
  <c r="Y110" i="156"/>
  <c r="Y111" i="156" s="1"/>
  <c r="AA109" i="156"/>
  <c r="AE110" i="156"/>
  <c r="AB109" i="156"/>
  <c r="AA30" i="156"/>
  <c r="AB30" i="156"/>
  <c r="AA17" i="156"/>
  <c r="AB17" i="156"/>
  <c r="AA26" i="156"/>
  <c r="AB26" i="156"/>
  <c r="AA96" i="156"/>
  <c r="AB96" i="156"/>
  <c r="AA27" i="156"/>
  <c r="AB27" i="156"/>
  <c r="AB89" i="156"/>
  <c r="AA89" i="156"/>
  <c r="AB66" i="156"/>
  <c r="AA66" i="156"/>
  <c r="AA88" i="156"/>
  <c r="AB88" i="156"/>
  <c r="AB60" i="156"/>
  <c r="AA60" i="156"/>
  <c r="AA83" i="156"/>
  <c r="AB83" i="156"/>
  <c r="AB9" i="156"/>
  <c r="AA9" i="156"/>
  <c r="AB10" i="156"/>
  <c r="AA10" i="156"/>
  <c r="AB61" i="156"/>
  <c r="AA61" i="156"/>
  <c r="AB11" i="156"/>
  <c r="AA11" i="156"/>
  <c r="AA76" i="156"/>
  <c r="AB76" i="156"/>
  <c r="AA53" i="156"/>
  <c r="AB53" i="156"/>
  <c r="AA100" i="156"/>
  <c r="AB100" i="156"/>
  <c r="AB4" i="156"/>
  <c r="AA4" i="156"/>
  <c r="AB95" i="156"/>
  <c r="AA95" i="156"/>
  <c r="AA18" i="156"/>
  <c r="AB18" i="156"/>
  <c r="AA40" i="156"/>
  <c r="AB40" i="156"/>
  <c r="AB64" i="156"/>
  <c r="AA64" i="156"/>
  <c r="AA103" i="156"/>
  <c r="AB103" i="156"/>
  <c r="AB92" i="156"/>
  <c r="AA92" i="156"/>
  <c r="AB42" i="156"/>
  <c r="AA42" i="156"/>
  <c r="AB85" i="156"/>
  <c r="AA85" i="156"/>
  <c r="AA41" i="156"/>
  <c r="AB41" i="156"/>
  <c r="AA97" i="156"/>
  <c r="AB97" i="156"/>
  <c r="AB22" i="156"/>
  <c r="AA22" i="156"/>
  <c r="AB65" i="156"/>
  <c r="AA65" i="156"/>
  <c r="AB13" i="156"/>
  <c r="AA13" i="156"/>
  <c r="AA32" i="156"/>
  <c r="AB32" i="156"/>
  <c r="AB6" i="156"/>
  <c r="AA6" i="156"/>
  <c r="AA84" i="156"/>
  <c r="AB84" i="156"/>
  <c r="AB52" i="156"/>
  <c r="AA52" i="156"/>
  <c r="AA25" i="156"/>
  <c r="AB25" i="156"/>
  <c r="AB111" i="155"/>
  <c r="AE112" i="155"/>
  <c r="AA111" i="155"/>
  <c r="Y112" i="155"/>
  <c r="AB62" i="156"/>
  <c r="AA62" i="156"/>
  <c r="AB38" i="156"/>
  <c r="AA38" i="156"/>
  <c r="AA7" i="156"/>
  <c r="AB7" i="156"/>
  <c r="AB47" i="156"/>
  <c r="AA47" i="156"/>
  <c r="AA72" i="156"/>
  <c r="AB72" i="156"/>
  <c r="AA75" i="156"/>
  <c r="AB75" i="156"/>
  <c r="AA105" i="156"/>
  <c r="AB105" i="156"/>
  <c r="AA106" i="156"/>
  <c r="AB106" i="156"/>
  <c r="AB81" i="156"/>
  <c r="AA81" i="156"/>
  <c r="AA34" i="156"/>
  <c r="AB34" i="156"/>
  <c r="AB86" i="156"/>
  <c r="AA86" i="156"/>
  <c r="AA98" i="156"/>
  <c r="AB98" i="156"/>
  <c r="AB20" i="156"/>
  <c r="AA20" i="156"/>
  <c r="AA79" i="156"/>
  <c r="AB79" i="156"/>
  <c r="AA21" i="156"/>
  <c r="AB21" i="156"/>
  <c r="AB16" i="156"/>
  <c r="AA16" i="156"/>
  <c r="AB29" i="156"/>
  <c r="AA29" i="156"/>
  <c r="AA71" i="156"/>
  <c r="AB71" i="156"/>
  <c r="AA37" i="156"/>
  <c r="AB37" i="156"/>
  <c r="AB43" i="156"/>
  <c r="AA43" i="156"/>
  <c r="AB104" i="156"/>
  <c r="AA104" i="156"/>
  <c r="AA15" i="156"/>
  <c r="AB15" i="156"/>
  <c r="AA33" i="156"/>
  <c r="AB33" i="156"/>
  <c r="AB90" i="156"/>
  <c r="AA90" i="156"/>
  <c r="AA14" i="156"/>
  <c r="AB14" i="156"/>
  <c r="AB63" i="156"/>
  <c r="AA63" i="156"/>
  <c r="AB87" i="156"/>
  <c r="AA87" i="156"/>
  <c r="AB50" i="156"/>
  <c r="AA50" i="156"/>
  <c r="AB57" i="156"/>
  <c r="AA57" i="156"/>
  <c r="AB82" i="156"/>
  <c r="AA82" i="156"/>
  <c r="AB54" i="156"/>
  <c r="AA54" i="156"/>
  <c r="AA59" i="156"/>
  <c r="AB59" i="156"/>
  <c r="AA67" i="156"/>
  <c r="AB67" i="156"/>
  <c r="AA91" i="156"/>
  <c r="AB91" i="156"/>
  <c r="AA58" i="156"/>
  <c r="AB58" i="156"/>
  <c r="AB55" i="156"/>
  <c r="AA55" i="156"/>
  <c r="AB69" i="156"/>
  <c r="AA69" i="156"/>
  <c r="AB70" i="156"/>
  <c r="AA70" i="156"/>
  <c r="AB24" i="156"/>
  <c r="AA24" i="156"/>
  <c r="AB51" i="156"/>
  <c r="AA51" i="156"/>
  <c r="AA48" i="156"/>
  <c r="AB48" i="156"/>
  <c r="AB31" i="156"/>
  <c r="AA31" i="156"/>
  <c r="AA68" i="156"/>
  <c r="AB68" i="156"/>
  <c r="AA101" i="156"/>
  <c r="AB101" i="156"/>
  <c r="AA8" i="156"/>
  <c r="AB8" i="156"/>
  <c r="AA35" i="156"/>
  <c r="AB35" i="156"/>
  <c r="AB94" i="156"/>
  <c r="AA94" i="156"/>
  <c r="AA44" i="156"/>
  <c r="AB44" i="156"/>
  <c r="AA19" i="156"/>
  <c r="AB19" i="156"/>
  <c r="AA12" i="156"/>
  <c r="AB12" i="156"/>
  <c r="AB93" i="156"/>
  <c r="AA93" i="156"/>
  <c r="AB45" i="156"/>
  <c r="AA45" i="156"/>
  <c r="AB74" i="156"/>
  <c r="AA74" i="156"/>
  <c r="AA77" i="156"/>
  <c r="AB77" i="156"/>
  <c r="AA46" i="156"/>
  <c r="AB46" i="156"/>
  <c r="AB78" i="156"/>
  <c r="AA78" i="156"/>
  <c r="AA5" i="156"/>
  <c r="AB5" i="156"/>
  <c r="AA49" i="156"/>
  <c r="AB49" i="156"/>
  <c r="AB36" i="156"/>
  <c r="AA36" i="156"/>
  <c r="AB39" i="156"/>
  <c r="AA39" i="156"/>
  <c r="AA23" i="156"/>
  <c r="AB23" i="156"/>
  <c r="AA80" i="156"/>
  <c r="AB80" i="156"/>
  <c r="AA99" i="156"/>
  <c r="AB99" i="156"/>
  <c r="AA102" i="156"/>
  <c r="AB102" i="156"/>
  <c r="AA56" i="156"/>
  <c r="AB56" i="156"/>
  <c r="AA73" i="156"/>
  <c r="AB73" i="156"/>
  <c r="AA28" i="156"/>
  <c r="AB28" i="156"/>
  <c r="AA107" i="156"/>
  <c r="D102" i="110"/>
  <c r="D101" i="109"/>
  <c r="AE110" i="142"/>
  <c r="F110" i="142"/>
  <c r="G109" i="142"/>
  <c r="X108" i="142"/>
  <c r="Y108" i="142" s="1"/>
  <c r="K16" i="143"/>
  <c r="K15" i="143"/>
  <c r="P12" i="143" s="1"/>
  <c r="K17" i="143"/>
  <c r="G110" i="143"/>
  <c r="C111" i="139"/>
  <c r="F111" i="139"/>
  <c r="G110" i="139"/>
  <c r="Y111" i="140"/>
  <c r="G112" i="140"/>
  <c r="W112" i="140"/>
  <c r="K21" i="140"/>
  <c r="K19" i="140"/>
  <c r="R10" i="140" s="1"/>
  <c r="K20" i="140"/>
  <c r="D149" i="113"/>
  <c r="D150" i="113" s="1"/>
  <c r="C70" i="77"/>
  <c r="C71" i="87"/>
  <c r="D71" i="87"/>
  <c r="E71" i="88"/>
  <c r="F72" i="88"/>
  <c r="L70" i="88"/>
  <c r="H70" i="88"/>
  <c r="N9" i="139" l="1"/>
  <c r="M9" i="139"/>
  <c r="R9" i="139" s="1"/>
  <c r="O9" i="139"/>
  <c r="P9" i="139" s="1"/>
  <c r="B70" i="91"/>
  <c r="C71" i="89"/>
  <c r="Z4" i="168"/>
  <c r="Z78" i="168"/>
  <c r="Z92" i="168"/>
  <c r="Z17" i="168"/>
  <c r="Z97" i="168"/>
  <c r="Z103" i="168"/>
  <c r="Z44" i="168"/>
  <c r="Z77" i="168"/>
  <c r="Z24" i="168"/>
  <c r="Z29" i="168"/>
  <c r="Z83" i="168"/>
  <c r="Z75" i="168"/>
  <c r="Z41" i="168"/>
  <c r="Z59" i="168"/>
  <c r="Z88" i="168"/>
  <c r="Z81" i="168"/>
  <c r="Z48" i="168"/>
  <c r="Z56" i="168"/>
  <c r="Z28" i="168"/>
  <c r="Z82" i="168"/>
  <c r="Z43" i="168"/>
  <c r="Z96" i="168"/>
  <c r="Z106" i="168"/>
  <c r="Z67" i="168"/>
  <c r="Z89" i="168"/>
  <c r="Z13" i="168"/>
  <c r="Z94" i="168"/>
  <c r="Z90" i="168"/>
  <c r="Z30" i="168"/>
  <c r="Z14" i="168"/>
  <c r="Z76" i="168"/>
  <c r="Z54" i="168"/>
  <c r="Z10" i="168"/>
  <c r="Z35" i="168"/>
  <c r="Z7" i="168"/>
  <c r="Z25" i="168"/>
  <c r="Z73" i="168"/>
  <c r="Z64" i="168"/>
  <c r="Z26" i="168"/>
  <c r="Z102" i="168"/>
  <c r="Z66" i="168"/>
  <c r="Z52" i="168"/>
  <c r="Z87" i="168"/>
  <c r="Z36" i="168"/>
  <c r="Z111" i="168"/>
  <c r="Z22" i="168"/>
  <c r="Z12" i="168"/>
  <c r="Z70" i="168"/>
  <c r="Z47" i="168"/>
  <c r="Z61" i="168"/>
  <c r="Z19" i="168"/>
  <c r="Z93" i="168"/>
  <c r="Z51" i="168"/>
  <c r="Z74" i="168"/>
  <c r="Z9" i="168"/>
  <c r="Z15" i="168"/>
  <c r="Z68" i="168"/>
  <c r="Z63" i="168"/>
  <c r="Z104" i="168"/>
  <c r="Z31" i="168"/>
  <c r="Z50" i="168"/>
  <c r="Z27" i="168"/>
  <c r="Z112" i="168"/>
  <c r="Z72" i="168"/>
  <c r="Z58" i="168"/>
  <c r="Z108" i="168"/>
  <c r="Z49" i="168"/>
  <c r="Z45" i="168"/>
  <c r="Z101" i="168"/>
  <c r="Z99" i="168"/>
  <c r="Z62" i="168"/>
  <c r="Z39" i="168"/>
  <c r="Z21" i="168"/>
  <c r="Z109" i="168"/>
  <c r="Z42" i="168"/>
  <c r="Z85" i="168"/>
  <c r="Z57" i="168"/>
  <c r="Z33" i="168"/>
  <c r="Z38" i="168"/>
  <c r="Z46" i="168"/>
  <c r="Z91" i="168"/>
  <c r="Z40" i="168"/>
  <c r="Z32" i="168"/>
  <c r="Z80" i="168"/>
  <c r="Z60" i="168"/>
  <c r="Z71" i="168"/>
  <c r="Z37" i="168"/>
  <c r="Z6" i="168"/>
  <c r="Z113" i="168"/>
  <c r="Z11" i="168"/>
  <c r="Z8" i="168"/>
  <c r="Z98" i="168"/>
  <c r="Z18" i="168"/>
  <c r="Z23" i="168"/>
  <c r="Z100" i="168"/>
  <c r="Z16" i="168"/>
  <c r="Z95" i="168"/>
  <c r="Z5" i="168"/>
  <c r="Z79" i="168"/>
  <c r="Z105" i="168"/>
  <c r="Z65" i="168"/>
  <c r="Z34" i="168"/>
  <c r="Z53" i="168"/>
  <c r="Z69" i="168"/>
  <c r="Z110" i="168"/>
  <c r="Z86" i="168"/>
  <c r="Z55" i="168"/>
  <c r="Z20" i="168"/>
  <c r="Z84" i="168"/>
  <c r="Z107" i="168"/>
  <c r="AE109" i="168"/>
  <c r="Y110" i="168"/>
  <c r="AA111" i="157"/>
  <c r="AB111" i="157"/>
  <c r="AE112" i="157"/>
  <c r="AE113" i="157" s="1"/>
  <c r="AA110" i="157"/>
  <c r="AB110" i="157"/>
  <c r="AE111" i="156"/>
  <c r="AE112" i="156" s="1"/>
  <c r="AA112" i="155"/>
  <c r="AE113" i="155"/>
  <c r="AB112" i="155"/>
  <c r="Y112" i="156"/>
  <c r="AA111" i="156"/>
  <c r="AB111" i="156"/>
  <c r="AB110" i="156"/>
  <c r="AA110" i="156"/>
  <c r="D102" i="109"/>
  <c r="D103" i="110"/>
  <c r="R12" i="143"/>
  <c r="G110" i="142"/>
  <c r="X109" i="142"/>
  <c r="Y109" i="142" s="1"/>
  <c r="W110" i="142"/>
  <c r="K19" i="142"/>
  <c r="K18" i="142"/>
  <c r="K17" i="142"/>
  <c r="R9" i="142" s="1"/>
  <c r="Q12" i="143"/>
  <c r="K11" i="143"/>
  <c r="K12" i="143"/>
  <c r="K9" i="143"/>
  <c r="R7" i="143" s="1"/>
  <c r="S7" i="143" s="1"/>
  <c r="G111" i="139"/>
  <c r="F112" i="139"/>
  <c r="S10" i="140"/>
  <c r="T10" i="140" s="1"/>
  <c r="X112" i="140"/>
  <c r="Y112" i="140" s="1"/>
  <c r="K16" i="140"/>
  <c r="K11" i="140"/>
  <c r="K18" i="140" s="1"/>
  <c r="K17" i="140"/>
  <c r="D151" i="113"/>
  <c r="C71" i="77"/>
  <c r="C72" i="87"/>
  <c r="D72" i="87"/>
  <c r="E72" i="88"/>
  <c r="F73" i="88"/>
  <c r="L71" i="88"/>
  <c r="H71" i="88"/>
  <c r="C72" i="89" l="1"/>
  <c r="K24" i="140"/>
  <c r="K26" i="140" s="1"/>
  <c r="K23" i="140" s="1"/>
  <c r="B71" i="91"/>
  <c r="Y113" i="140"/>
  <c r="O14" i="139"/>
  <c r="Q14" i="139" s="1"/>
  <c r="O13" i="139"/>
  <c r="Q9" i="139"/>
  <c r="S9" i="139"/>
  <c r="Y111" i="168"/>
  <c r="Y112" i="168" s="1"/>
  <c r="AE110" i="168"/>
  <c r="AA110" i="168"/>
  <c r="AB110" i="168"/>
  <c r="AB20" i="168"/>
  <c r="AA20" i="168"/>
  <c r="AB69" i="168"/>
  <c r="AA69" i="168"/>
  <c r="AA105" i="168"/>
  <c r="AB105" i="168"/>
  <c r="AB16" i="168"/>
  <c r="AA16" i="168"/>
  <c r="AA98" i="168"/>
  <c r="AB98" i="168"/>
  <c r="AA6" i="168"/>
  <c r="AB6" i="168"/>
  <c r="AA80" i="168"/>
  <c r="AB80" i="168"/>
  <c r="AB46" i="168"/>
  <c r="AA46" i="168"/>
  <c r="AB85" i="168"/>
  <c r="AA85" i="168"/>
  <c r="AB39" i="168"/>
  <c r="AA39" i="168"/>
  <c r="AB45" i="168"/>
  <c r="AA45" i="168"/>
  <c r="AB72" i="168"/>
  <c r="AA72" i="168"/>
  <c r="AB31" i="168"/>
  <c r="AA31" i="168"/>
  <c r="AA15" i="168"/>
  <c r="AB15" i="168"/>
  <c r="AA93" i="168"/>
  <c r="AB93" i="168"/>
  <c r="AB70" i="168"/>
  <c r="AA70" i="168"/>
  <c r="AB36" i="168"/>
  <c r="AA36" i="168"/>
  <c r="AA102" i="168"/>
  <c r="AB102" i="168"/>
  <c r="AB25" i="168"/>
  <c r="AA25" i="168"/>
  <c r="AB54" i="168"/>
  <c r="AA54" i="168"/>
  <c r="AA90" i="168"/>
  <c r="AB90" i="168"/>
  <c r="AB67" i="168"/>
  <c r="AA67" i="168"/>
  <c r="AB82" i="168"/>
  <c r="AA82" i="168"/>
  <c r="AB81" i="168"/>
  <c r="AA81" i="168"/>
  <c r="AA75" i="168"/>
  <c r="AB75" i="168"/>
  <c r="AB77" i="168"/>
  <c r="AA77" i="168"/>
  <c r="AB17" i="168"/>
  <c r="AA17" i="168"/>
  <c r="AB55" i="168"/>
  <c r="AA55" i="168"/>
  <c r="AA53" i="168"/>
  <c r="AB53" i="168"/>
  <c r="AA79" i="168"/>
  <c r="AB79" i="168"/>
  <c r="AA100" i="168"/>
  <c r="AB100" i="168"/>
  <c r="AA8" i="168"/>
  <c r="AB8" i="168"/>
  <c r="AB37" i="168"/>
  <c r="AA37" i="168"/>
  <c r="AA32" i="168"/>
  <c r="AB32" i="168"/>
  <c r="AB38" i="168"/>
  <c r="AA38" i="168"/>
  <c r="AB42" i="168"/>
  <c r="AA42" i="168"/>
  <c r="AB62" i="168"/>
  <c r="AA62" i="168"/>
  <c r="AA49" i="168"/>
  <c r="AB49" i="168"/>
  <c r="AA104" i="168"/>
  <c r="AB104" i="168"/>
  <c r="AB9" i="168"/>
  <c r="AA9" i="168"/>
  <c r="AA19" i="168"/>
  <c r="AB19" i="168"/>
  <c r="AA12" i="168"/>
  <c r="AB12" i="168"/>
  <c r="AB87" i="168"/>
  <c r="AA87" i="168"/>
  <c r="AA26" i="168"/>
  <c r="AB26" i="168"/>
  <c r="AA7" i="168"/>
  <c r="AB7" i="168"/>
  <c r="AB76" i="168"/>
  <c r="AA76" i="168"/>
  <c r="AB94" i="168"/>
  <c r="AA94" i="168"/>
  <c r="AA106" i="168"/>
  <c r="AB106" i="168"/>
  <c r="AA28" i="168"/>
  <c r="AB28" i="168"/>
  <c r="AB88" i="168"/>
  <c r="AA88" i="168"/>
  <c r="AB83" i="168"/>
  <c r="AA83" i="168"/>
  <c r="AA44" i="168"/>
  <c r="AB44" i="168"/>
  <c r="AB92" i="168"/>
  <c r="AA92" i="168"/>
  <c r="AA107" i="168"/>
  <c r="AB107" i="168"/>
  <c r="AA86" i="168"/>
  <c r="AB86" i="168"/>
  <c r="AA34" i="168"/>
  <c r="AB34" i="168"/>
  <c r="AB5" i="168"/>
  <c r="AA5" i="168"/>
  <c r="AA23" i="168"/>
  <c r="AB23" i="168"/>
  <c r="AB11" i="168"/>
  <c r="AA11" i="168"/>
  <c r="AB71" i="168"/>
  <c r="AA71" i="168"/>
  <c r="AB40" i="168"/>
  <c r="AA40" i="168"/>
  <c r="AA33" i="168"/>
  <c r="AB33" i="168"/>
  <c r="AB109" i="168"/>
  <c r="AA109" i="168"/>
  <c r="AB99" i="168"/>
  <c r="AA99" i="168"/>
  <c r="AB108" i="168"/>
  <c r="AA108" i="168"/>
  <c r="AB27" i="168"/>
  <c r="AA27" i="168"/>
  <c r="AA63" i="168"/>
  <c r="AB63" i="168"/>
  <c r="AB74" i="168"/>
  <c r="AA74" i="168"/>
  <c r="AB61" i="168"/>
  <c r="AA61" i="168"/>
  <c r="AB22" i="168"/>
  <c r="AA22" i="168"/>
  <c r="AB52" i="168"/>
  <c r="AA52" i="168"/>
  <c r="AB64" i="168"/>
  <c r="AA64" i="168"/>
  <c r="AA35" i="168"/>
  <c r="AB35" i="168"/>
  <c r="AA14" i="168"/>
  <c r="AB14" i="168"/>
  <c r="AB13" i="168"/>
  <c r="AA13" i="168"/>
  <c r="AA96" i="168"/>
  <c r="AB96" i="168"/>
  <c r="AA56" i="168"/>
  <c r="AB56" i="168"/>
  <c r="AA59" i="168"/>
  <c r="AB59" i="168"/>
  <c r="AA29" i="168"/>
  <c r="AB29" i="168"/>
  <c r="AB103" i="168"/>
  <c r="AA103" i="168"/>
  <c r="AB78" i="168"/>
  <c r="AA78" i="168"/>
  <c r="AA84" i="168"/>
  <c r="AB84" i="168"/>
  <c r="AB65" i="168"/>
  <c r="AA65" i="168"/>
  <c r="AB95" i="168"/>
  <c r="AA95" i="168"/>
  <c r="AB18" i="168"/>
  <c r="AA18" i="168"/>
  <c r="AB60" i="168"/>
  <c r="AA60" i="168"/>
  <c r="AA91" i="168"/>
  <c r="AB91" i="168"/>
  <c r="AB57" i="168"/>
  <c r="AA57" i="168"/>
  <c r="AB21" i="168"/>
  <c r="AA21" i="168"/>
  <c r="AA101" i="168"/>
  <c r="AB101" i="168"/>
  <c r="AB58" i="168"/>
  <c r="AA58" i="168"/>
  <c r="AA50" i="168"/>
  <c r="AB50" i="168"/>
  <c r="AA68" i="168"/>
  <c r="AB68" i="168"/>
  <c r="AA51" i="168"/>
  <c r="AB51" i="168"/>
  <c r="AB47" i="168"/>
  <c r="AA47" i="168"/>
  <c r="AB66" i="168"/>
  <c r="AA66" i="168"/>
  <c r="AA73" i="168"/>
  <c r="AB73" i="168"/>
  <c r="AA10" i="168"/>
  <c r="AB10" i="168"/>
  <c r="AB30" i="168"/>
  <c r="AA30" i="168"/>
  <c r="AA89" i="168"/>
  <c r="AB89" i="168"/>
  <c r="AB43" i="168"/>
  <c r="AA43" i="168"/>
  <c r="AB48" i="168"/>
  <c r="AA48" i="168"/>
  <c r="AB41" i="168"/>
  <c r="AA41" i="168"/>
  <c r="AB24" i="168"/>
  <c r="AA24" i="168"/>
  <c r="AB97" i="168"/>
  <c r="AA97" i="168"/>
  <c r="AA4" i="168"/>
  <c r="AB4" i="168"/>
  <c r="AE113" i="156"/>
  <c r="AB112" i="156"/>
  <c r="AA112" i="156"/>
  <c r="R8" i="143"/>
  <c r="S8" i="143" s="1"/>
  <c r="D104" i="110"/>
  <c r="R6" i="143"/>
  <c r="S6" i="143" s="1"/>
  <c r="S12" i="143"/>
  <c r="D103" i="109"/>
  <c r="S9" i="142"/>
  <c r="T9" i="142" s="1"/>
  <c r="X110" i="142"/>
  <c r="Y111" i="142" s="1"/>
  <c r="K15" i="142"/>
  <c r="K9" i="142"/>
  <c r="K16" i="142" s="1"/>
  <c r="K14" i="142"/>
  <c r="T9" i="140"/>
  <c r="T8" i="140"/>
  <c r="K13" i="143"/>
  <c r="K23" i="143"/>
  <c r="K25" i="143" s="1"/>
  <c r="K22" i="143" s="1"/>
  <c r="K24" i="143"/>
  <c r="K26" i="143" s="1"/>
  <c r="G112" i="139"/>
  <c r="AE113" i="140"/>
  <c r="Y114" i="140"/>
  <c r="Z117" i="140"/>
  <c r="Z113" i="140"/>
  <c r="AB113" i="140" s="1"/>
  <c r="Z114" i="140"/>
  <c r="Z110" i="140"/>
  <c r="Z108" i="140"/>
  <c r="Z106" i="140"/>
  <c r="Z104" i="140"/>
  <c r="Z102" i="140"/>
  <c r="Z100" i="140"/>
  <c r="Z98" i="140"/>
  <c r="Z96" i="140"/>
  <c r="Z94" i="140"/>
  <c r="Z92" i="140"/>
  <c r="Z115" i="140"/>
  <c r="Z111" i="140"/>
  <c r="Z103" i="140"/>
  <c r="Z99" i="140"/>
  <c r="Z95" i="140"/>
  <c r="Z91" i="140"/>
  <c r="Z89" i="140"/>
  <c r="Z87" i="140"/>
  <c r="Z85" i="140"/>
  <c r="Z83" i="140"/>
  <c r="Z81" i="140"/>
  <c r="Z79" i="140"/>
  <c r="Z77" i="140"/>
  <c r="Z112" i="140"/>
  <c r="AB112" i="140" s="1"/>
  <c r="Z105" i="140"/>
  <c r="Z116" i="140"/>
  <c r="Z107" i="140"/>
  <c r="Z101" i="140"/>
  <c r="Z93" i="140"/>
  <c r="Z90" i="140"/>
  <c r="Z86" i="140"/>
  <c r="Z82" i="140"/>
  <c r="Z78" i="140"/>
  <c r="Z75" i="140"/>
  <c r="Z73" i="140"/>
  <c r="Z71" i="140"/>
  <c r="Z69" i="140"/>
  <c r="Z67" i="140"/>
  <c r="Z65" i="140"/>
  <c r="Z63" i="140"/>
  <c r="Z61" i="140"/>
  <c r="Z59" i="140"/>
  <c r="Z57" i="140"/>
  <c r="Z55" i="140"/>
  <c r="Z53" i="140"/>
  <c r="Z51" i="140"/>
  <c r="Z49" i="140"/>
  <c r="Z47" i="140"/>
  <c r="Z45" i="140"/>
  <c r="Z43" i="140"/>
  <c r="Z41" i="140"/>
  <c r="Z39" i="140"/>
  <c r="Z109" i="140"/>
  <c r="Z84" i="140"/>
  <c r="Z76" i="140"/>
  <c r="Z74" i="140"/>
  <c r="Z70" i="140"/>
  <c r="Z66" i="140"/>
  <c r="Z62" i="140"/>
  <c r="Z58" i="140"/>
  <c r="Z54" i="140"/>
  <c r="Z50" i="140"/>
  <c r="Z46" i="140"/>
  <c r="Z42" i="140"/>
  <c r="Z37" i="140"/>
  <c r="Z35" i="140"/>
  <c r="Z33" i="140"/>
  <c r="Z31" i="140"/>
  <c r="Z29" i="140"/>
  <c r="Z27" i="140"/>
  <c r="Z23" i="140"/>
  <c r="Z24" i="140"/>
  <c r="Z97" i="140"/>
  <c r="Z80" i="140"/>
  <c r="Z72" i="140"/>
  <c r="Z64" i="140"/>
  <c r="Z56" i="140"/>
  <c r="Z48" i="140"/>
  <c r="Z40" i="140"/>
  <c r="Z36" i="140"/>
  <c r="Z32" i="140"/>
  <c r="Z28" i="140"/>
  <c r="Z21" i="140"/>
  <c r="Z15" i="140"/>
  <c r="Z13" i="140"/>
  <c r="Z11" i="140"/>
  <c r="Z9" i="140"/>
  <c r="Z88" i="140"/>
  <c r="Z25" i="140"/>
  <c r="Z20" i="140"/>
  <c r="Z17" i="140"/>
  <c r="Z14" i="140"/>
  <c r="Z22" i="140"/>
  <c r="Z16" i="140"/>
  <c r="Z8" i="140"/>
  <c r="Z68" i="140"/>
  <c r="Z60" i="140"/>
  <c r="Z52" i="140"/>
  <c r="Z44" i="140"/>
  <c r="Z38" i="140"/>
  <c r="Z34" i="140"/>
  <c r="Z30" i="140"/>
  <c r="Z19" i="140"/>
  <c r="Z18" i="140"/>
  <c r="Z12" i="140"/>
  <c r="Z26" i="140"/>
  <c r="Z10" i="140"/>
  <c r="K25" i="140"/>
  <c r="K27" i="140" s="1"/>
  <c r="D152" i="113"/>
  <c r="D153" i="113" s="1"/>
  <c r="C72" i="77"/>
  <c r="D73" i="87"/>
  <c r="C73" i="87"/>
  <c r="E73" i="88"/>
  <c r="L72" i="88"/>
  <c r="F74" i="88"/>
  <c r="H72" i="88"/>
  <c r="T9" i="139" l="1"/>
  <c r="N14" i="139"/>
  <c r="R14" i="139" s="1"/>
  <c r="N13" i="139"/>
  <c r="R13" i="139" s="1"/>
  <c r="P14" i="139"/>
  <c r="B72" i="91"/>
  <c r="C73" i="89"/>
  <c r="Y113" i="168"/>
  <c r="AB112" i="168"/>
  <c r="AA112" i="168"/>
  <c r="AE112" i="168"/>
  <c r="AA111" i="168"/>
  <c r="AB111" i="168"/>
  <c r="AE111" i="168"/>
  <c r="D105" i="110"/>
  <c r="D104" i="109"/>
  <c r="Z111" i="142"/>
  <c r="AA111" i="142" s="1"/>
  <c r="Z114" i="142"/>
  <c r="Z7" i="142"/>
  <c r="Z8" i="142"/>
  <c r="Z9" i="142"/>
  <c r="Z10" i="142"/>
  <c r="Z11" i="142"/>
  <c r="Z12" i="142"/>
  <c r="Z13" i="142"/>
  <c r="Z14" i="142"/>
  <c r="Z15" i="142"/>
  <c r="Z16" i="142"/>
  <c r="Z17" i="142"/>
  <c r="Z18" i="142"/>
  <c r="Z19" i="142"/>
  <c r="Z20" i="142"/>
  <c r="Z21" i="142"/>
  <c r="Z22" i="142"/>
  <c r="Z23" i="142"/>
  <c r="Z24" i="142"/>
  <c r="Z25" i="142"/>
  <c r="Z26" i="142"/>
  <c r="Z27" i="142"/>
  <c r="Z28" i="142"/>
  <c r="Z29" i="142"/>
  <c r="Z30" i="142"/>
  <c r="Z31" i="142"/>
  <c r="Z32" i="142"/>
  <c r="Z33" i="142"/>
  <c r="Z34" i="142"/>
  <c r="Z35" i="142"/>
  <c r="Z36" i="142"/>
  <c r="Z37" i="142"/>
  <c r="Z38" i="142"/>
  <c r="Z39" i="142"/>
  <c r="Z40" i="142"/>
  <c r="Z41" i="142"/>
  <c r="Z42" i="142"/>
  <c r="Z43" i="142"/>
  <c r="Z44" i="142"/>
  <c r="Z45" i="142"/>
  <c r="Z46" i="142"/>
  <c r="Z47" i="142"/>
  <c r="Z48" i="142"/>
  <c r="Z49" i="142"/>
  <c r="Z50" i="142"/>
  <c r="Z51" i="142"/>
  <c r="Z52" i="142"/>
  <c r="Z53" i="142"/>
  <c r="Z54" i="142"/>
  <c r="Z55" i="142"/>
  <c r="Z56" i="142"/>
  <c r="Z57" i="142"/>
  <c r="Z58" i="142"/>
  <c r="Z59" i="142"/>
  <c r="Z112" i="142"/>
  <c r="Z60" i="142"/>
  <c r="Z61" i="142"/>
  <c r="Z62" i="142"/>
  <c r="Z63" i="142"/>
  <c r="Z64" i="142"/>
  <c r="Z65" i="142"/>
  <c r="Z66" i="142"/>
  <c r="Z67" i="142"/>
  <c r="Z68" i="142"/>
  <c r="Z69" i="142"/>
  <c r="Z70" i="142"/>
  <c r="Z71" i="142"/>
  <c r="Z72" i="142"/>
  <c r="Z73" i="142"/>
  <c r="Z74" i="142"/>
  <c r="Z75" i="142"/>
  <c r="Z76" i="142"/>
  <c r="Z77" i="142"/>
  <c r="Z78" i="142"/>
  <c r="Z79" i="142"/>
  <c r="Z80" i="142"/>
  <c r="Z81" i="142"/>
  <c r="Z82" i="142"/>
  <c r="Z83" i="142"/>
  <c r="Z84" i="142"/>
  <c r="Z85" i="142"/>
  <c r="Z86" i="142"/>
  <c r="Z87" i="142"/>
  <c r="Z88" i="142"/>
  <c r="Z89" i="142"/>
  <c r="Z90" i="142"/>
  <c r="Z91" i="142"/>
  <c r="Z92" i="142"/>
  <c r="Z93" i="142"/>
  <c r="Z94" i="142"/>
  <c r="Z95" i="142"/>
  <c r="Z96" i="142"/>
  <c r="Z97" i="142"/>
  <c r="Z98" i="142"/>
  <c r="Z99" i="142"/>
  <c r="Z100" i="142"/>
  <c r="Z101" i="142"/>
  <c r="Z102" i="142"/>
  <c r="Z103" i="142"/>
  <c r="Z104" i="142"/>
  <c r="Z105" i="142"/>
  <c r="Z106" i="142"/>
  <c r="Z107" i="142"/>
  <c r="Z108" i="142"/>
  <c r="Z109" i="142"/>
  <c r="Z110" i="142"/>
  <c r="Z113" i="142"/>
  <c r="Z6" i="142"/>
  <c r="Z115" i="142"/>
  <c r="Y112" i="142"/>
  <c r="AE111" i="142"/>
  <c r="AB111" i="142"/>
  <c r="K23" i="142"/>
  <c r="K25" i="142" s="1"/>
  <c r="T7" i="142"/>
  <c r="Y110" i="142"/>
  <c r="K22" i="142"/>
  <c r="K24" i="142" s="1"/>
  <c r="K21" i="142" s="1"/>
  <c r="T6" i="142"/>
  <c r="T8" i="142"/>
  <c r="K11" i="139"/>
  <c r="AA10" i="140"/>
  <c r="AB10" i="140"/>
  <c r="AB44" i="140"/>
  <c r="AA44" i="140"/>
  <c r="AB17" i="140"/>
  <c r="AA17" i="140"/>
  <c r="AB21" i="140"/>
  <c r="AA21" i="140"/>
  <c r="AA72" i="140"/>
  <c r="AB72" i="140"/>
  <c r="AA33" i="140"/>
  <c r="AB33" i="140"/>
  <c r="AB62" i="140"/>
  <c r="AA62" i="140"/>
  <c r="AB41" i="140"/>
  <c r="AA41" i="140"/>
  <c r="AB57" i="140"/>
  <c r="AA57" i="140"/>
  <c r="AB65" i="140"/>
  <c r="AA65" i="140"/>
  <c r="AB73" i="140"/>
  <c r="AA73" i="140"/>
  <c r="AB107" i="140"/>
  <c r="AA107" i="140"/>
  <c r="AA77" i="140"/>
  <c r="AB77" i="140"/>
  <c r="AB85" i="140"/>
  <c r="AA85" i="140"/>
  <c r="AB95" i="140"/>
  <c r="AA95" i="140"/>
  <c r="AB98" i="140"/>
  <c r="AA98" i="140"/>
  <c r="AA106" i="140"/>
  <c r="AB106" i="140"/>
  <c r="AA113" i="140"/>
  <c r="AB26" i="140"/>
  <c r="AA26" i="140"/>
  <c r="AA52" i="140"/>
  <c r="AB52" i="140"/>
  <c r="AA20" i="140"/>
  <c r="AB20" i="140"/>
  <c r="AB28" i="140"/>
  <c r="AA28" i="140"/>
  <c r="AB80" i="140"/>
  <c r="AA80" i="140"/>
  <c r="AB35" i="140"/>
  <c r="AA35" i="140"/>
  <c r="AA66" i="140"/>
  <c r="AB66" i="140"/>
  <c r="AA43" i="140"/>
  <c r="AB43" i="140"/>
  <c r="AB59" i="140"/>
  <c r="AA59" i="140"/>
  <c r="AB75" i="140"/>
  <c r="AA75" i="140"/>
  <c r="AB79" i="140"/>
  <c r="AA79" i="140"/>
  <c r="AB87" i="140"/>
  <c r="AA87" i="140"/>
  <c r="AB99" i="140"/>
  <c r="AA99" i="140"/>
  <c r="AB92" i="140"/>
  <c r="AA92" i="140"/>
  <c r="AA100" i="140"/>
  <c r="AB100" i="140"/>
  <c r="AA12" i="140"/>
  <c r="AB12" i="140"/>
  <c r="AB34" i="140"/>
  <c r="AA34" i="140"/>
  <c r="AA60" i="140"/>
  <c r="AB60" i="140"/>
  <c r="AB22" i="140"/>
  <c r="AA22" i="140"/>
  <c r="AB25" i="140"/>
  <c r="AA25" i="140"/>
  <c r="AA13" i="140"/>
  <c r="AB13" i="140"/>
  <c r="AB32" i="140"/>
  <c r="AA32" i="140"/>
  <c r="AB56" i="140"/>
  <c r="AA56" i="140"/>
  <c r="AB97" i="140"/>
  <c r="AA97" i="140"/>
  <c r="AB29" i="140"/>
  <c r="AA29" i="140"/>
  <c r="AB37" i="140"/>
  <c r="AA37" i="140"/>
  <c r="AB54" i="140"/>
  <c r="AA54" i="140"/>
  <c r="AB70" i="140"/>
  <c r="AA70" i="140"/>
  <c r="AB109" i="140"/>
  <c r="AA109" i="140"/>
  <c r="AA45" i="140"/>
  <c r="AB45" i="140"/>
  <c r="AA53" i="140"/>
  <c r="AB53" i="140"/>
  <c r="AB61" i="140"/>
  <c r="AA61" i="140"/>
  <c r="AA69" i="140"/>
  <c r="AB69" i="140"/>
  <c r="AB78" i="140"/>
  <c r="AA78" i="140"/>
  <c r="AB93" i="140"/>
  <c r="AA93" i="140"/>
  <c r="AB105" i="140"/>
  <c r="AA105" i="140"/>
  <c r="AB81" i="140"/>
  <c r="AA81" i="140"/>
  <c r="AB89" i="140"/>
  <c r="AA89" i="140"/>
  <c r="AB103" i="140"/>
  <c r="AA103" i="140"/>
  <c r="AA94" i="140"/>
  <c r="AB94" i="140"/>
  <c r="AA102" i="140"/>
  <c r="AB102" i="140"/>
  <c r="AB110" i="140"/>
  <c r="AA110" i="140"/>
  <c r="AA112" i="140"/>
  <c r="AA114" i="140"/>
  <c r="AE114" i="140"/>
  <c r="Y115" i="140"/>
  <c r="AB114" i="140"/>
  <c r="AA19" i="140"/>
  <c r="AB19" i="140"/>
  <c r="AB8" i="140"/>
  <c r="AA8" i="140"/>
  <c r="AB9" i="140"/>
  <c r="AA9" i="140"/>
  <c r="AB40" i="140"/>
  <c r="AA40" i="140"/>
  <c r="AB23" i="140"/>
  <c r="AA23" i="140"/>
  <c r="AB46" i="140"/>
  <c r="AA46" i="140"/>
  <c r="AB76" i="140"/>
  <c r="AA76" i="140"/>
  <c r="AB49" i="140"/>
  <c r="AA49" i="140"/>
  <c r="AB86" i="140"/>
  <c r="AA86" i="140"/>
  <c r="AB30" i="140"/>
  <c r="AA30" i="140"/>
  <c r="AA16" i="140"/>
  <c r="AB16" i="140"/>
  <c r="AA11" i="140"/>
  <c r="AB11" i="140"/>
  <c r="AA48" i="140"/>
  <c r="AB48" i="140"/>
  <c r="AA27" i="140"/>
  <c r="AB27" i="140"/>
  <c r="AA50" i="140"/>
  <c r="AB50" i="140"/>
  <c r="AB84" i="140"/>
  <c r="AA84" i="140"/>
  <c r="AB51" i="140"/>
  <c r="AA51" i="140"/>
  <c r="AB67" i="140"/>
  <c r="AA67" i="140"/>
  <c r="AA90" i="140"/>
  <c r="AB90" i="140"/>
  <c r="AA108" i="140"/>
  <c r="AB108" i="140"/>
  <c r="AA18" i="140"/>
  <c r="AB18" i="140"/>
  <c r="AA38" i="140"/>
  <c r="AB38" i="140"/>
  <c r="AB68" i="140"/>
  <c r="AA68" i="140"/>
  <c r="AA14" i="140"/>
  <c r="AB14" i="140"/>
  <c r="AA88" i="140"/>
  <c r="AB88" i="140"/>
  <c r="AB15" i="140"/>
  <c r="AA15" i="140"/>
  <c r="AB36" i="140"/>
  <c r="AA36" i="140"/>
  <c r="AB64" i="140"/>
  <c r="AA64" i="140"/>
  <c r="AA24" i="140"/>
  <c r="AB24" i="140"/>
  <c r="AA31" i="140"/>
  <c r="AB31" i="140"/>
  <c r="AB42" i="140"/>
  <c r="AA42" i="140"/>
  <c r="AB58" i="140"/>
  <c r="AA58" i="140"/>
  <c r="AB74" i="140"/>
  <c r="AA74" i="140"/>
  <c r="AB39" i="140"/>
  <c r="AA39" i="140"/>
  <c r="AA47" i="140"/>
  <c r="AB47" i="140"/>
  <c r="AB55" i="140"/>
  <c r="AA55" i="140"/>
  <c r="AB63" i="140"/>
  <c r="AA63" i="140"/>
  <c r="AA71" i="140"/>
  <c r="AB71" i="140"/>
  <c r="AA82" i="140"/>
  <c r="AB82" i="140"/>
  <c r="AB101" i="140"/>
  <c r="AA101" i="140"/>
  <c r="AB83" i="140"/>
  <c r="AA83" i="140"/>
  <c r="AB91" i="140"/>
  <c r="AA91" i="140"/>
  <c r="AA111" i="140"/>
  <c r="AB111" i="140"/>
  <c r="AB96" i="140"/>
  <c r="AA96" i="140"/>
  <c r="AA104" i="140"/>
  <c r="AB104" i="140"/>
  <c r="D154" i="113"/>
  <c r="C73" i="77"/>
  <c r="C74" i="87"/>
  <c r="D74" i="87"/>
  <c r="E74" i="88"/>
  <c r="H73" i="88"/>
  <c r="F75" i="88"/>
  <c r="L73" i="88"/>
  <c r="AA112" i="142" l="1"/>
  <c r="C74" i="89"/>
  <c r="B73" i="91"/>
  <c r="AB113" i="168"/>
  <c r="AE113" i="168"/>
  <c r="AA113" i="168"/>
  <c r="D105" i="109"/>
  <c r="D106" i="110"/>
  <c r="AA107" i="142"/>
  <c r="AB107" i="142"/>
  <c r="AB99" i="142"/>
  <c r="AA99" i="142"/>
  <c r="AA95" i="142"/>
  <c r="AB95" i="142"/>
  <c r="AB87" i="142"/>
  <c r="AA87" i="142"/>
  <c r="AA83" i="142"/>
  <c r="AB83" i="142"/>
  <c r="AB75" i="142"/>
  <c r="AA75" i="142"/>
  <c r="AB71" i="142"/>
  <c r="AA71" i="142"/>
  <c r="AA67" i="142"/>
  <c r="AB67" i="142"/>
  <c r="AB56" i="142"/>
  <c r="AA56" i="142"/>
  <c r="AB52" i="142"/>
  <c r="AA52" i="142"/>
  <c r="AB48" i="142"/>
  <c r="AA48" i="142"/>
  <c r="AA44" i="142"/>
  <c r="AB44" i="142"/>
  <c r="AA40" i="142"/>
  <c r="AB40" i="142"/>
  <c r="AA36" i="142"/>
  <c r="AB36" i="142"/>
  <c r="AA32" i="142"/>
  <c r="AB32" i="142"/>
  <c r="AA28" i="142"/>
  <c r="AB28" i="142"/>
  <c r="AA24" i="142"/>
  <c r="AB24" i="142"/>
  <c r="AA20" i="142"/>
  <c r="AB20" i="142"/>
  <c r="AA16" i="142"/>
  <c r="AB16" i="142"/>
  <c r="AA8" i="142"/>
  <c r="AB8" i="142"/>
  <c r="AE112" i="142"/>
  <c r="Y113" i="142"/>
  <c r="AB112" i="142"/>
  <c r="AA102" i="142"/>
  <c r="AB102" i="142"/>
  <c r="AA98" i="142"/>
  <c r="AB98" i="142"/>
  <c r="AA94" i="142"/>
  <c r="AB94" i="142"/>
  <c r="AB90" i="142"/>
  <c r="AA90" i="142"/>
  <c r="AA86" i="142"/>
  <c r="AB86" i="142"/>
  <c r="AA78" i="142"/>
  <c r="AB78" i="142"/>
  <c r="AB74" i="142"/>
  <c r="AA74" i="142"/>
  <c r="AA70" i="142"/>
  <c r="AB70" i="142"/>
  <c r="AA66" i="142"/>
  <c r="AB66" i="142"/>
  <c r="AB62" i="142"/>
  <c r="AA62" i="142"/>
  <c r="AA59" i="142"/>
  <c r="AB59" i="142"/>
  <c r="AA51" i="142"/>
  <c r="AB51" i="142"/>
  <c r="AA47" i="142"/>
  <c r="AB47" i="142"/>
  <c r="AA43" i="142"/>
  <c r="AB43" i="142"/>
  <c r="AA39" i="142"/>
  <c r="AB39" i="142"/>
  <c r="AA35" i="142"/>
  <c r="AB35" i="142"/>
  <c r="AA31" i="142"/>
  <c r="AB31" i="142"/>
  <c r="AA27" i="142"/>
  <c r="AB27" i="142"/>
  <c r="AB23" i="142"/>
  <c r="AA23" i="142"/>
  <c r="AB19" i="142"/>
  <c r="AA19" i="142"/>
  <c r="AA15" i="142"/>
  <c r="AB15" i="142"/>
  <c r="AB7" i="142"/>
  <c r="AA7" i="142"/>
  <c r="AB109" i="142"/>
  <c r="AA109" i="142"/>
  <c r="AB105" i="142"/>
  <c r="AA105" i="142"/>
  <c r="AB101" i="142"/>
  <c r="AA101" i="142"/>
  <c r="AB97" i="142"/>
  <c r="AA97" i="142"/>
  <c r="AB93" i="142"/>
  <c r="AA93" i="142"/>
  <c r="AA89" i="142"/>
  <c r="AB89" i="142"/>
  <c r="AA85" i="142"/>
  <c r="AB85" i="142"/>
  <c r="AB81" i="142"/>
  <c r="AA81" i="142"/>
  <c r="AA77" i="142"/>
  <c r="AB77" i="142"/>
  <c r="AB73" i="142"/>
  <c r="AA73" i="142"/>
  <c r="AB69" i="142"/>
  <c r="AA69" i="142"/>
  <c r="AB65" i="142"/>
  <c r="AA65" i="142"/>
  <c r="AA61" i="142"/>
  <c r="AB61" i="142"/>
  <c r="AA58" i="142"/>
  <c r="AB58" i="142"/>
  <c r="AA54" i="142"/>
  <c r="AB54" i="142"/>
  <c r="AB50" i="142"/>
  <c r="AA50" i="142"/>
  <c r="AA46" i="142"/>
  <c r="AB46" i="142"/>
  <c r="AA42" i="142"/>
  <c r="AB42" i="142"/>
  <c r="AA38" i="142"/>
  <c r="AB38" i="142"/>
  <c r="AA34" i="142"/>
  <c r="AB34" i="142"/>
  <c r="AA30" i="142"/>
  <c r="AB30" i="142"/>
  <c r="AB26" i="142"/>
  <c r="AA26" i="142"/>
  <c r="AA22" i="142"/>
  <c r="AB22" i="142"/>
  <c r="AA18" i="142"/>
  <c r="AB18" i="142"/>
  <c r="AA14" i="142"/>
  <c r="AB14" i="142"/>
  <c r="AA10" i="142"/>
  <c r="AB10" i="142"/>
  <c r="AA103" i="142"/>
  <c r="AB103" i="142"/>
  <c r="AB91" i="142"/>
  <c r="AA91" i="142"/>
  <c r="AB79" i="142"/>
  <c r="AA79" i="142"/>
  <c r="AB63" i="142"/>
  <c r="AA63" i="142"/>
  <c r="AA12" i="142"/>
  <c r="AB12" i="142"/>
  <c r="AA106" i="142"/>
  <c r="AB106" i="142"/>
  <c r="AB82" i="142"/>
  <c r="AA82" i="142"/>
  <c r="AB55" i="142"/>
  <c r="AA55" i="142"/>
  <c r="AA11" i="142"/>
  <c r="AB11" i="142"/>
  <c r="AA110" i="142"/>
  <c r="AB110" i="142"/>
  <c r="AB6" i="142"/>
  <c r="AA6" i="142"/>
  <c r="AB108" i="142"/>
  <c r="AA108" i="142"/>
  <c r="AA104" i="142"/>
  <c r="AB104" i="142"/>
  <c r="AA100" i="142"/>
  <c r="AB100" i="142"/>
  <c r="AB96" i="142"/>
  <c r="AA96" i="142"/>
  <c r="AA92" i="142"/>
  <c r="AB92" i="142"/>
  <c r="AB88" i="142"/>
  <c r="AA88" i="142"/>
  <c r="AA84" i="142"/>
  <c r="AB84" i="142"/>
  <c r="AB80" i="142"/>
  <c r="AA80" i="142"/>
  <c r="AB76" i="142"/>
  <c r="AA76" i="142"/>
  <c r="AA72" i="142"/>
  <c r="AB72" i="142"/>
  <c r="AB68" i="142"/>
  <c r="AA68" i="142"/>
  <c r="AB64" i="142"/>
  <c r="AA64" i="142"/>
  <c r="AA60" i="142"/>
  <c r="AB60" i="142"/>
  <c r="AA57" i="142"/>
  <c r="AB57" i="142"/>
  <c r="AB53" i="142"/>
  <c r="AA53" i="142"/>
  <c r="AB49" i="142"/>
  <c r="AA49" i="142"/>
  <c r="AB45" i="142"/>
  <c r="AA45" i="142"/>
  <c r="AB41" i="142"/>
  <c r="AA41" i="142"/>
  <c r="AB37" i="142"/>
  <c r="AA37" i="142"/>
  <c r="AB33" i="142"/>
  <c r="AA33" i="142"/>
  <c r="AA29" i="142"/>
  <c r="AB29" i="142"/>
  <c r="AA25" i="142"/>
  <c r="AB25" i="142"/>
  <c r="AA21" i="142"/>
  <c r="AB21" i="142"/>
  <c r="AA17" i="142"/>
  <c r="AB17" i="142"/>
  <c r="AA13" i="142"/>
  <c r="AB13" i="142"/>
  <c r="AA9" i="142"/>
  <c r="AB9" i="142"/>
  <c r="Y116" i="140"/>
  <c r="AB115" i="140"/>
  <c r="AA115" i="140"/>
  <c r="AE115" i="140"/>
  <c r="D155" i="113"/>
  <c r="D156" i="113" s="1"/>
  <c r="C74" i="77"/>
  <c r="C75" i="87"/>
  <c r="D75" i="87"/>
  <c r="L74" i="88"/>
  <c r="H74" i="88"/>
  <c r="F76" i="88"/>
  <c r="E75" i="88"/>
  <c r="B74" i="91" l="1"/>
  <c r="C75" i="89"/>
  <c r="D107" i="110"/>
  <c r="D106" i="109"/>
  <c r="AA113" i="142"/>
  <c r="AE113" i="142"/>
  <c r="Y114" i="142"/>
  <c r="AB113" i="142"/>
  <c r="Y117" i="140"/>
  <c r="AB116" i="140"/>
  <c r="AA116" i="140"/>
  <c r="AE116" i="140"/>
  <c r="D157" i="113"/>
  <c r="C75" i="77"/>
  <c r="C76" i="87"/>
  <c r="D76" i="87"/>
  <c r="E76" i="88"/>
  <c r="H75" i="88"/>
  <c r="L75" i="88"/>
  <c r="F77" i="88"/>
  <c r="B75" i="91" l="1"/>
  <c r="C76" i="89"/>
  <c r="D107" i="109"/>
  <c r="D108" i="110"/>
  <c r="Y115" i="142"/>
  <c r="AB114" i="142"/>
  <c r="AE114" i="142"/>
  <c r="AA114" i="142"/>
  <c r="AE117" i="140"/>
  <c r="AB117" i="140"/>
  <c r="AA117" i="140"/>
  <c r="D158" i="113"/>
  <c r="D159" i="113" s="1"/>
  <c r="C76" i="77"/>
  <c r="D77" i="87"/>
  <c r="C77" i="87"/>
  <c r="E77" i="88"/>
  <c r="H76" i="88"/>
  <c r="L76" i="88"/>
  <c r="F78" i="88"/>
  <c r="B76" i="91" l="1"/>
  <c r="C77" i="89"/>
  <c r="D109" i="110"/>
  <c r="D108" i="109"/>
  <c r="AE115" i="142"/>
  <c r="AA115" i="142"/>
  <c r="AB115" i="142"/>
  <c r="D160" i="113"/>
  <c r="C77" i="77"/>
  <c r="C78" i="87"/>
  <c r="D78" i="87"/>
  <c r="E78" i="88"/>
  <c r="L77" i="88"/>
  <c r="H77" i="88"/>
  <c r="F79" i="88"/>
  <c r="C78" i="89" l="1"/>
  <c r="B77" i="91"/>
  <c r="D109" i="109"/>
  <c r="D110" i="110"/>
  <c r="D161" i="113"/>
  <c r="D162" i="113" s="1"/>
  <c r="C78" i="77"/>
  <c r="C79" i="87"/>
  <c r="D79" i="87"/>
  <c r="E79" i="88"/>
  <c r="L78" i="88"/>
  <c r="H78" i="88"/>
  <c r="F80" i="88"/>
  <c r="B78" i="91" l="1"/>
  <c r="C79" i="89"/>
  <c r="D111" i="110"/>
  <c r="D110" i="109"/>
  <c r="D163" i="113"/>
  <c r="C79" i="77"/>
  <c r="C80" i="87"/>
  <c r="D80" i="87"/>
  <c r="E80" i="88"/>
  <c r="L79" i="88"/>
  <c r="H79" i="88"/>
  <c r="F81" i="88"/>
  <c r="B79" i="91" l="1"/>
  <c r="C80" i="89"/>
  <c r="D111" i="109"/>
  <c r="D112" i="110"/>
  <c r="D164" i="113"/>
  <c r="D165" i="113" s="1"/>
  <c r="C80" i="77"/>
  <c r="D81" i="87"/>
  <c r="C81" i="87"/>
  <c r="F82" i="88"/>
  <c r="E81" i="88"/>
  <c r="L80" i="88"/>
  <c r="H80" i="88"/>
  <c r="C81" i="89" l="1"/>
  <c r="B80" i="91"/>
  <c r="D113" i="110"/>
  <c r="D112" i="109"/>
  <c r="D166" i="113"/>
  <c r="C81" i="77"/>
  <c r="C82" i="87"/>
  <c r="D82" i="87"/>
  <c r="F83" i="88"/>
  <c r="E82" i="88"/>
  <c r="L81" i="88"/>
  <c r="H81" i="88"/>
  <c r="B81" i="91" l="1"/>
  <c r="C82" i="89"/>
  <c r="D113" i="109"/>
  <c r="D114" i="110"/>
  <c r="D167" i="113"/>
  <c r="D168" i="113" s="1"/>
  <c r="C82" i="77"/>
  <c r="C83" i="87"/>
  <c r="D83" i="87"/>
  <c r="F84" i="88"/>
  <c r="E83" i="88"/>
  <c r="L82" i="88"/>
  <c r="H82" i="88"/>
  <c r="B82" i="91" l="1"/>
  <c r="C83" i="89"/>
  <c r="D115" i="110"/>
  <c r="D114" i="109"/>
  <c r="D169" i="113"/>
  <c r="C83" i="77"/>
  <c r="D84" i="87"/>
  <c r="C84" i="87"/>
  <c r="F85" i="88"/>
  <c r="E84" i="88"/>
  <c r="L83" i="88"/>
  <c r="H83" i="88"/>
  <c r="B83" i="91" l="1"/>
  <c r="C84" i="89"/>
  <c r="D115" i="109"/>
  <c r="D116" i="110"/>
  <c r="D170" i="113"/>
  <c r="D171" i="113" s="1"/>
  <c r="C84" i="77"/>
  <c r="D85" i="87"/>
  <c r="C85" i="87"/>
  <c r="F86" i="88"/>
  <c r="E85" i="88"/>
  <c r="L84" i="88"/>
  <c r="H84" i="88"/>
  <c r="B84" i="91" l="1"/>
  <c r="C85" i="89"/>
  <c r="D117" i="110"/>
  <c r="D116" i="109"/>
  <c r="D172" i="113"/>
  <c r="C85" i="77"/>
  <c r="C86" i="87"/>
  <c r="D86" i="87"/>
  <c r="F87" i="88"/>
  <c r="E86" i="88"/>
  <c r="L85" i="88"/>
  <c r="H85" i="88"/>
  <c r="B85" i="91" l="1"/>
  <c r="C86" i="89"/>
  <c r="D117" i="109"/>
  <c r="D118" i="110"/>
  <c r="D173" i="113"/>
  <c r="D174" i="113" s="1"/>
  <c r="C86" i="77"/>
  <c r="C87" i="87"/>
  <c r="D87" i="87"/>
  <c r="F88" i="88"/>
  <c r="E87" i="88"/>
  <c r="L86" i="88"/>
  <c r="H86" i="88"/>
  <c r="B86" i="91" l="1"/>
  <c r="C87" i="89"/>
  <c r="D119" i="110"/>
  <c r="D118" i="109"/>
  <c r="D175" i="113"/>
  <c r="D176" i="113" s="1"/>
  <c r="C87" i="77"/>
  <c r="C88" i="87"/>
  <c r="D88" i="87"/>
  <c r="F89" i="88"/>
  <c r="E88" i="88"/>
  <c r="L87" i="88"/>
  <c r="H87" i="88"/>
  <c r="B87" i="91" l="1"/>
  <c r="C88" i="89"/>
  <c r="D119" i="109"/>
  <c r="D120" i="110"/>
  <c r="D177" i="113"/>
  <c r="C88" i="77"/>
  <c r="D89" i="87"/>
  <c r="C89" i="87"/>
  <c r="F90" i="88"/>
  <c r="E89" i="88"/>
  <c r="L88" i="88"/>
  <c r="H88" i="88"/>
  <c r="B88" i="91" l="1"/>
  <c r="C89" i="89"/>
  <c r="D121" i="110"/>
  <c r="D120" i="109"/>
  <c r="D178" i="113"/>
  <c r="C89" i="77"/>
  <c r="C90" i="87"/>
  <c r="D90" i="87"/>
  <c r="F91" i="88"/>
  <c r="E90" i="88"/>
  <c r="L89" i="88"/>
  <c r="H89" i="88"/>
  <c r="B89" i="91" l="1"/>
  <c r="C90" i="89"/>
  <c r="D121" i="109"/>
  <c r="D122" i="110"/>
  <c r="D179" i="113"/>
  <c r="D180" i="113" s="1"/>
  <c r="C90" i="77"/>
  <c r="C91" i="87"/>
  <c r="D91" i="87"/>
  <c r="F92" i="88"/>
  <c r="E91" i="88"/>
  <c r="L90" i="88"/>
  <c r="H90" i="88"/>
  <c r="B90" i="91" l="1"/>
  <c r="C91" i="89"/>
  <c r="D123" i="110"/>
  <c r="D122" i="109"/>
  <c r="D181" i="113"/>
  <c r="C91" i="77"/>
  <c r="D92" i="87"/>
  <c r="C92" i="87"/>
  <c r="F93" i="88"/>
  <c r="E92" i="88"/>
  <c r="L91" i="88"/>
  <c r="H91" i="88"/>
  <c r="C92" i="89" l="1"/>
  <c r="B91" i="91"/>
  <c r="D123" i="109"/>
  <c r="D124" i="110"/>
  <c r="D182" i="113"/>
  <c r="D183" i="113" s="1"/>
  <c r="C92" i="77"/>
  <c r="D93" i="87"/>
  <c r="C93" i="87"/>
  <c r="F94" i="88"/>
  <c r="E93" i="88"/>
  <c r="L92" i="88"/>
  <c r="H92" i="88"/>
  <c r="B92" i="91" l="1"/>
  <c r="C93" i="89"/>
  <c r="D125" i="110"/>
  <c r="D124" i="109"/>
  <c r="D184" i="113"/>
  <c r="C93" i="77"/>
  <c r="C94" i="87"/>
  <c r="D94" i="87"/>
  <c r="F95" i="88"/>
  <c r="E94" i="88"/>
  <c r="L93" i="88"/>
  <c r="H93" i="88"/>
  <c r="C94" i="89" l="1"/>
  <c r="B93" i="91"/>
  <c r="D125" i="109"/>
  <c r="D126" i="110"/>
  <c r="D185" i="113"/>
  <c r="D186" i="113" s="1"/>
  <c r="C94" i="77"/>
  <c r="C95" i="87"/>
  <c r="D95" i="87"/>
  <c r="F96" i="88"/>
  <c r="E95" i="88"/>
  <c r="L94" i="88"/>
  <c r="H94" i="88"/>
  <c r="B94" i="91" l="1"/>
  <c r="C95" i="89"/>
  <c r="D127" i="110"/>
  <c r="D126" i="109"/>
  <c r="D187" i="113"/>
  <c r="C95" i="77"/>
  <c r="C96" i="87"/>
  <c r="D96" i="87"/>
  <c r="F97" i="88"/>
  <c r="E96" i="88"/>
  <c r="L95" i="88"/>
  <c r="H95" i="88"/>
  <c r="B95" i="91" l="1"/>
  <c r="C96" i="89"/>
  <c r="D127" i="109"/>
  <c r="D128" i="110"/>
  <c r="D188" i="113"/>
  <c r="D189" i="113" s="1"/>
  <c r="C96" i="77"/>
  <c r="D97" i="87"/>
  <c r="C97" i="87"/>
  <c r="F98" i="88"/>
  <c r="E97" i="88"/>
  <c r="L96" i="88"/>
  <c r="H96" i="88"/>
  <c r="B96" i="91" l="1"/>
  <c r="C97" i="89"/>
  <c r="D129" i="110"/>
  <c r="D128" i="109"/>
  <c r="D190" i="113"/>
  <c r="C97" i="77"/>
  <c r="C98" i="87"/>
  <c r="D98" i="87"/>
  <c r="F99" i="88"/>
  <c r="E98" i="88"/>
  <c r="L97" i="88"/>
  <c r="H97" i="88"/>
  <c r="B97" i="91" l="1"/>
  <c r="C98" i="89"/>
  <c r="D129" i="109"/>
  <c r="D130" i="110"/>
  <c r="D191" i="113"/>
  <c r="D192" i="113" s="1"/>
  <c r="C98" i="77"/>
  <c r="C99" i="87"/>
  <c r="D99" i="87"/>
  <c r="F100" i="88"/>
  <c r="E99" i="88"/>
  <c r="L98" i="88"/>
  <c r="H98" i="88"/>
  <c r="B98" i="91" l="1"/>
  <c r="C99" i="89"/>
  <c r="D131" i="110"/>
  <c r="D130" i="109"/>
  <c r="D193" i="113"/>
  <c r="D194" i="113" s="1"/>
  <c r="C99" i="77"/>
  <c r="C100" i="87"/>
  <c r="D100" i="87"/>
  <c r="F101" i="88"/>
  <c r="E100" i="88"/>
  <c r="L99" i="88"/>
  <c r="H99" i="88"/>
  <c r="B99" i="91" l="1"/>
  <c r="C100" i="89"/>
  <c r="D131" i="109"/>
  <c r="D132" i="110"/>
  <c r="D195" i="113"/>
  <c r="D196" i="113" s="1"/>
  <c r="C100" i="77"/>
  <c r="D101" i="87"/>
  <c r="C101" i="87"/>
  <c r="F102" i="88"/>
  <c r="E101" i="88"/>
  <c r="L100" i="88"/>
  <c r="H100" i="88"/>
  <c r="B100" i="91" l="1"/>
  <c r="C101" i="89"/>
  <c r="D133" i="110"/>
  <c r="D132" i="109"/>
  <c r="D197" i="113"/>
  <c r="D198" i="113" s="1"/>
  <c r="C101" i="77"/>
  <c r="C102" i="87"/>
  <c r="D102" i="87"/>
  <c r="F103" i="88"/>
  <c r="E102" i="88"/>
  <c r="L101" i="88"/>
  <c r="H101" i="88"/>
  <c r="B101" i="91" l="1"/>
  <c r="C102" i="89"/>
  <c r="D133" i="109"/>
  <c r="D134" i="110"/>
  <c r="D199" i="113"/>
  <c r="D200" i="113" s="1"/>
  <c r="C102" i="77"/>
  <c r="C103" i="87"/>
  <c r="D103" i="87"/>
  <c r="E103" i="88"/>
  <c r="L102" i="88"/>
  <c r="H102" i="88"/>
  <c r="B102" i="91" l="1"/>
  <c r="C103" i="89"/>
  <c r="D135" i="110"/>
  <c r="D134" i="109"/>
  <c r="D201" i="113"/>
  <c r="F10" i="87"/>
  <c r="C103" i="77"/>
  <c r="L103" i="88"/>
  <c r="H103" i="88"/>
  <c r="J6" i="88" s="1" a="1"/>
  <c r="B103" i="91" l="1"/>
  <c r="D135" i="109"/>
  <c r="D136" i="110"/>
  <c r="D202" i="113"/>
  <c r="J8" i="88"/>
  <c r="J7" i="88"/>
  <c r="J6" i="88"/>
  <c r="E9" i="91" l="1"/>
  <c r="E8" i="91"/>
  <c r="E19" i="91"/>
  <c r="E18" i="91" s="1"/>
  <c r="E13" i="91"/>
  <c r="E14" i="91"/>
  <c r="E3" i="91"/>
  <c r="E4" i="91"/>
  <c r="D137" i="110"/>
  <c r="D136" i="109"/>
  <c r="M9" i="88"/>
  <c r="N9" i="88" s="1"/>
  <c r="M13" i="88"/>
  <c r="M17" i="88"/>
  <c r="M21" i="88"/>
  <c r="N21" i="88" s="1"/>
  <c r="M25" i="88"/>
  <c r="N25" i="88" s="1"/>
  <c r="M29" i="88"/>
  <c r="M33" i="88"/>
  <c r="M37" i="88"/>
  <c r="N37" i="88" s="1"/>
  <c r="M41" i="88"/>
  <c r="N41" i="88" s="1"/>
  <c r="M45" i="88"/>
  <c r="N45" i="88" s="1"/>
  <c r="M49" i="88"/>
  <c r="M53" i="88"/>
  <c r="N53" i="88" s="1"/>
  <c r="M57" i="88"/>
  <c r="N57" i="88" s="1"/>
  <c r="M61" i="88"/>
  <c r="N61" i="88" s="1"/>
  <c r="M65" i="88"/>
  <c r="M69" i="88"/>
  <c r="N69" i="88" s="1"/>
  <c r="M73" i="88"/>
  <c r="N73" i="88" s="1"/>
  <c r="M77" i="88"/>
  <c r="M81" i="88"/>
  <c r="M85" i="88"/>
  <c r="N85" i="88" s="1"/>
  <c r="M89" i="88"/>
  <c r="N89" i="88" s="1"/>
  <c r="M93" i="88"/>
  <c r="N93" i="88" s="1"/>
  <c r="M97" i="88"/>
  <c r="M101" i="88"/>
  <c r="N101" i="88" s="1"/>
  <c r="M6" i="88"/>
  <c r="N6" i="88" s="1"/>
  <c r="M12" i="88"/>
  <c r="N12" i="88" s="1"/>
  <c r="M20" i="88"/>
  <c r="M36" i="88"/>
  <c r="N36" i="88" s="1"/>
  <c r="M48" i="88"/>
  <c r="N48" i="88" s="1"/>
  <c r="M60" i="88"/>
  <c r="N60" i="88" s="1"/>
  <c r="M72" i="88"/>
  <c r="M84" i="88"/>
  <c r="N84" i="88" s="1"/>
  <c r="M96" i="88"/>
  <c r="N96" i="88" s="1"/>
  <c r="M10" i="88"/>
  <c r="N10" i="88" s="1"/>
  <c r="M14" i="88"/>
  <c r="M18" i="88"/>
  <c r="N18" i="88" s="1"/>
  <c r="M22" i="88"/>
  <c r="N22" i="88" s="1"/>
  <c r="M26" i="88"/>
  <c r="N26" i="88" s="1"/>
  <c r="M30" i="88"/>
  <c r="M34" i="88"/>
  <c r="N34" i="88" s="1"/>
  <c r="M38" i="88"/>
  <c r="N38" i="88" s="1"/>
  <c r="M42" i="88"/>
  <c r="N42" i="88" s="1"/>
  <c r="M46" i="88"/>
  <c r="M50" i="88"/>
  <c r="N50" i="88" s="1"/>
  <c r="M54" i="88"/>
  <c r="N54" i="88" s="1"/>
  <c r="M58" i="88"/>
  <c r="M62" i="88"/>
  <c r="M66" i="88"/>
  <c r="M70" i="88"/>
  <c r="N70" i="88" s="1"/>
  <c r="M74" i="88"/>
  <c r="N74" i="88" s="1"/>
  <c r="M78" i="88"/>
  <c r="M82" i="88"/>
  <c r="M86" i="88"/>
  <c r="N86" i="88" s="1"/>
  <c r="M90" i="88"/>
  <c r="N90" i="88" s="1"/>
  <c r="M94" i="88"/>
  <c r="M98" i="88"/>
  <c r="N98" i="88" s="1"/>
  <c r="M102" i="88"/>
  <c r="N102" i="88" s="1"/>
  <c r="M16" i="88"/>
  <c r="M28" i="88"/>
  <c r="M44" i="88"/>
  <c r="N44" i="88" s="1"/>
  <c r="M56" i="88"/>
  <c r="N56" i="88" s="1"/>
  <c r="M68" i="88"/>
  <c r="M80" i="88"/>
  <c r="M92" i="88"/>
  <c r="M7" i="88"/>
  <c r="N7" i="88" s="1"/>
  <c r="M11" i="88"/>
  <c r="N11" i="88" s="1"/>
  <c r="M15" i="88"/>
  <c r="M19" i="88"/>
  <c r="N19" i="88" s="1"/>
  <c r="M23" i="88"/>
  <c r="N23" i="88" s="1"/>
  <c r="M27" i="88"/>
  <c r="N27" i="88" s="1"/>
  <c r="M31" i="88"/>
  <c r="M35" i="88"/>
  <c r="N35" i="88" s="1"/>
  <c r="M39" i="88"/>
  <c r="N39" i="88" s="1"/>
  <c r="M43" i="88"/>
  <c r="N43" i="88" s="1"/>
  <c r="M47" i="88"/>
  <c r="M51" i="88"/>
  <c r="N51" i="88" s="1"/>
  <c r="M55" i="88"/>
  <c r="N55" i="88" s="1"/>
  <c r="M59" i="88"/>
  <c r="N59" i="88" s="1"/>
  <c r="M63" i="88"/>
  <c r="M67" i="88"/>
  <c r="N67" i="88" s="1"/>
  <c r="M71" i="88"/>
  <c r="N71" i="88" s="1"/>
  <c r="M75" i="88"/>
  <c r="N75" i="88" s="1"/>
  <c r="M79" i="88"/>
  <c r="M83" i="88"/>
  <c r="N83" i="88" s="1"/>
  <c r="M87" i="88"/>
  <c r="N87" i="88" s="1"/>
  <c r="M91" i="88"/>
  <c r="N91" i="88" s="1"/>
  <c r="M95" i="88"/>
  <c r="M99" i="88"/>
  <c r="N99" i="88" s="1"/>
  <c r="M103" i="88"/>
  <c r="N103" i="88" s="1"/>
  <c r="M8" i="88"/>
  <c r="N8" i="88" s="1"/>
  <c r="M24" i="88"/>
  <c r="M32" i="88"/>
  <c r="N32" i="88" s="1"/>
  <c r="M40" i="88"/>
  <c r="N40" i="88" s="1"/>
  <c r="M52" i="88"/>
  <c r="N52" i="88" s="1"/>
  <c r="M64" i="88"/>
  <c r="M76" i="88"/>
  <c r="N76" i="88" s="1"/>
  <c r="M88" i="88"/>
  <c r="N88" i="88" s="1"/>
  <c r="M100" i="88"/>
  <c r="N100" i="88" s="1"/>
  <c r="D203" i="113"/>
  <c r="D204" i="113" s="1"/>
  <c r="D205" i="113" s="1"/>
  <c r="N66" i="88"/>
  <c r="N72" i="88"/>
  <c r="N47" i="88"/>
  <c r="N80" i="88"/>
  <c r="N97" i="88"/>
  <c r="N62" i="88"/>
  <c r="N68" i="88"/>
  <c r="N17" i="88"/>
  <c r="N82" i="88"/>
  <c r="N63" i="88"/>
  <c r="N16" i="88"/>
  <c r="N78" i="88"/>
  <c r="N20" i="88"/>
  <c r="N65" i="88"/>
  <c r="N28" i="88"/>
  <c r="N58" i="88"/>
  <c r="N95" i="88"/>
  <c r="N31" i="88"/>
  <c r="N64" i="88"/>
  <c r="N13" i="88"/>
  <c r="N46" i="88"/>
  <c r="N77" i="88"/>
  <c r="N92" i="88"/>
  <c r="N33" i="88"/>
  <c r="N29" i="88"/>
  <c r="N79" i="88"/>
  <c r="N15" i="88"/>
  <c r="N49" i="88"/>
  <c r="N94" i="88"/>
  <c r="N30" i="88"/>
  <c r="N81" i="88"/>
  <c r="N24" i="88"/>
  <c r="N14" i="88"/>
  <c r="E21" i="91" l="1"/>
  <c r="E11" i="91"/>
  <c r="E20" i="91"/>
  <c r="E10" i="91"/>
  <c r="D137" i="109"/>
  <c r="D138" i="110"/>
  <c r="D206" i="113"/>
  <c r="G8" i="113" s="1"/>
  <c r="P7" i="88"/>
  <c r="P4" i="88"/>
  <c r="P10" i="88"/>
  <c r="D139" i="110" l="1"/>
  <c r="D138" i="109"/>
  <c r="F12" i="86"/>
  <c r="A5" i="86"/>
  <c r="A6" i="86" s="1"/>
  <c r="A7" i="86" s="1"/>
  <c r="A8" i="86" s="1"/>
  <c r="A9" i="86" s="1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A54" i="86" s="1"/>
  <c r="A55" i="86" s="1"/>
  <c r="A56" i="86" s="1"/>
  <c r="A57" i="86" s="1"/>
  <c r="A58" i="86" s="1"/>
  <c r="A59" i="86" s="1"/>
  <c r="A60" i="86" s="1"/>
  <c r="A61" i="86" s="1"/>
  <c r="A62" i="86" s="1"/>
  <c r="A63" i="86" s="1"/>
  <c r="A64" i="86" s="1"/>
  <c r="A65" i="86" s="1"/>
  <c r="A66" i="86" s="1"/>
  <c r="A67" i="86" s="1"/>
  <c r="A68" i="86" s="1"/>
  <c r="A69" i="86" s="1"/>
  <c r="A70" i="86" s="1"/>
  <c r="A71" i="86" s="1"/>
  <c r="A72" i="86" s="1"/>
  <c r="A73" i="86" s="1"/>
  <c r="A74" i="86" s="1"/>
  <c r="A75" i="86" s="1"/>
  <c r="A76" i="86" s="1"/>
  <c r="A77" i="86" s="1"/>
  <c r="A78" i="86" s="1"/>
  <c r="A79" i="86" s="1"/>
  <c r="A80" i="86" s="1"/>
  <c r="A81" i="86" s="1"/>
  <c r="A82" i="86" s="1"/>
  <c r="A83" i="86" s="1"/>
  <c r="A84" i="86" s="1"/>
  <c r="A85" i="86" s="1"/>
  <c r="A86" i="86" s="1"/>
  <c r="A87" i="86" s="1"/>
  <c r="A88" i="86" s="1"/>
  <c r="A89" i="86" s="1"/>
  <c r="A90" i="86" s="1"/>
  <c r="A91" i="86" s="1"/>
  <c r="A92" i="86" s="1"/>
  <c r="A93" i="86" s="1"/>
  <c r="A94" i="86" s="1"/>
  <c r="A95" i="86" s="1"/>
  <c r="A96" i="86" s="1"/>
  <c r="A97" i="86" s="1"/>
  <c r="A98" i="86" s="1"/>
  <c r="A99" i="86" s="1"/>
  <c r="A100" i="86" s="1"/>
  <c r="A101" i="86" s="1"/>
  <c r="A102" i="86" s="1"/>
  <c r="A103" i="86" s="1"/>
  <c r="D139" i="109" l="1"/>
  <c r="D140" i="110"/>
  <c r="C4" i="83"/>
  <c r="E5" i="84"/>
  <c r="E6" i="84" s="1"/>
  <c r="E7" i="84" s="1"/>
  <c r="E8" i="84" s="1"/>
  <c r="E9" i="84" s="1"/>
  <c r="E10" i="84" s="1"/>
  <c r="A5" i="84"/>
  <c r="A6" i="84" s="1"/>
  <c r="A7" i="84" s="1"/>
  <c r="A8" i="84" s="1"/>
  <c r="A9" i="84" s="1"/>
  <c r="A10" i="84" s="1"/>
  <c r="A11" i="84" s="1"/>
  <c r="A12" i="84" s="1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E5" i="83"/>
  <c r="E6" i="83" s="1"/>
  <c r="E7" i="83" s="1"/>
  <c r="E8" i="83" s="1"/>
  <c r="E9" i="83" s="1"/>
  <c r="E10" i="83" s="1"/>
  <c r="A5" i="83"/>
  <c r="A6" i="83" s="1"/>
  <c r="A7" i="83" s="1"/>
  <c r="A8" i="83" s="1"/>
  <c r="A9" i="83" s="1"/>
  <c r="A10" i="83" s="1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C23" i="83" s="1"/>
  <c r="B23" i="84" s="1"/>
  <c r="E5" i="82"/>
  <c r="E6" i="82" s="1"/>
  <c r="E7" i="82" s="1"/>
  <c r="E8" i="82" s="1"/>
  <c r="E9" i="82" s="1"/>
  <c r="E10" i="82" s="1"/>
  <c r="A5" i="82"/>
  <c r="A6" i="82" s="1"/>
  <c r="A7" i="82" s="1"/>
  <c r="A8" i="82" s="1"/>
  <c r="A9" i="82" s="1"/>
  <c r="A10" i="82" s="1"/>
  <c r="A11" i="82" s="1"/>
  <c r="A12" i="82" s="1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E5" i="81"/>
  <c r="E6" i="81" s="1"/>
  <c r="E7" i="81" s="1"/>
  <c r="E8" i="81" s="1"/>
  <c r="E9" i="81" s="1"/>
  <c r="E10" i="81" s="1"/>
  <c r="C4" i="81"/>
  <c r="A5" i="81"/>
  <c r="A6" i="81" s="1"/>
  <c r="A7" i="81" s="1"/>
  <c r="A8" i="81" s="1"/>
  <c r="A9" i="81" s="1"/>
  <c r="A10" i="81" s="1"/>
  <c r="A11" i="81" s="1"/>
  <c r="A12" i="81" s="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C13" i="83" l="1"/>
  <c r="C12" i="83"/>
  <c r="C9" i="83"/>
  <c r="B4" i="84"/>
  <c r="C4" i="84" s="1"/>
  <c r="C8" i="83"/>
  <c r="B8" i="84" s="1"/>
  <c r="C8" i="84" s="1"/>
  <c r="C21" i="83"/>
  <c r="B21" i="84" s="1"/>
  <c r="C21" i="84" s="1"/>
  <c r="C5" i="83"/>
  <c r="C16" i="83"/>
  <c r="B16" i="84" s="1"/>
  <c r="C16" i="84" s="1"/>
  <c r="B4" i="82"/>
  <c r="C20" i="83"/>
  <c r="C17" i="83"/>
  <c r="C23" i="84"/>
  <c r="C19" i="83"/>
  <c r="B19" i="84" s="1"/>
  <c r="C19" i="84" s="1"/>
  <c r="C15" i="83"/>
  <c r="B15" i="84" s="1"/>
  <c r="C15" i="84" s="1"/>
  <c r="C11" i="83"/>
  <c r="B11" i="84" s="1"/>
  <c r="C11" i="84" s="1"/>
  <c r="C7" i="83"/>
  <c r="B7" i="84" s="1"/>
  <c r="C7" i="84" s="1"/>
  <c r="D141" i="110"/>
  <c r="C22" i="83"/>
  <c r="B22" i="84" s="1"/>
  <c r="C22" i="84" s="1"/>
  <c r="C18" i="83"/>
  <c r="C14" i="83"/>
  <c r="B14" i="84" s="1"/>
  <c r="C14" i="84" s="1"/>
  <c r="C10" i="83"/>
  <c r="B10" i="84" s="1"/>
  <c r="C10" i="84" s="1"/>
  <c r="C6" i="83"/>
  <c r="D140" i="109"/>
  <c r="B18" i="84"/>
  <c r="C18" i="84" s="1"/>
  <c r="B6" i="84"/>
  <c r="C6" i="84" s="1"/>
  <c r="B17" i="84"/>
  <c r="C17" i="84" s="1"/>
  <c r="B13" i="84"/>
  <c r="C13" i="84" s="1"/>
  <c r="B9" i="84"/>
  <c r="C9" i="84" s="1"/>
  <c r="B5" i="84"/>
  <c r="C5" i="84" s="1"/>
  <c r="B20" i="84"/>
  <c r="C20" i="84" s="1"/>
  <c r="B12" i="84"/>
  <c r="C12" i="84" s="1"/>
  <c r="C5" i="81"/>
  <c r="C6" i="81" l="1"/>
  <c r="B5" i="82"/>
  <c r="C5" i="82" s="1"/>
  <c r="D141" i="109"/>
  <c r="D142" i="110"/>
  <c r="C7" i="81" l="1"/>
  <c r="B6" i="82"/>
  <c r="C6" i="82" s="1"/>
  <c r="D143" i="110"/>
  <c r="D142" i="109"/>
  <c r="C8" i="81" l="1"/>
  <c r="B7" i="82"/>
  <c r="C7" i="82" s="1"/>
  <c r="D143" i="109"/>
  <c r="D144" i="110"/>
  <c r="F22" i="31"/>
  <c r="F23" i="77"/>
  <c r="F22" i="77"/>
  <c r="A5" i="77"/>
  <c r="A6" i="77" s="1"/>
  <c r="A7" i="77" s="1"/>
  <c r="A8" i="77" s="1"/>
  <c r="A9" i="77" s="1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A51" i="77" s="1"/>
  <c r="A52" i="77" s="1"/>
  <c r="A53" i="77" s="1"/>
  <c r="A54" i="77" s="1"/>
  <c r="A55" i="77" s="1"/>
  <c r="A56" i="77" s="1"/>
  <c r="A57" i="77" s="1"/>
  <c r="A58" i="77" s="1"/>
  <c r="A59" i="77" s="1"/>
  <c r="A60" i="77" s="1"/>
  <c r="A61" i="77" s="1"/>
  <c r="A62" i="77" s="1"/>
  <c r="A63" i="77" s="1"/>
  <c r="A64" i="77" s="1"/>
  <c r="A65" i="77" s="1"/>
  <c r="A66" i="77" s="1"/>
  <c r="A67" i="77" s="1"/>
  <c r="A68" i="77" s="1"/>
  <c r="A69" i="77" s="1"/>
  <c r="A70" i="77" s="1"/>
  <c r="A71" i="77" s="1"/>
  <c r="A72" i="77" s="1"/>
  <c r="A73" i="77" s="1"/>
  <c r="A74" i="77" s="1"/>
  <c r="A75" i="77" s="1"/>
  <c r="A76" i="77" s="1"/>
  <c r="A77" i="77" s="1"/>
  <c r="A78" i="77" s="1"/>
  <c r="A79" i="77" s="1"/>
  <c r="A80" i="77" s="1"/>
  <c r="A81" i="77" s="1"/>
  <c r="A82" i="77" s="1"/>
  <c r="A83" i="77" s="1"/>
  <c r="A84" i="77" s="1"/>
  <c r="A85" i="77" s="1"/>
  <c r="A86" i="77" s="1"/>
  <c r="A87" i="77" s="1"/>
  <c r="A88" i="77" s="1"/>
  <c r="A89" i="77" s="1"/>
  <c r="A90" i="77" s="1"/>
  <c r="A91" i="77" s="1"/>
  <c r="A92" i="77" s="1"/>
  <c r="A93" i="77" s="1"/>
  <c r="A94" i="77" s="1"/>
  <c r="A95" i="77" s="1"/>
  <c r="A96" i="77" s="1"/>
  <c r="A97" i="77" s="1"/>
  <c r="A98" i="77" s="1"/>
  <c r="A99" i="77" s="1"/>
  <c r="A100" i="77" s="1"/>
  <c r="A101" i="77" s="1"/>
  <c r="A102" i="77" s="1"/>
  <c r="A103" i="77" s="1"/>
  <c r="A5" i="76"/>
  <c r="A6" i="76" s="1"/>
  <c r="A7" i="76" s="1"/>
  <c r="A8" i="76" s="1"/>
  <c r="A9" i="76" s="1"/>
  <c r="A10" i="76" s="1"/>
  <c r="A11" i="76" s="1"/>
  <c r="A12" i="76" s="1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A54" i="76" s="1"/>
  <c r="A55" i="76" s="1"/>
  <c r="A56" i="76" s="1"/>
  <c r="A57" i="76" s="1"/>
  <c r="A58" i="76" s="1"/>
  <c r="A59" i="76" s="1"/>
  <c r="A60" i="76" s="1"/>
  <c r="A61" i="76" s="1"/>
  <c r="A62" i="76" s="1"/>
  <c r="A63" i="76" s="1"/>
  <c r="A64" i="76" s="1"/>
  <c r="A65" i="76" s="1"/>
  <c r="A66" i="76" s="1"/>
  <c r="A67" i="76" s="1"/>
  <c r="A68" i="76" s="1"/>
  <c r="A69" i="76" s="1"/>
  <c r="A70" i="76" s="1"/>
  <c r="A71" i="76" s="1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A85" i="76" s="1"/>
  <c r="A86" i="76" s="1"/>
  <c r="A87" i="76" s="1"/>
  <c r="A88" i="76" s="1"/>
  <c r="A89" i="76" s="1"/>
  <c r="A90" i="76" s="1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E7" i="75"/>
  <c r="G6" i="75"/>
  <c r="A5" i="75"/>
  <c r="A6" i="75" s="1"/>
  <c r="A7" i="75" s="1"/>
  <c r="A8" i="75" s="1"/>
  <c r="A9" i="75" s="1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A45" i="75" s="1"/>
  <c r="A46" i="75" s="1"/>
  <c r="A47" i="75" s="1"/>
  <c r="A48" i="75" s="1"/>
  <c r="A49" i="75" s="1"/>
  <c r="A50" i="75" s="1"/>
  <c r="A51" i="75" s="1"/>
  <c r="A52" i="75" s="1"/>
  <c r="A53" i="75" s="1"/>
  <c r="A54" i="75" s="1"/>
  <c r="A55" i="75" s="1"/>
  <c r="A56" i="75" s="1"/>
  <c r="A57" i="75" s="1"/>
  <c r="A58" i="75" s="1"/>
  <c r="A59" i="75" s="1"/>
  <c r="A60" i="75" s="1"/>
  <c r="A61" i="75" s="1"/>
  <c r="A62" i="75" s="1"/>
  <c r="A63" i="75" s="1"/>
  <c r="A64" i="75" s="1"/>
  <c r="A65" i="75" s="1"/>
  <c r="A66" i="75" s="1"/>
  <c r="A67" i="75" s="1"/>
  <c r="A68" i="75" s="1"/>
  <c r="A69" i="75" s="1"/>
  <c r="A70" i="75" s="1"/>
  <c r="A71" i="75" s="1"/>
  <c r="A72" i="75" s="1"/>
  <c r="A73" i="75" s="1"/>
  <c r="A74" i="75" s="1"/>
  <c r="A75" i="75" s="1"/>
  <c r="A76" i="75" s="1"/>
  <c r="A77" i="75" s="1"/>
  <c r="A78" i="75" s="1"/>
  <c r="A79" i="75" s="1"/>
  <c r="A80" i="75" s="1"/>
  <c r="A81" i="75" s="1"/>
  <c r="A82" i="75" s="1"/>
  <c r="A83" i="75" s="1"/>
  <c r="A84" i="75" s="1"/>
  <c r="A85" i="75" s="1"/>
  <c r="A86" i="75" s="1"/>
  <c r="A87" i="75" s="1"/>
  <c r="A88" i="75" s="1"/>
  <c r="A89" i="75" s="1"/>
  <c r="A90" i="75" s="1"/>
  <c r="A91" i="75" s="1"/>
  <c r="A92" i="75" s="1"/>
  <c r="A93" i="75" s="1"/>
  <c r="A94" i="75" s="1"/>
  <c r="A95" i="75" s="1"/>
  <c r="A96" i="75" s="1"/>
  <c r="A97" i="75" s="1"/>
  <c r="A98" i="75" s="1"/>
  <c r="A99" i="75" s="1"/>
  <c r="A100" i="75" s="1"/>
  <c r="A101" i="75" s="1"/>
  <c r="A102" i="75" s="1"/>
  <c r="A103" i="75" s="1"/>
  <c r="C4" i="75"/>
  <c r="C5" i="75" l="1"/>
  <c r="E8" i="75"/>
  <c r="C9" i="81"/>
  <c r="B8" i="82"/>
  <c r="C8" i="82" s="1"/>
  <c r="D145" i="110"/>
  <c r="D144" i="109"/>
  <c r="E9" i="75"/>
  <c r="E48" i="74"/>
  <c r="R21" i="74"/>
  <c r="D5" i="74"/>
  <c r="A4" i="74"/>
  <c r="A5" i="74" s="1"/>
  <c r="A6" i="74" s="1"/>
  <c r="A7" i="74" s="1"/>
  <c r="A8" i="74" s="1"/>
  <c r="A9" i="74" s="1"/>
  <c r="A10" i="74" s="1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A45" i="74" s="1"/>
  <c r="A46" i="74" s="1"/>
  <c r="A47" i="74" s="1"/>
  <c r="A48" i="74" s="1"/>
  <c r="A49" i="74" s="1"/>
  <c r="A50" i="74" s="1"/>
  <c r="A51" i="74" s="1"/>
  <c r="A52" i="74" s="1"/>
  <c r="A53" i="74" s="1"/>
  <c r="A54" i="74" s="1"/>
  <c r="A55" i="74" s="1"/>
  <c r="A56" i="74" s="1"/>
  <c r="A57" i="74" s="1"/>
  <c r="A58" i="74" s="1"/>
  <c r="A59" i="74" s="1"/>
  <c r="A60" i="74" s="1"/>
  <c r="A61" i="74" s="1"/>
  <c r="A62" i="74" s="1"/>
  <c r="A63" i="74" s="1"/>
  <c r="A64" i="74" s="1"/>
  <c r="A65" i="74" s="1"/>
  <c r="A66" i="74" s="1"/>
  <c r="A67" i="74" s="1"/>
  <c r="A68" i="74" s="1"/>
  <c r="A69" i="74" s="1"/>
  <c r="A70" i="74" s="1"/>
  <c r="A71" i="74" s="1"/>
  <c r="A72" i="74" s="1"/>
  <c r="A73" i="74" s="1"/>
  <c r="A74" i="74" s="1"/>
  <c r="A75" i="74" s="1"/>
  <c r="A76" i="74" s="1"/>
  <c r="A77" i="74" s="1"/>
  <c r="A78" i="74" s="1"/>
  <c r="A79" i="74" s="1"/>
  <c r="A80" i="74" s="1"/>
  <c r="A81" i="74" s="1"/>
  <c r="A82" i="74" s="1"/>
  <c r="A83" i="74" s="1"/>
  <c r="A84" i="74" s="1"/>
  <c r="A85" i="74" s="1"/>
  <c r="A86" i="74" s="1"/>
  <c r="A87" i="74" s="1"/>
  <c r="A88" i="74" s="1"/>
  <c r="A89" i="74" s="1"/>
  <c r="A90" i="74" s="1"/>
  <c r="A91" i="74" s="1"/>
  <c r="A92" i="74" s="1"/>
  <c r="A93" i="74" s="1"/>
  <c r="A94" i="74" s="1"/>
  <c r="A95" i="74" s="1"/>
  <c r="A96" i="74" s="1"/>
  <c r="A97" i="74" s="1"/>
  <c r="A98" i="74" s="1"/>
  <c r="A99" i="74" s="1"/>
  <c r="A100" i="74" s="1"/>
  <c r="A101" i="74" s="1"/>
  <c r="A102" i="74" s="1"/>
  <c r="A103" i="74" s="1"/>
  <c r="A104" i="74" s="1"/>
  <c r="A105" i="74" s="1"/>
  <c r="A106" i="74" s="1"/>
  <c r="A107" i="74" s="1"/>
  <c r="A108" i="74" s="1"/>
  <c r="A109" i="74" s="1"/>
  <c r="A110" i="74" s="1"/>
  <c r="A111" i="74" s="1"/>
  <c r="A112" i="74" s="1"/>
  <c r="A113" i="74" s="1"/>
  <c r="A114" i="74" s="1"/>
  <c r="A115" i="74" s="1"/>
  <c r="A116" i="74" s="1"/>
  <c r="A117" i="74" s="1"/>
  <c r="A118" i="74" s="1"/>
  <c r="A119" i="74" s="1"/>
  <c r="A120" i="74" s="1"/>
  <c r="A121" i="74" s="1"/>
  <c r="A122" i="74" s="1"/>
  <c r="A123" i="74" s="1"/>
  <c r="A124" i="74" s="1"/>
  <c r="A125" i="74" s="1"/>
  <c r="A126" i="74" s="1"/>
  <c r="A127" i="74" s="1"/>
  <c r="A128" i="74" s="1"/>
  <c r="A129" i="74" s="1"/>
  <c r="A130" i="74" s="1"/>
  <c r="A131" i="74" s="1"/>
  <c r="A132" i="74" s="1"/>
  <c r="A133" i="74" s="1"/>
  <c r="A134" i="74" s="1"/>
  <c r="A135" i="74" s="1"/>
  <c r="A136" i="74" s="1"/>
  <c r="A137" i="74" s="1"/>
  <c r="A138" i="74" s="1"/>
  <c r="A139" i="74" s="1"/>
  <c r="A140" i="74" s="1"/>
  <c r="A141" i="74" s="1"/>
  <c r="A142" i="74" s="1"/>
  <c r="A143" i="74" s="1"/>
  <c r="A144" i="74" s="1"/>
  <c r="A145" i="74" s="1"/>
  <c r="A146" i="74" s="1"/>
  <c r="A147" i="74" s="1"/>
  <c r="A148" i="74" s="1"/>
  <c r="A149" i="74" s="1"/>
  <c r="A150" i="74" s="1"/>
  <c r="A151" i="74" s="1"/>
  <c r="A152" i="74" s="1"/>
  <c r="A153" i="74" s="1"/>
  <c r="A154" i="74" s="1"/>
  <c r="A155" i="74" s="1"/>
  <c r="A156" i="74" s="1"/>
  <c r="A157" i="74" s="1"/>
  <c r="A158" i="74" s="1"/>
  <c r="A159" i="74" s="1"/>
  <c r="A160" i="74" s="1"/>
  <c r="A161" i="74" s="1"/>
  <c r="A162" i="74" s="1"/>
  <c r="A163" i="74" s="1"/>
  <c r="A164" i="74" s="1"/>
  <c r="A165" i="74" s="1"/>
  <c r="A166" i="74" s="1"/>
  <c r="A167" i="74" s="1"/>
  <c r="A168" i="74" s="1"/>
  <c r="A169" i="74" s="1"/>
  <c r="A170" i="74" s="1"/>
  <c r="A171" i="74" s="1"/>
  <c r="A172" i="74" s="1"/>
  <c r="A173" i="74" s="1"/>
  <c r="A174" i="74" s="1"/>
  <c r="A175" i="74" s="1"/>
  <c r="A176" i="74" s="1"/>
  <c r="A177" i="74" s="1"/>
  <c r="A178" i="74" s="1"/>
  <c r="A179" i="74" s="1"/>
  <c r="A180" i="74" s="1"/>
  <c r="A181" i="74" s="1"/>
  <c r="A182" i="74" s="1"/>
  <c r="A183" i="74" s="1"/>
  <c r="A184" i="74" s="1"/>
  <c r="A185" i="74" s="1"/>
  <c r="A186" i="74" s="1"/>
  <c r="A187" i="74" s="1"/>
  <c r="A188" i="74" s="1"/>
  <c r="A189" i="74" s="1"/>
  <c r="A190" i="74" s="1"/>
  <c r="A191" i="74" s="1"/>
  <c r="A192" i="74" s="1"/>
  <c r="A193" i="74" s="1"/>
  <c r="A194" i="74" s="1"/>
  <c r="A195" i="74" s="1"/>
  <c r="A196" i="74" s="1"/>
  <c r="A197" i="74" s="1"/>
  <c r="A198" i="74" s="1"/>
  <c r="A199" i="74" s="1"/>
  <c r="A200" i="74" s="1"/>
  <c r="A201" i="74" s="1"/>
  <c r="A202" i="74" s="1"/>
  <c r="A203" i="74" s="1"/>
  <c r="A204" i="74" s="1"/>
  <c r="A205" i="74" s="1"/>
  <c r="A206" i="74" s="1"/>
  <c r="A207" i="74" s="1"/>
  <c r="A208" i="74" s="1"/>
  <c r="A209" i="74" s="1"/>
  <c r="A210" i="74" s="1"/>
  <c r="A211" i="74" s="1"/>
  <c r="A212" i="74" s="1"/>
  <c r="A213" i="74" s="1"/>
  <c r="A214" i="74" s="1"/>
  <c r="A215" i="74" s="1"/>
  <c r="A216" i="74" s="1"/>
  <c r="A217" i="74" s="1"/>
  <c r="A218" i="74" s="1"/>
  <c r="A219" i="74" s="1"/>
  <c r="A220" i="74" s="1"/>
  <c r="A221" i="74" s="1"/>
  <c r="A222" i="74" s="1"/>
  <c r="A223" i="74" s="1"/>
  <c r="A224" i="74" s="1"/>
  <c r="A225" i="74" s="1"/>
  <c r="A226" i="74" s="1"/>
  <c r="A227" i="74" s="1"/>
  <c r="A228" i="74" s="1"/>
  <c r="A229" i="74" s="1"/>
  <c r="A230" i="74" s="1"/>
  <c r="A231" i="74" s="1"/>
  <c r="A232" i="74" s="1"/>
  <c r="A233" i="74" s="1"/>
  <c r="A234" i="74" s="1"/>
  <c r="A235" i="74" s="1"/>
  <c r="A236" i="74" s="1"/>
  <c r="A237" i="74" s="1"/>
  <c r="A238" i="74" s="1"/>
  <c r="A239" i="74" s="1"/>
  <c r="A240" i="74" s="1"/>
  <c r="A241" i="74" s="1"/>
  <c r="A242" i="74" s="1"/>
  <c r="A243" i="74" s="1"/>
  <c r="A244" i="74" s="1"/>
  <c r="A245" i="74" s="1"/>
  <c r="A246" i="74" s="1"/>
  <c r="A247" i="74" s="1"/>
  <c r="A248" i="74" s="1"/>
  <c r="A249" i="74" s="1"/>
  <c r="A250" i="74" s="1"/>
  <c r="A251" i="74" s="1"/>
  <c r="A252" i="74" s="1"/>
  <c r="A253" i="74" s="1"/>
  <c r="A254" i="74" s="1"/>
  <c r="A255" i="74" s="1"/>
  <c r="A256" i="74" s="1"/>
  <c r="A257" i="74" s="1"/>
  <c r="A258" i="74" s="1"/>
  <c r="A259" i="74" s="1"/>
  <c r="A260" i="74" s="1"/>
  <c r="A261" i="74" s="1"/>
  <c r="A262" i="74" s="1"/>
  <c r="A263" i="74" s="1"/>
  <c r="A264" i="74" s="1"/>
  <c r="A265" i="74" s="1"/>
  <c r="A266" i="74" s="1"/>
  <c r="A267" i="74" s="1"/>
  <c r="A268" i="74" s="1"/>
  <c r="A269" i="74" s="1"/>
  <c r="A270" i="74" s="1"/>
  <c r="A271" i="74" s="1"/>
  <c r="A272" i="74" s="1"/>
  <c r="A273" i="74" s="1"/>
  <c r="A274" i="74" s="1"/>
  <c r="A275" i="74" s="1"/>
  <c r="A276" i="74" s="1"/>
  <c r="A277" i="74" s="1"/>
  <c r="A278" i="74" s="1"/>
  <c r="A279" i="74" s="1"/>
  <c r="A280" i="74" s="1"/>
  <c r="A281" i="74" s="1"/>
  <c r="A282" i="74" s="1"/>
  <c r="A283" i="74" s="1"/>
  <c r="A284" i="74" s="1"/>
  <c r="A285" i="74" s="1"/>
  <c r="A286" i="74" s="1"/>
  <c r="A287" i="74" s="1"/>
  <c r="A288" i="74" s="1"/>
  <c r="A289" i="74" s="1"/>
  <c r="A290" i="74" s="1"/>
  <c r="A291" i="74" s="1"/>
  <c r="A292" i="74" s="1"/>
  <c r="A293" i="74" s="1"/>
  <c r="A294" i="74" s="1"/>
  <c r="A295" i="74" s="1"/>
  <c r="A296" i="74" s="1"/>
  <c r="A297" i="74" s="1"/>
  <c r="A298" i="74" s="1"/>
  <c r="A299" i="74" s="1"/>
  <c r="A300" i="74" s="1"/>
  <c r="A301" i="74" s="1"/>
  <c r="A302" i="74" s="1"/>
  <c r="U21" i="74" s="1"/>
  <c r="K29" i="50"/>
  <c r="K30" i="50" s="1"/>
  <c r="K32" i="50" s="1"/>
  <c r="D6" i="50"/>
  <c r="E9" i="73"/>
  <c r="E8" i="73"/>
  <c r="E10" i="73"/>
  <c r="E7" i="73"/>
  <c r="E5" i="73"/>
  <c r="A5" i="73"/>
  <c r="A6" i="73" s="1"/>
  <c r="A7" i="73" s="1"/>
  <c r="A8" i="73" s="1"/>
  <c r="A9" i="73" s="1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C6" i="75" l="1"/>
  <c r="C10" i="81"/>
  <c r="B9" i="82"/>
  <c r="C9" i="82" s="1"/>
  <c r="D6" i="74"/>
  <c r="D7" i="50"/>
  <c r="D145" i="109"/>
  <c r="D146" i="110"/>
  <c r="E11" i="73"/>
  <c r="E12" i="73" s="1"/>
  <c r="E10" i="75"/>
  <c r="A21" i="73"/>
  <c r="A22" i="73" s="1"/>
  <c r="A23" i="73" s="1"/>
  <c r="D7" i="74" l="1"/>
  <c r="C11" i="81"/>
  <c r="B10" i="82"/>
  <c r="C10" i="82" s="1"/>
  <c r="C7" i="75"/>
  <c r="D147" i="110"/>
  <c r="D146" i="109"/>
  <c r="D8" i="50"/>
  <c r="E11" i="75"/>
  <c r="C8" i="75" l="1"/>
  <c r="C12" i="81"/>
  <c r="B11" i="82"/>
  <c r="C11" i="82" s="1"/>
  <c r="D8" i="74"/>
  <c r="D9" i="50"/>
  <c r="D147" i="109"/>
  <c r="D148" i="110"/>
  <c r="K34" i="50"/>
  <c r="K36" i="50" s="1"/>
  <c r="K7" i="50"/>
  <c r="L4" i="50"/>
  <c r="K5" i="50" s="1"/>
  <c r="S4" i="50"/>
  <c r="T5" i="50" s="1"/>
  <c r="U6" i="50" s="1"/>
  <c r="T7" i="50" s="1"/>
  <c r="O4" i="50"/>
  <c r="N5" i="50" s="1"/>
  <c r="N8" i="50"/>
  <c r="I6" i="50"/>
  <c r="R9" i="50"/>
  <c r="R12" i="50"/>
  <c r="K8" i="50"/>
  <c r="N9" i="50"/>
  <c r="R10" i="50"/>
  <c r="P4" i="50"/>
  <c r="N6" i="50" s="1"/>
  <c r="T4" i="50"/>
  <c r="R6" i="50" s="1"/>
  <c r="U4" i="50"/>
  <c r="R7" i="50" s="1"/>
  <c r="R11" i="50"/>
  <c r="N10" i="50"/>
  <c r="N4" i="50"/>
  <c r="O5" i="50" s="1"/>
  <c r="P6" i="50" s="1"/>
  <c r="R4" i="50"/>
  <c r="S5" i="50" s="1"/>
  <c r="T6" i="50" s="1"/>
  <c r="U7" i="50" s="1"/>
  <c r="K4" i="50"/>
  <c r="L5" i="50" s="1"/>
  <c r="E12" i="75"/>
  <c r="D9" i="74" l="1"/>
  <c r="C13" i="81"/>
  <c r="B12" i="82"/>
  <c r="C12" i="82" s="1"/>
  <c r="C9" i="75"/>
  <c r="K35" i="50"/>
  <c r="D149" i="110"/>
  <c r="D148" i="109"/>
  <c r="D10" i="50"/>
  <c r="P5" i="50"/>
  <c r="O6" i="50" s="1"/>
  <c r="I8" i="50" a="1"/>
  <c r="I8" i="50" s="1"/>
  <c r="R5" i="50"/>
  <c r="U5" i="50"/>
  <c r="S7" i="50" s="1"/>
  <c r="K10" i="50" a="1"/>
  <c r="K10" i="50" s="1"/>
  <c r="S6" i="50"/>
  <c r="E13" i="75"/>
  <c r="C14" i="81" l="1"/>
  <c r="B13" i="82"/>
  <c r="C13" i="82" s="1"/>
  <c r="C10" i="75"/>
  <c r="R14" i="50" a="1"/>
  <c r="D10" i="74"/>
  <c r="S16" i="50"/>
  <c r="D11" i="50"/>
  <c r="D149" i="109"/>
  <c r="D150" i="110"/>
  <c r="P8" i="50" a="1"/>
  <c r="P9" i="50" s="1"/>
  <c r="T9" i="50" a="1"/>
  <c r="T10" i="50" s="1"/>
  <c r="K11" i="50"/>
  <c r="E14" i="75"/>
  <c r="N6" i="54"/>
  <c r="N7" i="54"/>
  <c r="N8" i="54"/>
  <c r="N9" i="54"/>
  <c r="N10" i="54"/>
  <c r="N11" i="54"/>
  <c r="N12" i="54"/>
  <c r="N13" i="54"/>
  <c r="N14" i="54"/>
  <c r="N15" i="54"/>
  <c r="N16" i="54"/>
  <c r="N17" i="54"/>
  <c r="N18" i="54"/>
  <c r="N19" i="54"/>
  <c r="N20" i="54"/>
  <c r="N21" i="54"/>
  <c r="N22" i="54"/>
  <c r="N23" i="54"/>
  <c r="N24" i="54"/>
  <c r="N25" i="54"/>
  <c r="N5" i="54"/>
  <c r="D11" i="74" l="1"/>
  <c r="T15" i="50"/>
  <c r="S15" i="50"/>
  <c r="U17" i="50"/>
  <c r="S14" i="50"/>
  <c r="U16" i="50"/>
  <c r="R17" i="50"/>
  <c r="U14" i="50"/>
  <c r="R16" i="50"/>
  <c r="T14" i="50"/>
  <c r="T17" i="50"/>
  <c r="R14" i="50"/>
  <c r="T16" i="50"/>
  <c r="U15" i="50"/>
  <c r="C11" i="75"/>
  <c r="C15" i="81"/>
  <c r="B14" i="82"/>
  <c r="C14" i="82" s="1"/>
  <c r="R15" i="50"/>
  <c r="S17" i="50"/>
  <c r="D151" i="110"/>
  <c r="D150" i="109"/>
  <c r="P8" i="50"/>
  <c r="P10" i="50"/>
  <c r="T11" i="50"/>
  <c r="T12" i="50"/>
  <c r="T9" i="50"/>
  <c r="E15" i="75"/>
  <c r="C12" i="75" l="1"/>
  <c r="C16" i="81"/>
  <c r="B15" i="82"/>
  <c r="C15" i="82" s="1"/>
  <c r="D12" i="74"/>
  <c r="D151" i="109"/>
  <c r="D152" i="110"/>
  <c r="E16" i="75"/>
  <c r="C17" i="81" l="1"/>
  <c r="B16" i="82"/>
  <c r="C16" i="82" s="1"/>
  <c r="D13" i="74"/>
  <c r="C13" i="75"/>
  <c r="D153" i="110"/>
  <c r="D152" i="109"/>
  <c r="E17" i="75"/>
  <c r="Q5" i="11"/>
  <c r="Q6" i="11" s="1"/>
  <c r="Q7" i="11" s="1"/>
  <c r="Q8" i="11" s="1"/>
  <c r="Q9" i="11" s="1"/>
  <c r="Q10" i="11" s="1"/>
  <c r="Q11" i="11" s="1"/>
  <c r="Q12" i="11" s="1"/>
  <c r="Q13" i="11" s="1"/>
  <c r="Q14" i="11" s="1"/>
  <c r="Q15" i="11" s="1"/>
  <c r="Q16" i="11" s="1"/>
  <c r="Q17" i="11" s="1"/>
  <c r="Q18" i="11" s="1"/>
  <c r="Q19" i="11" s="1"/>
  <c r="A5" i="62"/>
  <c r="C19" i="3"/>
  <c r="A6" i="62" l="1"/>
  <c r="D7" i="62"/>
  <c r="C14" i="75"/>
  <c r="D14" i="74"/>
  <c r="C18" i="81"/>
  <c r="B17" i="82"/>
  <c r="C17" i="82" s="1"/>
  <c r="D153" i="109"/>
  <c r="D154" i="110"/>
  <c r="E18" i="75"/>
  <c r="Q20" i="11"/>
  <c r="A7" i="62" l="1"/>
  <c r="D8" i="62"/>
  <c r="D15" i="74"/>
  <c r="C15" i="75"/>
  <c r="C19" i="81"/>
  <c r="B18" i="82"/>
  <c r="C18" i="82" s="1"/>
  <c r="D155" i="110"/>
  <c r="D154" i="109"/>
  <c r="E19" i="75"/>
  <c r="Q21" i="11"/>
  <c r="N5" i="1"/>
  <c r="N6" i="1" s="1"/>
  <c r="N7" i="1" s="1"/>
  <c r="N8" i="1" s="1"/>
  <c r="N9" i="1" s="1"/>
  <c r="N10" i="1" s="1"/>
  <c r="N11" i="1" s="1"/>
  <c r="N12" i="1" s="1"/>
  <c r="N13" i="1" s="1"/>
  <c r="N14" i="1" s="1"/>
  <c r="N15" i="1" s="1"/>
  <c r="N16" i="1" s="1"/>
  <c r="N17" i="1" s="1"/>
  <c r="N18" i="1" s="1"/>
  <c r="A8" i="62" l="1"/>
  <c r="D9" i="62"/>
  <c r="C20" i="81"/>
  <c r="B19" i="82"/>
  <c r="C19" i="82" s="1"/>
  <c r="C16" i="75"/>
  <c r="D16" i="74"/>
  <c r="D155" i="109"/>
  <c r="D156" i="110"/>
  <c r="E20" i="75"/>
  <c r="Q22" i="11"/>
  <c r="A9" i="62" l="1"/>
  <c r="D10" i="62"/>
  <c r="D17" i="74"/>
  <c r="C17" i="75"/>
  <c r="C21" i="81"/>
  <c r="B20" i="82"/>
  <c r="C20" i="82" s="1"/>
  <c r="D157" i="110"/>
  <c r="D156" i="109"/>
  <c r="Q23" i="11"/>
  <c r="A10" i="62" l="1"/>
  <c r="D11" i="62"/>
  <c r="C22" i="81"/>
  <c r="B21" i="82"/>
  <c r="C21" i="82" s="1"/>
  <c r="C18" i="75"/>
  <c r="D18" i="74"/>
  <c r="D157" i="109"/>
  <c r="D158" i="110"/>
  <c r="A11" i="62" l="1"/>
  <c r="D12" i="62"/>
  <c r="D19" i="74"/>
  <c r="C19" i="75"/>
  <c r="C23" i="81"/>
  <c r="B22" i="82"/>
  <c r="C22" i="82" s="1"/>
  <c r="D159" i="110"/>
  <c r="D158" i="109"/>
  <c r="Q6" i="1"/>
  <c r="Q7" i="1"/>
  <c r="Q8" i="1"/>
  <c r="Q9" i="1"/>
  <c r="R10" i="1" s="1"/>
  <c r="Q10" i="1"/>
  <c r="Q11" i="1"/>
  <c r="Q12" i="1"/>
  <c r="Q13" i="1"/>
  <c r="R14" i="1" s="1"/>
  <c r="Q14" i="1"/>
  <c r="Q15" i="1"/>
  <c r="Q16" i="1"/>
  <c r="Q17" i="1"/>
  <c r="R18" i="1" s="1"/>
  <c r="Q18" i="1"/>
  <c r="A12" i="62" l="1"/>
  <c r="D13" i="62"/>
  <c r="R8" i="1"/>
  <c r="B23" i="82"/>
  <c r="C23" i="82" s="1"/>
  <c r="C20" i="75"/>
  <c r="D20" i="74"/>
  <c r="D159" i="109"/>
  <c r="D160" i="110"/>
  <c r="R17" i="1"/>
  <c r="R13" i="1"/>
  <c r="R9" i="1"/>
  <c r="R16" i="1"/>
  <c r="R12" i="1"/>
  <c r="R15" i="1"/>
  <c r="R11" i="1"/>
  <c r="A13" i="62" l="1"/>
  <c r="D14" i="62"/>
  <c r="D21" i="74"/>
  <c r="C21" i="75"/>
  <c r="D161" i="110"/>
  <c r="D160" i="109"/>
  <c r="A14" i="62" l="1"/>
  <c r="D15" i="62"/>
  <c r="C22" i="75"/>
  <c r="D22" i="74"/>
  <c r="D161" i="109"/>
  <c r="D162" i="110"/>
  <c r="A15" i="62" l="1"/>
  <c r="D16" i="62"/>
  <c r="D23" i="74"/>
  <c r="C23" i="75"/>
  <c r="D163" i="110"/>
  <c r="D162" i="109"/>
  <c r="A16" i="62" l="1"/>
  <c r="D17" i="62"/>
  <c r="C24" i="75"/>
  <c r="D24" i="74"/>
  <c r="D163" i="109"/>
  <c r="D164" i="110"/>
  <c r="A17" i="62" l="1"/>
  <c r="D18" i="62"/>
  <c r="D25" i="74"/>
  <c r="C25" i="75"/>
  <c r="D165" i="110"/>
  <c r="D164" i="109"/>
  <c r="A18" i="62" l="1"/>
  <c r="D20" i="62" s="1"/>
  <c r="D19" i="62"/>
  <c r="C26" i="75"/>
  <c r="D26" i="74"/>
  <c r="D165" i="109"/>
  <c r="D166" i="110"/>
  <c r="D27" i="74" l="1"/>
  <c r="C27" i="75"/>
  <c r="D167" i="110"/>
  <c r="D166" i="109"/>
  <c r="C28" i="75" l="1"/>
  <c r="D28" i="74"/>
  <c r="D167" i="109"/>
  <c r="D168" i="110"/>
  <c r="D29" i="74" l="1"/>
  <c r="C29" i="75"/>
  <c r="D169" i="110"/>
  <c r="D168" i="109"/>
  <c r="C30" i="75" l="1"/>
  <c r="D30" i="74"/>
  <c r="D169" i="109"/>
  <c r="D170" i="110"/>
  <c r="D31" i="74" l="1"/>
  <c r="C31" i="75"/>
  <c r="D171" i="110"/>
  <c r="D170" i="109"/>
  <c r="C32" i="75" l="1"/>
  <c r="D32" i="74"/>
  <c r="D171" i="109"/>
  <c r="D172" i="110"/>
  <c r="D33" i="74" l="1"/>
  <c r="C33" i="75"/>
  <c r="D173" i="110"/>
  <c r="D172" i="109"/>
  <c r="D34" i="74" l="1"/>
  <c r="C34" i="75"/>
  <c r="D173" i="109"/>
  <c r="D174" i="110"/>
  <c r="C35" i="75" l="1"/>
  <c r="D35" i="74"/>
  <c r="D175" i="110"/>
  <c r="D174" i="109"/>
  <c r="C36" i="75" l="1"/>
  <c r="D36" i="74"/>
  <c r="D175" i="109"/>
  <c r="D176" i="110"/>
  <c r="D37" i="74" l="1"/>
  <c r="C37" i="75"/>
  <c r="D177" i="110"/>
  <c r="D176" i="109"/>
  <c r="C38" i="75" l="1"/>
  <c r="D38" i="74"/>
  <c r="D177" i="109"/>
  <c r="D178" i="110"/>
  <c r="D39" i="74" l="1"/>
  <c r="C39" i="75"/>
  <c r="D179" i="110"/>
  <c r="D178" i="109"/>
  <c r="C40" i="75" l="1"/>
  <c r="D40" i="74"/>
  <c r="D179" i="109"/>
  <c r="D180" i="110"/>
  <c r="D41" i="74" l="1"/>
  <c r="C41" i="75"/>
  <c r="D181" i="110"/>
  <c r="D180" i="109"/>
  <c r="C42" i="75" l="1"/>
  <c r="D42" i="74"/>
  <c r="D181" i="109"/>
  <c r="D182" i="110"/>
  <c r="B11" i="53"/>
  <c r="D43" i="74" l="1"/>
  <c r="C43" i="75"/>
  <c r="D183" i="110"/>
  <c r="D182" i="109"/>
  <c r="R23" i="74" l="1"/>
  <c r="R22" i="74"/>
  <c r="U25" i="74"/>
  <c r="U26" i="74" s="1"/>
  <c r="U27" i="74" s="1"/>
  <c r="C44" i="75"/>
  <c r="U22" i="74"/>
  <c r="U24" i="74" s="1"/>
  <c r="D183" i="109"/>
  <c r="D184" i="110"/>
  <c r="C45" i="75" l="1"/>
  <c r="D185" i="110"/>
  <c r="D184" i="109"/>
  <c r="C46" i="75" l="1"/>
  <c r="D185" i="109"/>
  <c r="D186" i="110"/>
  <c r="C47" i="75" l="1"/>
  <c r="D187" i="110"/>
  <c r="D186" i="109"/>
  <c r="C48" i="75" l="1"/>
  <c r="D187" i="109"/>
  <c r="D188" i="110"/>
  <c r="C49" i="75" l="1"/>
  <c r="D189" i="110"/>
  <c r="D188" i="109"/>
  <c r="C50" i="75" l="1"/>
  <c r="D189" i="109"/>
  <c r="D190" i="110"/>
  <c r="G5" i="31"/>
  <c r="F21" i="31"/>
  <c r="C4" i="31"/>
  <c r="E6" i="31"/>
  <c r="A5" i="31"/>
  <c r="A6" i="31" s="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C51" i="75" l="1"/>
  <c r="D191" i="110"/>
  <c r="D190" i="109"/>
  <c r="C4" i="86"/>
  <c r="D5" i="86" s="1"/>
  <c r="B4" i="76"/>
  <c r="C5" i="31"/>
  <c r="E7" i="31"/>
  <c r="G6" i="31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113" i="30"/>
  <c r="C114" i="30"/>
  <c r="C115" i="30"/>
  <c r="C116" i="30"/>
  <c r="C117" i="30"/>
  <c r="C118" i="30"/>
  <c r="C119" i="30"/>
  <c r="C120" i="30"/>
  <c r="C121" i="30"/>
  <c r="C122" i="30"/>
  <c r="C123" i="30"/>
  <c r="C124" i="30"/>
  <c r="C125" i="30"/>
  <c r="C126" i="30"/>
  <c r="C127" i="30"/>
  <c r="C128" i="30"/>
  <c r="C129" i="30"/>
  <c r="C130" i="30"/>
  <c r="C131" i="30"/>
  <c r="C132" i="30"/>
  <c r="C133" i="30"/>
  <c r="C134" i="30"/>
  <c r="C135" i="30"/>
  <c r="C136" i="30"/>
  <c r="C137" i="30"/>
  <c r="C138" i="30"/>
  <c r="C139" i="30"/>
  <c r="C140" i="30"/>
  <c r="C141" i="30"/>
  <c r="C142" i="30"/>
  <c r="C143" i="30"/>
  <c r="C144" i="30"/>
  <c r="C145" i="30"/>
  <c r="C146" i="30"/>
  <c r="C147" i="30"/>
  <c r="C148" i="30"/>
  <c r="C149" i="30"/>
  <c r="C150" i="30"/>
  <c r="C151" i="30"/>
  <c r="C152" i="30"/>
  <c r="C153" i="30"/>
  <c r="C154" i="30"/>
  <c r="C155" i="30"/>
  <c r="C156" i="30"/>
  <c r="C157" i="30"/>
  <c r="C158" i="30"/>
  <c r="C159" i="30"/>
  <c r="C160" i="30"/>
  <c r="C161" i="30"/>
  <c r="C162" i="30"/>
  <c r="C163" i="30"/>
  <c r="C164" i="30"/>
  <c r="C165" i="30"/>
  <c r="C166" i="30"/>
  <c r="C167" i="30"/>
  <c r="C168" i="30"/>
  <c r="C169" i="30"/>
  <c r="C170" i="30"/>
  <c r="C171" i="30"/>
  <c r="C172" i="30"/>
  <c r="C173" i="30"/>
  <c r="C174" i="30"/>
  <c r="C175" i="30"/>
  <c r="C176" i="30"/>
  <c r="C177" i="30"/>
  <c r="C178" i="30"/>
  <c r="C179" i="30"/>
  <c r="C180" i="30"/>
  <c r="C181" i="30"/>
  <c r="C182" i="30"/>
  <c r="C183" i="30"/>
  <c r="C184" i="30"/>
  <c r="C185" i="30"/>
  <c r="C186" i="30"/>
  <c r="C187" i="30"/>
  <c r="C188" i="30"/>
  <c r="C189" i="30"/>
  <c r="C190" i="30"/>
  <c r="C191" i="30"/>
  <c r="C192" i="30"/>
  <c r="C193" i="30"/>
  <c r="C194" i="30"/>
  <c r="C195" i="30"/>
  <c r="C196" i="30"/>
  <c r="C197" i="30"/>
  <c r="C198" i="30"/>
  <c r="C199" i="30"/>
  <c r="C200" i="30"/>
  <c r="C201" i="30"/>
  <c r="C202" i="30"/>
  <c r="C203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C52" i="75" l="1"/>
  <c r="D191" i="109"/>
  <c r="D192" i="110"/>
  <c r="C5" i="86"/>
  <c r="B5" i="76"/>
  <c r="E5" i="76"/>
  <c r="K4" i="76"/>
  <c r="J20" i="30"/>
  <c r="J19" i="30"/>
  <c r="C6" i="31"/>
  <c r="E8" i="31"/>
  <c r="G7" i="31"/>
  <c r="I13" i="29"/>
  <c r="I14" i="29" s="1"/>
  <c r="I15" i="29" s="1"/>
  <c r="K11" i="29"/>
  <c r="L11" i="29" s="1"/>
  <c r="M11" i="29" s="1"/>
  <c r="S13" i="29"/>
  <c r="S14" i="29" s="1"/>
  <c r="S15" i="29" s="1"/>
  <c r="U11" i="29"/>
  <c r="V11" i="29" s="1"/>
  <c r="W11" i="29" s="1"/>
  <c r="S5" i="29"/>
  <c r="S6" i="29" s="1"/>
  <c r="S7" i="29" s="1"/>
  <c r="U3" i="29"/>
  <c r="V3" i="29" s="1"/>
  <c r="W3" i="29" s="1"/>
  <c r="I5" i="29"/>
  <c r="I6" i="29" s="1"/>
  <c r="I7" i="29" s="1"/>
  <c r="K3" i="29"/>
  <c r="L3" i="29" s="1"/>
  <c r="M3" i="29" s="1"/>
  <c r="F5" i="29"/>
  <c r="F6" i="29"/>
  <c r="F4" i="29"/>
  <c r="G8" i="29" s="1"/>
  <c r="C8" i="29"/>
  <c r="D5" i="29"/>
  <c r="E6" i="29" s="1"/>
  <c r="C4" i="29"/>
  <c r="A5" i="29"/>
  <c r="A6" i="29" s="1"/>
  <c r="A7" i="29" s="1"/>
  <c r="C3" i="29"/>
  <c r="D3" i="29" s="1"/>
  <c r="E3" i="29" s="1"/>
  <c r="I16" i="28"/>
  <c r="I17" i="28" s="1"/>
  <c r="I18" i="28" s="1"/>
  <c r="I19" i="28" s="1"/>
  <c r="I20" i="28" s="1"/>
  <c r="I21" i="28" s="1"/>
  <c r="S25" i="28"/>
  <c r="T25" i="28" s="1"/>
  <c r="U25" i="28" s="1"/>
  <c r="V25" i="28" s="1"/>
  <c r="W25" i="28" s="1"/>
  <c r="X25" i="28" s="1"/>
  <c r="Q4" i="29" l="1"/>
  <c r="C53" i="75"/>
  <c r="D193" i="110"/>
  <c r="D192" i="109"/>
  <c r="E6" i="76"/>
  <c r="G5" i="76"/>
  <c r="K5" i="76"/>
  <c r="C6" i="86"/>
  <c r="D7" i="86" s="1"/>
  <c r="B6" i="76"/>
  <c r="D6" i="86"/>
  <c r="C7" i="31"/>
  <c r="E9" i="31"/>
  <c r="G8" i="31"/>
  <c r="C54" i="75" l="1"/>
  <c r="AA4" i="29"/>
  <c r="D193" i="109"/>
  <c r="D194" i="110"/>
  <c r="C7" i="86"/>
  <c r="B7" i="76"/>
  <c r="G6" i="76"/>
  <c r="K6" i="76"/>
  <c r="E7" i="76"/>
  <c r="C8" i="31"/>
  <c r="E10" i="31"/>
  <c r="G9" i="31"/>
  <c r="Q12" i="29"/>
  <c r="AA12" i="29"/>
  <c r="C55" i="75" l="1"/>
  <c r="D195" i="110"/>
  <c r="D194" i="109"/>
  <c r="E8" i="76"/>
  <c r="G7" i="76"/>
  <c r="K7" i="76"/>
  <c r="D8" i="86"/>
  <c r="C8" i="86"/>
  <c r="D9" i="86" s="1"/>
  <c r="B8" i="76"/>
  <c r="C9" i="31"/>
  <c r="E11" i="31"/>
  <c r="G10" i="31"/>
  <c r="S14" i="28"/>
  <c r="T14" i="28" s="1"/>
  <c r="U14" i="28" s="1"/>
  <c r="V14" i="28" s="1"/>
  <c r="W14" i="28" s="1"/>
  <c r="X14" i="28" s="1"/>
  <c r="S3" i="28"/>
  <c r="T3" i="28" s="1"/>
  <c r="U3" i="28" s="1"/>
  <c r="V3" i="28" s="1"/>
  <c r="W3" i="28" s="1"/>
  <c r="X3" i="28" s="1"/>
  <c r="K14" i="28"/>
  <c r="L14" i="28" s="1"/>
  <c r="M14" i="28" s="1"/>
  <c r="N14" i="28" s="1"/>
  <c r="O14" i="28" s="1"/>
  <c r="P14" i="28" s="1"/>
  <c r="K3" i="28"/>
  <c r="L3" i="28" s="1"/>
  <c r="M3" i="28" s="1"/>
  <c r="N3" i="28" s="1"/>
  <c r="O3" i="28" s="1"/>
  <c r="P3" i="28" s="1"/>
  <c r="G9" i="28"/>
  <c r="H9" i="28" s="1"/>
  <c r="F8" i="28"/>
  <c r="G8" i="28" s="1"/>
  <c r="D6" i="28"/>
  <c r="E6" i="28" s="1"/>
  <c r="C5" i="28"/>
  <c r="E7" i="28"/>
  <c r="F7" i="28" s="1"/>
  <c r="A6" i="28"/>
  <c r="A7" i="28" s="1"/>
  <c r="A8" i="28" s="1"/>
  <c r="A9" i="28" s="1"/>
  <c r="A10" i="28" s="1"/>
  <c r="A5" i="28"/>
  <c r="C3" i="28"/>
  <c r="D3" i="28" s="1"/>
  <c r="E3" i="28" s="1"/>
  <c r="F3" i="28" s="1"/>
  <c r="G3" i="28" s="1"/>
  <c r="H3" i="28" s="1"/>
  <c r="C56" i="75" l="1"/>
  <c r="D195" i="109"/>
  <c r="D196" i="110"/>
  <c r="C9" i="86"/>
  <c r="D10" i="86" s="1"/>
  <c r="B9" i="76"/>
  <c r="E9" i="76"/>
  <c r="G8" i="76"/>
  <c r="K8" i="76"/>
  <c r="C10" i="31"/>
  <c r="E12" i="31"/>
  <c r="G11" i="31"/>
  <c r="D5" i="28"/>
  <c r="Z3" i="25"/>
  <c r="U3" i="25"/>
  <c r="J4" i="28" l="1" a="1"/>
  <c r="J10" i="28" s="1"/>
  <c r="C57" i="75"/>
  <c r="D197" i="110"/>
  <c r="D196" i="109"/>
  <c r="C10" i="86"/>
  <c r="D11" i="86" s="1"/>
  <c r="B10" i="76"/>
  <c r="E10" i="76"/>
  <c r="G9" i="76"/>
  <c r="K9" i="76"/>
  <c r="C11" i="31"/>
  <c r="E13" i="31"/>
  <c r="G12" i="31"/>
  <c r="P3" i="25"/>
  <c r="P4" i="25" s="1"/>
  <c r="P6" i="25" s="1"/>
  <c r="D6" i="25"/>
  <c r="O5" i="28" l="1"/>
  <c r="M9" i="28"/>
  <c r="J4" i="28"/>
  <c r="N6" i="28"/>
  <c r="O7" i="28"/>
  <c r="P10" i="28"/>
  <c r="O10" i="28"/>
  <c r="L10" i="28"/>
  <c r="K7" i="28"/>
  <c r="K10" i="28"/>
  <c r="P5" i="28"/>
  <c r="J7" i="28"/>
  <c r="L7" i="28"/>
  <c r="N10" i="28"/>
  <c r="J5" i="28"/>
  <c r="N4" i="28"/>
  <c r="K8" i="28"/>
  <c r="J6" i="28"/>
  <c r="K4" i="28"/>
  <c r="N8" i="28"/>
  <c r="K6" i="28"/>
  <c r="M5" i="28"/>
  <c r="P7" i="28"/>
  <c r="N5" i="28"/>
  <c r="M8" i="28"/>
  <c r="O4" i="28"/>
  <c r="N9" i="28"/>
  <c r="P6" i="28"/>
  <c r="M10" i="28"/>
  <c r="J9" i="28"/>
  <c r="M6" i="28"/>
  <c r="C58" i="75"/>
  <c r="K9" i="28"/>
  <c r="N7" i="28"/>
  <c r="O6" i="28"/>
  <c r="M7" i="28"/>
  <c r="P4" i="28"/>
  <c r="L9" i="28"/>
  <c r="L5" i="28"/>
  <c r="P8" i="28"/>
  <c r="K5" i="28"/>
  <c r="O8" i="28"/>
  <c r="M4" i="28"/>
  <c r="L4" i="28"/>
  <c r="L6" i="28"/>
  <c r="P9" i="28"/>
  <c r="L8" i="28"/>
  <c r="J8" i="28"/>
  <c r="O9" i="28"/>
  <c r="D197" i="109"/>
  <c r="D198" i="110"/>
  <c r="K10" i="76"/>
  <c r="G10" i="76"/>
  <c r="E11" i="76"/>
  <c r="C11" i="86"/>
  <c r="B11" i="76"/>
  <c r="C12" i="31"/>
  <c r="E14" i="31"/>
  <c r="G13" i="31"/>
  <c r="D7" i="25"/>
  <c r="F4" i="23"/>
  <c r="L20" i="23"/>
  <c r="L21" i="23" s="1"/>
  <c r="L22" i="23" s="1"/>
  <c r="L23" i="23" s="1"/>
  <c r="L5" i="23"/>
  <c r="L6" i="23" s="1"/>
  <c r="L7" i="23" s="1"/>
  <c r="L8" i="23" s="1"/>
  <c r="L9" i="23" s="1"/>
  <c r="L10" i="23" s="1"/>
  <c r="L11" i="23" s="1"/>
  <c r="L12" i="23" s="1"/>
  <c r="L13" i="23" s="1"/>
  <c r="L14" i="23" s="1"/>
  <c r="L15" i="23" s="1"/>
  <c r="L16" i="23" s="1"/>
  <c r="L17" i="23" s="1"/>
  <c r="L18" i="23" s="1"/>
  <c r="L19" i="23" s="1"/>
  <c r="F7" i="23"/>
  <c r="D7" i="23" s="1"/>
  <c r="F6" i="23"/>
  <c r="F5" i="23"/>
  <c r="B5" i="23"/>
  <c r="B6" i="23" s="1"/>
  <c r="B7" i="23" s="1"/>
  <c r="B8" i="23" s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F7" i="24"/>
  <c r="F6" i="24"/>
  <c r="F5" i="24"/>
  <c r="B5" i="24"/>
  <c r="B6" i="24" s="1"/>
  <c r="B7" i="24" s="1"/>
  <c r="B8" i="24" s="1"/>
  <c r="B9" i="24" s="1"/>
  <c r="B10" i="24" s="1"/>
  <c r="B11" i="24" s="1"/>
  <c r="B12" i="24" s="1"/>
  <c r="B13" i="24" s="1"/>
  <c r="B14" i="24" s="1"/>
  <c r="B15" i="24" s="1"/>
  <c r="B16" i="24" s="1"/>
  <c r="B17" i="24" s="1"/>
  <c r="B18" i="24" s="1"/>
  <c r="B19" i="24" s="1"/>
  <c r="F4" i="24"/>
  <c r="F5" i="22"/>
  <c r="F6" i="22"/>
  <c r="F7" i="22"/>
  <c r="D7" i="22" s="1"/>
  <c r="G8" i="22" s="1"/>
  <c r="F4" i="22"/>
  <c r="D8" i="22" s="1"/>
  <c r="F8" i="22" s="1"/>
  <c r="B5" i="22"/>
  <c r="B6" i="22" s="1"/>
  <c r="B7" i="22" s="1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G8" i="23" l="1"/>
  <c r="N8" i="23" s="1"/>
  <c r="D8" i="23"/>
  <c r="E8" i="23" s="1"/>
  <c r="D9" i="23" s="1"/>
  <c r="F9" i="23" s="1"/>
  <c r="I8" i="22"/>
  <c r="H8" i="22"/>
  <c r="C59" i="75"/>
  <c r="J15" i="28" a="1"/>
  <c r="D199" i="110"/>
  <c r="D198" i="109"/>
  <c r="D12" i="86"/>
  <c r="C12" i="86"/>
  <c r="D13" i="86" s="1"/>
  <c r="B12" i="76"/>
  <c r="E12" i="76"/>
  <c r="K11" i="76"/>
  <c r="G11" i="76"/>
  <c r="C13" i="31"/>
  <c r="E15" i="31"/>
  <c r="G14" i="31"/>
  <c r="D8" i="25"/>
  <c r="H8" i="23"/>
  <c r="I8" i="23"/>
  <c r="E8" i="22"/>
  <c r="D9" i="22" s="1"/>
  <c r="D7" i="24"/>
  <c r="G8" i="24" s="1"/>
  <c r="D5" i="17"/>
  <c r="D6" i="18"/>
  <c r="E8" i="18" s="1"/>
  <c r="D7" i="18"/>
  <c r="D8" i="18"/>
  <c r="D9" i="18"/>
  <c r="D10" i="18"/>
  <c r="E12" i="18" s="1"/>
  <c r="D11" i="18"/>
  <c r="D12" i="18"/>
  <c r="D13" i="18"/>
  <c r="D14" i="18"/>
  <c r="E16" i="18" s="1"/>
  <c r="D15" i="18"/>
  <c r="D16" i="18"/>
  <c r="D17" i="18"/>
  <c r="D18" i="18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N5" i="17"/>
  <c r="N6" i="17" s="1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J15" i="28" l="1"/>
  <c r="N20" i="28"/>
  <c r="J17" i="28"/>
  <c r="M17" i="28"/>
  <c r="O17" i="28"/>
  <c r="M16" i="28"/>
  <c r="J19" i="28"/>
  <c r="P20" i="28"/>
  <c r="M15" i="28"/>
  <c r="P17" i="28"/>
  <c r="N17" i="28"/>
  <c r="M19" i="28"/>
  <c r="M21" i="28"/>
  <c r="P16" i="28"/>
  <c r="N16" i="28"/>
  <c r="P15" i="28"/>
  <c r="M18" i="28"/>
  <c r="L18" i="28"/>
  <c r="L16" i="28"/>
  <c r="L15" i="28"/>
  <c r="K17" i="28"/>
  <c r="L20" i="28"/>
  <c r="O15" i="28"/>
  <c r="N21" i="28"/>
  <c r="P21" i="28"/>
  <c r="L17" i="28"/>
  <c r="O19" i="28"/>
  <c r="M20" i="28"/>
  <c r="O16" i="28"/>
  <c r="J18" i="28"/>
  <c r="N19" i="28"/>
  <c r="J16" i="28"/>
  <c r="K15" i="28"/>
  <c r="L21" i="28"/>
  <c r="P19" i="28"/>
  <c r="N18" i="28"/>
  <c r="K18" i="28"/>
  <c r="K20" i="28"/>
  <c r="J21" i="28"/>
  <c r="K19" i="28"/>
  <c r="K21" i="28"/>
  <c r="L19" i="28"/>
  <c r="O20" i="28"/>
  <c r="K16" i="28"/>
  <c r="J20" i="28"/>
  <c r="N15" i="28"/>
  <c r="O21" i="28"/>
  <c r="O18" i="28"/>
  <c r="P18" i="28"/>
  <c r="C60" i="75"/>
  <c r="F8" i="23"/>
  <c r="G9" i="23"/>
  <c r="N9" i="23" s="1"/>
  <c r="D199" i="109"/>
  <c r="D200" i="110"/>
  <c r="E13" i="76"/>
  <c r="G12" i="76"/>
  <c r="K12" i="76"/>
  <c r="C13" i="86"/>
  <c r="D14" i="86" s="1"/>
  <c r="B13" i="76"/>
  <c r="C14" i="31"/>
  <c r="E16" i="31"/>
  <c r="G15" i="31"/>
  <c r="D9" i="25"/>
  <c r="E18" i="18"/>
  <c r="E14" i="18"/>
  <c r="E10" i="18"/>
  <c r="E17" i="18"/>
  <c r="E13" i="18"/>
  <c r="E9" i="18"/>
  <c r="E9" i="23"/>
  <c r="D10" i="23" s="1"/>
  <c r="I9" i="23"/>
  <c r="H9" i="23"/>
  <c r="E9" i="22"/>
  <c r="D10" i="22" s="1"/>
  <c r="E10" i="22" s="1"/>
  <c r="D11" i="22" s="1"/>
  <c r="E11" i="22" s="1"/>
  <c r="F9" i="22"/>
  <c r="G9" i="22"/>
  <c r="H9" i="22" s="1"/>
  <c r="D8" i="24"/>
  <c r="H8" i="24"/>
  <c r="I8" i="24"/>
  <c r="D6" i="17"/>
  <c r="D7" i="17" s="1"/>
  <c r="D8" i="17" s="1"/>
  <c r="D9" i="17" s="1"/>
  <c r="D10" i="17" s="1"/>
  <c r="D11" i="17" s="1"/>
  <c r="D12" i="17" s="1"/>
  <c r="D13" i="17" s="1"/>
  <c r="D14" i="17" s="1"/>
  <c r="D15" i="17" s="1"/>
  <c r="D16" i="17" s="1"/>
  <c r="D17" i="17" s="1"/>
  <c r="D18" i="17" s="1"/>
  <c r="E15" i="18"/>
  <c r="E11" i="18"/>
  <c r="N7" i="17"/>
  <c r="O8" i="17"/>
  <c r="Q5" i="13"/>
  <c r="Q6" i="13" s="1"/>
  <c r="Q7" i="13" s="1"/>
  <c r="Q8" i="13" s="1"/>
  <c r="Q9" i="13" s="1"/>
  <c r="Q10" i="13" s="1"/>
  <c r="Q11" i="13" s="1"/>
  <c r="Q12" i="13" s="1"/>
  <c r="Q13" i="13" s="1"/>
  <c r="Q14" i="13" s="1"/>
  <c r="Q15" i="13" s="1"/>
  <c r="Q16" i="13" s="1"/>
  <c r="Q17" i="13" s="1"/>
  <c r="Q18" i="13" s="1"/>
  <c r="Q19" i="13" s="1"/>
  <c r="Q20" i="13" s="1"/>
  <c r="Q21" i="13" s="1"/>
  <c r="Q22" i="13" s="1"/>
  <c r="Q23" i="13" s="1"/>
  <c r="I9" i="22" l="1"/>
  <c r="E16" i="17"/>
  <c r="G10" i="22"/>
  <c r="C61" i="75"/>
  <c r="R4" i="28" a="1"/>
  <c r="P8" i="25"/>
  <c r="D201" i="110"/>
  <c r="D200" i="109"/>
  <c r="C14" i="86"/>
  <c r="D15" i="86" s="1"/>
  <c r="B14" i="76"/>
  <c r="E14" i="76"/>
  <c r="G13" i="76"/>
  <c r="K13" i="76"/>
  <c r="C15" i="31"/>
  <c r="E17" i="31"/>
  <c r="G16" i="31"/>
  <c r="U7" i="25"/>
  <c r="U8" i="25" s="1"/>
  <c r="U9" i="25" s="1"/>
  <c r="Z7" i="25"/>
  <c r="Z8" i="25" s="1"/>
  <c r="Z9" i="25" s="1"/>
  <c r="D10" i="25"/>
  <c r="E17" i="17"/>
  <c r="E11" i="17"/>
  <c r="E12" i="17"/>
  <c r="E18" i="17"/>
  <c r="E9" i="17"/>
  <c r="E10" i="17"/>
  <c r="E8" i="17"/>
  <c r="E13" i="17"/>
  <c r="E14" i="17"/>
  <c r="G11" i="23"/>
  <c r="N11" i="23" s="1"/>
  <c r="F10" i="23"/>
  <c r="E10" i="23"/>
  <c r="D11" i="23" s="1"/>
  <c r="G10" i="23"/>
  <c r="N10" i="23" s="1"/>
  <c r="F10" i="22"/>
  <c r="F8" i="24"/>
  <c r="E8" i="24"/>
  <c r="D9" i="24" s="1"/>
  <c r="G11" i="22"/>
  <c r="I11" i="22" s="1"/>
  <c r="G12" i="22"/>
  <c r="F11" i="22"/>
  <c r="D12" i="22"/>
  <c r="E12" i="22" s="1"/>
  <c r="E15" i="17"/>
  <c r="N8" i="17"/>
  <c r="A5" i="13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C4" i="13"/>
  <c r="C5" i="13" s="1"/>
  <c r="C4" i="11"/>
  <c r="C5" i="11" s="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V5" i="8"/>
  <c r="V6" i="8" s="1"/>
  <c r="V7" i="8" s="1"/>
  <c r="V8" i="8" s="1"/>
  <c r="V9" i="8" s="1"/>
  <c r="V10" i="8" s="1"/>
  <c r="V11" i="8" s="1"/>
  <c r="V12" i="8" s="1"/>
  <c r="V13" i="8" s="1"/>
  <c r="V14" i="8" s="1"/>
  <c r="V15" i="8" s="1"/>
  <c r="V16" i="8" s="1"/>
  <c r="V17" i="8" s="1"/>
  <c r="V18" i="8" s="1"/>
  <c r="X4" i="8"/>
  <c r="X5" i="8" s="1"/>
  <c r="G5" i="8"/>
  <c r="G6" i="8" s="1"/>
  <c r="G7" i="8" s="1"/>
  <c r="G8" i="8" s="1"/>
  <c r="G9" i="8" s="1"/>
  <c r="G10" i="8" s="1"/>
  <c r="G11" i="8" s="1"/>
  <c r="G12" i="8" s="1"/>
  <c r="G13" i="8" s="1"/>
  <c r="G14" i="8" s="1"/>
  <c r="G15" i="8" s="1"/>
  <c r="G16" i="8" s="1"/>
  <c r="G17" i="8" s="1"/>
  <c r="G18" i="8" s="1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I4" i="8"/>
  <c r="I5" i="8" s="1"/>
  <c r="K5" i="8" s="1"/>
  <c r="C4" i="8"/>
  <c r="C5" i="8" s="1"/>
  <c r="E5" i="8" s="1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C4" i="7"/>
  <c r="C5" i="7" s="1"/>
  <c r="G7" i="3"/>
  <c r="G7" i="5"/>
  <c r="C18" i="5"/>
  <c r="E18" i="5" s="1"/>
  <c r="C17" i="5"/>
  <c r="E17" i="5" s="1"/>
  <c r="C16" i="5"/>
  <c r="E16" i="5" s="1"/>
  <c r="C15" i="5"/>
  <c r="E15" i="5" s="1"/>
  <c r="C14" i="5"/>
  <c r="E14" i="5" s="1"/>
  <c r="C13" i="5"/>
  <c r="E13" i="5" s="1"/>
  <c r="C12" i="5"/>
  <c r="E12" i="5" s="1"/>
  <c r="C11" i="5"/>
  <c r="E11" i="5" s="1"/>
  <c r="C10" i="5"/>
  <c r="E10" i="5" s="1"/>
  <c r="C9" i="5"/>
  <c r="E9" i="5" s="1"/>
  <c r="C8" i="5"/>
  <c r="E8" i="5" s="1"/>
  <c r="C7" i="5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C7" i="3"/>
  <c r="D7" i="3" s="1"/>
  <c r="C8" i="3"/>
  <c r="C9" i="3"/>
  <c r="E9" i="3" s="1"/>
  <c r="C10" i="3"/>
  <c r="D10" i="3" s="1"/>
  <c r="C11" i="3"/>
  <c r="D11" i="3" s="1"/>
  <c r="C12" i="3"/>
  <c r="C13" i="3"/>
  <c r="D13" i="3" s="1"/>
  <c r="C14" i="3"/>
  <c r="E14" i="3" s="1"/>
  <c r="C15" i="3"/>
  <c r="D15" i="3" s="1"/>
  <c r="C16" i="3"/>
  <c r="C17" i="3"/>
  <c r="E17" i="3" s="1"/>
  <c r="C18" i="3"/>
  <c r="D18" i="3" s="1"/>
  <c r="C19" i="1"/>
  <c r="D17" i="3"/>
  <c r="E16" i="3"/>
  <c r="D16" i="3"/>
  <c r="E12" i="3"/>
  <c r="D12" i="3"/>
  <c r="E10" i="3"/>
  <c r="E8" i="3"/>
  <c r="D8" i="3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C14" i="1"/>
  <c r="D14" i="1" s="1"/>
  <c r="C15" i="1"/>
  <c r="D15" i="1" s="1"/>
  <c r="C16" i="1"/>
  <c r="D16" i="1" s="1"/>
  <c r="C17" i="1"/>
  <c r="D17" i="1" s="1"/>
  <c r="C18" i="1"/>
  <c r="D18" i="1" s="1"/>
  <c r="C8" i="1"/>
  <c r="D8" i="1" s="1"/>
  <c r="C9" i="1"/>
  <c r="D9" i="1" s="1"/>
  <c r="C10" i="1"/>
  <c r="D10" i="1" s="1"/>
  <c r="C11" i="1"/>
  <c r="E11" i="1" s="1"/>
  <c r="C12" i="1"/>
  <c r="D12" i="1" s="1"/>
  <c r="C13" i="1"/>
  <c r="D13" i="1" s="1"/>
  <c r="C7" i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D14" i="3" l="1"/>
  <c r="R4" i="28"/>
  <c r="V9" i="28"/>
  <c r="V6" i="28"/>
  <c r="R7" i="28"/>
  <c r="X7" i="28"/>
  <c r="R6" i="28"/>
  <c r="R8" i="28"/>
  <c r="T7" i="28"/>
  <c r="U10" i="28"/>
  <c r="V5" i="28"/>
  <c r="X6" i="28"/>
  <c r="U8" i="28"/>
  <c r="X4" i="28"/>
  <c r="U6" i="28"/>
  <c r="W6" i="28"/>
  <c r="U5" i="28"/>
  <c r="U7" i="28"/>
  <c r="X5" i="28"/>
  <c r="T4" i="28"/>
  <c r="S6" i="28"/>
  <c r="X9" i="28"/>
  <c r="T5" i="28"/>
  <c r="U4" i="28"/>
  <c r="X10" i="28"/>
  <c r="T6" i="28"/>
  <c r="R9" i="28"/>
  <c r="V8" i="28"/>
  <c r="R5" i="28"/>
  <c r="T9" i="28"/>
  <c r="W4" i="28"/>
  <c r="R10" i="28"/>
  <c r="T10" i="28"/>
  <c r="W5" i="28"/>
  <c r="U9" i="28"/>
  <c r="S10" i="28"/>
  <c r="W7" i="28"/>
  <c r="S9" i="28"/>
  <c r="V10" i="28"/>
  <c r="W8" i="28"/>
  <c r="S4" i="28"/>
  <c r="X8" i="28"/>
  <c r="W9" i="28"/>
  <c r="S5" i="28"/>
  <c r="S8" i="28"/>
  <c r="V4" i="28"/>
  <c r="W10" i="28"/>
  <c r="T8" i="28"/>
  <c r="V7" i="28"/>
  <c r="S7" i="28"/>
  <c r="C62" i="75"/>
  <c r="D5" i="11"/>
  <c r="E6" i="11" s="1"/>
  <c r="S6" i="11" s="1"/>
  <c r="E18" i="3"/>
  <c r="H10" i="22"/>
  <c r="I10" i="22"/>
  <c r="E13" i="3"/>
  <c r="D201" i="109"/>
  <c r="D202" i="110"/>
  <c r="C15" i="86"/>
  <c r="D16" i="86" s="1"/>
  <c r="B15" i="76"/>
  <c r="E15" i="76"/>
  <c r="K14" i="76"/>
  <c r="G14" i="76"/>
  <c r="C16" i="31"/>
  <c r="E18" i="31"/>
  <c r="G17" i="31"/>
  <c r="D11" i="25"/>
  <c r="C6" i="7"/>
  <c r="E12" i="1"/>
  <c r="D24" i="1"/>
  <c r="D11" i="1"/>
  <c r="E14" i="1"/>
  <c r="E7" i="1"/>
  <c r="E25" i="1"/>
  <c r="D7" i="1"/>
  <c r="E11" i="23"/>
  <c r="G12" i="23" s="1"/>
  <c r="N12" i="23" s="1"/>
  <c r="F11" i="23"/>
  <c r="D12" i="23"/>
  <c r="I10" i="23"/>
  <c r="H10" i="23"/>
  <c r="I11" i="23"/>
  <c r="H11" i="23"/>
  <c r="H11" i="22"/>
  <c r="G9" i="24"/>
  <c r="I9" i="24" s="1"/>
  <c r="F9" i="24"/>
  <c r="E9" i="24"/>
  <c r="G10" i="24" s="1"/>
  <c r="F12" i="22"/>
  <c r="G13" i="22"/>
  <c r="D13" i="22"/>
  <c r="E13" i="22" s="1"/>
  <c r="I12" i="22"/>
  <c r="H12" i="22"/>
  <c r="N9" i="17"/>
  <c r="O9" i="17"/>
  <c r="D5" i="13"/>
  <c r="E6" i="13" s="1"/>
  <c r="S6" i="13" s="1"/>
  <c r="E5" i="13"/>
  <c r="S5" i="13" s="1"/>
  <c r="E5" i="11"/>
  <c r="S5" i="11" s="1"/>
  <c r="X6" i="8"/>
  <c r="Z5" i="8"/>
  <c r="Y5" i="8"/>
  <c r="C6" i="8"/>
  <c r="I6" i="8"/>
  <c r="D5" i="8"/>
  <c r="J5" i="8"/>
  <c r="E5" i="7"/>
  <c r="D5" i="7"/>
  <c r="D7" i="5"/>
  <c r="D8" i="5"/>
  <c r="D9" i="5"/>
  <c r="D10" i="5"/>
  <c r="D11" i="5"/>
  <c r="D12" i="5"/>
  <c r="D13" i="5"/>
  <c r="D14" i="5"/>
  <c r="D15" i="5"/>
  <c r="D16" i="5"/>
  <c r="D17" i="5"/>
  <c r="D18" i="5"/>
  <c r="E7" i="5"/>
  <c r="E21" i="5" s="1"/>
  <c r="D24" i="3"/>
  <c r="D9" i="3"/>
  <c r="E15" i="3"/>
  <c r="E11" i="3"/>
  <c r="D22" i="3"/>
  <c r="E7" i="3"/>
  <c r="E22" i="3" s="1"/>
  <c r="E24" i="3"/>
  <c r="E25" i="3"/>
  <c r="E24" i="1"/>
  <c r="E13" i="1"/>
  <c r="E9" i="1"/>
  <c r="E10" i="1"/>
  <c r="E8" i="1"/>
  <c r="E17" i="1"/>
  <c r="E18" i="1"/>
  <c r="E15" i="1"/>
  <c r="E16" i="1"/>
  <c r="G5" i="11" l="1"/>
  <c r="C6" i="11"/>
  <c r="F5" i="11"/>
  <c r="D22" i="1"/>
  <c r="C63" i="75"/>
  <c r="R15" i="28" a="1"/>
  <c r="D203" i="110"/>
  <c r="D202" i="109"/>
  <c r="C16" i="86"/>
  <c r="D17" i="86" s="1"/>
  <c r="B16" i="76"/>
  <c r="E16" i="76"/>
  <c r="G15" i="76"/>
  <c r="K15" i="76"/>
  <c r="C17" i="31"/>
  <c r="E19" i="31"/>
  <c r="G18" i="31"/>
  <c r="D12" i="25"/>
  <c r="C7" i="7"/>
  <c r="F12" i="23"/>
  <c r="E12" i="23"/>
  <c r="D13" i="23" s="1"/>
  <c r="H12" i="23"/>
  <c r="I12" i="23"/>
  <c r="H9" i="24"/>
  <c r="D10" i="24"/>
  <c r="F10" i="24" s="1"/>
  <c r="H10" i="24"/>
  <c r="I10" i="24"/>
  <c r="H13" i="22"/>
  <c r="I13" i="22"/>
  <c r="D14" i="22"/>
  <c r="E14" i="22" s="1"/>
  <c r="G14" i="22"/>
  <c r="F13" i="22"/>
  <c r="N10" i="17"/>
  <c r="O11" i="17" s="1"/>
  <c r="O10" i="17"/>
  <c r="C6" i="13"/>
  <c r="G5" i="13"/>
  <c r="F5" i="13"/>
  <c r="F6" i="11"/>
  <c r="G6" i="11"/>
  <c r="X7" i="8"/>
  <c r="Z6" i="8"/>
  <c r="Y6" i="8"/>
  <c r="E6" i="8"/>
  <c r="C7" i="8"/>
  <c r="D6" i="8"/>
  <c r="K6" i="8"/>
  <c r="I7" i="8"/>
  <c r="J6" i="8"/>
  <c r="D6" i="7"/>
  <c r="E6" i="7"/>
  <c r="D21" i="5"/>
  <c r="E22" i="1"/>
  <c r="R15" i="28" l="1"/>
  <c r="T18" i="28"/>
  <c r="U16" i="28"/>
  <c r="R18" i="28"/>
  <c r="V20" i="28"/>
  <c r="S18" i="28"/>
  <c r="R19" i="28"/>
  <c r="V16" i="28"/>
  <c r="U21" i="28"/>
  <c r="X18" i="28"/>
  <c r="X15" i="28"/>
  <c r="R35" i="28" s="1"/>
  <c r="S17" i="28"/>
  <c r="T15" i="28"/>
  <c r="U17" i="28"/>
  <c r="R20" i="28"/>
  <c r="R17" i="28"/>
  <c r="U18" i="28"/>
  <c r="X16" i="28"/>
  <c r="X17" i="28"/>
  <c r="U15" i="28"/>
  <c r="X20" i="28"/>
  <c r="T16" i="28"/>
  <c r="W17" i="28"/>
  <c r="X21" i="28"/>
  <c r="T17" i="28"/>
  <c r="V19" i="28"/>
  <c r="R21" i="28"/>
  <c r="T20" i="28"/>
  <c r="W15" i="28"/>
  <c r="R16" i="28"/>
  <c r="T21" i="28"/>
  <c r="W16" i="28"/>
  <c r="W18" i="28"/>
  <c r="S19" i="28"/>
  <c r="W21" i="28"/>
  <c r="U20" i="28"/>
  <c r="S20" i="28"/>
  <c r="V15" i="28"/>
  <c r="X19" i="28"/>
  <c r="W19" i="28"/>
  <c r="S15" i="28"/>
  <c r="V21" i="28"/>
  <c r="W20" i="28"/>
  <c r="S16" i="28"/>
  <c r="U19" i="28"/>
  <c r="V17" i="28"/>
  <c r="V18" i="28"/>
  <c r="S21" i="28"/>
  <c r="T19" i="28"/>
  <c r="G13" i="23"/>
  <c r="N13" i="23" s="1"/>
  <c r="C64" i="75"/>
  <c r="D6" i="11"/>
  <c r="E7" i="11" s="1"/>
  <c r="S7" i="11" s="1"/>
  <c r="D203" i="109"/>
  <c r="D204" i="110"/>
  <c r="C17" i="86"/>
  <c r="D18" i="86" s="1"/>
  <c r="B17" i="76"/>
  <c r="E17" i="76"/>
  <c r="G16" i="76"/>
  <c r="K16" i="76"/>
  <c r="C18" i="31"/>
  <c r="G19" i="31"/>
  <c r="D13" i="25"/>
  <c r="P9" i="25"/>
  <c r="P10" i="25"/>
  <c r="C8" i="7"/>
  <c r="E13" i="23"/>
  <c r="D14" i="23" s="1"/>
  <c r="G14" i="23"/>
  <c r="N14" i="23" s="1"/>
  <c r="F13" i="23"/>
  <c r="I13" i="23"/>
  <c r="H13" i="23"/>
  <c r="E10" i="24"/>
  <c r="D11" i="24" s="1"/>
  <c r="E11" i="24" s="1"/>
  <c r="G12" i="24" s="1"/>
  <c r="F14" i="22"/>
  <c r="G15" i="22"/>
  <c r="D15" i="22"/>
  <c r="E15" i="22" s="1"/>
  <c r="I14" i="22"/>
  <c r="H14" i="22"/>
  <c r="N11" i="17"/>
  <c r="D6" i="13"/>
  <c r="E7" i="13" s="1"/>
  <c r="S7" i="13" s="1"/>
  <c r="X8" i="8"/>
  <c r="Z7" i="8"/>
  <c r="Y7" i="8"/>
  <c r="K7" i="8"/>
  <c r="J7" i="8"/>
  <c r="I8" i="8"/>
  <c r="E7" i="8"/>
  <c r="D7" i="8"/>
  <c r="C8" i="8"/>
  <c r="E7" i="7"/>
  <c r="D7" i="7"/>
  <c r="C7" i="11" l="1"/>
  <c r="C65" i="75"/>
  <c r="G7" i="11"/>
  <c r="D205" i="110"/>
  <c r="D204" i="109"/>
  <c r="C18" i="86"/>
  <c r="D19" i="86" s="1"/>
  <c r="B18" i="76"/>
  <c r="E18" i="76"/>
  <c r="G17" i="76"/>
  <c r="K17" i="76"/>
  <c r="C19" i="31"/>
  <c r="D14" i="25"/>
  <c r="C9" i="7"/>
  <c r="F14" i="23"/>
  <c r="E14" i="23"/>
  <c r="G15" i="23" s="1"/>
  <c r="N15" i="23" s="1"/>
  <c r="D15" i="23"/>
  <c r="I14" i="23"/>
  <c r="H14" i="23"/>
  <c r="G11" i="24"/>
  <c r="I11" i="24" s="1"/>
  <c r="F11" i="24"/>
  <c r="D12" i="24"/>
  <c r="F12" i="24" s="1"/>
  <c r="I12" i="24"/>
  <c r="H12" i="24"/>
  <c r="H15" i="22"/>
  <c r="I15" i="22"/>
  <c r="D16" i="22"/>
  <c r="E16" i="22" s="1"/>
  <c r="G16" i="22"/>
  <c r="F15" i="22"/>
  <c r="N12" i="17"/>
  <c r="O12" i="17"/>
  <c r="C7" i="13"/>
  <c r="G7" i="13"/>
  <c r="F7" i="13"/>
  <c r="F6" i="13"/>
  <c r="G6" i="13"/>
  <c r="F7" i="11"/>
  <c r="X9" i="8"/>
  <c r="Z8" i="8"/>
  <c r="Y8" i="8"/>
  <c r="E8" i="8"/>
  <c r="C9" i="8"/>
  <c r="D8" i="8"/>
  <c r="K8" i="8"/>
  <c r="I9" i="8"/>
  <c r="J8" i="8"/>
  <c r="E8" i="7"/>
  <c r="D8" i="7"/>
  <c r="C66" i="75" l="1"/>
  <c r="D7" i="11"/>
  <c r="C8" i="11" s="1"/>
  <c r="G6" i="109"/>
  <c r="C19" i="86"/>
  <c r="D20" i="86" s="1"/>
  <c r="B19" i="76"/>
  <c r="K18" i="76"/>
  <c r="E19" i="76"/>
  <c r="G18" i="76"/>
  <c r="C20" i="31"/>
  <c r="C10" i="7"/>
  <c r="H15" i="23"/>
  <c r="I15" i="23"/>
  <c r="E15" i="23"/>
  <c r="G16" i="23" s="1"/>
  <c r="N16" i="23" s="1"/>
  <c r="F15" i="23"/>
  <c r="H11" i="24"/>
  <c r="E12" i="24"/>
  <c r="G13" i="24" s="1"/>
  <c r="I13" i="24" s="1"/>
  <c r="F16" i="22"/>
  <c r="D17" i="22"/>
  <c r="E17" i="22" s="1"/>
  <c r="G17" i="22"/>
  <c r="H16" i="22"/>
  <c r="I16" i="22"/>
  <c r="N13" i="17"/>
  <c r="O13" i="17"/>
  <c r="D7" i="13"/>
  <c r="C8" i="13" s="1"/>
  <c r="X10" i="8"/>
  <c r="Z9" i="8"/>
  <c r="Y9" i="8"/>
  <c r="K9" i="8"/>
  <c r="I10" i="8"/>
  <c r="J9" i="8"/>
  <c r="E9" i="8"/>
  <c r="D9" i="8"/>
  <c r="C10" i="8"/>
  <c r="E9" i="7"/>
  <c r="D9" i="7"/>
  <c r="E8" i="11" l="1"/>
  <c r="S8" i="11" s="1"/>
  <c r="D8" i="11"/>
  <c r="C9" i="11" s="1"/>
  <c r="C67" i="75"/>
  <c r="C20" i="86"/>
  <c r="D21" i="86" s="1"/>
  <c r="B20" i="76"/>
  <c r="E20" i="76"/>
  <c r="G19" i="76"/>
  <c r="K19" i="76"/>
  <c r="C21" i="31"/>
  <c r="C11" i="7"/>
  <c r="H16" i="23"/>
  <c r="I16" i="23"/>
  <c r="D16" i="23"/>
  <c r="H13" i="24"/>
  <c r="D13" i="24"/>
  <c r="H17" i="22"/>
  <c r="I17" i="22"/>
  <c r="D18" i="22"/>
  <c r="E18" i="22" s="1"/>
  <c r="G18" i="22"/>
  <c r="F17" i="22"/>
  <c r="N14" i="17"/>
  <c r="O14" i="17"/>
  <c r="E8" i="13"/>
  <c r="S8" i="13" s="1"/>
  <c r="D8" i="13"/>
  <c r="C9" i="13" s="1"/>
  <c r="X11" i="8"/>
  <c r="Z10" i="8"/>
  <c r="Y10" i="8"/>
  <c r="E10" i="8"/>
  <c r="C11" i="8"/>
  <c r="D10" i="8"/>
  <c r="K10" i="8"/>
  <c r="I11" i="8"/>
  <c r="J10" i="8"/>
  <c r="E10" i="7"/>
  <c r="D10" i="7"/>
  <c r="C68" i="75" l="1"/>
  <c r="D9" i="11"/>
  <c r="C10" i="11" s="1"/>
  <c r="E9" i="11"/>
  <c r="S9" i="11" s="1"/>
  <c r="C21" i="86"/>
  <c r="D22" i="86" s="1"/>
  <c r="B21" i="76"/>
  <c r="E21" i="76"/>
  <c r="G20" i="76"/>
  <c r="K20" i="76"/>
  <c r="C22" i="31"/>
  <c r="C12" i="7"/>
  <c r="F16" i="23"/>
  <c r="E16" i="23"/>
  <c r="D17" i="23" s="1"/>
  <c r="E13" i="24"/>
  <c r="F13" i="24"/>
  <c r="F18" i="22"/>
  <c r="G19" i="22"/>
  <c r="H18" i="22"/>
  <c r="I18" i="22"/>
  <c r="N15" i="17"/>
  <c r="O15" i="17"/>
  <c r="E9" i="13"/>
  <c r="S9" i="13" s="1"/>
  <c r="D9" i="13"/>
  <c r="C10" i="13" s="1"/>
  <c r="F8" i="13"/>
  <c r="G8" i="13"/>
  <c r="F8" i="11"/>
  <c r="G8" i="11"/>
  <c r="G9" i="11"/>
  <c r="F9" i="11"/>
  <c r="X12" i="8"/>
  <c r="Z11" i="8"/>
  <c r="Y11" i="8"/>
  <c r="E11" i="8"/>
  <c r="D11" i="8"/>
  <c r="C12" i="8"/>
  <c r="K11" i="8"/>
  <c r="J11" i="8"/>
  <c r="I12" i="8"/>
  <c r="E11" i="7"/>
  <c r="D11" i="7"/>
  <c r="E10" i="11" l="1"/>
  <c r="S10" i="11" s="1"/>
  <c r="D10" i="11"/>
  <c r="C11" i="11" s="1"/>
  <c r="C69" i="75"/>
  <c r="C22" i="86"/>
  <c r="D23" i="86" s="1"/>
  <c r="B22" i="76"/>
  <c r="E22" i="76"/>
  <c r="G21" i="76"/>
  <c r="K21" i="76"/>
  <c r="C23" i="31"/>
  <c r="C13" i="7"/>
  <c r="E17" i="23"/>
  <c r="D18" i="23" s="1"/>
  <c r="F17" i="23"/>
  <c r="G17" i="23"/>
  <c r="N17" i="23" s="1"/>
  <c r="G14" i="24"/>
  <c r="D14" i="24"/>
  <c r="H19" i="22"/>
  <c r="H22" i="22" s="1"/>
  <c r="I19" i="22"/>
  <c r="I22" i="22" s="1"/>
  <c r="D19" i="22"/>
  <c r="E19" i="22" s="1"/>
  <c r="N16" i="17"/>
  <c r="O16" i="17"/>
  <c r="D10" i="13"/>
  <c r="E11" i="13" s="1"/>
  <c r="S11" i="13" s="1"/>
  <c r="E10" i="13"/>
  <c r="S10" i="13" s="1"/>
  <c r="G9" i="13"/>
  <c r="F9" i="13"/>
  <c r="X13" i="8"/>
  <c r="Z12" i="8"/>
  <c r="Y12" i="8"/>
  <c r="K12" i="8"/>
  <c r="J12" i="8"/>
  <c r="I13" i="8"/>
  <c r="E12" i="8"/>
  <c r="C13" i="8"/>
  <c r="D12" i="8"/>
  <c r="E12" i="7"/>
  <c r="D12" i="7"/>
  <c r="D11" i="11" l="1"/>
  <c r="C12" i="11" s="1"/>
  <c r="E12" i="11"/>
  <c r="S12" i="11" s="1"/>
  <c r="G18" i="23"/>
  <c r="N18" i="23" s="1"/>
  <c r="C70" i="75"/>
  <c r="E11" i="11"/>
  <c r="S11" i="11" s="1"/>
  <c r="C23" i="86"/>
  <c r="D24" i="86" s="1"/>
  <c r="B23" i="76"/>
  <c r="G22" i="76"/>
  <c r="K22" i="76"/>
  <c r="E23" i="76"/>
  <c r="C24" i="31"/>
  <c r="C14" i="7"/>
  <c r="F18" i="23"/>
  <c r="E18" i="23"/>
  <c r="D19" i="23" s="1"/>
  <c r="H18" i="23"/>
  <c r="I18" i="23"/>
  <c r="I17" i="23"/>
  <c r="H17" i="23"/>
  <c r="H14" i="24"/>
  <c r="I14" i="24"/>
  <c r="E14" i="24"/>
  <c r="G15" i="24" s="1"/>
  <c r="F14" i="24"/>
  <c r="F19" i="22"/>
  <c r="N17" i="17"/>
  <c r="O17" i="17"/>
  <c r="C11" i="13"/>
  <c r="G11" i="13"/>
  <c r="F11" i="13"/>
  <c r="F10" i="13"/>
  <c r="G10" i="13"/>
  <c r="F10" i="11"/>
  <c r="G10" i="11"/>
  <c r="X14" i="8"/>
  <c r="Z13" i="8"/>
  <c r="Y13" i="8"/>
  <c r="K13" i="8"/>
  <c r="J13" i="8"/>
  <c r="I14" i="8"/>
  <c r="E13" i="8"/>
  <c r="C14" i="8"/>
  <c r="D13" i="8"/>
  <c r="E13" i="7"/>
  <c r="D13" i="7"/>
  <c r="N20" i="23" l="1"/>
  <c r="N22" i="23"/>
  <c r="C71" i="75"/>
  <c r="D12" i="11"/>
  <c r="C13" i="11" s="1"/>
  <c r="G19" i="23"/>
  <c r="N19" i="23"/>
  <c r="C24" i="86"/>
  <c r="D25" i="86" s="1"/>
  <c r="B24" i="76"/>
  <c r="G23" i="76"/>
  <c r="K23" i="76"/>
  <c r="E24" i="76"/>
  <c r="C25" i="31"/>
  <c r="C15" i="7"/>
  <c r="F19" i="23"/>
  <c r="E19" i="23"/>
  <c r="N21" i="23" s="1"/>
  <c r="I15" i="24"/>
  <c r="H15" i="24"/>
  <c r="D15" i="24"/>
  <c r="N18" i="17"/>
  <c r="O18" i="17"/>
  <c r="D11" i="13"/>
  <c r="E12" i="13" s="1"/>
  <c r="S12" i="13" s="1"/>
  <c r="X15" i="8"/>
  <c r="Z14" i="8"/>
  <c r="Y14" i="8"/>
  <c r="K14" i="8"/>
  <c r="I15" i="8"/>
  <c r="J14" i="8"/>
  <c r="E14" i="8"/>
  <c r="C15" i="8"/>
  <c r="D14" i="8"/>
  <c r="E14" i="7"/>
  <c r="D14" i="7"/>
  <c r="D13" i="11" l="1"/>
  <c r="E14" i="11" s="1"/>
  <c r="S14" i="11" s="1"/>
  <c r="E13" i="11"/>
  <c r="S13" i="11" s="1"/>
  <c r="C72" i="75"/>
  <c r="N23" i="23"/>
  <c r="C25" i="86"/>
  <c r="D26" i="86" s="1"/>
  <c r="B25" i="76"/>
  <c r="E25" i="76"/>
  <c r="G24" i="76"/>
  <c r="K24" i="76"/>
  <c r="C26" i="31"/>
  <c r="C16" i="7"/>
  <c r="I19" i="23"/>
  <c r="I22" i="23" s="1"/>
  <c r="H19" i="23"/>
  <c r="H22" i="23" s="1"/>
  <c r="E15" i="24"/>
  <c r="G16" i="24" s="1"/>
  <c r="F15" i="24"/>
  <c r="C12" i="13"/>
  <c r="D12" i="13" s="1"/>
  <c r="F12" i="13"/>
  <c r="G12" i="13"/>
  <c r="F11" i="11"/>
  <c r="G11" i="11"/>
  <c r="X16" i="8"/>
  <c r="Z15" i="8"/>
  <c r="Y15" i="8"/>
  <c r="K15" i="8"/>
  <c r="I16" i="8"/>
  <c r="J15" i="8"/>
  <c r="E15" i="8"/>
  <c r="C16" i="8"/>
  <c r="D15" i="8"/>
  <c r="D15" i="7"/>
  <c r="E15" i="7"/>
  <c r="C73" i="75" l="1"/>
  <c r="C14" i="11"/>
  <c r="K25" i="76"/>
  <c r="E26" i="76"/>
  <c r="G25" i="76"/>
  <c r="C26" i="86"/>
  <c r="D27" i="86" s="1"/>
  <c r="B26" i="76"/>
  <c r="C27" i="31"/>
  <c r="C17" i="7"/>
  <c r="C18" i="7" s="1"/>
  <c r="C19" i="7" s="1"/>
  <c r="D16" i="24"/>
  <c r="F16" i="24" s="1"/>
  <c r="I16" i="24"/>
  <c r="H16" i="24"/>
  <c r="E13" i="13"/>
  <c r="S13" i="13" s="1"/>
  <c r="C13" i="13"/>
  <c r="D13" i="13" s="1"/>
  <c r="E14" i="13" s="1"/>
  <c r="S14" i="13" s="1"/>
  <c r="X17" i="8"/>
  <c r="Z16" i="8"/>
  <c r="Y16" i="8"/>
  <c r="K16" i="8"/>
  <c r="I17" i="8"/>
  <c r="J16" i="8"/>
  <c r="E16" i="8"/>
  <c r="C17" i="8"/>
  <c r="D16" i="8"/>
  <c r="E16" i="7"/>
  <c r="D16" i="7"/>
  <c r="D14" i="11" l="1"/>
  <c r="E15" i="11" s="1"/>
  <c r="S15" i="11" s="1"/>
  <c r="C74" i="75"/>
  <c r="C27" i="86"/>
  <c r="D28" i="86" s="1"/>
  <c r="B27" i="76"/>
  <c r="K26" i="76"/>
  <c r="G26" i="76"/>
  <c r="E27" i="76"/>
  <c r="C28" i="31"/>
  <c r="E16" i="24"/>
  <c r="G17" i="24" s="1"/>
  <c r="C14" i="13"/>
  <c r="D14" i="13" s="1"/>
  <c r="C15" i="13" s="1"/>
  <c r="G13" i="13"/>
  <c r="F13" i="13"/>
  <c r="F14" i="13"/>
  <c r="G14" i="13"/>
  <c r="F12" i="11"/>
  <c r="G12" i="11"/>
  <c r="X18" i="8"/>
  <c r="Z17" i="8"/>
  <c r="Y17" i="8"/>
  <c r="K17" i="8"/>
  <c r="I18" i="8"/>
  <c r="J17" i="8"/>
  <c r="E17" i="8"/>
  <c r="C18" i="8"/>
  <c r="D17" i="8"/>
  <c r="E17" i="7"/>
  <c r="D17" i="7"/>
  <c r="C75" i="75" l="1"/>
  <c r="C15" i="11"/>
  <c r="C28" i="86"/>
  <c r="D29" i="86" s="1"/>
  <c r="B28" i="76"/>
  <c r="G27" i="76"/>
  <c r="K27" i="76"/>
  <c r="E28" i="76"/>
  <c r="C29" i="31"/>
  <c r="D17" i="24"/>
  <c r="F17" i="24" s="1"/>
  <c r="H17" i="24"/>
  <c r="I17" i="24"/>
  <c r="E15" i="13"/>
  <c r="S15" i="13" s="1"/>
  <c r="D15" i="13"/>
  <c r="C16" i="13" s="1"/>
  <c r="Z18" i="8"/>
  <c r="Y21" i="8" s="1"/>
  <c r="Z21" i="8" s="1"/>
  <c r="Y18" i="8"/>
  <c r="X21" i="8" s="1"/>
  <c r="K18" i="8"/>
  <c r="J21" i="8" s="1"/>
  <c r="K21" i="8" s="1"/>
  <c r="J18" i="8"/>
  <c r="I21" i="8" s="1"/>
  <c r="E18" i="8"/>
  <c r="D21" i="8" s="1"/>
  <c r="E21" i="8" s="1"/>
  <c r="D18" i="8"/>
  <c r="C21" i="8" s="1"/>
  <c r="D18" i="7"/>
  <c r="D21" i="7" s="1"/>
  <c r="E18" i="7"/>
  <c r="E21" i="7" s="1"/>
  <c r="D15" i="11" l="1"/>
  <c r="E16" i="11" s="1"/>
  <c r="S16" i="11" s="1"/>
  <c r="C76" i="75"/>
  <c r="C29" i="86"/>
  <c r="D30" i="86" s="1"/>
  <c r="B29" i="76"/>
  <c r="E29" i="76"/>
  <c r="G28" i="76"/>
  <c r="K28" i="76"/>
  <c r="C30" i="31"/>
  <c r="E17" i="24"/>
  <c r="G18" i="24" s="1"/>
  <c r="H18" i="24" s="1"/>
  <c r="F15" i="13"/>
  <c r="G15" i="13"/>
  <c r="D16" i="13"/>
  <c r="E17" i="13" s="1"/>
  <c r="S17" i="13" s="1"/>
  <c r="E16" i="13"/>
  <c r="S16" i="13" s="1"/>
  <c r="F13" i="11"/>
  <c r="G13" i="11"/>
  <c r="C77" i="75" l="1"/>
  <c r="C16" i="11"/>
  <c r="C30" i="86"/>
  <c r="D31" i="86" s="1"/>
  <c r="B30" i="76"/>
  <c r="K29" i="76"/>
  <c r="E30" i="76"/>
  <c r="G29" i="76"/>
  <c r="C31" i="31"/>
  <c r="D18" i="24"/>
  <c r="F18" i="24" s="1"/>
  <c r="I18" i="24"/>
  <c r="C17" i="13"/>
  <c r="G17" i="13"/>
  <c r="F17" i="13"/>
  <c r="F16" i="13"/>
  <c r="G16" i="13"/>
  <c r="D16" i="11" l="1"/>
  <c r="E17" i="11" s="1"/>
  <c r="S17" i="11" s="1"/>
  <c r="C78" i="75"/>
  <c r="C31" i="86"/>
  <c r="D32" i="86" s="1"/>
  <c r="B31" i="76"/>
  <c r="E31" i="76"/>
  <c r="K30" i="76"/>
  <c r="G30" i="76"/>
  <c r="C32" i="31"/>
  <c r="E18" i="24"/>
  <c r="D19" i="24" s="1"/>
  <c r="F19" i="24" s="1"/>
  <c r="D17" i="13"/>
  <c r="C18" i="13" s="1"/>
  <c r="F14" i="11"/>
  <c r="G14" i="11"/>
  <c r="D18" i="13" l="1"/>
  <c r="S19" i="13" s="1"/>
  <c r="S23" i="13"/>
  <c r="C79" i="75"/>
  <c r="C17" i="11"/>
  <c r="C32" i="86"/>
  <c r="D33" i="86" s="1"/>
  <c r="B32" i="76"/>
  <c r="K31" i="76"/>
  <c r="E32" i="76"/>
  <c r="G31" i="76"/>
  <c r="C33" i="31"/>
  <c r="E19" i="24"/>
  <c r="G19" i="24"/>
  <c r="E18" i="13"/>
  <c r="C80" i="75" l="1"/>
  <c r="G18" i="13"/>
  <c r="F21" i="13" s="1"/>
  <c r="G21" i="13" s="1"/>
  <c r="S18" i="13"/>
  <c r="S22" i="13"/>
  <c r="S21" i="13"/>
  <c r="S20" i="13"/>
  <c r="D17" i="11"/>
  <c r="E18" i="11" s="1"/>
  <c r="S18" i="11" s="1"/>
  <c r="C33" i="86"/>
  <c r="D34" i="86" s="1"/>
  <c r="B33" i="76"/>
  <c r="E33" i="76"/>
  <c r="G32" i="76"/>
  <c r="K32" i="76"/>
  <c r="C34" i="31"/>
  <c r="I19" i="24"/>
  <c r="I22" i="24" s="1"/>
  <c r="H19" i="24"/>
  <c r="H22" i="24" s="1"/>
  <c r="F18" i="13"/>
  <c r="E21" i="13" s="1"/>
  <c r="G15" i="11"/>
  <c r="F15" i="11"/>
  <c r="C18" i="11" l="1"/>
  <c r="C81" i="75"/>
  <c r="C34" i="86"/>
  <c r="D35" i="86" s="1"/>
  <c r="B34" i="76"/>
  <c r="K33" i="76"/>
  <c r="E34" i="76"/>
  <c r="G33" i="76"/>
  <c r="I23" i="77"/>
  <c r="I22" i="77"/>
  <c r="C35" i="31"/>
  <c r="C82" i="75" l="1"/>
  <c r="D18" i="11"/>
  <c r="S19" i="11" s="1"/>
  <c r="S21" i="11"/>
  <c r="S22" i="11"/>
  <c r="S23" i="11"/>
  <c r="K34" i="76"/>
  <c r="G34" i="76"/>
  <c r="E35" i="76"/>
  <c r="C35" i="86"/>
  <c r="D36" i="86" s="1"/>
  <c r="B35" i="76"/>
  <c r="C36" i="31"/>
  <c r="F16" i="11"/>
  <c r="G16" i="11"/>
  <c r="S20" i="11" l="1"/>
  <c r="C83" i="75"/>
  <c r="C36" i="86"/>
  <c r="D37" i="86" s="1"/>
  <c r="B36" i="76"/>
  <c r="K35" i="76"/>
  <c r="E36" i="76"/>
  <c r="G35" i="76"/>
  <c r="C37" i="31"/>
  <c r="C84" i="75" l="1"/>
  <c r="C37" i="86"/>
  <c r="D38" i="86" s="1"/>
  <c r="B37" i="76"/>
  <c r="E37" i="76"/>
  <c r="G36" i="76"/>
  <c r="K36" i="76"/>
  <c r="C38" i="31"/>
  <c r="F18" i="11"/>
  <c r="E21" i="11" s="1"/>
  <c r="G17" i="11"/>
  <c r="F17" i="11"/>
  <c r="C85" i="75" l="1"/>
  <c r="C38" i="86"/>
  <c r="D39" i="86" s="1"/>
  <c r="B38" i="76"/>
  <c r="G37" i="76"/>
  <c r="E38" i="76"/>
  <c r="K37" i="76"/>
  <c r="C39" i="31"/>
  <c r="G18" i="11"/>
  <c r="F21" i="11" s="1"/>
  <c r="G21" i="11" s="1"/>
  <c r="C86" i="75" l="1"/>
  <c r="C39" i="86"/>
  <c r="D40" i="86" s="1"/>
  <c r="B39" i="76"/>
  <c r="G38" i="76"/>
  <c r="K38" i="76"/>
  <c r="E39" i="76"/>
  <c r="C40" i="31"/>
  <c r="C87" i="75" l="1"/>
  <c r="E40" i="76"/>
  <c r="G39" i="76"/>
  <c r="K39" i="76"/>
  <c r="C40" i="86"/>
  <c r="D41" i="86" s="1"/>
  <c r="B40" i="76"/>
  <c r="C41" i="31"/>
  <c r="C88" i="75" l="1"/>
  <c r="C41" i="86"/>
  <c r="D42" i="86" s="1"/>
  <c r="B41" i="76"/>
  <c r="E41" i="76"/>
  <c r="G40" i="76"/>
  <c r="K40" i="76"/>
  <c r="C42" i="31"/>
  <c r="C89" i="75" l="1"/>
  <c r="C42" i="86"/>
  <c r="D43" i="86" s="1"/>
  <c r="B42" i="76"/>
  <c r="K41" i="76"/>
  <c r="E42" i="76"/>
  <c r="G41" i="76"/>
  <c r="C43" i="31"/>
  <c r="C90" i="75" l="1"/>
  <c r="K42" i="76"/>
  <c r="G42" i="76"/>
  <c r="E43" i="76"/>
  <c r="C43" i="86"/>
  <c r="D44" i="86" s="1"/>
  <c r="B43" i="76"/>
  <c r="C44" i="31"/>
  <c r="C91" i="75" l="1"/>
  <c r="C44" i="86"/>
  <c r="D45" i="86" s="1"/>
  <c r="B44" i="76"/>
  <c r="E44" i="76"/>
  <c r="K43" i="76"/>
  <c r="G43" i="76"/>
  <c r="C45" i="31"/>
  <c r="C92" i="75" l="1"/>
  <c r="C45" i="86"/>
  <c r="D46" i="86" s="1"/>
  <c r="B45" i="76"/>
  <c r="E45" i="76"/>
  <c r="G44" i="76"/>
  <c r="K44" i="76"/>
  <c r="C46" i="31"/>
  <c r="C93" i="75" l="1"/>
  <c r="E46" i="76"/>
  <c r="G45" i="76"/>
  <c r="K45" i="76"/>
  <c r="C46" i="86"/>
  <c r="D47" i="86" s="1"/>
  <c r="B46" i="76"/>
  <c r="C47" i="31"/>
  <c r="C94" i="75" l="1"/>
  <c r="C47" i="86"/>
  <c r="D48" i="86" s="1"/>
  <c r="B47" i="76"/>
  <c r="E47" i="76"/>
  <c r="G46" i="76"/>
  <c r="K46" i="76"/>
  <c r="C48" i="31"/>
  <c r="C95" i="75" l="1"/>
  <c r="C48" i="86"/>
  <c r="D49" i="86" s="1"/>
  <c r="B48" i="76"/>
  <c r="E48" i="76"/>
  <c r="G47" i="76"/>
  <c r="K47" i="76"/>
  <c r="C49" i="31"/>
  <c r="C96" i="75" l="1"/>
  <c r="C49" i="86"/>
  <c r="D50" i="86" s="1"/>
  <c r="B49" i="76"/>
  <c r="E49" i="76"/>
  <c r="G48" i="76"/>
  <c r="K48" i="76"/>
  <c r="C50" i="31"/>
  <c r="C97" i="75" l="1"/>
  <c r="C50" i="86"/>
  <c r="D51" i="86" s="1"/>
  <c r="B50" i="76"/>
  <c r="E50" i="76"/>
  <c r="G49" i="76"/>
  <c r="K49" i="76"/>
  <c r="C51" i="31"/>
  <c r="C98" i="75" l="1"/>
  <c r="C51" i="86"/>
  <c r="D52" i="86" s="1"/>
  <c r="B51" i="76"/>
  <c r="K50" i="76"/>
  <c r="G50" i="76"/>
  <c r="E51" i="76"/>
  <c r="C52" i="31"/>
  <c r="C99" i="75" l="1"/>
  <c r="C52" i="86"/>
  <c r="D53" i="86" s="1"/>
  <c r="B52" i="76"/>
  <c r="E52" i="76"/>
  <c r="G51" i="76"/>
  <c r="K51" i="76"/>
  <c r="C53" i="31"/>
  <c r="C100" i="75" l="1"/>
  <c r="E53" i="76"/>
  <c r="G52" i="76"/>
  <c r="K52" i="76"/>
  <c r="C53" i="86"/>
  <c r="D54" i="86" s="1"/>
  <c r="B53" i="76"/>
  <c r="C54" i="31"/>
  <c r="C101" i="75" l="1"/>
  <c r="K53" i="76"/>
  <c r="E54" i="76"/>
  <c r="G53" i="76"/>
  <c r="C54" i="86"/>
  <c r="D55" i="86" s="1"/>
  <c r="B54" i="76"/>
  <c r="C55" i="31"/>
  <c r="C102" i="75" l="1"/>
  <c r="C55" i="86"/>
  <c r="D56" i="86" s="1"/>
  <c r="B55" i="76"/>
  <c r="G54" i="76"/>
  <c r="E55" i="76"/>
  <c r="K54" i="76"/>
  <c r="C56" i="31"/>
  <c r="C103" i="75" l="1"/>
  <c r="G55" i="76"/>
  <c r="K55" i="76"/>
  <c r="E56" i="76"/>
  <c r="C56" i="86"/>
  <c r="D57" i="86" s="1"/>
  <c r="B56" i="76"/>
  <c r="C57" i="31"/>
  <c r="C57" i="86" l="1"/>
  <c r="D58" i="86" s="1"/>
  <c r="B57" i="76"/>
  <c r="E57" i="76"/>
  <c r="G56" i="76"/>
  <c r="K56" i="76"/>
  <c r="C58" i="31"/>
  <c r="C58" i="86" l="1"/>
  <c r="D59" i="86" s="1"/>
  <c r="B58" i="76"/>
  <c r="K57" i="76"/>
  <c r="E58" i="76"/>
  <c r="G57" i="76"/>
  <c r="C59" i="31"/>
  <c r="C59" i="86" l="1"/>
  <c r="D60" i="86" s="1"/>
  <c r="B59" i="76"/>
  <c r="K58" i="76"/>
  <c r="G58" i="76"/>
  <c r="E59" i="76"/>
  <c r="C60" i="31"/>
  <c r="C60" i="86" l="1"/>
  <c r="D61" i="86" s="1"/>
  <c r="B60" i="76"/>
  <c r="G59" i="76"/>
  <c r="K59" i="76"/>
  <c r="E60" i="76"/>
  <c r="C61" i="31"/>
  <c r="C61" i="86" l="1"/>
  <c r="D62" i="86" s="1"/>
  <c r="B61" i="76"/>
  <c r="E61" i="76"/>
  <c r="G60" i="76"/>
  <c r="K60" i="76"/>
  <c r="C62" i="31"/>
  <c r="G61" i="76" l="1"/>
  <c r="E62" i="76"/>
  <c r="K61" i="76"/>
  <c r="C62" i="86"/>
  <c r="D63" i="86" s="1"/>
  <c r="B62" i="76"/>
  <c r="C63" i="31"/>
  <c r="C63" i="86" l="1"/>
  <c r="D64" i="86" s="1"/>
  <c r="B63" i="76"/>
  <c r="E63" i="76"/>
  <c r="K62" i="76"/>
  <c r="G62" i="76"/>
  <c r="C64" i="31"/>
  <c r="C64" i="86" l="1"/>
  <c r="D65" i="86" s="1"/>
  <c r="B64" i="76"/>
  <c r="K63" i="76"/>
  <c r="E64" i="76"/>
  <c r="G63" i="76"/>
  <c r="C65" i="31"/>
  <c r="C65" i="86" l="1"/>
  <c r="D66" i="86" s="1"/>
  <c r="B65" i="76"/>
  <c r="E65" i="76"/>
  <c r="G64" i="76"/>
  <c r="K64" i="76"/>
  <c r="C66" i="31"/>
  <c r="C66" i="86" l="1"/>
  <c r="D67" i="86" s="1"/>
  <c r="B66" i="76"/>
  <c r="G65" i="76"/>
  <c r="E66" i="76"/>
  <c r="K65" i="76"/>
  <c r="C67" i="31"/>
  <c r="C67" i="86" l="1"/>
  <c r="D68" i="86" s="1"/>
  <c r="B67" i="76"/>
  <c r="K66" i="76"/>
  <c r="G66" i="76"/>
  <c r="E67" i="76"/>
  <c r="C68" i="31"/>
  <c r="C68" i="86" l="1"/>
  <c r="D69" i="86" s="1"/>
  <c r="B68" i="76"/>
  <c r="K67" i="76"/>
  <c r="E68" i="76"/>
  <c r="G67" i="76"/>
  <c r="C69" i="31"/>
  <c r="C69" i="86" l="1"/>
  <c r="D70" i="86" s="1"/>
  <c r="B69" i="76"/>
  <c r="E69" i="76"/>
  <c r="K68" i="76"/>
  <c r="G68" i="76"/>
  <c r="C70" i="31"/>
  <c r="C70" i="86" l="1"/>
  <c r="D71" i="86" s="1"/>
  <c r="B70" i="76"/>
  <c r="G69" i="76"/>
  <c r="E70" i="76"/>
  <c r="K69" i="76"/>
  <c r="C71" i="31"/>
  <c r="C71" i="86" l="1"/>
  <c r="D72" i="86" s="1"/>
  <c r="B71" i="76"/>
  <c r="G70" i="76"/>
  <c r="E71" i="76"/>
  <c r="K70" i="76"/>
  <c r="C72" i="31"/>
  <c r="C72" i="86" l="1"/>
  <c r="D73" i="86" s="1"/>
  <c r="B72" i="76"/>
  <c r="E72" i="76"/>
  <c r="K71" i="76"/>
  <c r="G71" i="76"/>
  <c r="C73" i="31"/>
  <c r="C73" i="86" l="1"/>
  <c r="D74" i="86" s="1"/>
  <c r="B73" i="76"/>
  <c r="E73" i="76"/>
  <c r="G72" i="76"/>
  <c r="K72" i="76"/>
  <c r="C74" i="31"/>
  <c r="C74" i="86" l="1"/>
  <c r="D75" i="86" s="1"/>
  <c r="B74" i="76"/>
  <c r="G73" i="76"/>
  <c r="E74" i="76"/>
  <c r="K73" i="76"/>
  <c r="C75" i="31"/>
  <c r="C75" i="86" l="1"/>
  <c r="D76" i="86" s="1"/>
  <c r="B75" i="76"/>
  <c r="K74" i="76"/>
  <c r="G74" i="76"/>
  <c r="E75" i="76"/>
  <c r="C76" i="31"/>
  <c r="C76" i="86" l="1"/>
  <c r="D77" i="86" s="1"/>
  <c r="B76" i="76"/>
  <c r="E76" i="76"/>
  <c r="G75" i="76"/>
  <c r="K75" i="76"/>
  <c r="C77" i="31"/>
  <c r="C77" i="86" l="1"/>
  <c r="D78" i="86" s="1"/>
  <c r="B77" i="76"/>
  <c r="E77" i="76"/>
  <c r="G76" i="76"/>
  <c r="K76" i="76"/>
  <c r="C78" i="31"/>
  <c r="C78" i="86" l="1"/>
  <c r="D79" i="86" s="1"/>
  <c r="B78" i="76"/>
  <c r="G77" i="76"/>
  <c r="E78" i="76"/>
  <c r="K77" i="76"/>
  <c r="C79" i="31"/>
  <c r="C79" i="86" l="1"/>
  <c r="D80" i="86" s="1"/>
  <c r="B79" i="76"/>
  <c r="E79" i="76"/>
  <c r="K78" i="76"/>
  <c r="G78" i="76"/>
  <c r="C80" i="31"/>
  <c r="C80" i="86" l="1"/>
  <c r="D81" i="86" s="1"/>
  <c r="B80" i="76"/>
  <c r="E80" i="76"/>
  <c r="G79" i="76"/>
  <c r="K79" i="76"/>
  <c r="C81" i="31"/>
  <c r="E81" i="76" l="1"/>
  <c r="G80" i="76"/>
  <c r="K80" i="76"/>
  <c r="C81" i="86"/>
  <c r="D82" i="86" s="1"/>
  <c r="B81" i="76"/>
  <c r="C82" i="31"/>
  <c r="C82" i="86" l="1"/>
  <c r="D83" i="86" s="1"/>
  <c r="B82" i="76"/>
  <c r="G81" i="76"/>
  <c r="K81" i="76"/>
  <c r="E82" i="76"/>
  <c r="C83" i="31"/>
  <c r="C83" i="86" l="1"/>
  <c r="D84" i="86" s="1"/>
  <c r="B83" i="76"/>
  <c r="K82" i="76"/>
  <c r="E83" i="76"/>
  <c r="G82" i="76"/>
  <c r="C84" i="31"/>
  <c r="C84" i="86" l="1"/>
  <c r="D85" i="86" s="1"/>
  <c r="B84" i="76"/>
  <c r="E84" i="76"/>
  <c r="G83" i="76"/>
  <c r="K83" i="76"/>
  <c r="C85" i="31"/>
  <c r="C85" i="86" l="1"/>
  <c r="D86" i="86" s="1"/>
  <c r="B85" i="76"/>
  <c r="E85" i="76"/>
  <c r="G84" i="76"/>
  <c r="K84" i="76"/>
  <c r="C86" i="31"/>
  <c r="C86" i="86" l="1"/>
  <c r="D87" i="86" s="1"/>
  <c r="B86" i="76"/>
  <c r="G85" i="76"/>
  <c r="E86" i="76"/>
  <c r="K85" i="76"/>
  <c r="C87" i="31"/>
  <c r="C87" i="86" l="1"/>
  <c r="D88" i="86" s="1"/>
  <c r="B87" i="76"/>
  <c r="G86" i="76"/>
  <c r="E87" i="76"/>
  <c r="K86" i="76"/>
  <c r="C88" i="31"/>
  <c r="C88" i="86" l="1"/>
  <c r="D89" i="86" s="1"/>
  <c r="B88" i="76"/>
  <c r="G87" i="76"/>
  <c r="K87" i="76"/>
  <c r="E88" i="76"/>
  <c r="C89" i="31"/>
  <c r="C89" i="86" l="1"/>
  <c r="D90" i="86" s="1"/>
  <c r="B89" i="76"/>
  <c r="E89" i="76"/>
  <c r="G88" i="76"/>
  <c r="K88" i="76"/>
  <c r="C90" i="31"/>
  <c r="C90" i="86" l="1"/>
  <c r="D91" i="86" s="1"/>
  <c r="B90" i="76"/>
  <c r="G89" i="76"/>
  <c r="K89" i="76"/>
  <c r="E90" i="76"/>
  <c r="C91" i="31"/>
  <c r="C91" i="86" l="1"/>
  <c r="D92" i="86" s="1"/>
  <c r="B91" i="76"/>
  <c r="K90" i="76"/>
  <c r="G90" i="76"/>
  <c r="E91" i="76"/>
  <c r="C92" i="31"/>
  <c r="C92" i="86" l="1"/>
  <c r="D93" i="86" s="1"/>
  <c r="B92" i="76"/>
  <c r="G91" i="76"/>
  <c r="K91" i="76"/>
  <c r="E92" i="76"/>
  <c r="C93" i="31"/>
  <c r="C93" i="86" l="1"/>
  <c r="D94" i="86" s="1"/>
  <c r="B93" i="76"/>
  <c r="E93" i="76"/>
  <c r="G92" i="76"/>
  <c r="K92" i="76"/>
  <c r="C94" i="31"/>
  <c r="C94" i="86" l="1"/>
  <c r="D95" i="86" s="1"/>
  <c r="B94" i="76"/>
  <c r="E94" i="76"/>
  <c r="K93" i="76"/>
  <c r="G93" i="76"/>
  <c r="C95" i="31"/>
  <c r="C95" i="86" l="1"/>
  <c r="D96" i="86" s="1"/>
  <c r="B95" i="76"/>
  <c r="E95" i="76"/>
  <c r="K94" i="76"/>
  <c r="G94" i="76"/>
  <c r="C96" i="31"/>
  <c r="C96" i="86" l="1"/>
  <c r="D97" i="86" s="1"/>
  <c r="B96" i="76"/>
  <c r="K95" i="76"/>
  <c r="E96" i="76"/>
  <c r="G95" i="76"/>
  <c r="C97" i="31"/>
  <c r="C97" i="86" l="1"/>
  <c r="D98" i="86" s="1"/>
  <c r="B97" i="76"/>
  <c r="E97" i="76"/>
  <c r="G96" i="76"/>
  <c r="K96" i="76"/>
  <c r="C98" i="31"/>
  <c r="C98" i="86" l="1"/>
  <c r="D99" i="86" s="1"/>
  <c r="B98" i="76"/>
  <c r="E98" i="76"/>
  <c r="G97" i="76"/>
  <c r="K97" i="76"/>
  <c r="C99" i="31"/>
  <c r="C99" i="86" l="1"/>
  <c r="D100" i="86" s="1"/>
  <c r="B99" i="76"/>
  <c r="K98" i="76"/>
  <c r="G98" i="76"/>
  <c r="E99" i="76"/>
  <c r="C100" i="31"/>
  <c r="K99" i="76" l="1"/>
  <c r="G99" i="76"/>
  <c r="E100" i="76"/>
  <c r="C100" i="86"/>
  <c r="D101" i="86" s="1"/>
  <c r="B100" i="76"/>
  <c r="C101" i="31"/>
  <c r="C101" i="86" l="1"/>
  <c r="D102" i="86" s="1"/>
  <c r="B101" i="76"/>
  <c r="E101" i="76"/>
  <c r="K100" i="76"/>
  <c r="G100" i="76"/>
  <c r="C102" i="31"/>
  <c r="C102" i="86" l="1"/>
  <c r="D103" i="86" s="1"/>
  <c r="B102" i="76"/>
  <c r="G101" i="76"/>
  <c r="E102" i="76"/>
  <c r="K101" i="76"/>
  <c r="C103" i="31"/>
  <c r="Z6" i="31" l="1"/>
  <c r="Z5" i="31"/>
  <c r="Z15" i="31"/>
  <c r="Z16" i="31"/>
  <c r="Z19" i="31"/>
  <c r="Z8" i="31"/>
  <c r="Z9" i="31"/>
  <c r="Z17" i="31"/>
  <c r="Z13" i="31"/>
  <c r="Z10" i="31"/>
  <c r="Z12" i="31"/>
  <c r="Z11" i="31"/>
  <c r="Z18" i="31"/>
  <c r="Z7" i="31"/>
  <c r="Z14" i="31"/>
  <c r="C103" i="86"/>
  <c r="F9" i="86" s="1"/>
  <c r="B103" i="76"/>
  <c r="I22" i="31"/>
  <c r="G102" i="76"/>
  <c r="K102" i="76"/>
  <c r="E103" i="76"/>
  <c r="I21" i="31"/>
  <c r="P26" i="76" l="1"/>
  <c r="I5" i="76" a="1"/>
  <c r="K103" i="76"/>
  <c r="G103" i="76"/>
  <c r="P24" i="76"/>
  <c r="G7" i="110"/>
  <c r="I5" i="76" l="1"/>
  <c r="I6" i="76"/>
  <c r="P25" i="76"/>
  <c r="AE14" i="88"/>
  <c r="AD15" i="88"/>
  <c r="AC7" i="88"/>
  <c r="L6" i="76" l="1"/>
  <c r="M6" i="76" s="1"/>
  <c r="L5" i="76"/>
  <c r="M5" i="76" s="1"/>
  <c r="L29" i="76"/>
  <c r="M29" i="76" s="1"/>
  <c r="L28" i="76"/>
  <c r="M28" i="76" s="1"/>
  <c r="L17" i="76"/>
  <c r="M17" i="76" s="1"/>
  <c r="L42" i="76"/>
  <c r="M42" i="76" s="1"/>
  <c r="L23" i="76"/>
  <c r="M23" i="76" s="1"/>
  <c r="L14" i="76"/>
  <c r="M14" i="76" s="1"/>
  <c r="L101" i="76"/>
  <c r="M101" i="76" s="1"/>
  <c r="L37" i="76"/>
  <c r="M37" i="76" s="1"/>
  <c r="L100" i="76"/>
  <c r="M100" i="76" s="1"/>
  <c r="L36" i="76"/>
  <c r="M36" i="76" s="1"/>
  <c r="L89" i="76"/>
  <c r="M89" i="76" s="1"/>
  <c r="L25" i="76"/>
  <c r="M25" i="76" s="1"/>
  <c r="L77" i="76"/>
  <c r="M77" i="76" s="1"/>
  <c r="L76" i="76"/>
  <c r="M76" i="76" s="1"/>
  <c r="L65" i="76"/>
  <c r="M65" i="76" s="1"/>
  <c r="L58" i="76"/>
  <c r="M58" i="76" s="1"/>
  <c r="L55" i="76"/>
  <c r="M55" i="76" s="1"/>
  <c r="L62" i="76"/>
  <c r="M62" i="76" s="1"/>
  <c r="L35" i="76"/>
  <c r="M35" i="76" s="1"/>
  <c r="L50" i="76"/>
  <c r="M50" i="76" s="1"/>
  <c r="L16" i="76"/>
  <c r="M16" i="76" s="1"/>
  <c r="L47" i="76"/>
  <c r="M47" i="76" s="1"/>
  <c r="L102" i="76"/>
  <c r="M102" i="76" s="1"/>
  <c r="L38" i="76"/>
  <c r="M38" i="76" s="1"/>
  <c r="L92" i="76"/>
  <c r="M92" i="76" s="1"/>
  <c r="L103" i="76"/>
  <c r="M103" i="76" s="1"/>
  <c r="L67" i="76"/>
  <c r="M67" i="76" s="1"/>
  <c r="L99" i="76"/>
  <c r="M99" i="76" s="1"/>
  <c r="L91" i="76"/>
  <c r="M91" i="76" s="1"/>
  <c r="L80" i="76"/>
  <c r="M80" i="76" s="1"/>
  <c r="L12" i="76"/>
  <c r="M12" i="76" s="1"/>
  <c r="L24" i="76"/>
  <c r="M24" i="76" s="1"/>
  <c r="L88" i="76"/>
  <c r="M88" i="76" s="1"/>
  <c r="L18" i="76"/>
  <c r="M18" i="76" s="1"/>
  <c r="L15" i="76"/>
  <c r="M15" i="76" s="1"/>
  <c r="L60" i="76"/>
  <c r="M60" i="76" s="1"/>
  <c r="L71" i="76"/>
  <c r="M71" i="76" s="1"/>
  <c r="L43" i="76"/>
  <c r="M43" i="76" s="1"/>
  <c r="L19" i="76"/>
  <c r="M19" i="76" s="1"/>
  <c r="L32" i="76"/>
  <c r="M32" i="76" s="1"/>
  <c r="L27" i="76"/>
  <c r="M27" i="76" s="1"/>
  <c r="L97" i="76"/>
  <c r="M97" i="76" s="1"/>
  <c r="L90" i="76"/>
  <c r="M90" i="76" s="1"/>
  <c r="L94" i="76"/>
  <c r="M94" i="76" s="1"/>
  <c r="L59" i="76"/>
  <c r="M59" i="76" s="1"/>
  <c r="L75" i="76"/>
  <c r="M75" i="76" s="1"/>
  <c r="L83" i="76"/>
  <c r="M83" i="76" s="1"/>
  <c r="L56" i="76"/>
  <c r="M56" i="76" s="1"/>
  <c r="L51" i="76"/>
  <c r="M51" i="76" s="1"/>
  <c r="L64" i="76"/>
  <c r="M64" i="76" s="1"/>
  <c r="L72" i="76"/>
  <c r="M72" i="76" s="1"/>
  <c r="L10" i="76"/>
  <c r="M10" i="76" s="1"/>
  <c r="L40" i="76"/>
  <c r="M40" i="76" s="1"/>
  <c r="L96" i="76"/>
  <c r="M96" i="76" s="1"/>
  <c r="L85" i="76"/>
  <c r="M85" i="76" s="1"/>
  <c r="L21" i="76"/>
  <c r="M21" i="76" s="1"/>
  <c r="L84" i="76"/>
  <c r="M84" i="76" s="1"/>
  <c r="L20" i="76"/>
  <c r="M20" i="76" s="1"/>
  <c r="L73" i="76"/>
  <c r="M73" i="76" s="1"/>
  <c r="L9" i="76"/>
  <c r="M9" i="76" s="1"/>
  <c r="L45" i="76"/>
  <c r="M45" i="76" s="1"/>
  <c r="L44" i="76"/>
  <c r="M44" i="76" s="1"/>
  <c r="L33" i="76"/>
  <c r="M33" i="76" s="1"/>
  <c r="L26" i="76"/>
  <c r="M26" i="76" s="1"/>
  <c r="L39" i="76"/>
  <c r="M39" i="76" s="1"/>
  <c r="L30" i="76"/>
  <c r="M30" i="76" s="1"/>
  <c r="L98" i="76"/>
  <c r="M98" i="76" s="1"/>
  <c r="L34" i="76"/>
  <c r="M34" i="76" s="1"/>
  <c r="L95" i="76"/>
  <c r="M95" i="76" s="1"/>
  <c r="L31" i="76"/>
  <c r="M31" i="76" s="1"/>
  <c r="L86" i="76"/>
  <c r="M86" i="76" s="1"/>
  <c r="L22" i="76"/>
  <c r="M22" i="76" s="1"/>
  <c r="L93" i="76"/>
  <c r="M93" i="76" s="1"/>
  <c r="L81" i="76"/>
  <c r="M81" i="76" s="1"/>
  <c r="L8" i="76"/>
  <c r="M8" i="76" s="1"/>
  <c r="L78" i="76"/>
  <c r="M78" i="76" s="1"/>
  <c r="L69" i="76"/>
  <c r="M69" i="76" s="1"/>
  <c r="L68" i="76"/>
  <c r="M68" i="76" s="1"/>
  <c r="L57" i="76"/>
  <c r="M57" i="76" s="1"/>
  <c r="L13" i="76"/>
  <c r="M13" i="76" s="1"/>
  <c r="L48" i="76"/>
  <c r="M48" i="76" s="1"/>
  <c r="L7" i="76"/>
  <c r="M7" i="76" s="1"/>
  <c r="L82" i="76"/>
  <c r="M82" i="76" s="1"/>
  <c r="L79" i="76"/>
  <c r="M79" i="76" s="1"/>
  <c r="L70" i="76"/>
  <c r="M70" i="76" s="1"/>
  <c r="L61" i="76"/>
  <c r="M61" i="76" s="1"/>
  <c r="L49" i="76"/>
  <c r="M49" i="76" s="1"/>
  <c r="L74" i="76"/>
  <c r="M74" i="76" s="1"/>
  <c r="L46" i="76"/>
  <c r="M46" i="76" s="1"/>
  <c r="L53" i="76"/>
  <c r="M53" i="76" s="1"/>
  <c r="L52" i="76"/>
  <c r="M52" i="76" s="1"/>
  <c r="L41" i="76"/>
  <c r="M41" i="76" s="1"/>
  <c r="L11" i="76"/>
  <c r="M11" i="76" s="1"/>
  <c r="L87" i="76"/>
  <c r="M87" i="76" s="1"/>
  <c r="L66" i="76"/>
  <c r="M66" i="76" s="1"/>
  <c r="L63" i="76"/>
  <c r="M63" i="76" s="1"/>
  <c r="L54" i="76"/>
  <c r="M54" i="76" s="1"/>
  <c r="AC8" i="88"/>
  <c r="AC6" i="88"/>
  <c r="AF8" i="88"/>
  <c r="AE15" i="88"/>
  <c r="AC9" i="88" s="1"/>
  <c r="AF6" i="88"/>
  <c r="AF7" i="88" s="1"/>
  <c r="O10" i="76" l="1"/>
  <c r="O4" i="76"/>
  <c r="O7" i="76"/>
  <c r="AF14" i="88"/>
  <c r="AG14" i="88" s="1"/>
  <c r="AH14" i="88" s="1"/>
  <c r="I14" i="151" l="1"/>
  <c r="G7" i="151"/>
  <c r="H15" i="151"/>
  <c r="I14" i="152"/>
  <c r="G7" i="152"/>
  <c r="H15" i="152"/>
  <c r="AM15" i="147"/>
  <c r="AN14" i="147"/>
  <c r="AL7" i="147"/>
  <c r="I15" i="151" l="1"/>
  <c r="G9" i="151" s="1"/>
  <c r="J6" i="151"/>
  <c r="J7" i="151" s="1"/>
  <c r="J8" i="151"/>
  <c r="J6" i="152"/>
  <c r="J7" i="152" s="1"/>
  <c r="I15" i="152"/>
  <c r="G9" i="152" s="1"/>
  <c r="J8" i="152"/>
  <c r="G8" i="151"/>
  <c r="G6" i="151"/>
  <c r="AO8" i="147"/>
  <c r="AO6" i="147"/>
  <c r="AO7" i="147" s="1"/>
  <c r="AN15" i="147"/>
  <c r="AL9" i="147" s="1"/>
  <c r="AL6" i="147"/>
  <c r="AL8" i="147"/>
  <c r="G6" i="152"/>
  <c r="G8" i="152"/>
  <c r="J14" i="151" l="1"/>
  <c r="K14" i="151" s="1"/>
  <c r="L14" i="151" s="1"/>
  <c r="J14" i="152"/>
  <c r="K14" i="152" s="1"/>
  <c r="L14" i="152" s="1"/>
  <c r="AO14" i="147"/>
  <c r="AP14" i="147" s="1"/>
  <c r="AQ14" i="147" s="1"/>
  <c r="Y6" i="185" l="1"/>
  <c r="AA13" i="185"/>
  <c r="Z14" i="185"/>
  <c r="P6" i="185"/>
  <c r="Q14" i="185"/>
  <c r="R13" i="185"/>
  <c r="AA13" i="186"/>
  <c r="Z14" i="186"/>
  <c r="Y6" i="186"/>
  <c r="P6" i="186"/>
  <c r="R13" i="186"/>
  <c r="Q14" i="186"/>
  <c r="AA14" i="186" l="1"/>
  <c r="Y8" i="186" s="1"/>
  <c r="AB7" i="186"/>
  <c r="AB5" i="186"/>
  <c r="AB6" i="186" s="1"/>
  <c r="AB7" i="185"/>
  <c r="AB5" i="185"/>
  <c r="AB6" i="185" s="1"/>
  <c r="AA14" i="185"/>
  <c r="Y8" i="185" s="1"/>
  <c r="AH3" i="186"/>
  <c r="P7" i="186"/>
  <c r="P5" i="186"/>
  <c r="R14" i="186"/>
  <c r="P8" i="186" s="1"/>
  <c r="S5" i="186"/>
  <c r="S6" i="186" s="1"/>
  <c r="S7" i="186"/>
  <c r="P7" i="185"/>
  <c r="AH3" i="185"/>
  <c r="P5" i="185"/>
  <c r="Y5" i="186"/>
  <c r="AI3" i="186"/>
  <c r="Y7" i="186"/>
  <c r="R14" i="185"/>
  <c r="P8" i="185" s="1"/>
  <c r="S7" i="185"/>
  <c r="S5" i="185"/>
  <c r="S6" i="185" s="1"/>
  <c r="AI3" i="185"/>
  <c r="Y7" i="185"/>
  <c r="Y5" i="185"/>
  <c r="AB13" i="186" l="1"/>
  <c r="AC13" i="186" s="1"/>
  <c r="AD13" i="186" s="1"/>
  <c r="AB13" i="185"/>
  <c r="AC13" i="185" s="1"/>
  <c r="AD13" i="185" s="1"/>
  <c r="AH7" i="185"/>
  <c r="AH8" i="185" s="1"/>
  <c r="AH7" i="186"/>
  <c r="AH8" i="186" s="1"/>
  <c r="S13" i="186"/>
  <c r="T13" i="186" s="1"/>
  <c r="U13" i="186" s="1"/>
  <c r="S13" i="185"/>
  <c r="T13" i="185" s="1"/>
  <c r="U13" i="185" s="1"/>
  <c r="Y5" i="215" l="1"/>
  <c r="AA12" i="215"/>
  <c r="Z13" i="215"/>
  <c r="AB6" i="215" l="1"/>
  <c r="AB4" i="215"/>
  <c r="AB5" i="215" s="1"/>
  <c r="AA13" i="215"/>
  <c r="Y6" i="215"/>
  <c r="Y4" i="215"/>
  <c r="Y7" i="215" l="1"/>
  <c r="U13" i="215"/>
  <c r="U14" i="215" s="1"/>
  <c r="AB12" i="215"/>
  <c r="AC12" i="215" s="1"/>
  <c r="AD12" i="215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<sst xmlns="http://schemas.openxmlformats.org/spreadsheetml/2006/main" count="4198" uniqueCount="702">
  <si>
    <t>Simple Moving Average</t>
  </si>
  <si>
    <t>y</t>
  </si>
  <si>
    <t>yhat</t>
  </si>
  <si>
    <t>t</t>
  </si>
  <si>
    <t>MSE</t>
  </si>
  <si>
    <t>e^2</t>
  </si>
  <si>
    <t>|e|</t>
  </si>
  <si>
    <t>Weighted Moving Average</t>
  </si>
  <si>
    <t>w</t>
  </si>
  <si>
    <t>Single Exponential Smoothing</t>
  </si>
  <si>
    <t>alpha</t>
  </si>
  <si>
    <t>Exponential Smoothing</t>
  </si>
  <si>
    <t>MAE</t>
  </si>
  <si>
    <t>RMSE</t>
  </si>
  <si>
    <t>Single Exponential Smoothing (MAE)</t>
  </si>
  <si>
    <t>Holt's Method</t>
  </si>
  <si>
    <t>beta</t>
  </si>
  <si>
    <t>u</t>
  </si>
  <si>
    <t>v</t>
  </si>
  <si>
    <t>Exponential Smoothing (Excel data analysis tool)</t>
  </si>
  <si>
    <t>Moving Average (Excel data analysis tool)</t>
  </si>
  <si>
    <t>damping factor = 1 - alpha</t>
  </si>
  <si>
    <t xml:space="preserve">alpha </t>
  </si>
  <si>
    <t>(default)</t>
  </si>
  <si>
    <t>month</t>
  </si>
  <si>
    <t>Holt-Winters</t>
  </si>
  <si>
    <t>gamma</t>
  </si>
  <si>
    <t>s</t>
  </si>
  <si>
    <t>Q1</t>
  </si>
  <si>
    <t>Q2</t>
  </si>
  <si>
    <t>Q3</t>
  </si>
  <si>
    <t>Q4</t>
  </si>
  <si>
    <t>10 Q1</t>
  </si>
  <si>
    <t>10 Q2</t>
  </si>
  <si>
    <t>10 Q3</t>
  </si>
  <si>
    <t>10 Q4</t>
  </si>
  <si>
    <t>11 Q1</t>
  </si>
  <si>
    <t>11 Q2</t>
  </si>
  <si>
    <t>11 Q3</t>
  </si>
  <si>
    <t>11 Q4</t>
  </si>
  <si>
    <t>12 Q1</t>
  </si>
  <si>
    <t>12 Q2</t>
  </si>
  <si>
    <t>12 Q3</t>
  </si>
  <si>
    <t>12 Q4</t>
  </si>
  <si>
    <t>13 Q1</t>
  </si>
  <si>
    <t>13 Q2</t>
  </si>
  <si>
    <t>13 Q3</t>
  </si>
  <si>
    <t>13 Q4</t>
  </si>
  <si>
    <t>14 Q1</t>
  </si>
  <si>
    <t>14 Q2</t>
  </si>
  <si>
    <t>14 Q3</t>
  </si>
  <si>
    <t>14 Q4</t>
  </si>
  <si>
    <t>qtr</t>
  </si>
  <si>
    <t>Oct 30, 2015</t>
  </si>
  <si>
    <t>Oct 29, 2015</t>
  </si>
  <si>
    <t>Oct 28, 2015</t>
  </si>
  <si>
    <t>Oct 27, 2015</t>
  </si>
  <si>
    <t>Oct 26, 2015</t>
  </si>
  <si>
    <t>Oct 23, 2015</t>
  </si>
  <si>
    <t>Oct 22, 2015</t>
  </si>
  <si>
    <t>Oct 21, 2015</t>
  </si>
  <si>
    <t>Oct 20, 2015</t>
  </si>
  <si>
    <t>Oct 19, 2015</t>
  </si>
  <si>
    <t>Oct 16, 2015</t>
  </si>
  <si>
    <t>Oct 15, 2015</t>
  </si>
  <si>
    <t>Oct 14, 2015</t>
  </si>
  <si>
    <t>Oct 13, 2015</t>
  </si>
  <si>
    <t>Oct 12, 2015</t>
  </si>
  <si>
    <t>Oct 9, 2015</t>
  </si>
  <si>
    <t>Oct 8, 2015</t>
  </si>
  <si>
    <t>Oct 7, 2015</t>
  </si>
  <si>
    <t>Oct 6, 2015</t>
  </si>
  <si>
    <t>Oct 5, 2015</t>
  </si>
  <si>
    <t>Oct 2, 2015</t>
  </si>
  <si>
    <t>Oct 1, 2015</t>
  </si>
  <si>
    <t>Date</t>
  </si>
  <si>
    <t>Dow</t>
  </si>
  <si>
    <t>ACF</t>
  </si>
  <si>
    <t>Lag</t>
  </si>
  <si>
    <t>var</t>
  </si>
  <si>
    <t>n</t>
  </si>
  <si>
    <t>s.e.</t>
  </si>
  <si>
    <t>crit</t>
  </si>
  <si>
    <t>k</t>
  </si>
  <si>
    <t>sig</t>
  </si>
  <si>
    <t>=NORM.INV(1-P5/2,0,P4)</t>
  </si>
  <si>
    <t>Bartlett</t>
  </si>
  <si>
    <t>Box-Pierce</t>
  </si>
  <si>
    <t>df</t>
  </si>
  <si>
    <t>Ljung-Box</t>
  </si>
  <si>
    <t>Q</t>
  </si>
  <si>
    <t>LB</t>
  </si>
  <si>
    <t>p-value</t>
  </si>
  <si>
    <t>=1-NORM.DIST(P8,0,P4,TRUE)</t>
  </si>
  <si>
    <t>=CHISQ.DIST.RT(U7,U4)</t>
  </si>
  <si>
    <t>=CHISQ.DIST.RT(Z7,Z4)</t>
  </si>
  <si>
    <t>Absorbing Markov Chain</t>
  </si>
  <si>
    <r>
      <t>P</t>
    </r>
    <r>
      <rPr>
        <vertAlign val="superscript"/>
        <sz val="11"/>
        <color theme="1"/>
        <rFont val="Calibri"/>
        <family val="2"/>
        <scheme val="minor"/>
      </rPr>
      <t>2</t>
    </r>
  </si>
  <si>
    <r>
      <t>P</t>
    </r>
    <r>
      <rPr>
        <vertAlign val="superscript"/>
        <sz val="11"/>
        <color theme="1"/>
        <rFont val="Calibri"/>
        <family val="2"/>
        <scheme val="minor"/>
      </rPr>
      <t>4</t>
    </r>
  </si>
  <si>
    <r>
      <t>P</t>
    </r>
    <r>
      <rPr>
        <vertAlign val="superscript"/>
        <sz val="11"/>
        <color theme="1"/>
        <rFont val="Calibri"/>
        <family val="2"/>
        <scheme val="minor"/>
      </rPr>
      <t>8</t>
    </r>
  </si>
  <si>
    <r>
      <t>P</t>
    </r>
    <r>
      <rPr>
        <vertAlign val="superscript"/>
        <sz val="11"/>
        <color theme="1"/>
        <rFont val="Calibri"/>
        <family val="2"/>
        <scheme val="minor"/>
      </rPr>
      <t>10</t>
    </r>
  </si>
  <si>
    <r>
      <t>P</t>
    </r>
    <r>
      <rPr>
        <vertAlign val="superscript"/>
        <sz val="11"/>
        <color theme="1"/>
        <rFont val="Calibri"/>
        <family val="2"/>
        <scheme val="minor"/>
      </rPr>
      <t>9</t>
    </r>
  </si>
  <si>
    <t>a</t>
  </si>
  <si>
    <t>b</t>
  </si>
  <si>
    <r>
      <t>P</t>
    </r>
    <r>
      <rPr>
        <vertAlign val="superscript"/>
        <sz val="11"/>
        <color theme="1"/>
        <rFont val="Calibri"/>
        <family val="2"/>
        <scheme val="minor"/>
      </rPr>
      <t>20</t>
    </r>
  </si>
  <si>
    <r>
      <t>P</t>
    </r>
    <r>
      <rPr>
        <vertAlign val="superscript"/>
        <sz val="11"/>
        <color theme="1"/>
        <rFont val="Calibri"/>
        <family val="2"/>
        <scheme val="minor"/>
      </rPr>
      <t>30</t>
    </r>
  </si>
  <si>
    <r>
      <t>P</t>
    </r>
    <r>
      <rPr>
        <vertAlign val="superscript"/>
        <sz val="11"/>
        <color theme="1"/>
        <rFont val="Calibri"/>
        <family val="2"/>
        <scheme val="minor"/>
      </rPr>
      <t>40</t>
    </r>
  </si>
  <si>
    <t>Residual</t>
  </si>
  <si>
    <t>Moving Average MA(1)</t>
  </si>
  <si>
    <t>'=NORMINV(RAND(),0,2)</t>
  </si>
  <si>
    <t>Y</t>
  </si>
  <si>
    <t>Autoregressive Model AR(1)</t>
  </si>
  <si>
    <t>μ</t>
  </si>
  <si>
    <t>ӯ</t>
  </si>
  <si>
    <r>
      <t>σ</t>
    </r>
    <r>
      <rPr>
        <vertAlign val="superscript"/>
        <sz val="11"/>
        <color theme="1"/>
        <rFont val="Calibri"/>
        <family val="2"/>
      </rPr>
      <t>2</t>
    </r>
  </si>
  <si>
    <r>
      <t>s</t>
    </r>
    <r>
      <rPr>
        <vertAlign val="superscript"/>
        <sz val="11"/>
        <color theme="1"/>
        <rFont val="Calibri"/>
        <family val="2"/>
        <scheme val="minor"/>
      </rPr>
      <t>2</t>
    </r>
  </si>
  <si>
    <t>ACF (pop)</t>
  </si>
  <si>
    <t>Partial Autocorrelation Function (PACF)</t>
  </si>
  <si>
    <t>Autocorrelation Function (ACF)</t>
  </si>
  <si>
    <t>PACF</t>
  </si>
  <si>
    <t>mean</t>
  </si>
  <si>
    <t>SSE</t>
  </si>
  <si>
    <t>X</t>
  </si>
  <si>
    <t>Pred Y</t>
  </si>
  <si>
    <t>Act Y</t>
  </si>
  <si>
    <t>&lt; 1</t>
  </si>
  <si>
    <t>Random Walk</t>
  </si>
  <si>
    <t>lower</t>
  </si>
  <si>
    <t>upper</t>
  </si>
  <si>
    <t>White Noise</t>
  </si>
  <si>
    <t>Ljung-Box Test</t>
  </si>
  <si>
    <t>conf int</t>
  </si>
  <si>
    <t>right crit</t>
  </si>
  <si>
    <t>left crit</t>
  </si>
  <si>
    <t>Confidence Interval</t>
  </si>
  <si>
    <r>
      <t>pop σ</t>
    </r>
    <r>
      <rPr>
        <vertAlign val="superscript"/>
        <sz val="11"/>
        <color theme="1"/>
        <rFont val="Calibri"/>
        <family val="2"/>
      </rPr>
      <t>2</t>
    </r>
  </si>
  <si>
    <r>
      <t>MA(</t>
    </r>
    <r>
      <rPr>
        <sz val="11"/>
        <color theme="1"/>
        <rFont val="Arial"/>
        <family val="2"/>
      </rPr>
      <t>∞</t>
    </r>
    <r>
      <rPr>
        <sz val="11"/>
        <color theme="1"/>
        <rFont val="Calibri"/>
        <family val="2"/>
      </rPr>
      <t>) Model</t>
    </r>
  </si>
  <si>
    <t>µ</t>
  </si>
  <si>
    <t>pred</t>
  </si>
  <si>
    <r>
      <t>Convert AR(1) to MA(</t>
    </r>
    <r>
      <rPr>
        <b/>
        <sz val="11"/>
        <color theme="1"/>
        <rFont val="Arial"/>
        <family val="2"/>
      </rPr>
      <t>∞</t>
    </r>
    <r>
      <rPr>
        <b/>
        <sz val="11"/>
        <color theme="1"/>
        <rFont val="Calibri"/>
        <family val="2"/>
      </rPr>
      <t>)</t>
    </r>
  </si>
  <si>
    <t>devsq</t>
  </si>
  <si>
    <t>Regression Analysis</t>
  </si>
  <si>
    <t>OVERALL FIT</t>
  </si>
  <si>
    <t>Mean</t>
  </si>
  <si>
    <t>Multiple R</t>
  </si>
  <si>
    <t>AIC</t>
  </si>
  <si>
    <t>Standard Error</t>
  </si>
  <si>
    <t>Count</t>
  </si>
  <si>
    <t>R Square</t>
  </si>
  <si>
    <t>AICc</t>
  </si>
  <si>
    <t>Adjusted R Square</t>
  </si>
  <si>
    <t>SBC</t>
  </si>
  <si>
    <t>Std Dev</t>
  </si>
  <si>
    <t>Observations</t>
  </si>
  <si>
    <t>Data</t>
  </si>
  <si>
    <t>ANOVA</t>
  </si>
  <si>
    <t>Alpha</t>
  </si>
  <si>
    <t>SS</t>
  </si>
  <si>
    <t>MS</t>
  </si>
  <si>
    <t>F</t>
  </si>
  <si>
    <t>Regression</t>
  </si>
  <si>
    <t>Total</t>
  </si>
  <si>
    <t>coeff</t>
  </si>
  <si>
    <t>std err</t>
  </si>
  <si>
    <t>t stat</t>
  </si>
  <si>
    <t>vif</t>
  </si>
  <si>
    <t>Intercept</t>
  </si>
  <si>
    <t>value</t>
  </si>
  <si>
    <t>θ</t>
  </si>
  <si>
    <r>
      <t>v</t>
    </r>
    <r>
      <rPr>
        <vertAlign val="subscript"/>
        <sz val="11"/>
        <color theme="1"/>
        <rFont val="Calibri"/>
        <family val="2"/>
        <scheme val="minor"/>
      </rPr>
      <t>n</t>
    </r>
  </si>
  <si>
    <t>φ1</t>
  </si>
  <si>
    <t>θ1</t>
  </si>
  <si>
    <t>φ2</t>
  </si>
  <si>
    <t>real</t>
  </si>
  <si>
    <t>imag</t>
  </si>
  <si>
    <t>ACVF</t>
  </si>
  <si>
    <t>Excel data analysis tool</t>
  </si>
  <si>
    <t>Pred</t>
  </si>
  <si>
    <t>Simple Moving Average (Real Statistics)</t>
  </si>
  <si>
    <t>forecast</t>
  </si>
  <si>
    <t>&gt;</t>
  </si>
  <si>
    <t>Exponential Smoothing (Real Statistics data analysis tool)</t>
  </si>
  <si>
    <t>Holt-Winters (Real Statistics)</t>
  </si>
  <si>
    <t>Stationary Time Series</t>
  </si>
  <si>
    <t>Diff</t>
  </si>
  <si>
    <t>=VAR.P(B4:B23)</t>
  </si>
  <si>
    <t>=COVARIANCE.S(B4:B21,B6:B23)</t>
  </si>
  <si>
    <t>=SUMPRODUCT(B4:B21-E7,B6:B23-E7)/E9</t>
  </si>
  <si>
    <r>
      <t>s</t>
    </r>
    <r>
      <rPr>
        <vertAlign val="subscript"/>
        <sz val="11"/>
        <color theme="1"/>
        <rFont val="Calibri"/>
        <family val="2"/>
        <scheme val="minor"/>
      </rPr>
      <t>2</t>
    </r>
  </si>
  <si>
    <r>
      <t>r</t>
    </r>
    <r>
      <rPr>
        <vertAlign val="subscript"/>
        <sz val="11"/>
        <color theme="1"/>
        <rFont val="Calibri"/>
        <family val="2"/>
        <scheme val="minor"/>
      </rPr>
      <t>2</t>
    </r>
  </si>
  <si>
    <r>
      <t>s</t>
    </r>
    <r>
      <rPr>
        <vertAlign val="subscript"/>
        <sz val="11"/>
        <color theme="1"/>
        <rFont val="Calibri"/>
        <family val="2"/>
        <scheme val="minor"/>
      </rPr>
      <t>0</t>
    </r>
  </si>
  <si>
    <r>
      <t>p</t>
    </r>
    <r>
      <rPr>
        <vertAlign val="subscript"/>
        <sz val="11"/>
        <color theme="1"/>
        <rFont val="Calibri"/>
        <family val="2"/>
        <scheme val="minor"/>
      </rPr>
      <t>4</t>
    </r>
  </si>
  <si>
    <r>
      <t>p</t>
    </r>
    <r>
      <rPr>
        <vertAlign val="subscript"/>
        <sz val="11"/>
        <color theme="1"/>
        <rFont val="Calibri"/>
        <family val="2"/>
        <scheme val="minor"/>
      </rPr>
      <t>2,4</t>
    </r>
  </si>
  <si>
    <t>=1-NORM.DIST(K34,0,K30,TRUE)</t>
  </si>
  <si>
    <t>data</t>
  </si>
  <si>
    <t>PACF (pop)</t>
  </si>
  <si>
    <t>φ</t>
  </si>
  <si>
    <t>Autoregressive Model AR(1) - Least Squares</t>
  </si>
  <si>
    <t>PACF(1)</t>
  </si>
  <si>
    <t>PACF(2)</t>
  </si>
  <si>
    <t>φ0</t>
  </si>
  <si>
    <t>Autoregressive Model AR(2)</t>
  </si>
  <si>
    <t>Res Mean</t>
  </si>
  <si>
    <t>Res Var</t>
  </si>
  <si>
    <t>varp</t>
  </si>
  <si>
    <t>ACF(1)</t>
  </si>
  <si>
    <t>ACF(2)</t>
  </si>
  <si>
    <t>B1</t>
  </si>
  <si>
    <t>C1</t>
  </si>
  <si>
    <t>C2</t>
  </si>
  <si>
    <t>=NORM.INV(RAND(),0,.5)</t>
  </si>
  <si>
    <t>Deterministic Trend</t>
  </si>
  <si>
    <t>=NORM.INV(RAND(),0,1)</t>
  </si>
  <si>
    <t>Detrend</t>
  </si>
  <si>
    <r>
      <t>|φ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|</t>
    </r>
  </si>
  <si>
    <t>Autoregressive Model AR(1) - Solver</t>
  </si>
  <si>
    <t>|φ2|</t>
  </si>
  <si>
    <t>|φ1|+φ2</t>
  </si>
  <si>
    <t>Autoregressive Model AR(2) - Solver</t>
  </si>
  <si>
    <t>pop var</t>
  </si>
  <si>
    <t>ψ1</t>
  </si>
  <si>
    <t>ψ2</t>
  </si>
  <si>
    <t>ψ3</t>
  </si>
  <si>
    <t>ψ4</t>
  </si>
  <si>
    <t>ARMA(1,1) Process</t>
  </si>
  <si>
    <r>
      <t>y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= 3 + .7y</t>
    </r>
    <r>
      <rPr>
        <vertAlign val="subscript"/>
        <sz val="11"/>
        <color theme="1"/>
        <rFont val="Calibri"/>
        <family val="2"/>
        <scheme val="minor"/>
      </rPr>
      <t>i-1</t>
    </r>
    <r>
      <rPr>
        <sz val="11"/>
        <color theme="1"/>
        <rFont val="Calibri"/>
        <family val="2"/>
        <scheme val="minor"/>
      </rPr>
      <t xml:space="preserve"> + </t>
    </r>
    <r>
      <rPr>
        <sz val="11"/>
        <color theme="1"/>
        <rFont val="Calibri"/>
        <family val="2"/>
      </rPr>
      <t>ε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- .2</t>
    </r>
    <r>
      <rPr>
        <sz val="11"/>
        <color theme="1"/>
        <rFont val="Calibri"/>
        <family val="2"/>
      </rPr>
      <t>ε</t>
    </r>
    <r>
      <rPr>
        <vertAlign val="subscript"/>
        <sz val="11"/>
        <color theme="1"/>
        <rFont val="Calibri"/>
        <family val="2"/>
        <scheme val="minor"/>
      </rPr>
      <t>i-1</t>
    </r>
  </si>
  <si>
    <t>=NORMSINV(RAND())</t>
  </si>
  <si>
    <t>concept</t>
  </si>
  <si>
    <t>cell</t>
  </si>
  <si>
    <t>formula</t>
  </si>
  <si>
    <t>=NORMINV(RAND(),0,.5)</t>
  </si>
  <si>
    <t>γ0</t>
  </si>
  <si>
    <t>γ1</t>
  </si>
  <si>
    <r>
      <rPr>
        <sz val="11"/>
        <color theme="1"/>
        <rFont val="Calibri"/>
        <family val="2"/>
      </rPr>
      <t>θ</t>
    </r>
    <r>
      <rPr>
        <vertAlign val="subscript"/>
        <sz val="11"/>
        <color theme="1"/>
        <rFont val="Calibri"/>
        <family val="2"/>
        <scheme val="minor"/>
      </rPr>
      <t>n1</t>
    </r>
  </si>
  <si>
    <t>G4</t>
  </si>
  <si>
    <t>F5</t>
  </si>
  <si>
    <t>G5</t>
  </si>
  <si>
    <t>v0</t>
  </si>
  <si>
    <t>v1</t>
  </si>
  <si>
    <r>
      <rPr>
        <sz val="11"/>
        <color theme="1"/>
        <rFont val="Calibri"/>
        <family val="2"/>
      </rPr>
      <t>θ</t>
    </r>
    <r>
      <rPr>
        <sz val="11"/>
        <color theme="1"/>
        <rFont val="Calibri"/>
        <family val="2"/>
        <scheme val="minor"/>
      </rPr>
      <t>11</t>
    </r>
  </si>
  <si>
    <t>T Test: One Sample</t>
  </si>
  <si>
    <t>SUMMARY</t>
  </si>
  <si>
    <t>Std Err</t>
  </si>
  <si>
    <t>Cohen d</t>
  </si>
  <si>
    <t>Effect r</t>
  </si>
  <si>
    <t>T TEST</t>
  </si>
  <si>
    <t>Hyp Mean</t>
  </si>
  <si>
    <t xml:space="preserve"> </t>
  </si>
  <si>
    <t>t-crit</t>
  </si>
  <si>
    <t>One Tail</t>
  </si>
  <si>
    <t>Two Tail</t>
  </si>
  <si>
    <r>
      <t>γ</t>
    </r>
    <r>
      <rPr>
        <vertAlign val="subscript"/>
        <sz val="11"/>
        <color theme="1"/>
        <rFont val="Calibri"/>
        <family val="2"/>
      </rPr>
      <t>0</t>
    </r>
  </si>
  <si>
    <r>
      <t>ρ</t>
    </r>
    <r>
      <rPr>
        <vertAlign val="subscript"/>
        <sz val="11"/>
        <color theme="1"/>
        <rFont val="Calibri"/>
        <family val="2"/>
      </rPr>
      <t>1</t>
    </r>
  </si>
  <si>
    <r>
      <rPr>
        <sz val="11"/>
        <color theme="1"/>
        <rFont val="Calibri"/>
        <family val="2"/>
      </rPr>
      <t>θ</t>
    </r>
    <r>
      <rPr>
        <vertAlign val="subscript"/>
        <sz val="11"/>
        <color theme="1"/>
        <rFont val="Calibri"/>
        <family val="2"/>
        <scheme val="minor"/>
      </rPr>
      <t>1</t>
    </r>
  </si>
  <si>
    <r>
      <t>σ</t>
    </r>
    <r>
      <rPr>
        <vertAlign val="superscript"/>
        <sz val="11"/>
        <color theme="1"/>
        <rFont val="Calibri"/>
        <family val="2"/>
        <scheme val="minor"/>
      </rPr>
      <t>2</t>
    </r>
  </si>
  <si>
    <t>sample</t>
  </si>
  <si>
    <t>pop</t>
  </si>
  <si>
    <t>sample formulas</t>
  </si>
  <si>
    <t>Fitting an MA(1) process using the ACF</t>
  </si>
  <si>
    <t>Fitting an MA(1) process using Solver</t>
  </si>
  <si>
    <r>
      <rPr>
        <sz val="11"/>
        <color theme="1"/>
        <rFont val="Calibri"/>
        <family val="2"/>
      </rPr>
      <t>θ</t>
    </r>
    <r>
      <rPr>
        <vertAlign val="subscript"/>
        <sz val="11"/>
        <color theme="1"/>
        <rFont val="Calibri"/>
        <family val="2"/>
        <scheme val="minor"/>
      </rPr>
      <t>2</t>
    </r>
  </si>
  <si>
    <t>Fitting an MA(2) process using Solver</t>
  </si>
  <si>
    <r>
      <t>|</t>
    </r>
    <r>
      <rPr>
        <sz val="11"/>
        <color theme="1"/>
        <rFont val="Calibri"/>
        <family val="2"/>
      </rPr>
      <t>θ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|</t>
    </r>
  </si>
  <si>
    <r>
      <rPr>
        <sz val="11"/>
        <color theme="1"/>
        <rFont val="Calibri"/>
        <family val="2"/>
      </rPr>
      <t>θ</t>
    </r>
    <r>
      <rPr>
        <vertAlign val="subscript"/>
        <sz val="11"/>
        <color theme="1"/>
        <rFont val="Calibri"/>
        <family val="2"/>
        <scheme val="minor"/>
      </rPr>
      <t>3</t>
    </r>
  </si>
  <si>
    <r>
      <t>|</t>
    </r>
    <r>
      <rPr>
        <sz val="11"/>
        <color theme="1"/>
        <rFont val="Calibri"/>
        <family val="2"/>
      </rPr>
      <t>θ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|</t>
    </r>
  </si>
  <si>
    <r>
      <t>|</t>
    </r>
    <r>
      <rPr>
        <sz val="11"/>
        <color theme="1"/>
        <rFont val="Calibri"/>
        <family val="2"/>
      </rPr>
      <t>θ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|</t>
    </r>
  </si>
  <si>
    <t>Fitting an MA(3) process using Solver</t>
  </si>
  <si>
    <t>abs</t>
  </si>
  <si>
    <t>Real Statistics Using Excel - Time Series Examples Workbook</t>
  </si>
  <si>
    <t>Concise Table of Contents</t>
  </si>
  <si>
    <t>Table of Contents</t>
  </si>
  <si>
    <t>Basic Forecasting Methods</t>
  </si>
  <si>
    <t>Moving Average Forecast (Example 1)</t>
  </si>
  <si>
    <t>Excel's Moving Average data analysis tool</t>
  </si>
  <si>
    <t>Real Statistics Moving Average  data analysis tool</t>
  </si>
  <si>
    <t>Weighted Moving Average (Example 1)</t>
  </si>
  <si>
    <t>Simple Exponential Smoothing</t>
  </si>
  <si>
    <t>Simple Exponential Smoothing (Example 1)</t>
  </si>
  <si>
    <t>Excel's Exponential Smoothing data analysis tool</t>
  </si>
  <si>
    <t>Real Statistics Single Exponential Smoothing data analysis tool</t>
  </si>
  <si>
    <t>Holt's Linear Trend (Example 1)</t>
  </si>
  <si>
    <t>Holt's Linear Trend</t>
  </si>
  <si>
    <t>Optimization of Holt's Method using Solver (Example 2)</t>
  </si>
  <si>
    <t>Optimization of Weighted Moving Average using Solver (Example 2)</t>
  </si>
  <si>
    <t>Optimization of Simple Exponential Smoothing using Solver (Example 2)</t>
  </si>
  <si>
    <t>Forecasting using Holt's Linear Trend (Example 3)</t>
  </si>
  <si>
    <t>Real Statistics Holt's Linear Trend data analysis tool</t>
  </si>
  <si>
    <t>Holt-Winters Seasonal Model</t>
  </si>
  <si>
    <t>Real Statistics Data Analysis Tools</t>
  </si>
  <si>
    <t>Time Series Testing data analysis tool</t>
  </si>
  <si>
    <t>Diff Data:</t>
  </si>
  <si>
    <t>time</t>
  </si>
  <si>
    <t>Autcorrelation</t>
  </si>
  <si>
    <t>lag</t>
  </si>
  <si>
    <t>acf</t>
  </si>
  <si>
    <t>White noise test:</t>
  </si>
  <si>
    <t>test</t>
  </si>
  <si>
    <t>stat</t>
  </si>
  <si>
    <t>ljung-box</t>
  </si>
  <si>
    <t>ADF Test</t>
  </si>
  <si>
    <t>criteria</t>
  </si>
  <si>
    <t>drift</t>
  </si>
  <si>
    <t>trend</t>
  </si>
  <si>
    <t>schwert</t>
  </si>
  <si>
    <t>yes</t>
  </si>
  <si>
    <t>no</t>
  </si>
  <si>
    <t>Time Series Testing data analysis tool with differencing</t>
  </si>
  <si>
    <t>X1</t>
  </si>
  <si>
    <t>X2</t>
  </si>
  <si>
    <t>ARMap</t>
  </si>
  <si>
    <t>Stochastic Processes</t>
  </si>
  <si>
    <t>Stationary Process</t>
  </si>
  <si>
    <t>Dow Jones Time Series (Example 1)</t>
  </si>
  <si>
    <t>Lag 1 Differencing</t>
  </si>
  <si>
    <t>Autocorrelation Function</t>
  </si>
  <si>
    <t>Autocorrelation Function (Example 1)</t>
  </si>
  <si>
    <t>ACF and Correlogram (Example 2)</t>
  </si>
  <si>
    <t>Bartlett's Test (Example 3)</t>
  </si>
  <si>
    <t>Box-Pierce Test (Example 4)</t>
  </si>
  <si>
    <t>Ljung-Box Test (Example 4)</t>
  </si>
  <si>
    <t>Partial Autocorrelation Function</t>
  </si>
  <si>
    <t>PACF (Example 1)</t>
  </si>
  <si>
    <t>Calculation of PACF(4)</t>
  </si>
  <si>
    <t>Bartlett's test for PACF</t>
  </si>
  <si>
    <t>Purely Random Time Series</t>
  </si>
  <si>
    <t>White Noise Simulation (Example 1)</t>
  </si>
  <si>
    <t>ACF and PACF for white noise</t>
  </si>
  <si>
    <t>Random Walk Simulation (Example 1)</t>
  </si>
  <si>
    <t>First differences of RW</t>
  </si>
  <si>
    <t>Simulation (Example 1)</t>
  </si>
  <si>
    <t>Detrending</t>
  </si>
  <si>
    <t>Real Statistics data analysis tool</t>
  </si>
  <si>
    <t>Testing tool (Example 1)</t>
  </si>
  <si>
    <t>Testing tool (Example 2)</t>
  </si>
  <si>
    <t>Autoregressive Processes</t>
  </si>
  <si>
    <t>Basic Concepts</t>
  </si>
  <si>
    <t>Simulated AR(1) Process (Example 1)</t>
  </si>
  <si>
    <t>ACF for AR(1) Process</t>
  </si>
  <si>
    <t>Partial Autocorrelation</t>
  </si>
  <si>
    <t>PACF for AR(1) Process (Example 1)</t>
  </si>
  <si>
    <t>ACF and PACF for AR(2) Process (Example 2)</t>
  </si>
  <si>
    <t>Finding Model Coefficients using ACF/PACF</t>
  </si>
  <si>
    <t>Calculating coefficients for AR(1) process (Example 1)</t>
  </si>
  <si>
    <t>Calculating coefficients for AR(2) process (Example 2)</t>
  </si>
  <si>
    <t>Finding Model Coefficients using Least squares</t>
  </si>
  <si>
    <t>Calculating coefficients for AR(2) process using Regression</t>
  </si>
  <si>
    <t>Calculating coefficients for AR(1) process using Solver</t>
  </si>
  <si>
    <t>Calculating coefficients for AR(2) process using Solver</t>
  </si>
  <si>
    <t>Moving Average Processes</t>
  </si>
  <si>
    <t>ACF for MA(1) Process</t>
  </si>
  <si>
    <t>PACF for MA(1) Process (Example 2)</t>
  </si>
  <si>
    <t>Simulated MA(1) Process (Example 1)</t>
  </si>
  <si>
    <t>Infinite Moving Average Process</t>
  </si>
  <si>
    <t>ARIMA Model</t>
  </si>
  <si>
    <t>residual</t>
  </si>
  <si>
    <t>Model statistics</t>
  </si>
  <si>
    <t>index</t>
  </si>
  <si>
    <t>phi</t>
  </si>
  <si>
    <t>theta</t>
  </si>
  <si>
    <t>const</t>
  </si>
  <si>
    <t>converge</t>
  </si>
  <si>
    <t>p</t>
  </si>
  <si>
    <t>q</t>
  </si>
  <si>
    <t>d</t>
  </si>
  <si>
    <t>res mean</t>
  </si>
  <si>
    <t>res s.d.</t>
  </si>
  <si>
    <t>sqrt mse</t>
  </si>
  <si>
    <t>data mean</t>
  </si>
  <si>
    <t>data s.d.</t>
  </si>
  <si>
    <t>size</t>
  </si>
  <si>
    <t>LL</t>
  </si>
  <si>
    <t>BIC</t>
  </si>
  <si>
    <t>AIC aug</t>
  </si>
  <si>
    <t>BIC aug</t>
  </si>
  <si>
    <t>Phi roots</t>
  </si>
  <si>
    <t>abs val</t>
  </si>
  <si>
    <t>Theta roots</t>
  </si>
  <si>
    <t>Psi coefficients</t>
  </si>
  <si>
    <t>psi</t>
  </si>
  <si>
    <t>Model parameters</t>
  </si>
  <si>
    <t>param</t>
  </si>
  <si>
    <t>phi 1</t>
  </si>
  <si>
    <t>theta 1</t>
  </si>
  <si>
    <t>Forecast (reduced)</t>
  </si>
  <si>
    <t>Forecast</t>
  </si>
  <si>
    <t>Reformat</t>
  </si>
  <si>
    <t>x1</t>
  </si>
  <si>
    <r>
      <t>y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= .7y</t>
    </r>
    <r>
      <rPr>
        <vertAlign val="subscript"/>
        <sz val="11"/>
        <color theme="1"/>
        <rFont val="Calibri"/>
        <family val="2"/>
        <scheme val="minor"/>
      </rPr>
      <t>i-1</t>
    </r>
    <r>
      <rPr>
        <sz val="11"/>
        <color theme="1"/>
        <rFont val="Calibri"/>
        <family val="2"/>
        <scheme val="minor"/>
      </rPr>
      <t xml:space="preserve"> + </t>
    </r>
    <r>
      <rPr>
        <sz val="11"/>
        <color theme="1"/>
        <rFont val="Calibri"/>
        <family val="2"/>
      </rPr>
      <t>ε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- .2</t>
    </r>
    <r>
      <rPr>
        <sz val="11"/>
        <color theme="1"/>
        <rFont val="Calibri"/>
        <family val="2"/>
      </rPr>
      <t>ε</t>
    </r>
    <r>
      <rPr>
        <vertAlign val="subscript"/>
        <sz val="11"/>
        <color theme="1"/>
        <rFont val="Calibri"/>
        <family val="2"/>
        <scheme val="minor"/>
      </rPr>
      <t>i-1</t>
    </r>
  </si>
  <si>
    <t>y mean</t>
  </si>
  <si>
    <t>z mean</t>
  </si>
  <si>
    <t>sse</t>
  </si>
  <si>
    <t>chi-sq</t>
  </si>
  <si>
    <t>t-stat</t>
  </si>
  <si>
    <t>AR(3) roots</t>
  </si>
  <si>
    <t>φ3</t>
  </si>
  <si>
    <t>MA(3) roots</t>
  </si>
  <si>
    <t>θ3</t>
  </si>
  <si>
    <t>θ2</t>
  </si>
  <si>
    <t>ARMA(2,2) Process</t>
  </si>
  <si>
    <t>phi 2</t>
  </si>
  <si>
    <t>theta 2</t>
  </si>
  <si>
    <t>x2</t>
  </si>
  <si>
    <t>AR(3) Model</t>
  </si>
  <si>
    <t>phi 3</t>
  </si>
  <si>
    <t>x3</t>
  </si>
  <si>
    <t>ARIMA Model (AR-oriented)</t>
  </si>
  <si>
    <t>ARIMA Model (non-AR oriented)</t>
  </si>
  <si>
    <t>ARIMA Model (AR oriented)</t>
  </si>
  <si>
    <t>Dickey-Fuller Test</t>
  </si>
  <si>
    <t>profit</t>
  </si>
  <si>
    <t>Δ profit</t>
  </si>
  <si>
    <t>BSC</t>
  </si>
  <si>
    <t>&gt;500</t>
  </si>
  <si>
    <t>Model 0 - no constant, no trend</t>
  </si>
  <si>
    <t>N</t>
  </si>
  <si>
    <t>Model 1 - constant, no trend</t>
  </si>
  <si>
    <t>Model 2 - constant, trend</t>
  </si>
  <si>
    <t>Augemented Dickey-Fuller Table of Critical Values</t>
  </si>
  <si>
    <t>Profit</t>
  </si>
  <si>
    <t>none</t>
  </si>
  <si>
    <t>tau</t>
  </si>
  <si>
    <t>tau-crit</t>
  </si>
  <si>
    <t>stationary</t>
  </si>
  <si>
    <t>DF Test</t>
  </si>
  <si>
    <t>Time</t>
  </si>
  <si>
    <t>Statistical tables</t>
  </si>
  <si>
    <t>ARMA Processes</t>
  </si>
  <si>
    <t>Example 1 (no constant, no trend)</t>
  </si>
  <si>
    <t>Example 1 (constant, no trend)</t>
  </si>
  <si>
    <t>Example 1 (constant, trend)</t>
  </si>
  <si>
    <t>ARMA(2,1,2) Process</t>
  </si>
  <si>
    <t>ARMA(2,1,1) Process</t>
  </si>
  <si>
    <t>ARIMA Processes</t>
  </si>
  <si>
    <t>ψ0</t>
  </si>
  <si>
    <r>
      <t>Convert AR(2) to MA(</t>
    </r>
    <r>
      <rPr>
        <b/>
        <sz val="11"/>
        <color theme="1"/>
        <rFont val="Arial"/>
        <family val="2"/>
      </rPr>
      <t>∞</t>
    </r>
    <r>
      <rPr>
        <b/>
        <sz val="11"/>
        <color theme="1"/>
        <rFont val="Calibri"/>
        <family val="2"/>
      </rPr>
      <t>)</t>
    </r>
  </si>
  <si>
    <t>Using Real Statistics function PSICoeff</t>
  </si>
  <si>
    <t>AR(2) Model</t>
  </si>
  <si>
    <t>Invertibility</t>
  </si>
  <si>
    <t>Roots of the characteristic equation for MA(3) process (Example 1)</t>
  </si>
  <si>
    <r>
      <t>Represent AR(2) process as an MA(</t>
    </r>
    <r>
      <rPr>
        <u/>
        <sz val="11"/>
        <color theme="10"/>
        <rFont val="Times New Roman"/>
        <family val="1"/>
      </rPr>
      <t>∞</t>
    </r>
    <r>
      <rPr>
        <u/>
        <sz val="11"/>
        <color theme="10"/>
        <rFont val="Calibri"/>
        <family val="2"/>
      </rPr>
      <t>) process (Example 2)</t>
    </r>
  </si>
  <si>
    <r>
      <t>Represent AR(1) process as an MA(</t>
    </r>
    <r>
      <rPr>
        <u/>
        <sz val="11"/>
        <color theme="10"/>
        <rFont val="Times New Roman"/>
        <family val="1"/>
      </rPr>
      <t>∞</t>
    </r>
    <r>
      <rPr>
        <u/>
        <sz val="11"/>
        <color theme="10"/>
        <rFont val="Calibri"/>
        <family val="2"/>
      </rPr>
      <t>) process (Example 1)</t>
    </r>
  </si>
  <si>
    <t>Estimating Coefficients of an MA(q) Process using ACF</t>
  </si>
  <si>
    <t>Estimating MA(1) coefficients (Example 1)</t>
  </si>
  <si>
    <t>Confidence interval</t>
  </si>
  <si>
    <t>Estimating Coefficients of an MA(q) Process using Solver</t>
  </si>
  <si>
    <t>Estimating MA(2) coefficients (Example 2)</t>
  </si>
  <si>
    <t>Estimating MA(3) coefficients (extra example)</t>
  </si>
  <si>
    <t>ARMA(1,1) Processes</t>
  </si>
  <si>
    <r>
      <t>Converting ARMA(1,1) process to MA(</t>
    </r>
    <r>
      <rPr>
        <b/>
        <sz val="11"/>
        <color theme="1"/>
        <rFont val="Times New Roman"/>
        <family val="1"/>
      </rPr>
      <t>∞</t>
    </r>
    <r>
      <rPr>
        <b/>
        <sz val="11"/>
        <color theme="1"/>
        <rFont val="Calibri"/>
        <family val="2"/>
      </rPr>
      <t>)</t>
    </r>
  </si>
  <si>
    <t>Psi coefficients for ARMA(1,1) process (Example 1)</t>
  </si>
  <si>
    <t>Simulate ARMA(1,1) process without constant (Example 2)</t>
  </si>
  <si>
    <t>Simulate ARMA(1,1) process with constant (Example 3)</t>
  </si>
  <si>
    <t>Estimating ARMA Coefficients using Solver</t>
  </si>
  <si>
    <t>ARMA(1,1) process without constant</t>
  </si>
  <si>
    <t>ARMA(1,1) process with constant</t>
  </si>
  <si>
    <t>Forecasting</t>
  </si>
  <si>
    <t>Real Statistics ARMA Tool</t>
  </si>
  <si>
    <t>Options to Real Statistics ARMA Tool</t>
  </si>
  <si>
    <t>Linear regression option for AR(3) model (Example 1)</t>
  </si>
  <si>
    <t>ARMA(2,2) process</t>
  </si>
  <si>
    <t>Differencing</t>
  </si>
  <si>
    <t>Differencing (Example 1)</t>
  </si>
  <si>
    <t>Finding model coefficients</t>
  </si>
  <si>
    <t>Comparing models</t>
  </si>
  <si>
    <t>AIC and BIC (Example 1)</t>
  </si>
  <si>
    <t>Finding ARIMA(2,1,1) coefficients without constant (Example 1)</t>
  </si>
  <si>
    <t>Finding ARIMA(2,1,1) coefficients with constant</t>
  </si>
  <si>
    <t>Finding ARIMA(2,1,2) coefficients</t>
  </si>
  <si>
    <t>Forecasting using an ARIMA(2,1,1) model without constant (Example 1)</t>
  </si>
  <si>
    <t>Augmented Dickey-Fuller Test</t>
  </si>
  <si>
    <t>ADF Test (Example 1)</t>
  </si>
  <si>
    <t>Augmented Dickey-Fuller (ADF)</t>
  </si>
  <si>
    <t>max lags</t>
  </si>
  <si>
    <t>w/o trend</t>
  </si>
  <si>
    <t>w/ trend</t>
  </si>
  <si>
    <t>α+γ</t>
  </si>
  <si>
    <r>
      <t>Holt's Method</t>
    </r>
    <r>
      <rPr>
        <sz val="11"/>
        <color theme="1"/>
        <rFont val="Calibri"/>
        <family val="2"/>
        <scheme val="minor"/>
      </rPr>
      <t xml:space="preserve"> (minimize MAE)</t>
    </r>
  </si>
  <si>
    <r>
      <t xml:space="preserve">Holt's Method </t>
    </r>
    <r>
      <rPr>
        <sz val="11"/>
        <color theme="1"/>
        <rFont val="Calibri"/>
        <family val="2"/>
        <scheme val="minor"/>
      </rPr>
      <t>(minimize MSE)</t>
    </r>
  </si>
  <si>
    <t>Optimization of Holt's Method using Solver (minimize MSE)</t>
  </si>
  <si>
    <t>PP &amp; KPSS Tests</t>
  </si>
  <si>
    <t>PP Test</t>
  </si>
  <si>
    <t>KPSS Test</t>
  </si>
  <si>
    <t>w/o const or trend</t>
  </si>
  <si>
    <t>w/ const, w/o trend</t>
  </si>
  <si>
    <t>(short)</t>
  </si>
  <si>
    <t>PP and KPSS Tests</t>
  </si>
  <si>
    <t>PP and KPSS Test (Example 1)</t>
  </si>
  <si>
    <t>T test for the mean</t>
  </si>
  <si>
    <t>Model statistics (Solver)</t>
  </si>
  <si>
    <t>ARMA(2,1) Process</t>
  </si>
  <si>
    <t>ARMA(2,1) process</t>
  </si>
  <si>
    <t>Forecast Accuracy</t>
  </si>
  <si>
    <t>Error Statistics</t>
  </si>
  <si>
    <t>forecast1</t>
  </si>
  <si>
    <t>forecast2</t>
  </si>
  <si>
    <t>Error statistics</t>
  </si>
  <si>
    <t>Diebold-Mariano Test</t>
  </si>
  <si>
    <t>Real Statistics Analysis</t>
  </si>
  <si>
    <t>i</t>
  </si>
  <si>
    <t>error 1</t>
  </si>
  <si>
    <t>error 2</t>
  </si>
  <si>
    <t>dm</t>
  </si>
  <si>
    <t>Squared errors</t>
  </si>
  <si>
    <t>Sqr errors</t>
  </si>
  <si>
    <t>Order</t>
  </si>
  <si>
    <t>DM Stat</t>
  </si>
  <si>
    <t>HLN Test</t>
  </si>
  <si>
    <t>HLN Stat</t>
  </si>
  <si>
    <t>d-mean</t>
  </si>
  <si>
    <t>d-var</t>
  </si>
  <si>
    <t>Diebold-Mariano Test and Comparison of Forecasts</t>
  </si>
  <si>
    <t>Pesaran-Timmermann Test</t>
  </si>
  <si>
    <t>Size</t>
  </si>
  <si>
    <t>Pyz</t>
  </si>
  <si>
    <t>Py</t>
  </si>
  <si>
    <t>Pz</t>
  </si>
  <si>
    <t>P*</t>
  </si>
  <si>
    <t>V</t>
  </si>
  <si>
    <t>W</t>
  </si>
  <si>
    <t>PT</t>
  </si>
  <si>
    <t>=1-NORM.S.DIST(E11,TRUE)</t>
  </si>
  <si>
    <t>Correlogram</t>
  </si>
  <si>
    <t>lags</t>
  </si>
  <si>
    <t>pacf</t>
  </si>
  <si>
    <t>Correlogram ACF</t>
  </si>
  <si>
    <t>Correlogram PACF</t>
  </si>
  <si>
    <t>=CHISQ.INV.RT(U5,U4)</t>
  </si>
  <si>
    <t>=CHISQ.INV.RT(Z5,Z4)</t>
  </si>
  <si>
    <t>SARIMA Processes</t>
  </si>
  <si>
    <t>Miscellaneous</t>
  </si>
  <si>
    <t>Cointegration</t>
  </si>
  <si>
    <t>Engle-Granger Test</t>
  </si>
  <si>
    <t>WTI</t>
  </si>
  <si>
    <t>Brent</t>
  </si>
  <si>
    <t>ADF Tests</t>
  </si>
  <si>
    <t>X var</t>
  </si>
  <si>
    <t>Y var</t>
  </si>
  <si>
    <t>X diff</t>
  </si>
  <si>
    <t>Y diff</t>
  </si>
  <si>
    <t>type</t>
  </si>
  <si>
    <t>year</t>
  </si>
  <si>
    <t>chicken</t>
  </si>
  <si>
    <t>egg</t>
  </si>
  <si>
    <t>ce</t>
  </si>
  <si>
    <t>ec</t>
  </si>
  <si>
    <t>Granger Causality Test</t>
  </si>
  <si>
    <t>Before differencing</t>
  </si>
  <si>
    <t>After differencing</t>
  </si>
  <si>
    <t>SARIMA Model</t>
  </si>
  <si>
    <t>Model coefficients</t>
  </si>
  <si>
    <t>phi roots</t>
  </si>
  <si>
    <t>arima</t>
  </si>
  <si>
    <t>season</t>
  </si>
  <si>
    <t>Phi 1</t>
  </si>
  <si>
    <t>theta roots</t>
  </si>
  <si>
    <t>period</t>
  </si>
  <si>
    <t>Theta 1</t>
  </si>
  <si>
    <t>Phi (seasonal) roots</t>
  </si>
  <si>
    <t>Theta (seasonal) roots</t>
  </si>
  <si>
    <t>?</t>
  </si>
  <si>
    <r>
      <t>Based on an estimate of t + u/N + v/N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w/N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where t, u, v, w are defined as follows:</t>
    </r>
  </si>
  <si>
    <t>The values for alpha = .025 is calculated as an interpolation between alpha = .01 and .05</t>
  </si>
  <si>
    <t>Engle-Granger Table of Critical Values</t>
  </si>
  <si>
    <t>Augmented Dickey-Fuller Table</t>
  </si>
  <si>
    <t>Tables</t>
  </si>
  <si>
    <t>Engle-Granger Table</t>
  </si>
  <si>
    <t>Mann-Kendall Test and Sen's Slope</t>
  </si>
  <si>
    <t>Mann-Kendall Test</t>
  </si>
  <si>
    <t>Sen's Slope</t>
  </si>
  <si>
    <t>MK Test and Sen's Slope</t>
  </si>
  <si>
    <t>MK-stat</t>
  </si>
  <si>
    <t>z-stat</t>
  </si>
  <si>
    <t>=2*NORM.S.DIST(-ABS(R9),TRUE)</t>
  </si>
  <si>
    <t>prel</t>
  </si>
  <si>
    <t>ties</t>
  </si>
  <si>
    <t>freq</t>
  </si>
  <si>
    <t># of pairs</t>
  </si>
  <si>
    <t>=NORM.S.INV(1-R4/2)*R6</t>
  </si>
  <si>
    <t>slope</t>
  </si>
  <si>
    <t>Mann-Kendall and Sen's Slope</t>
  </si>
  <si>
    <t>residuals</t>
  </si>
  <si>
    <t>ADF</t>
  </si>
  <si>
    <t>EG</t>
  </si>
  <si>
    <t>chick-1</t>
  </si>
  <si>
    <t>chick-2</t>
  </si>
  <si>
    <t>chick-3</t>
  </si>
  <si>
    <t>chick-4</t>
  </si>
  <si>
    <t>egg-1</t>
  </si>
  <si>
    <t>egg-2</t>
  </si>
  <si>
    <t>egg-3</t>
  </si>
  <si>
    <t>egg-4</t>
  </si>
  <si>
    <t>chick</t>
  </si>
  <si>
    <t>Full</t>
  </si>
  <si>
    <t>R-Square</t>
  </si>
  <si>
    <t>Reduced</t>
  </si>
  <si>
    <t>dfReg</t>
  </si>
  <si>
    <t>dfRes</t>
  </si>
  <si>
    <t>R-sq red</t>
  </si>
  <si>
    <t>R-sq full</t>
  </si>
  <si>
    <r>
      <t>chick</t>
    </r>
    <r>
      <rPr>
        <sz val="11"/>
        <color theme="1"/>
        <rFont val="Calibri"/>
        <family val="2"/>
      </rPr>
      <t>→egg</t>
    </r>
  </si>
  <si>
    <r>
      <t>egg</t>
    </r>
    <r>
      <rPr>
        <sz val="11"/>
        <color theme="1"/>
        <rFont val="Calibri"/>
        <family val="2"/>
      </rPr>
      <t>→chick</t>
    </r>
  </si>
  <si>
    <t>Test in one direction</t>
  </si>
  <si>
    <t>Test in other direction</t>
  </si>
  <si>
    <t>Holt-Winters Multiplicative Tool</t>
  </si>
  <si>
    <t>Holt-Winters Multiplicative Tool with optimization</t>
  </si>
  <si>
    <t>Holt-Winters Multiplicative Tool using MultiStart</t>
  </si>
  <si>
    <t>Holt-Winters Multiplicative (Example 2)</t>
  </si>
  <si>
    <t>Holt-Winters Multiplicative</t>
  </si>
  <si>
    <t>Holt-Winters Multiplicative (Example 1)</t>
  </si>
  <si>
    <t>Optimization of Holt-Winters Multiplicative using Solver</t>
  </si>
  <si>
    <t>Holt-Winters Additive</t>
  </si>
  <si>
    <t>MAPE</t>
  </si>
  <si>
    <t>Holt's Method (Real Statistics)</t>
  </si>
  <si>
    <t>Holt-Winter Multiplicative</t>
  </si>
  <si>
    <t>Holt-Winter Additive</t>
  </si>
  <si>
    <t>Amazon Example using Levenberg-Marquardt</t>
  </si>
  <si>
    <t>Amazon Example using Solver</t>
  </si>
  <si>
    <t>Handling missing time series data</t>
  </si>
  <si>
    <t>Imputation techniques</t>
  </si>
  <si>
    <t>linear</t>
  </si>
  <si>
    <t>spline</t>
  </si>
  <si>
    <t>prior</t>
  </si>
  <si>
    <t>next</t>
  </si>
  <si>
    <t>sma</t>
  </si>
  <si>
    <t>wma</t>
  </si>
  <si>
    <t>ema</t>
  </si>
  <si>
    <t>Time series with missing data</t>
  </si>
  <si>
    <t>Seasonal time series with missing data</t>
  </si>
  <si>
    <t>seas</t>
  </si>
  <si>
    <t>split</t>
  </si>
  <si>
    <t>Linear</t>
  </si>
  <si>
    <t>WMA</t>
  </si>
  <si>
    <t>Imputation techniques for seasonal time series</t>
  </si>
  <si>
    <t>Spline Interpolation</t>
  </si>
  <si>
    <t>ARIMAX</t>
  </si>
  <si>
    <t>ARIMAX Example</t>
  </si>
  <si>
    <t>ARIMAX Model</t>
  </si>
  <si>
    <t>Moving Average</t>
  </si>
  <si>
    <t>Exponential Moving Average</t>
  </si>
  <si>
    <t>weight</t>
  </si>
  <si>
    <t>product</t>
  </si>
  <si>
    <t>Split Seasons</t>
  </si>
  <si>
    <t>imputed</t>
  </si>
  <si>
    <t>Deseasonalizing</t>
  </si>
  <si>
    <t>deseas</t>
  </si>
  <si>
    <t>Split seasonality</t>
  </si>
  <si>
    <t>Deseasonality</t>
  </si>
  <si>
    <t>Y Forecast</t>
  </si>
  <si>
    <t>Real Statistics example with forecast</t>
  </si>
  <si>
    <t>MK Real Statistics Tool</t>
  </si>
  <si>
    <t>Real Statistics Tool for MK Tests and Sen's Slope</t>
  </si>
  <si>
    <t>Cross Correlations</t>
  </si>
  <si>
    <t>Cross correlation example</t>
  </si>
  <si>
    <t>Cross-Correlations</t>
  </si>
  <si>
    <t>Month</t>
  </si>
  <si>
    <t>Inventory</t>
  </si>
  <si>
    <t>Revenue</t>
  </si>
  <si>
    <t>Cross correlations</t>
  </si>
  <si>
    <t>Using Offset</t>
  </si>
  <si>
    <t>Max # of lags</t>
  </si>
  <si>
    <t>Correl</t>
  </si>
  <si>
    <t>Optimum # of lags</t>
  </si>
  <si>
    <t>Optimum correlation</t>
  </si>
  <si>
    <t>Chart # of lags</t>
  </si>
  <si>
    <t>Chart correlation</t>
  </si>
  <si>
    <t>sig level</t>
  </si>
  <si>
    <t>Real Statistics Simple Exponrntial Smoothing data analysis tool with optimization</t>
  </si>
  <si>
    <t>Holt Linear Trend</t>
  </si>
  <si>
    <t>Real Statistics Holt's Linear Trend data analysis tool with optimization</t>
  </si>
  <si>
    <t>Holt-Winters Additive data analysis tool</t>
  </si>
  <si>
    <t>Holt-Winters (additive)</t>
  </si>
  <si>
    <t>15 Q1</t>
  </si>
  <si>
    <t>16 Q2</t>
  </si>
  <si>
    <t>Miscellaneous Topics</t>
  </si>
  <si>
    <t>Copyright © 2013 - 2022 Charles Zaiontz</t>
  </si>
  <si>
    <t>Panel Data</t>
  </si>
  <si>
    <t>city</t>
  </si>
  <si>
    <t>unem</t>
  </si>
  <si>
    <t>crime</t>
  </si>
  <si>
    <t>firm</t>
  </si>
  <si>
    <t>lcapital</t>
  </si>
  <si>
    <t>llabor</t>
  </si>
  <si>
    <t>lsales</t>
  </si>
  <si>
    <t>Regression (FEM: differenced data)</t>
  </si>
  <si>
    <t>Regression (FEM: demeaned data)</t>
  </si>
  <si>
    <t>Units</t>
  </si>
  <si>
    <t>correction</t>
  </si>
  <si>
    <t>intercept</t>
  </si>
  <si>
    <t>Regression Analysis (Random Effects Model)</t>
  </si>
  <si>
    <t>Regression (Random Effects Model)</t>
  </si>
  <si>
    <t>Param</t>
  </si>
  <si>
    <t>var-e</t>
  </si>
  <si>
    <t>var-u</t>
  </si>
  <si>
    <t>Formatting panel data</t>
  </si>
  <si>
    <t>Panel data format</t>
  </si>
  <si>
    <t>Two time periods</t>
  </si>
  <si>
    <t>Demeaning</t>
  </si>
  <si>
    <t>Fixed-effects model</t>
  </si>
  <si>
    <t>LSDV</t>
  </si>
  <si>
    <t>Random-effects model</t>
  </si>
  <si>
    <t>REM</t>
  </si>
  <si>
    <t>Charles Zaiontz, 4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</si>
</sst>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"/>
    <numFmt numFmtId="165" formatCode="0.000"/>
    <numFmt numFmtId="166" formatCode="0.0000"/>
    <numFmt numFmtId="167" formatCode="0.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</font>
    <font>
      <u/>
      <sz val="11"/>
      <color theme="10"/>
      <name val="Calibri"/>
      <family val="2"/>
    </font>
    <font>
      <sz val="10"/>
      <color theme="1"/>
      <name val="Calibri"/>
      <family val="2"/>
    </font>
    <font>
      <u/>
      <sz val="11"/>
      <color theme="10"/>
      <name val="Times New Roman"/>
      <family val="1"/>
    </font>
    <font>
      <b/>
      <sz val="11"/>
      <color theme="1"/>
      <name val="Times New Roman"/>
      <family val="1"/>
    </font>
    <font>
      <sz val="12"/>
      <color rgb="FF333333"/>
      <name val="Georgia"/>
      <family val="1"/>
    </font>
    <font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80">
    <xf numFmtId="0" fontId="0" fillId="0" borderId="0" xfId="0"/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4" xfId="0" applyBorder="1"/>
    <xf numFmtId="0" fontId="0" fillId="0" borderId="5" xfId="0" applyBorder="1"/>
    <xf numFmtId="0" fontId="2" fillId="0" borderId="0" xfId="0" applyFont="1"/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Border="1"/>
    <xf numFmtId="0" fontId="0" fillId="0" borderId="3" xfId="0" applyFill="1" applyBorder="1" applyAlignment="1">
      <alignment horizontal="center"/>
    </xf>
    <xf numFmtId="0" fontId="0" fillId="0" borderId="2" xfId="0" applyBorder="1"/>
    <xf numFmtId="0" fontId="0" fillId="0" borderId="4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/>
    <xf numFmtId="0" fontId="0" fillId="0" borderId="0" xfId="0" quotePrefix="1"/>
    <xf numFmtId="2" fontId="0" fillId="0" borderId="0" xfId="0" applyNumberFormat="1"/>
    <xf numFmtId="2" fontId="0" fillId="0" borderId="1" xfId="0" applyNumberFormat="1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0" xfId="0" applyFill="1" applyBorder="1"/>
    <xf numFmtId="0" fontId="0" fillId="0" borderId="8" xfId="0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center"/>
    </xf>
    <xf numFmtId="0" fontId="10" fillId="0" borderId="0" xfId="0" applyFont="1"/>
    <xf numFmtId="0" fontId="4" fillId="0" borderId="0" xfId="0" applyFont="1"/>
    <xf numFmtId="2" fontId="0" fillId="0" borderId="0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/>
    <xf numFmtId="0" fontId="11" fillId="0" borderId="21" xfId="0" applyFont="1" applyBorder="1" applyAlignment="1">
      <alignment horizontal="center"/>
    </xf>
    <xf numFmtId="0" fontId="0" fillId="0" borderId="22" xfId="0" applyBorder="1"/>
    <xf numFmtId="0" fontId="0" fillId="0" borderId="23" xfId="0" applyBorder="1"/>
    <xf numFmtId="0" fontId="11" fillId="0" borderId="0" xfId="0" applyFont="1" applyAlignment="1">
      <alignment horizontal="center"/>
    </xf>
    <xf numFmtId="0" fontId="0" fillId="0" borderId="20" xfId="0" applyBorder="1"/>
    <xf numFmtId="0" fontId="0" fillId="0" borderId="24" xfId="0" applyBorder="1"/>
    <xf numFmtId="0" fontId="11" fillId="0" borderId="0" xfId="0" applyFont="1"/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  <xf numFmtId="17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6" xfId="0" applyNumberFormat="1" applyBorder="1"/>
    <xf numFmtId="0" fontId="0" fillId="0" borderId="25" xfId="0" applyBorder="1"/>
    <xf numFmtId="0" fontId="0" fillId="0" borderId="26" xfId="0" applyBorder="1"/>
    <xf numFmtId="0" fontId="0" fillId="0" borderId="18" xfId="0" applyBorder="1"/>
    <xf numFmtId="0" fontId="0" fillId="0" borderId="0" xfId="0" applyAlignment="1">
      <alignment horizontal="center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0" fillId="0" borderId="8" xfId="0" applyFill="1" applyBorder="1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8" xfId="0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13" fillId="0" borderId="0" xfId="2" applyAlignment="1" applyProtection="1"/>
    <xf numFmtId="0" fontId="0" fillId="0" borderId="0" xfId="0" applyFont="1"/>
    <xf numFmtId="0" fontId="0" fillId="0" borderId="27" xfId="0" applyBorder="1"/>
    <xf numFmtId="0" fontId="0" fillId="0" borderId="28" xfId="0" applyBorder="1" applyAlignment="1">
      <alignment horizontal="right"/>
    </xf>
    <xf numFmtId="0" fontId="0" fillId="0" borderId="17" xfId="0" applyBorder="1" applyAlignment="1">
      <alignment horizontal="right"/>
    </xf>
    <xf numFmtId="0" fontId="0" fillId="0" borderId="17" xfId="0" applyBorder="1"/>
    <xf numFmtId="0" fontId="0" fillId="0" borderId="19" xfId="0" applyBorder="1"/>
    <xf numFmtId="0" fontId="0" fillId="0" borderId="28" xfId="0" applyBorder="1"/>
    <xf numFmtId="0" fontId="0" fillId="0" borderId="0" xfId="0" applyBorder="1" applyAlignment="1"/>
    <xf numFmtId="0" fontId="0" fillId="0" borderId="29" xfId="0" applyBorder="1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0" fillId="0" borderId="32" xfId="0" applyBorder="1"/>
    <xf numFmtId="0" fontId="0" fillId="0" borderId="33" xfId="0" applyBorder="1" applyAlignment="1">
      <alignment horizontal="center"/>
    </xf>
    <xf numFmtId="43" fontId="0" fillId="0" borderId="0" xfId="1" applyNumberFormat="1" applyFont="1"/>
    <xf numFmtId="43" fontId="0" fillId="0" borderId="33" xfId="0" applyNumberFormat="1" applyBorder="1" applyAlignment="1">
      <alignment horizontal="center"/>
    </xf>
    <xf numFmtId="43" fontId="0" fillId="0" borderId="0" xfId="0" applyNumberFormat="1"/>
    <xf numFmtId="43" fontId="0" fillId="0" borderId="1" xfId="0" applyNumberFormat="1" applyBorder="1"/>
    <xf numFmtId="0" fontId="0" fillId="0" borderId="33" xfId="0" applyBorder="1"/>
    <xf numFmtId="0" fontId="4" fillId="0" borderId="33" xfId="0" applyFont="1" applyBorder="1" applyAlignment="1">
      <alignment horizontal="center"/>
    </xf>
    <xf numFmtId="0" fontId="0" fillId="0" borderId="0" xfId="0" applyBorder="1" applyAlignment="1">
      <alignment horizontal="right"/>
    </xf>
    <xf numFmtId="2" fontId="0" fillId="0" borderId="4" xfId="0" applyNumberFormat="1" applyBorder="1"/>
    <xf numFmtId="2" fontId="0" fillId="0" borderId="5" xfId="0" applyNumberFormat="1" applyBorder="1"/>
    <xf numFmtId="43" fontId="0" fillId="0" borderId="0" xfId="0" applyNumberFormat="1" applyBorder="1"/>
    <xf numFmtId="0" fontId="0" fillId="0" borderId="32" xfId="0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4" xfId="0" applyBorder="1"/>
    <xf numFmtId="0" fontId="4" fillId="0" borderId="0" xfId="0" applyFont="1" applyFill="1" applyBorder="1" applyAlignment="1">
      <alignment horizontal="left"/>
    </xf>
    <xf numFmtId="0" fontId="0" fillId="0" borderId="7" xfId="0" applyBorder="1" applyAlignment="1">
      <alignment horizontal="right"/>
    </xf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0" xfId="0" applyFont="1"/>
    <xf numFmtId="0" fontId="0" fillId="0" borderId="2" xfId="0" applyBorder="1" applyAlignment="1">
      <alignment horizontal="center"/>
    </xf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3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2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3" xfId="0" applyBorder="1" applyAlignment="1">
      <alignment horizontal="center"/>
    </xf>
    <xf numFmtId="166" fontId="0" fillId="0" borderId="0" xfId="0" applyNumberFormat="1"/>
    <xf numFmtId="0" fontId="0" fillId="0" borderId="34" xfId="0" applyNumberFormat="1" applyBorder="1"/>
    <xf numFmtId="0" fontId="0" fillId="0" borderId="7" xfId="0" applyNumberFormat="1" applyBorder="1"/>
    <xf numFmtId="0" fontId="0" fillId="0" borderId="8" xfId="0" applyNumberFormat="1" applyBorder="1"/>
    <xf numFmtId="0" fontId="0" fillId="0" borderId="0" xfId="0" applyNumberFormat="1"/>
    <xf numFmtId="0" fontId="0" fillId="0" borderId="54" xfId="0" applyBorder="1"/>
    <xf numFmtId="2" fontId="0" fillId="0" borderId="40" xfId="0" applyNumberFormat="1" applyBorder="1" applyAlignment="1">
      <alignment horizontal="center"/>
    </xf>
    <xf numFmtId="14" fontId="0" fillId="0" borderId="0" xfId="0" applyNumberFormat="1"/>
    <xf numFmtId="0" fontId="0" fillId="0" borderId="55" xfId="0" applyBorder="1"/>
    <xf numFmtId="0" fontId="0" fillId="0" borderId="49" xfId="0" applyBorder="1" applyAlignment="1">
      <alignment horizontal="right"/>
    </xf>
    <xf numFmtId="0" fontId="0" fillId="0" borderId="50" xfId="0" applyBorder="1" applyAlignment="1">
      <alignment horizontal="right"/>
    </xf>
    <xf numFmtId="0" fontId="0" fillId="0" borderId="56" xfId="0" applyBorder="1"/>
    <xf numFmtId="0" fontId="0" fillId="0" borderId="57" xfId="0" applyBorder="1" applyAlignment="1">
      <alignment horizontal="right"/>
    </xf>
    <xf numFmtId="0" fontId="0" fillId="0" borderId="58" xfId="0" applyBorder="1"/>
    <xf numFmtId="0" fontId="0" fillId="0" borderId="52" xfId="0" applyBorder="1" applyAlignment="1">
      <alignment horizontal="right"/>
    </xf>
    <xf numFmtId="0" fontId="0" fillId="0" borderId="53" xfId="0" applyBorder="1" applyAlignment="1">
      <alignment horizontal="right"/>
    </xf>
    <xf numFmtId="0" fontId="0" fillId="0" borderId="19" xfId="0" applyBorder="1" applyAlignment="1">
      <alignment horizontal="right"/>
    </xf>
    <xf numFmtId="14" fontId="0" fillId="0" borderId="1" xfId="0" applyNumberFormat="1" applyBorder="1"/>
    <xf numFmtId="0" fontId="0" fillId="0" borderId="39" xfId="0" applyBorder="1" applyAlignment="1">
      <alignment horizontal="right"/>
    </xf>
    <xf numFmtId="0" fontId="0" fillId="0" borderId="59" xfId="0" applyBorder="1"/>
    <xf numFmtId="0" fontId="0" fillId="0" borderId="53" xfId="0" applyBorder="1" applyAlignment="1">
      <alignment horizontal="center"/>
    </xf>
    <xf numFmtId="0" fontId="0" fillId="0" borderId="19" xfId="0" applyBorder="1" applyAlignment="1">
      <alignment horizontal="center"/>
    </xf>
    <xf numFmtId="165" fontId="0" fillId="0" borderId="40" xfId="0" applyNumberFormat="1" applyBorder="1"/>
    <xf numFmtId="2" fontId="0" fillId="0" borderId="40" xfId="0" applyNumberFormat="1" applyBorder="1"/>
    <xf numFmtId="165" fontId="0" fillId="0" borderId="41" xfId="0" applyNumberFormat="1" applyBorder="1"/>
    <xf numFmtId="165" fontId="0" fillId="0" borderId="59" xfId="0" applyNumberFormat="1" applyBorder="1"/>
    <xf numFmtId="165" fontId="0" fillId="0" borderId="43" xfId="0" applyNumberFormat="1" applyBorder="1"/>
    <xf numFmtId="165" fontId="0" fillId="0" borderId="12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165" fontId="0" fillId="0" borderId="1" xfId="0" applyNumberFormat="1" applyBorder="1"/>
    <xf numFmtId="165" fontId="0" fillId="0" borderId="15" xfId="0" applyNumberFormat="1" applyBorder="1"/>
    <xf numFmtId="0" fontId="0" fillId="0" borderId="41" xfId="0" applyNumberFormat="1" applyBorder="1"/>
    <xf numFmtId="0" fontId="0" fillId="0" borderId="47" xfId="0" applyNumberFormat="1" applyBorder="1"/>
    <xf numFmtId="0" fontId="0" fillId="0" borderId="43" xfId="0" applyNumberFormat="1" applyBorder="1"/>
    <xf numFmtId="0" fontId="0" fillId="0" borderId="12" xfId="0" applyNumberFormat="1" applyBorder="1"/>
    <xf numFmtId="0" fontId="0" fillId="0" borderId="0" xfId="0" applyNumberFormat="1" applyBorder="1"/>
    <xf numFmtId="0" fontId="0" fillId="0" borderId="13" xfId="0" applyNumberFormat="1" applyBorder="1"/>
    <xf numFmtId="0" fontId="0" fillId="0" borderId="14" xfId="0" applyNumberFormat="1" applyBorder="1"/>
    <xf numFmtId="0" fontId="0" fillId="0" borderId="1" xfId="0" applyNumberFormat="1" applyBorder="1"/>
    <xf numFmtId="0" fontId="0" fillId="0" borderId="15" xfId="0" applyNumberFormat="1" applyBorder="1"/>
    <xf numFmtId="0" fontId="0" fillId="0" borderId="0" xfId="0" applyFill="1" applyBorder="1" applyAlignment="1">
      <alignment horizontal="left"/>
    </xf>
    <xf numFmtId="165" fontId="0" fillId="0" borderId="47" xfId="0" applyNumberFormat="1" applyBorder="1"/>
    <xf numFmtId="0" fontId="0" fillId="0" borderId="1" xfId="0" applyNumberFormat="1" applyFill="1" applyBorder="1"/>
    <xf numFmtId="0" fontId="0" fillId="0" borderId="46" xfId="0" applyBorder="1" applyAlignment="1">
      <alignment horizontal="center"/>
    </xf>
    <xf numFmtId="164" fontId="0" fillId="0" borderId="0" xfId="0" applyNumberFormat="1" applyProtection="1">
      <protection locked="0"/>
    </xf>
    <xf numFmtId="164" fontId="0" fillId="0" borderId="0" xfId="0" applyNumberFormat="1" applyAlignment="1" applyProtection="1">
      <alignment horizontal="center"/>
      <protection locked="0"/>
    </xf>
    <xf numFmtId="0" fontId="0" fillId="0" borderId="60" xfId="0" applyBorder="1"/>
    <xf numFmtId="0" fontId="0" fillId="0" borderId="61" xfId="0" applyBorder="1"/>
    <xf numFmtId="0" fontId="0" fillId="0" borderId="62" xfId="0" applyBorder="1"/>
    <xf numFmtId="164" fontId="0" fillId="0" borderId="1" xfId="0" applyNumberFormat="1" applyBorder="1" applyAlignment="1" applyProtection="1">
      <alignment horizontal="center"/>
      <protection locked="0"/>
    </xf>
    <xf numFmtId="0" fontId="0" fillId="0" borderId="60" xfId="0" applyNumberFormat="1" applyBorder="1"/>
    <xf numFmtId="0" fontId="0" fillId="0" borderId="61" xfId="0" applyNumberFormat="1" applyBorder="1"/>
    <xf numFmtId="0" fontId="0" fillId="0" borderId="12" xfId="0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40" xfId="0" applyFill="1" applyBorder="1" applyAlignment="1">
      <alignment horizontal="right"/>
    </xf>
    <xf numFmtId="0" fontId="0" fillId="0" borderId="2" xfId="0" applyBorder="1" applyAlignment="1">
      <alignment horizontal="center"/>
    </xf>
    <xf numFmtId="0" fontId="11" fillId="0" borderId="0" xfId="0" applyFont="1" applyAlignment="1">
      <alignment horizontal="center"/>
    </xf>
    <xf numFmtId="0" fontId="0" fillId="2" borderId="22" xfId="0" applyFill="1" applyBorder="1"/>
    <xf numFmtId="0" fontId="0" fillId="2" borderId="24" xfId="0" applyFill="1" applyBorder="1"/>
    <xf numFmtId="0" fontId="0" fillId="0" borderId="2" xfId="0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0" fillId="0" borderId="57" xfId="0" applyBorder="1"/>
    <xf numFmtId="0" fontId="0" fillId="0" borderId="47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0" xfId="0" applyNumberFormat="1"/>
    <xf numFmtId="165" fontId="0" fillId="0" borderId="0" xfId="0" applyNumberFormat="1"/>
    <xf numFmtId="0" fontId="0" fillId="0" borderId="66" xfId="0" applyBorder="1"/>
    <xf numFmtId="164" fontId="0" fillId="0" borderId="1" xfId="0" applyNumberFormat="1" applyBorder="1"/>
    <xf numFmtId="0" fontId="0" fillId="0" borderId="2" xfId="0" applyBorder="1" applyAlignment="1">
      <alignment horizontal="center"/>
    </xf>
    <xf numFmtId="0" fontId="0" fillId="3" borderId="0" xfId="0" applyFill="1"/>
    <xf numFmtId="0" fontId="0" fillId="3" borderId="1" xfId="0" applyFill="1" applyBorder="1"/>
    <xf numFmtId="0" fontId="0" fillId="4" borderId="0" xfId="0" applyFill="1"/>
    <xf numFmtId="0" fontId="0" fillId="4" borderId="1" xfId="0" applyFill="1" applyBorder="1"/>
    <xf numFmtId="0" fontId="0" fillId="5" borderId="0" xfId="0" applyNumberFormat="1" applyFill="1"/>
    <xf numFmtId="0" fontId="0" fillId="5" borderId="1" xfId="0" applyNumberFormat="1" applyFill="1" applyBorder="1"/>
    <xf numFmtId="164" fontId="0" fillId="5" borderId="0" xfId="0" applyNumberFormat="1" applyFill="1" applyBorder="1"/>
    <xf numFmtId="165" fontId="0" fillId="5" borderId="0" xfId="0" applyNumberFormat="1" applyFill="1" applyBorder="1"/>
    <xf numFmtId="164" fontId="0" fillId="5" borderId="1" xfId="0" applyNumberFormat="1" applyFill="1" applyBorder="1"/>
    <xf numFmtId="165" fontId="0" fillId="5" borderId="1" xfId="0" applyNumberFormat="1" applyFill="1" applyBorder="1"/>
    <xf numFmtId="164" fontId="0" fillId="0" borderId="0" xfId="0" applyNumberFormat="1" applyFill="1" applyBorder="1"/>
    <xf numFmtId="165" fontId="0" fillId="0" borderId="0" xfId="0" applyNumberFormat="1" applyFill="1" applyBorder="1"/>
    <xf numFmtId="0" fontId="0" fillId="0" borderId="0" xfId="0" applyFill="1"/>
    <xf numFmtId="164" fontId="0" fillId="0" borderId="1" xfId="0" applyNumberFormat="1" applyFill="1" applyBorder="1"/>
    <xf numFmtId="165" fontId="0" fillId="0" borderId="1" xfId="0" applyNumberFormat="1" applyFill="1" applyBorder="1"/>
    <xf numFmtId="0" fontId="0" fillId="0" borderId="1" xfId="0" applyFill="1" applyBorder="1"/>
    <xf numFmtId="0" fontId="0" fillId="0" borderId="2" xfId="0" applyBorder="1" applyAlignment="1">
      <alignment horizontal="center"/>
    </xf>
    <xf numFmtId="17" fontId="0" fillId="0" borderId="0" xfId="0" applyNumberFormat="1"/>
    <xf numFmtId="17" fontId="0" fillId="0" borderId="1" xfId="0" applyNumberFormat="1" applyBorder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0" fillId="0" borderId="2" xfId="0" applyBorder="1" applyAlignment="1">
      <alignment horizontal="right"/>
    </xf>
    <xf numFmtId="0" fontId="0" fillId="0" borderId="2" xfId="0" applyBorder="1" applyAlignment="1">
      <alignment horizontal="center"/>
    </xf>
    <xf numFmtId="0" fontId="19" fillId="0" borderId="0" xfId="2" applyFont="1" applyAlignment="1" applyProtection="1"/>
    <xf numFmtId="164" fontId="0" fillId="0" borderId="1" xfId="0" applyNumberFormat="1" applyBorder="1" applyAlignment="1">
      <alignment horizontal="right"/>
    </xf>
    <xf numFmtId="167" fontId="0" fillId="0" borderId="1" xfId="0" applyNumberFormat="1" applyBorder="1" applyAlignment="1">
      <alignment horizontal="right"/>
    </xf>
    <xf numFmtId="167" fontId="0" fillId="0" borderId="0" xfId="0" applyNumberFormat="1"/>
    <xf numFmtId="167" fontId="0" fillId="0" borderId="1" xfId="0" applyNumberForma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 applyAlignment="1">
      <alignment horizontal="center"/>
    </xf>
    <xf numFmtId="0" fontId="18" fillId="0" borderId="0" xfId="0" applyFont="1"/>
    <xf numFmtId="0" fontId="13" fillId="0" borderId="0" xfId="2" applyFill="1" applyAlignment="1" applyProtection="1"/>
    <xf numFmtId="0" fontId="0" fillId="0" borderId="2" xfId="0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heetMetadata" Target="metadata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Time Series Forecasts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DM!$A$3</c:f>
              <c:strCache>
                <c:ptCount val="1"/>
                <c:pt idx="0">
                  <c:v>data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DM!$A$4:$A$23</c:f>
              <c:numCache>
                <c:formatCode>General</c:formatCode>
                <c:ptCount val="20"/>
                <c:pt idx="0">
                  <c:v>1.2288378220245906</c:v>
                </c:pt>
                <c:pt idx="1">
                  <c:v>2.6684005524939507</c:v>
                </c:pt>
                <c:pt idx="2">
                  <c:v>3.417728063820773</c:v>
                </c:pt>
                <c:pt idx="3">
                  <c:v>2.2391971568137397</c:v>
                </c:pt>
                <c:pt idx="4">
                  <c:v>2.1225599146000729</c:v>
                </c:pt>
                <c:pt idx="5">
                  <c:v>0.46379871540949502</c:v>
                </c:pt>
                <c:pt idx="6">
                  <c:v>-0.55080545418476379</c:v>
                </c:pt>
                <c:pt idx="7">
                  <c:v>1.182946247108128</c:v>
                </c:pt>
                <c:pt idx="8">
                  <c:v>-2.4132987150346601</c:v>
                </c:pt>
                <c:pt idx="9">
                  <c:v>0.97947060944543229</c:v>
                </c:pt>
                <c:pt idx="10">
                  <c:v>0.55088233224937044</c:v>
                </c:pt>
                <c:pt idx="11">
                  <c:v>1.2279214175815407</c:v>
                </c:pt>
                <c:pt idx="12">
                  <c:v>-0.92350668389273016</c:v>
                </c:pt>
                <c:pt idx="13">
                  <c:v>-9.0278955688554874E-2</c:v>
                </c:pt>
                <c:pt idx="14">
                  <c:v>1.6837933463631751</c:v>
                </c:pt>
                <c:pt idx="15">
                  <c:v>-0.61077144818691864</c:v>
                </c:pt>
                <c:pt idx="16">
                  <c:v>1.2810446629007595</c:v>
                </c:pt>
                <c:pt idx="17">
                  <c:v>-0.92224582870659311</c:v>
                </c:pt>
                <c:pt idx="18">
                  <c:v>-0.57811003842058217</c:v>
                </c:pt>
                <c:pt idx="19">
                  <c:v>0.76869728403468252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1-4C3F-8FFA-9AAC6BFD0EC2}"/>
            </c:ext>
          </c:extLst>
        </c:ser>
        <c:ser>
          <c:idx val="1"/>
          <c:order val="1"/>
          <c:tx>
            <c:strRef>
              <c:f>DM!$B$3</c:f>
              <c:strCache>
                <c:ptCount val="1"/>
                <c:pt idx="0">
                  <c:v>forecast1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DM!$B$4:$B$23</c:f>
              <c:numCache>
                <c:formatCode>General</c:formatCode>
                <c:ptCount val="20"/>
                <c:pt idx="0">
                  <c:v>0.90283699128653705</c:v>
                </c:pt>
                <c:pt idx="1">
                  <c:v>2.44926778751723</c:v>
                </c:pt>
                <c:pt idx="2">
                  <c:v>3.20755808146358</c:v>
                </c:pt>
                <c:pt idx="3">
                  <c:v>2.4383221461131046</c:v>
                </c:pt>
                <c:pt idx="4">
                  <c:v>2.7751085910428213</c:v>
                </c:pt>
                <c:pt idx="5">
                  <c:v>0.59316171174485999</c:v>
                </c:pt>
                <c:pt idx="6">
                  <c:v>0.10851859560777</c:v>
                </c:pt>
                <c:pt idx="7">
                  <c:v>0.87851772527493499</c:v>
                </c:pt>
                <c:pt idx="8">
                  <c:v>-1.16531316944428</c:v>
                </c:pt>
                <c:pt idx="9">
                  <c:v>0.59371930737043199</c:v>
                </c:pt>
                <c:pt idx="10">
                  <c:v>-3.6272861603666002E-3</c:v>
                </c:pt>
                <c:pt idx="11">
                  <c:v>0.994315257779952</c:v>
                </c:pt>
                <c:pt idx="12">
                  <c:v>0.51942478642544798</c:v>
                </c:pt>
                <c:pt idx="13">
                  <c:v>0.28509902197939363</c:v>
                </c:pt>
                <c:pt idx="14">
                  <c:v>0.57137859266675095</c:v>
                </c:pt>
                <c:pt idx="15">
                  <c:v>0.22333590226063005</c:v>
                </c:pt>
                <c:pt idx="16">
                  <c:v>0.32758098082923387</c:v>
                </c:pt>
                <c:pt idx="17">
                  <c:v>8.4688853692339E-2</c:v>
                </c:pt>
                <c:pt idx="18">
                  <c:v>-8.3990871330917427E-2</c:v>
                </c:pt>
                <c:pt idx="19">
                  <c:v>-7.3103734742138604E-2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1-4C3F-8FFA-9AAC6BFD0EC2}"/>
            </c:ext>
          </c:extLst>
        </c:ser>
        <c:ser>
          <c:idx val="2"/>
          <c:order val="2"/>
          <c:tx>
            <c:strRef>
              <c:f>DM!$C$3</c:f>
              <c:strCache>
                <c:ptCount val="1"/>
                <c:pt idx="0">
                  <c:v>forecast2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DM!$C$4:$C$23</c:f>
              <c:numCache>
                <c:formatCode>General</c:formatCode>
                <c:ptCount val="20"/>
                <c:pt idx="0">
                  <c:v>0.89454343974205996</c:v>
                </c:pt>
                <c:pt idx="1">
                  <c:v>2.3213520553880973</c:v>
                </c:pt>
                <c:pt idx="2">
                  <c:v>2.5208157426997539</c:v>
                </c:pt>
                <c:pt idx="3">
                  <c:v>1.9080749545417499</c:v>
                </c:pt>
                <c:pt idx="4">
                  <c:v>0.95078208307608969</c:v>
                </c:pt>
                <c:pt idx="5">
                  <c:v>-0.61066482988763893</c:v>
                </c:pt>
                <c:pt idx="6">
                  <c:v>-1.1154503364189121</c:v>
                </c:pt>
                <c:pt idx="7">
                  <c:v>1.1116308674749247</c:v>
                </c:pt>
                <c:pt idx="8">
                  <c:v>-2.7776482160325666</c:v>
                </c:pt>
                <c:pt idx="9">
                  <c:v>1.5172799903636889</c:v>
                </c:pt>
                <c:pt idx="10">
                  <c:v>0.48976791274636922</c:v>
                </c:pt>
                <c:pt idx="11">
                  <c:v>1.0470020473746882</c:v>
                </c:pt>
                <c:pt idx="12">
                  <c:v>-1.3447917922332853</c:v>
                </c:pt>
                <c:pt idx="13">
                  <c:v>1.9235426427811619E-3</c:v>
                </c:pt>
                <c:pt idx="14">
                  <c:v>1.7465680978124012</c:v>
                </c:pt>
                <c:pt idx="15">
                  <c:v>-1.0631677605753751</c:v>
                </c:pt>
                <c:pt idx="16">
                  <c:v>1.2719837372609173</c:v>
                </c:pt>
                <c:pt idx="17">
                  <c:v>-1.2893344521031778</c:v>
                </c:pt>
                <c:pt idx="18">
                  <c:v>-0.4644212990881289</c:v>
                </c:pt>
                <c:pt idx="19">
                  <c:v>0.97853137898300324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31-4C3F-8FFA-9AAC6BFD0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33688"/>
        <c:axId val="494741136"/>
      </c:lineChart>
      <c:catAx>
        <c:axId val="494733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1136"/>
        <c:crosses val="autoZero"/>
        <c:auto val="1"/>
        <c:lblAlgn val="ctr"/>
        <c:lblOffset val="100"/>
        <c:noMultiLvlLbl val="0"/>
      </c:catAx>
      <c:valAx>
        <c:axId val="494741136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33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Exponential Smoothing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val>
            <c:numRef>
              <c:f>'Exp 1'!$B$4:$B$18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5-4DE4-9308-53AB4C429043}"/>
            </c:ext>
          </c:extLst>
        </c:ser>
        <c:ser>
          <c:idx val="1"/>
          <c:order val="1"/>
          <c:tx>
            <c:v>Forecast</c:v>
          </c:tx>
          <c:val>
            <c:numRef>
              <c:f>'Exp 1'!$N$4:$N$18</c:f>
              <c:numCache>
                <c:formatCode>General</c:formatCode>
                <c:ptCount val="15"/>
                <c:pt idx="0">
                  <c:v>#N/A</c:v>
                </c:pt>
                <c:pt idx="1">
                  <c:v>3</c:v>
                </c:pt>
                <c:pt idx="2">
                  <c:v>4.4000000000000004</c:v>
                </c:pt>
                <c:pt idx="3">
                  <c:v>7.62</c:v>
                </c:pt>
                <c:pt idx="4">
                  <c:v>16.286000000000001</c:v>
                </c:pt>
                <c:pt idx="5">
                  <c:v>13.285799999999998</c:v>
                </c:pt>
                <c:pt idx="6">
                  <c:v>15.885739999999998</c:v>
                </c:pt>
                <c:pt idx="7">
                  <c:v>20.165721999999999</c:v>
                </c:pt>
                <c:pt idx="8">
                  <c:v>22.149716599999998</c:v>
                </c:pt>
                <c:pt idx="9">
                  <c:v>42.344914979999999</c:v>
                </c:pt>
                <c:pt idx="10">
                  <c:v>41.403474494000001</c:v>
                </c:pt>
                <c:pt idx="11">
                  <c:v>51.621042348199992</c:v>
                </c:pt>
                <c:pt idx="12">
                  <c:v>67.986312704460005</c:v>
                </c:pt>
                <c:pt idx="13">
                  <c:v>62.395893811337999</c:v>
                </c:pt>
                <c:pt idx="14">
                  <c:v>71.218768143401405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45-4DE4-9308-53AB4C429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54072"/>
        <c:axId val="494755248"/>
      </c:lineChart>
      <c:catAx>
        <c:axId val="494754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Data Point</a:t>
                </a:r>
              </a:p>
            </c:rich>
          </c:tx>
          <c:overlay val="0"/>
        </c:title>
        <c:majorTickMark val="out"/>
        <c:minorTickMark val="none"/>
        <c:tickLblPos val="nextTo"/>
        <c:crossAx val="494755248"/>
        <c:crosses val="autoZero"/>
        <c:auto val="1"/>
        <c:lblAlgn val="ctr"/>
        <c:lblOffset val="100"/>
        <c:noMultiLvlLbl val="0"/>
      </c:catAx>
      <c:valAx>
        <c:axId val="4947552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540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Exponential Smoothing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val>
            <c:numRef>
              <c:f>'Exp 1'!$B$4:$B$18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7-454A-9419-0D57209E54D8}"/>
            </c:ext>
          </c:extLst>
        </c:ser>
        <c:ser>
          <c:idx val="1"/>
          <c:order val="1"/>
          <c:tx>
            <c:v>Forecast</c:v>
          </c:tx>
          <c:val>
            <c:numRef>
              <c:f>'Exp 1'!$D$4:$D$18</c:f>
              <c:numCache>
                <c:formatCode>General</c:formatCode>
                <c:ptCount val="15"/>
                <c:pt idx="0">
                  <c:v>#N/A</c:v>
                </c:pt>
                <c:pt idx="1">
                  <c:v>3</c:v>
                </c:pt>
                <c:pt idx="2">
                  <c:v>3.8</c:v>
                </c:pt>
                <c:pt idx="3">
                  <c:v>5.88</c:v>
                </c:pt>
                <c:pt idx="4">
                  <c:v>11.528</c:v>
                </c:pt>
                <c:pt idx="5">
                  <c:v>11.716800000000001</c:v>
                </c:pt>
                <c:pt idx="6">
                  <c:v>13.830080000000002</c:v>
                </c:pt>
                <c:pt idx="7">
                  <c:v>17.098048000000002</c:v>
                </c:pt>
                <c:pt idx="8">
                  <c:v>19.458828800000003</c:v>
                </c:pt>
                <c:pt idx="9">
                  <c:v>32.075297280000001</c:v>
                </c:pt>
                <c:pt idx="10">
                  <c:v>35.645178368000003</c:v>
                </c:pt>
                <c:pt idx="11">
                  <c:v>43.787107020800008</c:v>
                </c:pt>
                <c:pt idx="12">
                  <c:v>56.272264212480003</c:v>
                </c:pt>
                <c:pt idx="13">
                  <c:v>57.763358527488002</c:v>
                </c:pt>
                <c:pt idx="14">
                  <c:v>64.658015116492805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47-454A-9419-0D57209E5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57600"/>
        <c:axId val="494753680"/>
      </c:lineChart>
      <c:catAx>
        <c:axId val="4947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Data Point</a:t>
                </a:r>
              </a:p>
            </c:rich>
          </c:tx>
          <c:overlay val="0"/>
        </c:title>
        <c:majorTickMark val="out"/>
        <c:minorTickMark val="none"/>
        <c:tickLblPos val="nextTo"/>
        <c:crossAx val="494753680"/>
        <c:crosses val="autoZero"/>
        <c:auto val="1"/>
        <c:lblAlgn val="ctr"/>
        <c:lblOffset val="100"/>
        <c:noMultiLvlLbl val="0"/>
      </c:catAx>
      <c:valAx>
        <c:axId val="494753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576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marker>
            <c:symbol val="none"/>
          </c:marker>
          <c:cat>
            <c:strRef>
              <c:f>'Exp 1a'!$D$8:$D$23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&gt;</c:v>
                </c:pt>
              </c:strCache>
            </c:strRef>
          </c:cat>
          <c:val>
            <c:numRef>
              <c:f>'Exp 1a'!$E$8:$E$22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3-4D99-B267-EA91B8BD42DC}"/>
            </c:ext>
          </c:extLst>
        </c:ser>
        <c:ser>
          <c:idx val="1"/>
          <c:order val="1"/>
          <c:tx>
            <c:v>forecast</c:v>
          </c:tx>
          <c:marker>
            <c:symbol val="none"/>
          </c:marker>
          <c:val>
            <c:numRef>
              <c:f>'Exp 1a'!$F$8:$F$23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3.8</c:v>
                </c:pt>
                <c:pt idx="3">
                  <c:v>5.88</c:v>
                </c:pt>
                <c:pt idx="4">
                  <c:v>11.528</c:v>
                </c:pt>
                <c:pt idx="5">
                  <c:v>11.716800000000001</c:v>
                </c:pt>
                <c:pt idx="6">
                  <c:v>13.830080000000001</c:v>
                </c:pt>
                <c:pt idx="7">
                  <c:v>17.098047999999999</c:v>
                </c:pt>
                <c:pt idx="8">
                  <c:v>19.458828799999999</c:v>
                </c:pt>
                <c:pt idx="9">
                  <c:v>32.075297280000001</c:v>
                </c:pt>
                <c:pt idx="10">
                  <c:v>35.645178368000003</c:v>
                </c:pt>
                <c:pt idx="11">
                  <c:v>43.787107020800001</c:v>
                </c:pt>
                <c:pt idx="12">
                  <c:v>56.272264212480003</c:v>
                </c:pt>
                <c:pt idx="13">
                  <c:v>57.763358527488002</c:v>
                </c:pt>
                <c:pt idx="14">
                  <c:v>64.658015116492805</c:v>
                </c:pt>
                <c:pt idx="15">
                  <c:v>73.99480906989568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3-4D99-B267-EA91B8BD4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54464"/>
        <c:axId val="494757208"/>
      </c:lineChart>
      <c:catAx>
        <c:axId val="49475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57208"/>
        <c:crosses val="autoZero"/>
        <c:auto val="1"/>
        <c:lblAlgn val="ctr"/>
        <c:lblOffset val="100"/>
        <c:noMultiLvlLbl val="0"/>
      </c:catAx>
      <c:valAx>
        <c:axId val="49475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54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Single Exponential</a:t>
            </a:r>
            <a:r>
              <a:rPr lang="en-GB" baseline="0"/>
              <a:t> Smoothing (MAE)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 2'!$H$3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'Exp 2'!$H$4:$H$18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78D-A319-A3D6A8F552CD}"/>
            </c:ext>
          </c:extLst>
        </c:ser>
        <c:ser>
          <c:idx val="1"/>
          <c:order val="1"/>
          <c:tx>
            <c:strRef>
              <c:f>'Exp 2'!$I$3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'Exp 2'!$I$4:$I$18</c:f>
              <c:numCache>
                <c:formatCode>General</c:formatCode>
                <c:ptCount val="15"/>
                <c:pt idx="0">
                  <c:v>3</c:v>
                </c:pt>
                <c:pt idx="1">
                  <c:v>3</c:v>
                </c:pt>
                <c:pt idx="2">
                  <c:v>4.3124106471336745</c:v>
                </c:pt>
                <c:pt idx="3">
                  <c:v>7.3884317351797826</c:v>
                </c:pt>
                <c:pt idx="4">
                  <c:v>15.664209969081389</c:v>
                </c:pt>
                <c:pt idx="5">
                  <c:v>13.259735880703506</c:v>
                </c:pt>
                <c:pt idx="6">
                  <c:v>15.714117107331894</c:v>
                </c:pt>
                <c:pt idx="7">
                  <c:v>19.838946924818416</c:v>
                </c:pt>
                <c:pt idx="8">
                  <c:v>21.913246780829894</c:v>
                </c:pt>
                <c:pt idx="9">
                  <c:v>41.000129088524162</c:v>
                </c:pt>
                <c:pt idx="10">
                  <c:v>41.000044379947397</c:v>
                </c:pt>
                <c:pt idx="11">
                  <c:v>50.843095111092211</c:v>
                </c:pt>
                <c:pt idx="12">
                  <c:v>66.694984700091254</c:v>
                </c:pt>
                <c:pt idx="13">
                  <c:v>62.301700098692848</c:v>
                </c:pt>
                <c:pt idx="14">
                  <c:v>70.63439209417885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78D-A319-A3D6A8F55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53288"/>
        <c:axId val="494756816"/>
      </c:lineChart>
      <c:catAx>
        <c:axId val="494753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56816"/>
        <c:crosses val="autoZero"/>
        <c:auto val="1"/>
        <c:lblAlgn val="ctr"/>
        <c:lblOffset val="100"/>
        <c:noMultiLvlLbl val="0"/>
      </c:catAx>
      <c:valAx>
        <c:axId val="49475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53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Single Exponential Smoothing (MSE)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 2'!$W$3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'Exp 2'!$W$4:$W$18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2-4358-80E9-188B790FD951}"/>
            </c:ext>
          </c:extLst>
        </c:ser>
        <c:ser>
          <c:idx val="1"/>
          <c:order val="1"/>
          <c:tx>
            <c:strRef>
              <c:f>'Exp 2'!$X$3</c:f>
              <c:strCache>
                <c:ptCount val="1"/>
                <c:pt idx="0">
                  <c:v>yhat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'Exp 2'!$X$4:$X$18</c:f>
              <c:numCache>
                <c:formatCode>General</c:formatCode>
                <c:ptCount val="15"/>
                <c:pt idx="0">
                  <c:v>3</c:v>
                </c:pt>
                <c:pt idx="1">
                  <c:v>3</c:v>
                </c:pt>
                <c:pt idx="2">
                  <c:v>4.6878141782271134</c:v>
                </c:pt>
                <c:pt idx="3">
                  <c:v>8.3268983627962214</c:v>
                </c:pt>
                <c:pt idx="4">
                  <c:v>18.177911586375558</c:v>
                </c:pt>
                <c:pt idx="5">
                  <c:v>12.964328202716445</c:v>
                </c:pt>
                <c:pt idx="6">
                  <c:v>16.370060241779687</c:v>
                </c:pt>
                <c:pt idx="7">
                  <c:v>21.121206315024075</c:v>
                </c:pt>
                <c:pt idx="8">
                  <c:v>22.706733624757042</c:v>
                </c:pt>
                <c:pt idx="9">
                  <c:v>46.583621693002797</c:v>
                </c:pt>
                <c:pt idx="10">
                  <c:v>41.871563763349499</c:v>
                </c:pt>
                <c:pt idx="11">
                  <c:v>53.79465126154772</c:v>
                </c:pt>
                <c:pt idx="12">
                  <c:v>71.689995389052825</c:v>
                </c:pt>
                <c:pt idx="13">
                  <c:v>61.824725408526355</c:v>
                </c:pt>
                <c:pt idx="14">
                  <c:v>72.943433037288685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B2-4358-80E9-188B790FD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45840"/>
        <c:axId val="494747408"/>
      </c:lineChart>
      <c:catAx>
        <c:axId val="494745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7408"/>
        <c:crosses val="autoZero"/>
        <c:auto val="1"/>
        <c:lblAlgn val="ctr"/>
        <c:lblOffset val="100"/>
        <c:noMultiLvlLbl val="0"/>
      </c:catAx>
      <c:valAx>
        <c:axId val="49474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5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marker>
            <c:symbol val="none"/>
          </c:marker>
          <c:cat>
            <c:strRef>
              <c:f>'Exp 3'!$D$8:$D$23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&gt;</c:v>
                </c:pt>
              </c:strCache>
            </c:strRef>
          </c:cat>
          <c:val>
            <c:numRef>
              <c:f>'Exp 3'!$E$8:$E$22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F-4E14-B3FE-E927F2CEF644}"/>
            </c:ext>
          </c:extLst>
        </c:ser>
        <c:ser>
          <c:idx val="1"/>
          <c:order val="1"/>
          <c:tx>
            <c:v>forecast</c:v>
          </c:tx>
          <c:marker>
            <c:symbol val="none"/>
          </c:marker>
          <c:val>
            <c:numRef>
              <c:f>'Exp 3'!$F$8:$F$23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4.3124135898034899</c:v>
                </c:pt>
                <c:pt idx="3">
                  <c:v>7.3884396438635189</c:v>
                </c:pt>
                <c:pt idx="4">
                  <c:v>15.664231243873749</c:v>
                </c:pt>
                <c:pt idx="5">
                  <c:v>13.259737803552522</c:v>
                </c:pt>
                <c:pt idx="6">
                  <c:v>15.714123271575483</c:v>
                </c:pt>
                <c:pt idx="7">
                  <c:v>19.838958292682403</c:v>
                </c:pt>
                <c:pt idx="8">
                  <c:v>21.913255339992023</c:v>
                </c:pt>
                <c:pt idx="9">
                  <c:v>41.000174827461308</c:v>
                </c:pt>
                <c:pt idx="10">
                  <c:v>41.000060104493265</c:v>
                </c:pt>
                <c:pt idx="11">
                  <c:v>50.843122587042558</c:v>
                </c:pt>
                <c:pt idx="12">
                  <c:v>66.695029689033717</c:v>
                </c:pt>
                <c:pt idx="13">
                  <c:v>62.301705715020873</c:v>
                </c:pt>
                <c:pt idx="14">
                  <c:v>70.634412708486167</c:v>
                </c:pt>
                <c:pt idx="15">
                  <c:v>82.029829086636937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F-4E14-B3FE-E927F2CE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7452111"/>
        <c:axId val="924090143"/>
      </c:lineChart>
      <c:catAx>
        <c:axId val="10374521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4090143"/>
        <c:crosses val="autoZero"/>
        <c:auto val="1"/>
        <c:lblAlgn val="ctr"/>
        <c:lblOffset val="100"/>
        <c:noMultiLvlLbl val="0"/>
      </c:catAx>
      <c:valAx>
        <c:axId val="924090143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37452111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Holt's Method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Holt!$B$3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Holt!$B$4:$B$18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4-4E42-94C3-5ADFBE5D3546}"/>
            </c:ext>
          </c:extLst>
        </c:ser>
        <c:ser>
          <c:idx val="3"/>
          <c:order val="1"/>
          <c:tx>
            <c:strRef>
              <c:f>Holt!$E$3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Holt!$E$4:$E$18</c:f>
              <c:numCache>
                <c:formatCode>General</c:formatCode>
                <c:ptCount val="15"/>
                <c:pt idx="1">
                  <c:v>3</c:v>
                </c:pt>
                <c:pt idx="2">
                  <c:v>4.3599999999999994</c:v>
                </c:pt>
                <c:pt idx="3">
                  <c:v>8.0751999999999988</c:v>
                </c:pt>
                <c:pt idx="4">
                  <c:v>18.043263999999997</c:v>
                </c:pt>
                <c:pt idx="5">
                  <c:v>19.131988479999997</c:v>
                </c:pt>
                <c:pt idx="6">
                  <c:v>21.188266393599999</c:v>
                </c:pt>
                <c:pt idx="7">
                  <c:v>24.649318551552</c:v>
                </c:pt>
                <c:pt idx="8">
                  <c:v>26.664140651888644</c:v>
                </c:pt>
                <c:pt idx="9">
                  <c:v>45.887074529561808</c:v>
                </c:pt>
                <c:pt idx="10">
                  <c:v>52.052453987888399</c:v>
                </c:pt>
                <c:pt idx="11">
                  <c:v>62.856994546275615</c:v>
                </c:pt>
                <c:pt idx="12">
                  <c:v>80.33976040835077</c:v>
                </c:pt>
                <c:pt idx="13">
                  <c:v>79.134287011257641</c:v>
                </c:pt>
                <c:pt idx="14">
                  <c:v>83.253402609849616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4-4E42-94C3-5ADFBE5D3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47800"/>
        <c:axId val="494746232"/>
      </c:lineChart>
      <c:catAx>
        <c:axId val="494747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6232"/>
        <c:crosses val="autoZero"/>
        <c:auto val="1"/>
        <c:lblAlgn val="ctr"/>
        <c:lblOffset val="100"/>
        <c:noMultiLvlLbl val="0"/>
      </c:catAx>
      <c:valAx>
        <c:axId val="49474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7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Holt's Method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Holt!$R$3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Holt!$R$4:$R$23</c:f>
              <c:numCache>
                <c:formatCode>General</c:formatCode>
                <c:ptCount val="20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4-4DBE-9F91-AC5C9AC96EC6}"/>
            </c:ext>
          </c:extLst>
        </c:ser>
        <c:ser>
          <c:idx val="1"/>
          <c:order val="1"/>
          <c:tx>
            <c:strRef>
              <c:f>Holt!$S$3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Holt!$S$4:$S$23</c:f>
              <c:numCache>
                <c:formatCode>General</c:formatCode>
                <c:ptCount val="20"/>
                <c:pt idx="1">
                  <c:v>3</c:v>
                </c:pt>
                <c:pt idx="2">
                  <c:v>4.3599999999999994</c:v>
                </c:pt>
                <c:pt idx="3">
                  <c:v>8.0751999999999988</c:v>
                </c:pt>
                <c:pt idx="4">
                  <c:v>18.043263999999997</c:v>
                </c:pt>
                <c:pt idx="5">
                  <c:v>19.131988479999997</c:v>
                </c:pt>
                <c:pt idx="6">
                  <c:v>21.188266393599999</c:v>
                </c:pt>
                <c:pt idx="7">
                  <c:v>24.649318551552</c:v>
                </c:pt>
                <c:pt idx="8">
                  <c:v>26.664140651888644</c:v>
                </c:pt>
                <c:pt idx="9">
                  <c:v>45.887074529561808</c:v>
                </c:pt>
                <c:pt idx="10">
                  <c:v>52.052453987888399</c:v>
                </c:pt>
                <c:pt idx="11">
                  <c:v>62.856994546275615</c:v>
                </c:pt>
                <c:pt idx="12">
                  <c:v>80.33976040835077</c:v>
                </c:pt>
                <c:pt idx="13">
                  <c:v>79.134287011257641</c:v>
                </c:pt>
                <c:pt idx="14">
                  <c:v>83.253402609849616</c:v>
                </c:pt>
                <c:pt idx="15">
                  <c:v>92.253919238246922</c:v>
                </c:pt>
                <c:pt idx="16">
                  <c:v>99.355796910584061</c:v>
                </c:pt>
                <c:pt idx="17">
                  <c:v>106.45767458292121</c:v>
                </c:pt>
                <c:pt idx="18">
                  <c:v>113.55955225525837</c:v>
                </c:pt>
                <c:pt idx="19">
                  <c:v>120.66142992759552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4-4DBE-9F91-AC5C9AC96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47016"/>
        <c:axId val="494748192"/>
      </c:lineChart>
      <c:catAx>
        <c:axId val="494747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8192"/>
        <c:crosses val="autoZero"/>
        <c:auto val="1"/>
        <c:lblAlgn val="ctr"/>
        <c:lblOffset val="100"/>
        <c:noMultiLvlLbl val="0"/>
      </c:catAx>
      <c:valAx>
        <c:axId val="49474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7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Holt's Method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'Holt 2'!$B$3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'Holt 2'!$B$4:$B$18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283-A691-C19EF6125FCD}"/>
            </c:ext>
          </c:extLst>
        </c:ser>
        <c:ser>
          <c:idx val="3"/>
          <c:order val="1"/>
          <c:tx>
            <c:strRef>
              <c:f>'Holt 2'!$E$3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'Holt 2'!$E$4:$E$18</c:f>
              <c:numCache>
                <c:formatCode>General</c:formatCode>
                <c:ptCount val="15"/>
                <c:pt idx="1">
                  <c:v>3</c:v>
                </c:pt>
                <c:pt idx="2">
                  <c:v>3.8688157925181468</c:v>
                </c:pt>
                <c:pt idx="3">
                  <c:v>6.4230238833039692</c:v>
                </c:pt>
                <c:pt idx="4">
                  <c:v>13.48043287033398</c:v>
                </c:pt>
                <c:pt idx="5">
                  <c:v>16.204272876217605</c:v>
                </c:pt>
                <c:pt idx="6">
                  <c:v>19.676190322174115</c:v>
                </c:pt>
                <c:pt idx="7">
                  <c:v>23.941296627891742</c:v>
                </c:pt>
                <c:pt idx="8">
                  <c:v>27.165844528515215</c:v>
                </c:pt>
                <c:pt idx="9">
                  <c:v>40.999998492688242</c:v>
                </c:pt>
                <c:pt idx="10">
                  <c:v>48.355616863345233</c:v>
                </c:pt>
                <c:pt idx="11">
                  <c:v>59.03201522088132</c:v>
                </c:pt>
                <c:pt idx="12">
                  <c:v>74.567156521818404</c:v>
                </c:pt>
                <c:pt idx="13">
                  <c:v>79.433835186174434</c:v>
                </c:pt>
                <c:pt idx="14">
                  <c:v>86.334026270691581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283-A691-C19EF6125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48976"/>
        <c:axId val="494749368"/>
      </c:lineChart>
      <c:catAx>
        <c:axId val="494748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9368"/>
        <c:crosses val="autoZero"/>
        <c:auto val="1"/>
        <c:lblAlgn val="ctr"/>
        <c:lblOffset val="100"/>
        <c:noMultiLvlLbl val="0"/>
      </c:catAx>
      <c:valAx>
        <c:axId val="49474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Forecast using Holt's Linear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'Holt 2'!$R$3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'Holt 2'!$R$4:$R$23</c:f>
              <c:numCache>
                <c:formatCode>General</c:formatCode>
                <c:ptCount val="20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3-40C9-A891-D670672C42FC}"/>
            </c:ext>
          </c:extLst>
        </c:ser>
        <c:ser>
          <c:idx val="1"/>
          <c:order val="1"/>
          <c:tx>
            <c:strRef>
              <c:f>'Holt 2'!$S$3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'Holt 2'!$S$4:$S$23</c:f>
              <c:numCache>
                <c:formatCode>General</c:formatCode>
                <c:ptCount val="20"/>
                <c:pt idx="1">
                  <c:v>3</c:v>
                </c:pt>
                <c:pt idx="2">
                  <c:v>3.8688157925181468</c:v>
                </c:pt>
                <c:pt idx="3">
                  <c:v>6.4230238833039692</c:v>
                </c:pt>
                <c:pt idx="4">
                  <c:v>13.48043287033398</c:v>
                </c:pt>
                <c:pt idx="5">
                  <c:v>16.204272876217605</c:v>
                </c:pt>
                <c:pt idx="6">
                  <c:v>19.676190322174115</c:v>
                </c:pt>
                <c:pt idx="7">
                  <c:v>23.941296627891742</c:v>
                </c:pt>
                <c:pt idx="8">
                  <c:v>27.165844528515215</c:v>
                </c:pt>
                <c:pt idx="9">
                  <c:v>40.999998492688242</c:v>
                </c:pt>
                <c:pt idx="10">
                  <c:v>48.355616863345233</c:v>
                </c:pt>
                <c:pt idx="11">
                  <c:v>59.03201522088132</c:v>
                </c:pt>
                <c:pt idx="12">
                  <c:v>74.567156521818404</c:v>
                </c:pt>
                <c:pt idx="13">
                  <c:v>79.433835186174434</c:v>
                </c:pt>
                <c:pt idx="14">
                  <c:v>86.334026270691581</c:v>
                </c:pt>
                <c:pt idx="15">
                  <c:v>95.163122692753859</c:v>
                </c:pt>
                <c:pt idx="16">
                  <c:v>103.53937860167274</c:v>
                </c:pt>
                <c:pt idx="17">
                  <c:v>111.91563451059162</c:v>
                </c:pt>
                <c:pt idx="18">
                  <c:v>120.29189041951048</c:v>
                </c:pt>
                <c:pt idx="19">
                  <c:v>128.66814632842934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3-40C9-A891-D670672C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52112"/>
        <c:axId val="494750152"/>
      </c:lineChart>
      <c:catAx>
        <c:axId val="494752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50152"/>
        <c:crosses val="autoZero"/>
        <c:auto val="1"/>
        <c:lblAlgn val="ctr"/>
        <c:lblOffset val="100"/>
        <c:noMultiLvlLbl val="0"/>
      </c:catAx>
      <c:valAx>
        <c:axId val="494750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52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Simple Moving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Moving!$B$3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Moving!$B$4:$B$18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9-4B8F-92F7-07BC78A6A724}"/>
            </c:ext>
          </c:extLst>
        </c:ser>
        <c:ser>
          <c:idx val="1"/>
          <c:order val="1"/>
          <c:tx>
            <c:strRef>
              <c:f>Moving!$C$3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Moving!$C$4:$C$18</c:f>
              <c:numCache>
                <c:formatCode>General</c:formatCode>
                <c:ptCount val="15"/>
                <c:pt idx="3">
                  <c:v>5.666666666666667</c:v>
                </c:pt>
                <c:pt idx="4">
                  <c:v>11.333333333333334</c:v>
                </c:pt>
                <c:pt idx="5">
                  <c:v>13.666666666666666</c:v>
                </c:pt>
                <c:pt idx="6">
                  <c:v>16.333333333333332</c:v>
                </c:pt>
                <c:pt idx="7">
                  <c:v>17</c:v>
                </c:pt>
                <c:pt idx="8">
                  <c:v>20.666666666666668</c:v>
                </c:pt>
                <c:pt idx="9">
                  <c:v>32</c:v>
                </c:pt>
                <c:pt idx="10">
                  <c:v>38.333333333333336</c:v>
                </c:pt>
                <c:pt idx="11">
                  <c:v>49.333333333333336</c:v>
                </c:pt>
                <c:pt idx="12">
                  <c:v>57.333333333333336</c:v>
                </c:pt>
                <c:pt idx="13">
                  <c:v>63.666666666666664</c:v>
                </c:pt>
                <c:pt idx="14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9-4B8F-92F7-07BC78A6A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32904"/>
        <c:axId val="494734080"/>
      </c:lineChart>
      <c:catAx>
        <c:axId val="494732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34080"/>
        <c:crosses val="autoZero"/>
        <c:auto val="1"/>
        <c:lblAlgn val="ctr"/>
        <c:lblOffset val="100"/>
        <c:noMultiLvlLbl val="0"/>
      </c:catAx>
      <c:valAx>
        <c:axId val="49473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32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marker>
            <c:symbol val="none"/>
          </c:marker>
          <c:cat>
            <c:strRef>
              <c:f>'Holt 3'!$D$4:$D$23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&gt;</c:v>
                </c:pt>
                <c:pt idx="16">
                  <c:v>&gt;</c:v>
                </c:pt>
                <c:pt idx="17">
                  <c:v>&gt;</c:v>
                </c:pt>
                <c:pt idx="18">
                  <c:v>&gt;</c:v>
                </c:pt>
                <c:pt idx="19">
                  <c:v>&gt;</c:v>
                </c:pt>
              </c:strCache>
            </c:strRef>
          </c:cat>
          <c:val>
            <c:numRef>
              <c:f>'Holt 3'!$E$4:$E$18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B-4BB7-902B-74F3DC084F7F}"/>
            </c:ext>
          </c:extLst>
        </c:ser>
        <c:ser>
          <c:idx val="1"/>
          <c:order val="1"/>
          <c:tx>
            <c:v>forecast</c:v>
          </c:tx>
          <c:marker>
            <c:symbol val="none"/>
          </c:marker>
          <c:val>
            <c:numRef>
              <c:f>'Holt 3'!$H$4:$H$23</c:f>
              <c:numCache>
                <c:formatCode>General</c:formatCode>
                <c:ptCount val="20"/>
                <c:pt idx="1">
                  <c:v>3</c:v>
                </c:pt>
                <c:pt idx="2">
                  <c:v>4.3599999999999994</c:v>
                </c:pt>
                <c:pt idx="3">
                  <c:v>8.0751999999999988</c:v>
                </c:pt>
                <c:pt idx="4">
                  <c:v>18.043263999999997</c:v>
                </c:pt>
                <c:pt idx="5">
                  <c:v>19.131988479999997</c:v>
                </c:pt>
                <c:pt idx="6">
                  <c:v>21.188266393599999</c:v>
                </c:pt>
                <c:pt idx="7">
                  <c:v>24.649318551552</c:v>
                </c:pt>
                <c:pt idx="8">
                  <c:v>26.664140651888644</c:v>
                </c:pt>
                <c:pt idx="9">
                  <c:v>45.887074529561808</c:v>
                </c:pt>
                <c:pt idx="10">
                  <c:v>52.052453987888399</c:v>
                </c:pt>
                <c:pt idx="11">
                  <c:v>62.856994546275615</c:v>
                </c:pt>
                <c:pt idx="12">
                  <c:v>80.33976040835077</c:v>
                </c:pt>
                <c:pt idx="13">
                  <c:v>79.134287011257641</c:v>
                </c:pt>
                <c:pt idx="14">
                  <c:v>83.253402609849616</c:v>
                </c:pt>
                <c:pt idx="15">
                  <c:v>92.253919238246922</c:v>
                </c:pt>
                <c:pt idx="16">
                  <c:v>99.355796910584061</c:v>
                </c:pt>
                <c:pt idx="17">
                  <c:v>106.45767458292121</c:v>
                </c:pt>
                <c:pt idx="18">
                  <c:v>113.55955225525837</c:v>
                </c:pt>
                <c:pt idx="19">
                  <c:v>120.66142992759552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B-4BB7-902B-74F3DC084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50936"/>
        <c:axId val="494751328"/>
      </c:lineChart>
      <c:catAx>
        <c:axId val="494750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51328"/>
        <c:crosses val="autoZero"/>
        <c:auto val="1"/>
        <c:lblAlgn val="ctr"/>
        <c:lblOffset val="100"/>
        <c:noMultiLvlLbl val="0"/>
      </c:catAx>
      <c:valAx>
        <c:axId val="494751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50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marker>
            <c:symbol val="none"/>
          </c:marker>
          <c:cat>
            <c:strRef>
              <c:f>'Holt 5'!$D$6:$D$24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&gt;</c:v>
                </c:pt>
                <c:pt idx="16">
                  <c:v>&gt;</c:v>
                </c:pt>
                <c:pt idx="17">
                  <c:v>&gt;</c:v>
                </c:pt>
                <c:pt idx="18">
                  <c:v>&gt;</c:v>
                </c:pt>
              </c:strCache>
            </c:strRef>
          </c:cat>
          <c:val>
            <c:numRef>
              <c:f>'Holt 5'!$E$6:$E$20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9-41D7-920E-03DC0D18FA25}"/>
            </c:ext>
          </c:extLst>
        </c:ser>
        <c:ser>
          <c:idx val="1"/>
          <c:order val="1"/>
          <c:tx>
            <c:v>forecast</c:v>
          </c:tx>
          <c:marker>
            <c:symbol val="none"/>
          </c:marker>
          <c:val>
            <c:numRef>
              <c:f>'Holt 5'!$H$6:$H$24</c:f>
              <c:numCache>
                <c:formatCode>General</c:formatCode>
                <c:ptCount val="19"/>
                <c:pt idx="1">
                  <c:v>3</c:v>
                </c:pt>
                <c:pt idx="2">
                  <c:v>3.8091613782498714</c:v>
                </c:pt>
                <c:pt idx="3">
                  <c:v>6.2880250390004182</c:v>
                </c:pt>
                <c:pt idx="4">
                  <c:v>13.197392517753947</c:v>
                </c:pt>
                <c:pt idx="5">
                  <c:v>16.67142715841436</c:v>
                </c:pt>
                <c:pt idx="6">
                  <c:v>20.53608135204604</c:v>
                </c:pt>
                <c:pt idx="7">
                  <c:v>24.922298113879094</c:v>
                </c:pt>
                <c:pt idx="8">
                  <c:v>28.215746993442874</c:v>
                </c:pt>
                <c:pt idx="9">
                  <c:v>41.140953574949279</c:v>
                </c:pt>
                <c:pt idx="10">
                  <c:v>49.105838959720671</c:v>
                </c:pt>
                <c:pt idx="11">
                  <c:v>59.890302738473054</c:v>
                </c:pt>
                <c:pt idx="12">
                  <c:v>75.30419761780891</c:v>
                </c:pt>
                <c:pt idx="13">
                  <c:v>81.274621354572062</c:v>
                </c:pt>
                <c:pt idx="14">
                  <c:v>88.000000308999319</c:v>
                </c:pt>
                <c:pt idx="15">
                  <c:v>96.075711487374306</c:v>
                </c:pt>
                <c:pt idx="16">
                  <c:v>104.1514227322476</c:v>
                </c:pt>
                <c:pt idx="17">
                  <c:v>112.2271339771209</c:v>
                </c:pt>
                <c:pt idx="18">
                  <c:v>120.3028452219942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9-41D7-920E-03DC0D18F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523615"/>
        <c:axId val="1052524863"/>
      </c:lineChart>
      <c:catAx>
        <c:axId val="10525236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52524863"/>
        <c:crosses val="autoZero"/>
        <c:auto val="1"/>
        <c:lblAlgn val="ctr"/>
        <c:lblOffset val="100"/>
        <c:noMultiLvlLbl val="0"/>
      </c:catAx>
      <c:valAx>
        <c:axId val="1052524863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52523615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Holt-Winters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'Holt-Winter'!$C$3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'Holt-Winter'!$A$4:$A$19</c:f>
              <c:strCache>
                <c:ptCount val="16"/>
                <c:pt idx="0">
                  <c:v>10 Q1</c:v>
                </c:pt>
                <c:pt idx="1">
                  <c:v>10 Q2</c:v>
                </c:pt>
                <c:pt idx="2">
                  <c:v>10 Q3</c:v>
                </c:pt>
                <c:pt idx="3">
                  <c:v>10 Q4</c:v>
                </c:pt>
                <c:pt idx="4">
                  <c:v>11 Q1</c:v>
                </c:pt>
                <c:pt idx="5">
                  <c:v>11 Q2</c:v>
                </c:pt>
                <c:pt idx="6">
                  <c:v>11 Q3</c:v>
                </c:pt>
                <c:pt idx="7">
                  <c:v>11 Q4</c:v>
                </c:pt>
                <c:pt idx="8">
                  <c:v>12 Q1</c:v>
                </c:pt>
                <c:pt idx="9">
                  <c:v>12 Q2</c:v>
                </c:pt>
                <c:pt idx="10">
                  <c:v>12 Q3</c:v>
                </c:pt>
                <c:pt idx="11">
                  <c:v>12 Q4</c:v>
                </c:pt>
                <c:pt idx="12">
                  <c:v>13 Q1</c:v>
                </c:pt>
                <c:pt idx="13">
                  <c:v>13 Q2</c:v>
                </c:pt>
                <c:pt idx="14">
                  <c:v>13 Q3</c:v>
                </c:pt>
                <c:pt idx="15">
                  <c:v>13 Q4</c:v>
                </c:pt>
              </c:strCache>
            </c:strRef>
          </c:cat>
          <c:val>
            <c:numRef>
              <c:f>'Holt-Winter'!$C$4:$C$19</c:f>
              <c:numCache>
                <c:formatCode>General</c:formatCode>
                <c:ptCount val="16"/>
                <c:pt idx="0">
                  <c:v>10</c:v>
                </c:pt>
                <c:pt idx="1">
                  <c:v>14</c:v>
                </c:pt>
                <c:pt idx="2">
                  <c:v>8</c:v>
                </c:pt>
                <c:pt idx="3">
                  <c:v>25</c:v>
                </c:pt>
                <c:pt idx="4">
                  <c:v>16</c:v>
                </c:pt>
                <c:pt idx="5">
                  <c:v>22</c:v>
                </c:pt>
                <c:pt idx="6">
                  <c:v>14</c:v>
                </c:pt>
                <c:pt idx="7">
                  <c:v>35</c:v>
                </c:pt>
                <c:pt idx="8">
                  <c:v>15</c:v>
                </c:pt>
                <c:pt idx="9">
                  <c:v>27</c:v>
                </c:pt>
                <c:pt idx="10">
                  <c:v>18</c:v>
                </c:pt>
                <c:pt idx="11">
                  <c:v>40</c:v>
                </c:pt>
                <c:pt idx="12">
                  <c:v>28</c:v>
                </c:pt>
                <c:pt idx="13">
                  <c:v>40</c:v>
                </c:pt>
                <c:pt idx="14">
                  <c:v>25</c:v>
                </c:pt>
                <c:pt idx="1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1-4A14-967B-30FB99D0DB67}"/>
            </c:ext>
          </c:extLst>
        </c:ser>
        <c:ser>
          <c:idx val="4"/>
          <c:order val="1"/>
          <c:tx>
            <c:strRef>
              <c:f>'Holt-Winter'!$G$3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'Holt-Winter'!$A$4:$A$19</c:f>
              <c:strCache>
                <c:ptCount val="16"/>
                <c:pt idx="0">
                  <c:v>10 Q1</c:v>
                </c:pt>
                <c:pt idx="1">
                  <c:v>10 Q2</c:v>
                </c:pt>
                <c:pt idx="2">
                  <c:v>10 Q3</c:v>
                </c:pt>
                <c:pt idx="3">
                  <c:v>10 Q4</c:v>
                </c:pt>
                <c:pt idx="4">
                  <c:v>11 Q1</c:v>
                </c:pt>
                <c:pt idx="5">
                  <c:v>11 Q2</c:v>
                </c:pt>
                <c:pt idx="6">
                  <c:v>11 Q3</c:v>
                </c:pt>
                <c:pt idx="7">
                  <c:v>11 Q4</c:v>
                </c:pt>
                <c:pt idx="8">
                  <c:v>12 Q1</c:v>
                </c:pt>
                <c:pt idx="9">
                  <c:v>12 Q2</c:v>
                </c:pt>
                <c:pt idx="10">
                  <c:v>12 Q3</c:v>
                </c:pt>
                <c:pt idx="11">
                  <c:v>12 Q4</c:v>
                </c:pt>
                <c:pt idx="12">
                  <c:v>13 Q1</c:v>
                </c:pt>
                <c:pt idx="13">
                  <c:v>13 Q2</c:v>
                </c:pt>
                <c:pt idx="14">
                  <c:v>13 Q3</c:v>
                </c:pt>
                <c:pt idx="15">
                  <c:v>13 Q4</c:v>
                </c:pt>
              </c:strCache>
            </c:strRef>
          </c:cat>
          <c:val>
            <c:numRef>
              <c:f>'Holt-Winter'!$G$4:$G$19</c:f>
              <c:numCache>
                <c:formatCode>General</c:formatCode>
                <c:ptCount val="16"/>
                <c:pt idx="4">
                  <c:v>10</c:v>
                </c:pt>
                <c:pt idx="5">
                  <c:v>20.299999999999997</c:v>
                </c:pt>
                <c:pt idx="6">
                  <c:v>13.528571428571427</c:v>
                </c:pt>
                <c:pt idx="7">
                  <c:v>47.890624999999993</c:v>
                </c:pt>
                <c:pt idx="8">
                  <c:v>19.229180975274733</c:v>
                </c:pt>
                <c:pt idx="9">
                  <c:v>21.504854758320089</c:v>
                </c:pt>
                <c:pt idx="10">
                  <c:v>14.247175998140808</c:v>
                </c:pt>
                <c:pt idx="11">
                  <c:v>50.313054821313465</c:v>
                </c:pt>
                <c:pt idx="12">
                  <c:v>21.249718185729147</c:v>
                </c:pt>
                <c:pt idx="13">
                  <c:v>39.02979463097477</c:v>
                </c:pt>
                <c:pt idx="14">
                  <c:v>24.486443394074048</c:v>
                </c:pt>
                <c:pt idx="15">
                  <c:v>68.750087281601125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1-4A14-967B-30FB99D0D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52504"/>
        <c:axId val="494759168"/>
      </c:lineChart>
      <c:catAx>
        <c:axId val="49475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59168"/>
        <c:crosses val="autoZero"/>
        <c:auto val="1"/>
        <c:lblAlgn val="ctr"/>
        <c:lblOffset val="100"/>
        <c:noMultiLvlLbl val="0"/>
      </c:catAx>
      <c:valAx>
        <c:axId val="49475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52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Holt-Winters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'Holt-Winter 1'!$M$3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'Holt-Winter 1'!$K$4:$K$23</c:f>
              <c:strCache>
                <c:ptCount val="20"/>
                <c:pt idx="0">
                  <c:v>10 Q1</c:v>
                </c:pt>
                <c:pt idx="1">
                  <c:v>10 Q2</c:v>
                </c:pt>
                <c:pt idx="2">
                  <c:v>10 Q3</c:v>
                </c:pt>
                <c:pt idx="3">
                  <c:v>10 Q4</c:v>
                </c:pt>
                <c:pt idx="4">
                  <c:v>11 Q1</c:v>
                </c:pt>
                <c:pt idx="5">
                  <c:v>11 Q2</c:v>
                </c:pt>
                <c:pt idx="6">
                  <c:v>11 Q3</c:v>
                </c:pt>
                <c:pt idx="7">
                  <c:v>11 Q4</c:v>
                </c:pt>
                <c:pt idx="8">
                  <c:v>12 Q1</c:v>
                </c:pt>
                <c:pt idx="9">
                  <c:v>12 Q2</c:v>
                </c:pt>
                <c:pt idx="10">
                  <c:v>12 Q3</c:v>
                </c:pt>
                <c:pt idx="11">
                  <c:v>12 Q4</c:v>
                </c:pt>
                <c:pt idx="12">
                  <c:v>13 Q1</c:v>
                </c:pt>
                <c:pt idx="13">
                  <c:v>13 Q2</c:v>
                </c:pt>
                <c:pt idx="14">
                  <c:v>13 Q3</c:v>
                </c:pt>
                <c:pt idx="15">
                  <c:v>13 Q4</c:v>
                </c:pt>
                <c:pt idx="16">
                  <c:v>14 Q1</c:v>
                </c:pt>
                <c:pt idx="17">
                  <c:v>14 Q2</c:v>
                </c:pt>
                <c:pt idx="18">
                  <c:v>14 Q3</c:v>
                </c:pt>
                <c:pt idx="19">
                  <c:v>14 Q4</c:v>
                </c:pt>
              </c:strCache>
            </c:strRef>
          </c:cat>
          <c:val>
            <c:numRef>
              <c:f>'Holt-Winter 1'!$M$4:$M$23</c:f>
              <c:numCache>
                <c:formatCode>General</c:formatCode>
                <c:ptCount val="20"/>
                <c:pt idx="0">
                  <c:v>10</c:v>
                </c:pt>
                <c:pt idx="1">
                  <c:v>14</c:v>
                </c:pt>
                <c:pt idx="2">
                  <c:v>8</c:v>
                </c:pt>
                <c:pt idx="3">
                  <c:v>25</c:v>
                </c:pt>
                <c:pt idx="4">
                  <c:v>16</c:v>
                </c:pt>
                <c:pt idx="5">
                  <c:v>22</c:v>
                </c:pt>
                <c:pt idx="6">
                  <c:v>14</c:v>
                </c:pt>
                <c:pt idx="7">
                  <c:v>35</c:v>
                </c:pt>
                <c:pt idx="8">
                  <c:v>15</c:v>
                </c:pt>
                <c:pt idx="9">
                  <c:v>27</c:v>
                </c:pt>
                <c:pt idx="10">
                  <c:v>18</c:v>
                </c:pt>
                <c:pt idx="11">
                  <c:v>40</c:v>
                </c:pt>
                <c:pt idx="12">
                  <c:v>28</c:v>
                </c:pt>
                <c:pt idx="13">
                  <c:v>40</c:v>
                </c:pt>
                <c:pt idx="14">
                  <c:v>25</c:v>
                </c:pt>
                <c:pt idx="1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D-4F6F-AC99-24CA83E81251}"/>
            </c:ext>
          </c:extLst>
        </c:ser>
        <c:ser>
          <c:idx val="1"/>
          <c:order val="1"/>
          <c:tx>
            <c:strRef>
              <c:f>'Holt-Winter 1'!$N$3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'Holt-Winter 1'!$K$4:$K$23</c:f>
              <c:strCache>
                <c:ptCount val="20"/>
                <c:pt idx="0">
                  <c:v>10 Q1</c:v>
                </c:pt>
                <c:pt idx="1">
                  <c:v>10 Q2</c:v>
                </c:pt>
                <c:pt idx="2">
                  <c:v>10 Q3</c:v>
                </c:pt>
                <c:pt idx="3">
                  <c:v>10 Q4</c:v>
                </c:pt>
                <c:pt idx="4">
                  <c:v>11 Q1</c:v>
                </c:pt>
                <c:pt idx="5">
                  <c:v>11 Q2</c:v>
                </c:pt>
                <c:pt idx="6">
                  <c:v>11 Q3</c:v>
                </c:pt>
                <c:pt idx="7">
                  <c:v>11 Q4</c:v>
                </c:pt>
                <c:pt idx="8">
                  <c:v>12 Q1</c:v>
                </c:pt>
                <c:pt idx="9">
                  <c:v>12 Q2</c:v>
                </c:pt>
                <c:pt idx="10">
                  <c:v>12 Q3</c:v>
                </c:pt>
                <c:pt idx="11">
                  <c:v>12 Q4</c:v>
                </c:pt>
                <c:pt idx="12">
                  <c:v>13 Q1</c:v>
                </c:pt>
                <c:pt idx="13">
                  <c:v>13 Q2</c:v>
                </c:pt>
                <c:pt idx="14">
                  <c:v>13 Q3</c:v>
                </c:pt>
                <c:pt idx="15">
                  <c:v>13 Q4</c:v>
                </c:pt>
                <c:pt idx="16">
                  <c:v>14 Q1</c:v>
                </c:pt>
                <c:pt idx="17">
                  <c:v>14 Q2</c:v>
                </c:pt>
                <c:pt idx="18">
                  <c:v>14 Q3</c:v>
                </c:pt>
                <c:pt idx="19">
                  <c:v>14 Q4</c:v>
                </c:pt>
              </c:strCache>
            </c:strRef>
          </c:cat>
          <c:val>
            <c:numRef>
              <c:f>'Holt-Winter 1'!$N$4:$N$23</c:f>
              <c:numCache>
                <c:formatCode>General</c:formatCode>
                <c:ptCount val="20"/>
                <c:pt idx="4">
                  <c:v>10</c:v>
                </c:pt>
                <c:pt idx="5">
                  <c:v>20.299999999999997</c:v>
                </c:pt>
                <c:pt idx="6">
                  <c:v>13.528571428571427</c:v>
                </c:pt>
                <c:pt idx="7">
                  <c:v>47.890624999999993</c:v>
                </c:pt>
                <c:pt idx="8">
                  <c:v>19.229180975274733</c:v>
                </c:pt>
                <c:pt idx="9">
                  <c:v>21.504854758320089</c:v>
                </c:pt>
                <c:pt idx="10">
                  <c:v>14.247175998140808</c:v>
                </c:pt>
                <c:pt idx="11">
                  <c:v>50.313054821313465</c:v>
                </c:pt>
                <c:pt idx="12">
                  <c:v>21.249718185729147</c:v>
                </c:pt>
                <c:pt idx="13">
                  <c:v>39.02979463097477</c:v>
                </c:pt>
                <c:pt idx="14">
                  <c:v>24.486443394074048</c:v>
                </c:pt>
                <c:pt idx="15">
                  <c:v>68.750087281601125</c:v>
                </c:pt>
                <c:pt idx="16">
                  <c:v>36.872090293673118</c:v>
                </c:pt>
                <c:pt idx="17">
                  <c:v>53.424924748326106</c:v>
                </c:pt>
                <c:pt idx="18">
                  <c:v>32.098119975044504</c:v>
                </c:pt>
                <c:pt idx="19">
                  <c:v>84.910623378413391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D-4F6F-AC99-24CA83E81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65832"/>
        <c:axId val="494762696"/>
      </c:lineChart>
      <c:catAx>
        <c:axId val="494765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62696"/>
        <c:crosses val="autoZero"/>
        <c:auto val="1"/>
        <c:lblAlgn val="ctr"/>
        <c:lblOffset val="100"/>
        <c:noMultiLvlLbl val="0"/>
      </c:catAx>
      <c:valAx>
        <c:axId val="494762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65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marker>
            <c:symbol val="none"/>
          </c:marker>
          <c:cat>
            <c:strRef>
              <c:f>'Holt-Winter 3'!$E$4:$E$25</c:f>
              <c:strCache>
                <c:ptCount val="22"/>
                <c:pt idx="0">
                  <c:v>10 Q1</c:v>
                </c:pt>
                <c:pt idx="1">
                  <c:v>10 Q2</c:v>
                </c:pt>
                <c:pt idx="2">
                  <c:v>10 Q3</c:v>
                </c:pt>
                <c:pt idx="3">
                  <c:v>10 Q4</c:v>
                </c:pt>
                <c:pt idx="4">
                  <c:v>11 Q1</c:v>
                </c:pt>
                <c:pt idx="5">
                  <c:v>11 Q2</c:v>
                </c:pt>
                <c:pt idx="6">
                  <c:v>11 Q3</c:v>
                </c:pt>
                <c:pt idx="7">
                  <c:v>11 Q4</c:v>
                </c:pt>
                <c:pt idx="8">
                  <c:v>12 Q1</c:v>
                </c:pt>
                <c:pt idx="9">
                  <c:v>12 Q2</c:v>
                </c:pt>
                <c:pt idx="10">
                  <c:v>12 Q3</c:v>
                </c:pt>
                <c:pt idx="11">
                  <c:v>12 Q4</c:v>
                </c:pt>
                <c:pt idx="12">
                  <c:v>13 Q1</c:v>
                </c:pt>
                <c:pt idx="13">
                  <c:v>13 Q2</c:v>
                </c:pt>
                <c:pt idx="14">
                  <c:v>13 Q3</c:v>
                </c:pt>
                <c:pt idx="15">
                  <c:v>13 Q4</c:v>
                </c:pt>
                <c:pt idx="16">
                  <c:v>&gt;</c:v>
                </c:pt>
                <c:pt idx="17">
                  <c:v>&gt;</c:v>
                </c:pt>
                <c:pt idx="18">
                  <c:v>&gt;</c:v>
                </c:pt>
                <c:pt idx="19">
                  <c:v>&gt;</c:v>
                </c:pt>
                <c:pt idx="20">
                  <c:v>&gt;</c:v>
                </c:pt>
                <c:pt idx="21">
                  <c:v>&gt;</c:v>
                </c:pt>
              </c:strCache>
            </c:strRef>
          </c:cat>
          <c:val>
            <c:numRef>
              <c:f>'Holt-Winter 3'!$F$4:$F$19</c:f>
              <c:numCache>
                <c:formatCode>General</c:formatCode>
                <c:ptCount val="16"/>
                <c:pt idx="0">
                  <c:v>10</c:v>
                </c:pt>
                <c:pt idx="1">
                  <c:v>14</c:v>
                </c:pt>
                <c:pt idx="2">
                  <c:v>8</c:v>
                </c:pt>
                <c:pt idx="3">
                  <c:v>25</c:v>
                </c:pt>
                <c:pt idx="4">
                  <c:v>16</c:v>
                </c:pt>
                <c:pt idx="5">
                  <c:v>22</c:v>
                </c:pt>
                <c:pt idx="6">
                  <c:v>14</c:v>
                </c:pt>
                <c:pt idx="7">
                  <c:v>35</c:v>
                </c:pt>
                <c:pt idx="8">
                  <c:v>15</c:v>
                </c:pt>
                <c:pt idx="9">
                  <c:v>27</c:v>
                </c:pt>
                <c:pt idx="10">
                  <c:v>18</c:v>
                </c:pt>
                <c:pt idx="11">
                  <c:v>40</c:v>
                </c:pt>
                <c:pt idx="12">
                  <c:v>28</c:v>
                </c:pt>
                <c:pt idx="13">
                  <c:v>40</c:v>
                </c:pt>
                <c:pt idx="14">
                  <c:v>25</c:v>
                </c:pt>
                <c:pt idx="1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B-451E-8855-D1734D84ABAA}"/>
            </c:ext>
          </c:extLst>
        </c:ser>
        <c:ser>
          <c:idx val="1"/>
          <c:order val="1"/>
          <c:tx>
            <c:v>forecast</c:v>
          </c:tx>
          <c:marker>
            <c:symbol val="none"/>
          </c:marker>
          <c:val>
            <c:numRef>
              <c:f>'Holt-Winter 3'!$J$4:$J$25</c:f>
              <c:numCache>
                <c:formatCode>General</c:formatCode>
                <c:ptCount val="22"/>
                <c:pt idx="4">
                  <c:v>11.315789473684211</c:v>
                </c:pt>
                <c:pt idx="5">
                  <c:v>22.602631578947364</c:v>
                </c:pt>
                <c:pt idx="6">
                  <c:v>14.646992481203005</c:v>
                </c:pt>
                <c:pt idx="7">
                  <c:v>50.20353618421052</c:v>
                </c:pt>
                <c:pt idx="8">
                  <c:v>19.214804731074441</c:v>
                </c:pt>
                <c:pt idx="9">
                  <c:v>21.473614207279361</c:v>
                </c:pt>
                <c:pt idx="10">
                  <c:v>14.324014910109998</c:v>
                </c:pt>
                <c:pt idx="11">
                  <c:v>50.718859599877675</c:v>
                </c:pt>
                <c:pt idx="12">
                  <c:v>20.974260666231142</c:v>
                </c:pt>
                <c:pt idx="13">
                  <c:v>38.83577711755747</c:v>
                </c:pt>
                <c:pt idx="14">
                  <c:v>24.58090882920925</c:v>
                </c:pt>
                <c:pt idx="15">
                  <c:v>69.345826670109716</c:v>
                </c:pt>
                <c:pt idx="16">
                  <c:v>36.644101895745493</c:v>
                </c:pt>
                <c:pt idx="17">
                  <c:v>52.953373367490265</c:v>
                </c:pt>
                <c:pt idx="18">
                  <c:v>31.873352303556455</c:v>
                </c:pt>
                <c:pt idx="19">
                  <c:v>84.676283131091367</c:v>
                </c:pt>
                <c:pt idx="20">
                  <c:v>46.274666126308901</c:v>
                </c:pt>
                <c:pt idx="21">
                  <c:v>66.01222362288965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B-451E-8855-D1734D84A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60736"/>
        <c:axId val="494761520"/>
      </c:lineChart>
      <c:catAx>
        <c:axId val="49476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61520"/>
        <c:crosses val="autoZero"/>
        <c:auto val="1"/>
        <c:lblAlgn val="ctr"/>
        <c:lblOffset val="100"/>
        <c:noMultiLvlLbl val="0"/>
      </c:catAx>
      <c:valAx>
        <c:axId val="49476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6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marker>
            <c:symbol val="none"/>
          </c:marker>
          <c:cat>
            <c:strRef>
              <c:f>'Holt-Winters 4'!$E$4:$E$20</c:f>
              <c:strCache>
                <c:ptCount val="17"/>
                <c:pt idx="0">
                  <c:v>10 Q1</c:v>
                </c:pt>
                <c:pt idx="1">
                  <c:v>10 Q2</c:v>
                </c:pt>
                <c:pt idx="2">
                  <c:v>10 Q3</c:v>
                </c:pt>
                <c:pt idx="3">
                  <c:v>10 Q4</c:v>
                </c:pt>
                <c:pt idx="4">
                  <c:v>11 Q1</c:v>
                </c:pt>
                <c:pt idx="5">
                  <c:v>11 Q2</c:v>
                </c:pt>
                <c:pt idx="6">
                  <c:v>11 Q3</c:v>
                </c:pt>
                <c:pt idx="7">
                  <c:v>11 Q4</c:v>
                </c:pt>
                <c:pt idx="8">
                  <c:v>12 Q1</c:v>
                </c:pt>
                <c:pt idx="9">
                  <c:v>12 Q2</c:v>
                </c:pt>
                <c:pt idx="10">
                  <c:v>12 Q3</c:v>
                </c:pt>
                <c:pt idx="11">
                  <c:v>12 Q4</c:v>
                </c:pt>
                <c:pt idx="12">
                  <c:v>13 Q1</c:v>
                </c:pt>
                <c:pt idx="13">
                  <c:v>13 Q2</c:v>
                </c:pt>
                <c:pt idx="14">
                  <c:v>13 Q3</c:v>
                </c:pt>
                <c:pt idx="15">
                  <c:v>13 Q4</c:v>
                </c:pt>
                <c:pt idx="16">
                  <c:v>&gt;</c:v>
                </c:pt>
              </c:strCache>
            </c:strRef>
          </c:cat>
          <c:val>
            <c:numRef>
              <c:f>'Holt-Winters 4'!$F$4:$F$19</c:f>
              <c:numCache>
                <c:formatCode>General</c:formatCode>
                <c:ptCount val="16"/>
                <c:pt idx="0">
                  <c:v>10</c:v>
                </c:pt>
                <c:pt idx="1">
                  <c:v>14</c:v>
                </c:pt>
                <c:pt idx="2">
                  <c:v>8</c:v>
                </c:pt>
                <c:pt idx="3">
                  <c:v>25</c:v>
                </c:pt>
                <c:pt idx="4">
                  <c:v>16</c:v>
                </c:pt>
                <c:pt idx="5">
                  <c:v>22</c:v>
                </c:pt>
                <c:pt idx="6">
                  <c:v>14</c:v>
                </c:pt>
                <c:pt idx="7">
                  <c:v>35</c:v>
                </c:pt>
                <c:pt idx="8">
                  <c:v>15</c:v>
                </c:pt>
                <c:pt idx="9">
                  <c:v>27</c:v>
                </c:pt>
                <c:pt idx="10">
                  <c:v>18</c:v>
                </c:pt>
                <c:pt idx="11">
                  <c:v>40</c:v>
                </c:pt>
                <c:pt idx="12">
                  <c:v>28</c:v>
                </c:pt>
                <c:pt idx="13">
                  <c:v>40</c:v>
                </c:pt>
                <c:pt idx="14">
                  <c:v>25</c:v>
                </c:pt>
                <c:pt idx="1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E-48FA-91C8-C172B9E9D8AD}"/>
            </c:ext>
          </c:extLst>
        </c:ser>
        <c:ser>
          <c:idx val="1"/>
          <c:order val="1"/>
          <c:tx>
            <c:v>forecast</c:v>
          </c:tx>
          <c:marker>
            <c:symbol val="none"/>
          </c:marker>
          <c:val>
            <c:numRef>
              <c:f>'Holt-Winters 4'!$J$4:$J$20</c:f>
              <c:numCache>
                <c:formatCode>General</c:formatCode>
                <c:ptCount val="17"/>
                <c:pt idx="4">
                  <c:v>11.315789473684211</c:v>
                </c:pt>
                <c:pt idx="5">
                  <c:v>17.943701554039038</c:v>
                </c:pt>
                <c:pt idx="6">
                  <c:v>11.460861941507558</c:v>
                </c:pt>
                <c:pt idx="7">
                  <c:v>39.737137478531587</c:v>
                </c:pt>
                <c:pt idx="8">
                  <c:v>18.388796186624727</c:v>
                </c:pt>
                <c:pt idx="9">
                  <c:v>27.003738380050862</c:v>
                </c:pt>
                <c:pt idx="10">
                  <c:v>16.586989795093494</c:v>
                </c:pt>
                <c:pt idx="11">
                  <c:v>52.888748716117917</c:v>
                </c:pt>
                <c:pt idx="12">
                  <c:v>23.510979004921346</c:v>
                </c:pt>
                <c:pt idx="13">
                  <c:v>35.174684281116598</c:v>
                </c:pt>
                <c:pt idx="14">
                  <c:v>21.648218845240585</c:v>
                </c:pt>
                <c:pt idx="15">
                  <c:v>64.999999620638647</c:v>
                </c:pt>
                <c:pt idx="16">
                  <c:v>30.840769360757349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E-48FA-91C8-C172B9E9D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543583"/>
        <c:axId val="1052533183"/>
      </c:lineChart>
      <c:catAx>
        <c:axId val="10525435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52533183"/>
        <c:crosses val="autoZero"/>
        <c:auto val="1"/>
        <c:lblAlgn val="ctr"/>
        <c:lblOffset val="100"/>
        <c:noMultiLvlLbl val="0"/>
      </c:catAx>
      <c:valAx>
        <c:axId val="1052533183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52543583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marker>
            <c:symbol val="none"/>
          </c:marker>
          <c:cat>
            <c:strRef>
              <c:f>'Holt-Winters 4a'!$E$4:$E$20</c:f>
              <c:strCache>
                <c:ptCount val="17"/>
                <c:pt idx="0">
                  <c:v>10 Q1</c:v>
                </c:pt>
                <c:pt idx="1">
                  <c:v>10 Q2</c:v>
                </c:pt>
                <c:pt idx="2">
                  <c:v>10 Q3</c:v>
                </c:pt>
                <c:pt idx="3">
                  <c:v>10 Q4</c:v>
                </c:pt>
                <c:pt idx="4">
                  <c:v>11 Q1</c:v>
                </c:pt>
                <c:pt idx="5">
                  <c:v>11 Q2</c:v>
                </c:pt>
                <c:pt idx="6">
                  <c:v>11 Q3</c:v>
                </c:pt>
                <c:pt idx="7">
                  <c:v>11 Q4</c:v>
                </c:pt>
                <c:pt idx="8">
                  <c:v>12 Q1</c:v>
                </c:pt>
                <c:pt idx="9">
                  <c:v>12 Q2</c:v>
                </c:pt>
                <c:pt idx="10">
                  <c:v>12 Q3</c:v>
                </c:pt>
                <c:pt idx="11">
                  <c:v>12 Q4</c:v>
                </c:pt>
                <c:pt idx="12">
                  <c:v>13 Q1</c:v>
                </c:pt>
                <c:pt idx="13">
                  <c:v>13 Q2</c:v>
                </c:pt>
                <c:pt idx="14">
                  <c:v>13 Q3</c:v>
                </c:pt>
                <c:pt idx="15">
                  <c:v>13 Q4</c:v>
                </c:pt>
                <c:pt idx="16">
                  <c:v>&gt;</c:v>
                </c:pt>
              </c:strCache>
            </c:strRef>
          </c:cat>
          <c:val>
            <c:numRef>
              <c:f>'Holt-Winters 4a'!$F$4:$F$19</c:f>
              <c:numCache>
                <c:formatCode>General</c:formatCode>
                <c:ptCount val="16"/>
                <c:pt idx="0">
                  <c:v>10</c:v>
                </c:pt>
                <c:pt idx="1">
                  <c:v>14</c:v>
                </c:pt>
                <c:pt idx="2">
                  <c:v>8</c:v>
                </c:pt>
                <c:pt idx="3">
                  <c:v>25</c:v>
                </c:pt>
                <c:pt idx="4">
                  <c:v>16</c:v>
                </c:pt>
                <c:pt idx="5">
                  <c:v>22</c:v>
                </c:pt>
                <c:pt idx="6">
                  <c:v>14</c:v>
                </c:pt>
                <c:pt idx="7">
                  <c:v>35</c:v>
                </c:pt>
                <c:pt idx="8">
                  <c:v>15</c:v>
                </c:pt>
                <c:pt idx="9">
                  <c:v>27</c:v>
                </c:pt>
                <c:pt idx="10">
                  <c:v>18</c:v>
                </c:pt>
                <c:pt idx="11">
                  <c:v>40</c:v>
                </c:pt>
                <c:pt idx="12">
                  <c:v>28</c:v>
                </c:pt>
                <c:pt idx="13">
                  <c:v>40</c:v>
                </c:pt>
                <c:pt idx="14">
                  <c:v>25</c:v>
                </c:pt>
                <c:pt idx="1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F-4E83-BB22-3B7AD8A5B6A9}"/>
            </c:ext>
          </c:extLst>
        </c:ser>
        <c:ser>
          <c:idx val="1"/>
          <c:order val="1"/>
          <c:tx>
            <c:v>forecast</c:v>
          </c:tx>
          <c:marker>
            <c:symbol val="none"/>
          </c:marker>
          <c:val>
            <c:numRef>
              <c:f>'Holt-Winters 4a'!$J$4:$J$20</c:f>
              <c:numCache>
                <c:formatCode>General</c:formatCode>
                <c:ptCount val="17"/>
                <c:pt idx="4">
                  <c:v>11.315789473684211</c:v>
                </c:pt>
                <c:pt idx="5">
                  <c:v>18.063081791952143</c:v>
                </c:pt>
                <c:pt idx="6">
                  <c:v>11.561049895567537</c:v>
                </c:pt>
                <c:pt idx="7">
                  <c:v>40.141578242244528</c:v>
                </c:pt>
                <c:pt idx="8">
                  <c:v>18.505135323931807</c:v>
                </c:pt>
                <c:pt idx="9">
                  <c:v>27.00351129729485</c:v>
                </c:pt>
                <c:pt idx="10">
                  <c:v>16.566051909954734</c:v>
                </c:pt>
                <c:pt idx="11">
                  <c:v>52.818757153015305</c:v>
                </c:pt>
                <c:pt idx="12">
                  <c:v>23.386348613540935</c:v>
                </c:pt>
                <c:pt idx="13">
                  <c:v>35.11374554867551</c:v>
                </c:pt>
                <c:pt idx="14">
                  <c:v>21.653707053768095</c:v>
                </c:pt>
                <c:pt idx="15">
                  <c:v>64.999997292142652</c:v>
                </c:pt>
                <c:pt idx="16">
                  <c:v>30.908792763762207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F-4E83-BB22-3B7AD8A5B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57992"/>
        <c:axId val="494768576"/>
      </c:lineChart>
      <c:catAx>
        <c:axId val="494757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68576"/>
        <c:crosses val="autoZero"/>
        <c:auto val="1"/>
        <c:lblAlgn val="ctr"/>
        <c:lblOffset val="100"/>
        <c:noMultiLvlLbl val="0"/>
      </c:catAx>
      <c:valAx>
        <c:axId val="49476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57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marker>
            <c:symbol val="none"/>
          </c:marker>
          <c:cat>
            <c:strRef>
              <c:f>'Holt-Winters 5'!$E$4:$E$23</c:f>
              <c:strCache>
                <c:ptCount val="20"/>
                <c:pt idx="0">
                  <c:v>10 Q1</c:v>
                </c:pt>
                <c:pt idx="1">
                  <c:v>10 Q2</c:v>
                </c:pt>
                <c:pt idx="2">
                  <c:v>10 Q3</c:v>
                </c:pt>
                <c:pt idx="3">
                  <c:v>10 Q4</c:v>
                </c:pt>
                <c:pt idx="4">
                  <c:v>11 Q1</c:v>
                </c:pt>
                <c:pt idx="5">
                  <c:v>11 Q2</c:v>
                </c:pt>
                <c:pt idx="6">
                  <c:v>11 Q3</c:v>
                </c:pt>
                <c:pt idx="7">
                  <c:v>11 Q4</c:v>
                </c:pt>
                <c:pt idx="8">
                  <c:v>12 Q1</c:v>
                </c:pt>
                <c:pt idx="9">
                  <c:v>12 Q2</c:v>
                </c:pt>
                <c:pt idx="10">
                  <c:v>12 Q3</c:v>
                </c:pt>
                <c:pt idx="11">
                  <c:v>12 Q4</c:v>
                </c:pt>
                <c:pt idx="12">
                  <c:v>13 Q1</c:v>
                </c:pt>
                <c:pt idx="13">
                  <c:v>13 Q2</c:v>
                </c:pt>
                <c:pt idx="14">
                  <c:v>13 Q3</c:v>
                </c:pt>
                <c:pt idx="15">
                  <c:v>13 Q4</c:v>
                </c:pt>
                <c:pt idx="16">
                  <c:v>14 Q1</c:v>
                </c:pt>
                <c:pt idx="17">
                  <c:v>14 Q2</c:v>
                </c:pt>
                <c:pt idx="18">
                  <c:v>14 Q3</c:v>
                </c:pt>
                <c:pt idx="19">
                  <c:v>14 Q4</c:v>
                </c:pt>
              </c:strCache>
            </c:strRef>
          </c:cat>
          <c:val>
            <c:numRef>
              <c:f>'Holt-Winters 5'!$F$4:$F$19</c:f>
              <c:numCache>
                <c:formatCode>General</c:formatCode>
                <c:ptCount val="16"/>
                <c:pt idx="0">
                  <c:v>10</c:v>
                </c:pt>
                <c:pt idx="1">
                  <c:v>14</c:v>
                </c:pt>
                <c:pt idx="2">
                  <c:v>8</c:v>
                </c:pt>
                <c:pt idx="3">
                  <c:v>25</c:v>
                </c:pt>
                <c:pt idx="4">
                  <c:v>16</c:v>
                </c:pt>
                <c:pt idx="5">
                  <c:v>22</c:v>
                </c:pt>
                <c:pt idx="6">
                  <c:v>14</c:v>
                </c:pt>
                <c:pt idx="7">
                  <c:v>35</c:v>
                </c:pt>
                <c:pt idx="8">
                  <c:v>15</c:v>
                </c:pt>
                <c:pt idx="9">
                  <c:v>27</c:v>
                </c:pt>
                <c:pt idx="10">
                  <c:v>18</c:v>
                </c:pt>
                <c:pt idx="11">
                  <c:v>40</c:v>
                </c:pt>
                <c:pt idx="12">
                  <c:v>28</c:v>
                </c:pt>
                <c:pt idx="13">
                  <c:v>40</c:v>
                </c:pt>
                <c:pt idx="14">
                  <c:v>25</c:v>
                </c:pt>
                <c:pt idx="1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0-4C1E-8D3F-530A0E165AB5}"/>
            </c:ext>
          </c:extLst>
        </c:ser>
        <c:ser>
          <c:idx val="1"/>
          <c:order val="1"/>
          <c:tx>
            <c:v>forecast</c:v>
          </c:tx>
          <c:marker>
            <c:symbol val="none"/>
          </c:marker>
          <c:val>
            <c:numRef>
              <c:f>'Holt-Winters 5'!$J$4:$J$23</c:f>
              <c:numCache>
                <c:formatCode>General</c:formatCode>
                <c:ptCount val="20"/>
                <c:pt idx="4">
                  <c:v>11.875</c:v>
                </c:pt>
                <c:pt idx="5">
                  <c:v>17.878140738945099</c:v>
                </c:pt>
                <c:pt idx="6">
                  <c:v>13.945254282124136</c:v>
                </c:pt>
                <c:pt idx="7">
                  <c:v>32.950046882508765</c:v>
                </c:pt>
                <c:pt idx="8">
                  <c:v>20.955264391273481</c:v>
                </c:pt>
                <c:pt idx="9">
                  <c:v>26.80533625362434</c:v>
                </c:pt>
                <c:pt idx="10">
                  <c:v>21.830230248964916</c:v>
                </c:pt>
                <c:pt idx="11">
                  <c:v>41.111056075520047</c:v>
                </c:pt>
                <c:pt idx="12">
                  <c:v>27.081400913273562</c:v>
                </c:pt>
                <c:pt idx="13">
                  <c:v>34.376633416700244</c:v>
                </c:pt>
                <c:pt idx="14">
                  <c:v>28.595868296183948</c:v>
                </c:pt>
                <c:pt idx="15">
                  <c:v>48.526893035170218</c:v>
                </c:pt>
                <c:pt idx="16">
                  <c:v>35.533313796687494</c:v>
                </c:pt>
                <c:pt idx="17">
                  <c:v>44.17100698771943</c:v>
                </c:pt>
                <c:pt idx="18">
                  <c:v>36.407418404722478</c:v>
                </c:pt>
                <c:pt idx="19">
                  <c:v>61.211749797143028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0-4C1E-8D3F-530A0E165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62304"/>
        <c:axId val="494759952"/>
      </c:lineChart>
      <c:catAx>
        <c:axId val="49476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59952"/>
        <c:crosses val="autoZero"/>
        <c:auto val="1"/>
        <c:lblAlgn val="ctr"/>
        <c:lblOffset val="100"/>
        <c:noMultiLvlLbl val="0"/>
      </c:catAx>
      <c:valAx>
        <c:axId val="49475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62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marker>
            <c:symbol val="none"/>
          </c:marker>
          <c:cat>
            <c:strRef>
              <c:f>'HoltWinters 6'!$E$6:$E$27</c:f>
              <c:strCache>
                <c:ptCount val="22"/>
                <c:pt idx="0">
                  <c:v>10 Q1</c:v>
                </c:pt>
                <c:pt idx="1">
                  <c:v>10 Q2</c:v>
                </c:pt>
                <c:pt idx="2">
                  <c:v>10 Q3</c:v>
                </c:pt>
                <c:pt idx="3">
                  <c:v>10 Q4</c:v>
                </c:pt>
                <c:pt idx="4">
                  <c:v>11 Q1</c:v>
                </c:pt>
                <c:pt idx="5">
                  <c:v>11 Q2</c:v>
                </c:pt>
                <c:pt idx="6">
                  <c:v>11 Q3</c:v>
                </c:pt>
                <c:pt idx="7">
                  <c:v>11 Q4</c:v>
                </c:pt>
                <c:pt idx="8">
                  <c:v>12 Q1</c:v>
                </c:pt>
                <c:pt idx="9">
                  <c:v>12 Q2</c:v>
                </c:pt>
                <c:pt idx="10">
                  <c:v>12 Q3</c:v>
                </c:pt>
                <c:pt idx="11">
                  <c:v>12 Q4</c:v>
                </c:pt>
                <c:pt idx="12">
                  <c:v>13 Q1</c:v>
                </c:pt>
                <c:pt idx="13">
                  <c:v>13 Q2</c:v>
                </c:pt>
                <c:pt idx="14">
                  <c:v>13 Q3</c:v>
                </c:pt>
                <c:pt idx="15">
                  <c:v>13 Q4</c:v>
                </c:pt>
                <c:pt idx="16">
                  <c:v>14 Q1</c:v>
                </c:pt>
                <c:pt idx="17">
                  <c:v>14 Q2</c:v>
                </c:pt>
                <c:pt idx="18">
                  <c:v>14 Q3</c:v>
                </c:pt>
                <c:pt idx="19">
                  <c:v>14 Q4</c:v>
                </c:pt>
                <c:pt idx="20">
                  <c:v>15 Q1</c:v>
                </c:pt>
                <c:pt idx="21">
                  <c:v>16 Q2</c:v>
                </c:pt>
              </c:strCache>
            </c:strRef>
          </c:cat>
          <c:val>
            <c:numRef>
              <c:f>'HoltWinters 6'!$F$6:$F$21</c:f>
              <c:numCache>
                <c:formatCode>General</c:formatCode>
                <c:ptCount val="16"/>
                <c:pt idx="0">
                  <c:v>10</c:v>
                </c:pt>
                <c:pt idx="1">
                  <c:v>14</c:v>
                </c:pt>
                <c:pt idx="2">
                  <c:v>8</c:v>
                </c:pt>
                <c:pt idx="3">
                  <c:v>25</c:v>
                </c:pt>
                <c:pt idx="4">
                  <c:v>16</c:v>
                </c:pt>
                <c:pt idx="5">
                  <c:v>22</c:v>
                </c:pt>
                <c:pt idx="6">
                  <c:v>14</c:v>
                </c:pt>
                <c:pt idx="7">
                  <c:v>35</c:v>
                </c:pt>
                <c:pt idx="8">
                  <c:v>15</c:v>
                </c:pt>
                <c:pt idx="9">
                  <c:v>27</c:v>
                </c:pt>
                <c:pt idx="10">
                  <c:v>18</c:v>
                </c:pt>
                <c:pt idx="11">
                  <c:v>40</c:v>
                </c:pt>
                <c:pt idx="12">
                  <c:v>28</c:v>
                </c:pt>
                <c:pt idx="13">
                  <c:v>40</c:v>
                </c:pt>
                <c:pt idx="14">
                  <c:v>25</c:v>
                </c:pt>
                <c:pt idx="1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C-4A32-A43E-92659D4428E0}"/>
            </c:ext>
          </c:extLst>
        </c:ser>
        <c:ser>
          <c:idx val="1"/>
          <c:order val="1"/>
          <c:tx>
            <c:v>forecast</c:v>
          </c:tx>
          <c:marker>
            <c:symbol val="none"/>
          </c:marker>
          <c:val>
            <c:numRef>
              <c:f>'HoltWinters 6'!$J$6:$J$27</c:f>
              <c:numCache>
                <c:formatCode>General</c:formatCode>
                <c:ptCount val="22"/>
                <c:pt idx="4">
                  <c:v>11.875</c:v>
                </c:pt>
                <c:pt idx="5">
                  <c:v>17.878140396707728</c:v>
                </c:pt>
                <c:pt idx="6">
                  <c:v>13.945253437422668</c:v>
                </c:pt>
                <c:pt idx="7">
                  <c:v>32.950045722713938</c:v>
                </c:pt>
                <c:pt idx="8">
                  <c:v>20.955265132140223</c:v>
                </c:pt>
                <c:pt idx="9">
                  <c:v>26.805337148589569</c:v>
                </c:pt>
                <c:pt idx="10">
                  <c:v>21.83022872922983</c:v>
                </c:pt>
                <c:pt idx="11">
                  <c:v>41.1110559548056</c:v>
                </c:pt>
                <c:pt idx="12">
                  <c:v>27.081398238996158</c:v>
                </c:pt>
                <c:pt idx="13">
                  <c:v>34.3766343607832</c:v>
                </c:pt>
                <c:pt idx="14">
                  <c:v>28.595864831042523</c:v>
                </c:pt>
                <c:pt idx="15">
                  <c:v>48.526892234125725</c:v>
                </c:pt>
                <c:pt idx="16">
                  <c:v>35.533310752706932</c:v>
                </c:pt>
                <c:pt idx="17">
                  <c:v>44.171008712804245</c:v>
                </c:pt>
                <c:pt idx="18">
                  <c:v>36.407411226814958</c:v>
                </c:pt>
                <c:pt idx="19">
                  <c:v>61.21175528895175</c:v>
                </c:pt>
                <c:pt idx="20">
                  <c:v>44.218035279557022</c:v>
                </c:pt>
                <c:pt idx="21">
                  <c:v>52.855733239654334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C-4A32-A43E-92659D44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516127"/>
        <c:axId val="1052525695"/>
      </c:lineChart>
      <c:catAx>
        <c:axId val="10525161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52525695"/>
        <c:crosses val="autoZero"/>
        <c:auto val="1"/>
        <c:lblAlgn val="ctr"/>
        <c:lblOffset val="100"/>
        <c:noMultiLvlLbl val="0"/>
      </c:catAx>
      <c:valAx>
        <c:axId val="1052525695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52516127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Dow Jones -</a:t>
            </a:r>
            <a:r>
              <a:rPr lang="en-US" baseline="0"/>
              <a:t> </a:t>
            </a:r>
            <a:r>
              <a:rPr lang="en-US"/>
              <a:t>October</a:t>
            </a:r>
            <a:r>
              <a:rPr lang="en-US" baseline="0"/>
              <a:t> 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Stationary!$B$3</c:f>
              <c:strCache>
                <c:ptCount val="1"/>
                <c:pt idx="0">
                  <c:v>Dow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Stationary!$A$4:$A$25</c:f>
              <c:numCache>
                <c:formatCode>mmm\-yy</c:formatCode>
                <c:ptCount val="22"/>
                <c:pt idx="0">
                  <c:v>37165</c:v>
                </c:pt>
                <c:pt idx="1">
                  <c:v>37530</c:v>
                </c:pt>
                <c:pt idx="2">
                  <c:v>38626</c:v>
                </c:pt>
                <c:pt idx="3">
                  <c:v>38991</c:v>
                </c:pt>
                <c:pt idx="4">
                  <c:v>39356</c:v>
                </c:pt>
                <c:pt idx="5">
                  <c:v>39722</c:v>
                </c:pt>
                <c:pt idx="6">
                  <c:v>40087</c:v>
                </c:pt>
                <c:pt idx="7">
                  <c:v>41183</c:v>
                </c:pt>
                <c:pt idx="8">
                  <c:v>41548</c:v>
                </c:pt>
                <c:pt idx="9">
                  <c:v>41913</c:v>
                </c:pt>
                <c:pt idx="10">
                  <c:v>42278</c:v>
                </c:pt>
                <c:pt idx="11">
                  <c:v>42644</c:v>
                </c:pt>
                <c:pt idx="12">
                  <c:v>43739</c:v>
                </c:pt>
                <c:pt idx="13">
                  <c:v>44105</c:v>
                </c:pt>
                <c:pt idx="14">
                  <c:v>44470</c:v>
                </c:pt>
                <c:pt idx="15">
                  <c:v>44835</c:v>
                </c:pt>
                <c:pt idx="16">
                  <c:v>45200</c:v>
                </c:pt>
                <c:pt idx="17">
                  <c:v>46296</c:v>
                </c:pt>
                <c:pt idx="18">
                  <c:v>46661</c:v>
                </c:pt>
                <c:pt idx="19">
                  <c:v>47027</c:v>
                </c:pt>
                <c:pt idx="20">
                  <c:v>47392</c:v>
                </c:pt>
                <c:pt idx="21">
                  <c:v>11232</c:v>
                </c:pt>
              </c:numCache>
            </c:numRef>
          </c:cat>
          <c:val>
            <c:numRef>
              <c:f>Stationary!$B$4:$B$25</c:f>
              <c:numCache>
                <c:formatCode>0.00</c:formatCode>
                <c:ptCount val="22"/>
                <c:pt idx="0">
                  <c:v>16272.01</c:v>
                </c:pt>
                <c:pt idx="1">
                  <c:v>16472.37</c:v>
                </c:pt>
                <c:pt idx="2">
                  <c:v>16776.43</c:v>
                </c:pt>
                <c:pt idx="3">
                  <c:v>16790.189999999999</c:v>
                </c:pt>
                <c:pt idx="4">
                  <c:v>16912.29</c:v>
                </c:pt>
                <c:pt idx="5">
                  <c:v>17050.75</c:v>
                </c:pt>
                <c:pt idx="6">
                  <c:v>17084.490000000002</c:v>
                </c:pt>
                <c:pt idx="7">
                  <c:v>17131.86</c:v>
                </c:pt>
                <c:pt idx="8">
                  <c:v>17081.89</c:v>
                </c:pt>
                <c:pt idx="9">
                  <c:v>16924.75</c:v>
                </c:pt>
                <c:pt idx="10">
                  <c:v>17141.75</c:v>
                </c:pt>
                <c:pt idx="11">
                  <c:v>17215.97</c:v>
                </c:pt>
                <c:pt idx="12">
                  <c:v>17230.54</c:v>
                </c:pt>
                <c:pt idx="13">
                  <c:v>17217.11</c:v>
                </c:pt>
                <c:pt idx="14">
                  <c:v>17168.61</c:v>
                </c:pt>
                <c:pt idx="15">
                  <c:v>17489.16</c:v>
                </c:pt>
                <c:pt idx="16">
                  <c:v>17646.7</c:v>
                </c:pt>
                <c:pt idx="17">
                  <c:v>17623.05</c:v>
                </c:pt>
                <c:pt idx="18">
                  <c:v>17581.43</c:v>
                </c:pt>
                <c:pt idx="19">
                  <c:v>17779.52</c:v>
                </c:pt>
                <c:pt idx="20">
                  <c:v>17755.8</c:v>
                </c:pt>
                <c:pt idx="21">
                  <c:v>17663.54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F-4F18-9796-0D440B28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65440"/>
        <c:axId val="494766224"/>
      </c:lineChart>
      <c:catAx>
        <c:axId val="494765440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66224"/>
        <c:crosses val="autoZero"/>
        <c:auto val="0"/>
        <c:lblAlgn val="ctr"/>
        <c:lblOffset val="100"/>
        <c:noMultiLvlLbl val="0"/>
      </c:catAx>
      <c:valAx>
        <c:axId val="494766224"/>
        <c:scaling>
          <c:orientation val="minMax"/>
          <c:min val="1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65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Moving Average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val>
            <c:numRef>
              <c:f>Moving!$B$4:$B$18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8-481B-921C-EB1318DE0FC1}"/>
            </c:ext>
          </c:extLst>
        </c:ser>
        <c:ser>
          <c:idx val="1"/>
          <c:order val="1"/>
          <c:tx>
            <c:v>Forecast</c:v>
          </c:tx>
          <c:val>
            <c:numRef>
              <c:f>Moving!$Q$4:$Q$18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5.666666666666667</c:v>
                </c:pt>
                <c:pt idx="3">
                  <c:v>11.333333333333334</c:v>
                </c:pt>
                <c:pt idx="4">
                  <c:v>13.666666666666666</c:v>
                </c:pt>
                <c:pt idx="5">
                  <c:v>16.333333333333332</c:v>
                </c:pt>
                <c:pt idx="6">
                  <c:v>17</c:v>
                </c:pt>
                <c:pt idx="7">
                  <c:v>20.666666666666668</c:v>
                </c:pt>
                <c:pt idx="8">
                  <c:v>32</c:v>
                </c:pt>
                <c:pt idx="9">
                  <c:v>38.333333333333336</c:v>
                </c:pt>
                <c:pt idx="10">
                  <c:v>49.333333333333336</c:v>
                </c:pt>
                <c:pt idx="11">
                  <c:v>57.333333333333336</c:v>
                </c:pt>
                <c:pt idx="12">
                  <c:v>63.666666666666664</c:v>
                </c:pt>
                <c:pt idx="13">
                  <c:v>70</c:v>
                </c:pt>
                <c:pt idx="14">
                  <c:v>74.333333333333329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8-481B-921C-EB1318DE0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36432"/>
        <c:axId val="494738000"/>
      </c:lineChart>
      <c:catAx>
        <c:axId val="49473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Data Point</a:t>
                </a:r>
              </a:p>
            </c:rich>
          </c:tx>
          <c:overlay val="0"/>
        </c:title>
        <c:majorTickMark val="out"/>
        <c:minorTickMark val="none"/>
        <c:tickLblPos val="nextTo"/>
        <c:crossAx val="494738000"/>
        <c:crosses val="autoZero"/>
        <c:auto val="1"/>
        <c:lblAlgn val="ctr"/>
        <c:lblOffset val="100"/>
        <c:noMultiLvlLbl val="0"/>
      </c:catAx>
      <c:valAx>
        <c:axId val="494738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364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Differences (Lag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Stationary!$N$3</c:f>
              <c:strCache>
                <c:ptCount val="1"/>
                <c:pt idx="0">
                  <c:v>Diff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Stationary!$N$4:$N$25</c:f>
              <c:numCache>
                <c:formatCode>0.00</c:formatCode>
                <c:ptCount val="22"/>
                <c:pt idx="1">
                  <c:v>200.35999999999876</c:v>
                </c:pt>
                <c:pt idx="2">
                  <c:v>304.06000000000131</c:v>
                </c:pt>
                <c:pt idx="3">
                  <c:v>13.759999999998399</c:v>
                </c:pt>
                <c:pt idx="4">
                  <c:v>122.10000000000218</c:v>
                </c:pt>
                <c:pt idx="5">
                  <c:v>138.45999999999913</c:v>
                </c:pt>
                <c:pt idx="6">
                  <c:v>33.740000000001601</c:v>
                </c:pt>
                <c:pt idx="7">
                  <c:v>47.369999999998981</c:v>
                </c:pt>
                <c:pt idx="8">
                  <c:v>-49.970000000001164</c:v>
                </c:pt>
                <c:pt idx="9">
                  <c:v>-157.13999999999942</c:v>
                </c:pt>
                <c:pt idx="10">
                  <c:v>217</c:v>
                </c:pt>
                <c:pt idx="11">
                  <c:v>74.220000000001164</c:v>
                </c:pt>
                <c:pt idx="12">
                  <c:v>14.569999999999709</c:v>
                </c:pt>
                <c:pt idx="13">
                  <c:v>-13.430000000000291</c:v>
                </c:pt>
                <c:pt idx="14">
                  <c:v>-48.5</c:v>
                </c:pt>
                <c:pt idx="15">
                  <c:v>320.54999999999927</c:v>
                </c:pt>
                <c:pt idx="16">
                  <c:v>157.54000000000087</c:v>
                </c:pt>
                <c:pt idx="17">
                  <c:v>-23.650000000001455</c:v>
                </c:pt>
                <c:pt idx="18">
                  <c:v>-41.619999999998981</c:v>
                </c:pt>
                <c:pt idx="19">
                  <c:v>198.09000000000015</c:v>
                </c:pt>
                <c:pt idx="20">
                  <c:v>-23.720000000001164</c:v>
                </c:pt>
                <c:pt idx="21">
                  <c:v>-92.259999999998399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5-4D31-B980-3AA80D5FF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59560"/>
        <c:axId val="494766616"/>
      </c:lineChart>
      <c:catAx>
        <c:axId val="494759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66616"/>
        <c:crosses val="autoZero"/>
        <c:auto val="1"/>
        <c:lblAlgn val="ctr"/>
        <c:lblOffset val="100"/>
        <c:noMultiLvlLbl val="0"/>
      </c:catAx>
      <c:valAx>
        <c:axId val="494766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59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Correlogram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ACF!$E$5:$E$14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01-44C3-9379-E961C1EF5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763480"/>
        <c:axId val="494765048"/>
      </c:barChart>
      <c:catAx>
        <c:axId val="494763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65048"/>
        <c:crosses val="autoZero"/>
        <c:auto val="1"/>
        <c:lblAlgn val="ctr"/>
        <c:lblOffset val="100"/>
        <c:noMultiLvlLbl val="0"/>
      </c:catAx>
      <c:valAx>
        <c:axId val="49476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63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PACF Correlogram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'PACF 1'!$G$5:$G$11</c:f>
              <c:strCache>
                <c:ptCount val="7"/>
                <c:pt idx="0">
                  <c:v>#NAME?</c:v>
                </c:pt>
                <c:pt idx="1">
                  <c:v>#NAME?</c:v>
                </c:pt>
                <c:pt idx="2">
                  <c:v>#NAME?</c:v>
                </c:pt>
                <c:pt idx="3">
                  <c:v>#NAME?</c:v>
                </c:pt>
                <c:pt idx="4">
                  <c:v>#NAME?</c:v>
                </c:pt>
                <c:pt idx="5">
                  <c:v>#NAME?</c:v>
                </c:pt>
                <c:pt idx="6">
                  <c:v>#NAME?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'PACF 1'!$D$5:$D$11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'PACF 1'!$G$5:$G$11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8-4575-BDB6-91F299A7A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764264"/>
        <c:axId val="494767008"/>
      </c:barChart>
      <c:catAx>
        <c:axId val="494764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67008"/>
        <c:crosses val="autoZero"/>
        <c:auto val="1"/>
        <c:lblAlgn val="ctr"/>
        <c:lblOffset val="100"/>
        <c:noMultiLvlLbl val="0"/>
      </c:catAx>
      <c:valAx>
        <c:axId val="49476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64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Correlogram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acf</c:v>
          </c:tx>
          <c:invertIfNegative val="0"/>
          <c:cat>
            <c:numRef>
              <c:f>Correlogram!$C$6:$C$36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Correlogram!$D$6:$D$36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C-4387-8A88-9812030AE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767400"/>
        <c:axId val="494768968"/>
      </c:barChart>
      <c:lineChart>
        <c:grouping val="standard"/>
        <c:varyColors val="0"/>
        <c:ser>
          <c:idx val="0"/>
          <c:order val="0"/>
          <c:tx>
            <c:strRef>
              <c:f>Correlogram!$E$5</c:f>
              <c:strCache>
                <c:ptCount val="1"/>
                <c:pt idx="0">
                  <c:v>lower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Correlogram!$C$6:$C$36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Correlogram!$E$6:$E$36</c:f>
              <c:numCache>
                <c:formatCode>General</c:formatCode>
                <c:ptCount val="31"/>
                <c:pt idx="1">
                  <c:v>-0.26191120430589926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C-4387-8A88-9812030AE61C}"/>
            </c:ext>
          </c:extLst>
        </c:ser>
        <c:ser>
          <c:idx val="1"/>
          <c:order val="1"/>
          <c:tx>
            <c:strRef>
              <c:f>Correlogram!$F$5</c:f>
              <c:strCache>
                <c:ptCount val="1"/>
                <c:pt idx="0">
                  <c:v>upper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val>
            <c:numRef>
              <c:f>Correlogram!$F$6:$F$36</c:f>
              <c:numCache>
                <c:formatCode>General</c:formatCode>
                <c:ptCount val="31"/>
                <c:pt idx="1">
                  <c:v>0.26191120430589926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C-4387-8A88-9812030AE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67400"/>
        <c:axId val="494768968"/>
      </c:lineChart>
      <c:catAx>
        <c:axId val="49476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4768968"/>
        <c:crosses val="autoZero"/>
        <c:auto val="1"/>
        <c:lblAlgn val="ctr"/>
        <c:lblOffset val="100"/>
        <c:noMultiLvlLbl val="0"/>
      </c:catAx>
      <c:valAx>
        <c:axId val="494768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4767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Correlogram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pacf</c:v>
          </c:tx>
          <c:invertIfNegative val="0"/>
          <c:cat>
            <c:numRef>
              <c:f>Correlogram!$P$6:$P$36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Correlogram!$Q$6:$Q$36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E-4127-99EE-B569B5A5B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781512"/>
        <c:axId val="494777984"/>
      </c:barChart>
      <c:lineChart>
        <c:grouping val="standard"/>
        <c:varyColors val="0"/>
        <c:ser>
          <c:idx val="0"/>
          <c:order val="0"/>
          <c:tx>
            <c:strRef>
              <c:f>Correlogram!$R$5</c:f>
              <c:strCache>
                <c:ptCount val="1"/>
                <c:pt idx="0">
                  <c:v>lower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Correlogram!$P$6:$P$36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Correlogram!$R$6:$R$36</c:f>
              <c:numCache>
                <c:formatCode>General</c:formatCode>
                <c:ptCount val="31"/>
                <c:pt idx="1">
                  <c:v>-0.26191120430589926</c:v>
                </c:pt>
                <c:pt idx="2">
                  <c:v>-0.26191120430589926</c:v>
                </c:pt>
                <c:pt idx="3">
                  <c:v>-0.26191120430589926</c:v>
                </c:pt>
                <c:pt idx="4">
                  <c:v>-0.26191120430589926</c:v>
                </c:pt>
                <c:pt idx="5">
                  <c:v>-0.26191120430589926</c:v>
                </c:pt>
                <c:pt idx="6">
                  <c:v>-0.26191120430589926</c:v>
                </c:pt>
                <c:pt idx="7">
                  <c:v>-0.26191120430589926</c:v>
                </c:pt>
                <c:pt idx="8">
                  <c:v>-0.26191120430589926</c:v>
                </c:pt>
                <c:pt idx="9">
                  <c:v>-0.26191120430589926</c:v>
                </c:pt>
                <c:pt idx="10">
                  <c:v>-0.26191120430589926</c:v>
                </c:pt>
                <c:pt idx="11">
                  <c:v>-0.26191120430589926</c:v>
                </c:pt>
                <c:pt idx="12">
                  <c:v>-0.26191120430589926</c:v>
                </c:pt>
                <c:pt idx="13">
                  <c:v>-0.26191120430589926</c:v>
                </c:pt>
                <c:pt idx="14">
                  <c:v>-0.26191120430589926</c:v>
                </c:pt>
                <c:pt idx="15">
                  <c:v>-0.26191120430589926</c:v>
                </c:pt>
                <c:pt idx="16">
                  <c:v>-0.26191120430589926</c:v>
                </c:pt>
                <c:pt idx="17">
                  <c:v>-0.26191120430589926</c:v>
                </c:pt>
                <c:pt idx="18">
                  <c:v>-0.26191120430589926</c:v>
                </c:pt>
                <c:pt idx="19">
                  <c:v>-0.26191120430589926</c:v>
                </c:pt>
                <c:pt idx="20">
                  <c:v>-0.26191120430589926</c:v>
                </c:pt>
                <c:pt idx="21">
                  <c:v>-0.26191120430589926</c:v>
                </c:pt>
                <c:pt idx="22">
                  <c:v>-0.26191120430589926</c:v>
                </c:pt>
                <c:pt idx="23">
                  <c:v>-0.26191120430589926</c:v>
                </c:pt>
                <c:pt idx="24">
                  <c:v>-0.26191120430589926</c:v>
                </c:pt>
                <c:pt idx="25">
                  <c:v>-0.26191120430589926</c:v>
                </c:pt>
                <c:pt idx="26">
                  <c:v>-0.26191120430589926</c:v>
                </c:pt>
                <c:pt idx="27">
                  <c:v>-0.26191120430589926</c:v>
                </c:pt>
                <c:pt idx="28">
                  <c:v>-0.26191120430589926</c:v>
                </c:pt>
                <c:pt idx="29">
                  <c:v>-0.26191120430589926</c:v>
                </c:pt>
                <c:pt idx="30">
                  <c:v>-0.26191120430589926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E-4127-99EE-B569B5A5B404}"/>
            </c:ext>
          </c:extLst>
        </c:ser>
        <c:ser>
          <c:idx val="1"/>
          <c:order val="1"/>
          <c:tx>
            <c:strRef>
              <c:f>Correlogram!$S$5</c:f>
              <c:strCache>
                <c:ptCount val="1"/>
                <c:pt idx="0">
                  <c:v>upper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val>
            <c:numRef>
              <c:f>Correlogram!$S$6:$S$36</c:f>
              <c:numCache>
                <c:formatCode>General</c:formatCode>
                <c:ptCount val="31"/>
                <c:pt idx="1">
                  <c:v>0.26191120430589926</c:v>
                </c:pt>
                <c:pt idx="2">
                  <c:v>0.26191120430589926</c:v>
                </c:pt>
                <c:pt idx="3">
                  <c:v>0.26191120430589926</c:v>
                </c:pt>
                <c:pt idx="4">
                  <c:v>0.26191120430589926</c:v>
                </c:pt>
                <c:pt idx="5">
                  <c:v>0.26191120430589926</c:v>
                </c:pt>
                <c:pt idx="6">
                  <c:v>0.26191120430589926</c:v>
                </c:pt>
                <c:pt idx="7">
                  <c:v>0.26191120430589926</c:v>
                </c:pt>
                <c:pt idx="8">
                  <c:v>0.26191120430589926</c:v>
                </c:pt>
                <c:pt idx="9">
                  <c:v>0.26191120430589926</c:v>
                </c:pt>
                <c:pt idx="10">
                  <c:v>0.26191120430589926</c:v>
                </c:pt>
                <c:pt idx="11">
                  <c:v>0.26191120430589926</c:v>
                </c:pt>
                <c:pt idx="12">
                  <c:v>0.26191120430589926</c:v>
                </c:pt>
                <c:pt idx="13">
                  <c:v>0.26191120430589926</c:v>
                </c:pt>
                <c:pt idx="14">
                  <c:v>0.26191120430589926</c:v>
                </c:pt>
                <c:pt idx="15">
                  <c:v>0.26191120430589926</c:v>
                </c:pt>
                <c:pt idx="16">
                  <c:v>0.26191120430589926</c:v>
                </c:pt>
                <c:pt idx="17">
                  <c:v>0.26191120430589926</c:v>
                </c:pt>
                <c:pt idx="18">
                  <c:v>0.26191120430589926</c:v>
                </c:pt>
                <c:pt idx="19">
                  <c:v>0.26191120430589926</c:v>
                </c:pt>
                <c:pt idx="20">
                  <c:v>0.26191120430589926</c:v>
                </c:pt>
                <c:pt idx="21">
                  <c:v>0.26191120430589926</c:v>
                </c:pt>
                <c:pt idx="22">
                  <c:v>0.26191120430589926</c:v>
                </c:pt>
                <c:pt idx="23">
                  <c:v>0.26191120430589926</c:v>
                </c:pt>
                <c:pt idx="24">
                  <c:v>0.26191120430589926</c:v>
                </c:pt>
                <c:pt idx="25">
                  <c:v>0.26191120430589926</c:v>
                </c:pt>
                <c:pt idx="26">
                  <c:v>0.26191120430589926</c:v>
                </c:pt>
                <c:pt idx="27">
                  <c:v>0.26191120430589926</c:v>
                </c:pt>
                <c:pt idx="28">
                  <c:v>0.26191120430589926</c:v>
                </c:pt>
                <c:pt idx="29">
                  <c:v>0.26191120430589926</c:v>
                </c:pt>
                <c:pt idx="30">
                  <c:v>0.26191120430589926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E-4127-99EE-B569B5A5B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81512"/>
        <c:axId val="494777984"/>
      </c:lineChart>
      <c:catAx>
        <c:axId val="49478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4777984"/>
        <c:crosses val="autoZero"/>
        <c:auto val="1"/>
        <c:lblAlgn val="ctr"/>
        <c:lblOffset val="100"/>
        <c:noMultiLvlLbl val="0"/>
      </c:catAx>
      <c:valAx>
        <c:axId val="494777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4781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ACF for White Noise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'WN 1'!$E$3</c:f>
              <c:strCache>
                <c:ptCount val="1"/>
                <c:pt idx="0">
                  <c:v>ACF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'WN 1'!$E$4:$E$43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0-4F4C-9641-A4BA8CB5F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782296"/>
        <c:axId val="494781904"/>
      </c:barChart>
      <c:catAx>
        <c:axId val="494782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1904"/>
        <c:crosses val="autoZero"/>
        <c:auto val="1"/>
        <c:lblAlgn val="ctr"/>
        <c:lblOffset val="100"/>
        <c:noMultiLvlLbl val="0"/>
      </c:catAx>
      <c:valAx>
        <c:axId val="494781904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2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PACF for White Noise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'WN 1'!$F$3</c:f>
              <c:strCache>
                <c:ptCount val="1"/>
                <c:pt idx="0">
                  <c:v>PACF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'WN 1'!$F$4:$F$43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0A-45D0-931C-C18F7A1E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771712"/>
        <c:axId val="494773280"/>
      </c:barChart>
      <c:catAx>
        <c:axId val="494771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3280"/>
        <c:crosses val="autoZero"/>
        <c:auto val="1"/>
        <c:lblAlgn val="ctr"/>
        <c:lblOffset val="100"/>
        <c:noMultiLvlLbl val="0"/>
      </c:catAx>
      <c:valAx>
        <c:axId val="49477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White Noise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'WN 1'!$B$3:$B$302</c:f>
              <c:numCache>
                <c:formatCode>General</c:formatCode>
                <c:ptCount val="300"/>
                <c:pt idx="0">
                  <c:v>-0.87534792889873081</c:v>
                </c:pt>
                <c:pt idx="1">
                  <c:v>2.1810846561960719</c:v>
                </c:pt>
                <c:pt idx="2">
                  <c:v>-0.74146414944076577</c:v>
                </c:pt>
                <c:pt idx="3">
                  <c:v>0.79927287991141249</c:v>
                </c:pt>
                <c:pt idx="4">
                  <c:v>1.3671695212926984</c:v>
                </c:pt>
                <c:pt idx="5">
                  <c:v>0.89321582945049294</c:v>
                </c:pt>
                <c:pt idx="6">
                  <c:v>0.60867978054589356</c:v>
                </c:pt>
                <c:pt idx="7">
                  <c:v>7.9728608638023932E-2</c:v>
                </c:pt>
                <c:pt idx="8">
                  <c:v>0.10834483687178854</c:v>
                </c:pt>
                <c:pt idx="9">
                  <c:v>0.97544728048226925</c:v>
                </c:pt>
                <c:pt idx="10">
                  <c:v>-4.540809146572599E-2</c:v>
                </c:pt>
                <c:pt idx="11">
                  <c:v>-1.6656957332189672</c:v>
                </c:pt>
                <c:pt idx="12">
                  <c:v>-0.69961361487898788</c:v>
                </c:pt>
                <c:pt idx="13">
                  <c:v>0.7377609118471925</c:v>
                </c:pt>
                <c:pt idx="14">
                  <c:v>1.3677358521530159</c:v>
                </c:pt>
                <c:pt idx="15">
                  <c:v>-8.4435176136184523E-2</c:v>
                </c:pt>
                <c:pt idx="16">
                  <c:v>0.8510657933176643</c:v>
                </c:pt>
                <c:pt idx="17">
                  <c:v>-1.7562333037292321</c:v>
                </c:pt>
                <c:pt idx="18">
                  <c:v>5.5644922024413325E-2</c:v>
                </c:pt>
                <c:pt idx="19">
                  <c:v>-1.4999752543160205</c:v>
                </c:pt>
                <c:pt idx="20">
                  <c:v>1.3121465443163918</c:v>
                </c:pt>
                <c:pt idx="21">
                  <c:v>-0.92935196240406492</c:v>
                </c:pt>
                <c:pt idx="22">
                  <c:v>-0.7441782690531823</c:v>
                </c:pt>
                <c:pt idx="23">
                  <c:v>-0.80984109568170204</c:v>
                </c:pt>
                <c:pt idx="24">
                  <c:v>-0.77945228767984154</c:v>
                </c:pt>
                <c:pt idx="25">
                  <c:v>-0.89700176840844126</c:v>
                </c:pt>
                <c:pt idx="26">
                  <c:v>-0.92377468877995106</c:v>
                </c:pt>
                <c:pt idx="27">
                  <c:v>0.39381572734127468</c:v>
                </c:pt>
                <c:pt idx="28">
                  <c:v>0.26044842193574852</c:v>
                </c:pt>
                <c:pt idx="29">
                  <c:v>-0.7304641152369723</c:v>
                </c:pt>
                <c:pt idx="30">
                  <c:v>-1.3223938903505763</c:v>
                </c:pt>
                <c:pt idx="31">
                  <c:v>-0.375138502108117</c:v>
                </c:pt>
                <c:pt idx="32">
                  <c:v>-0.17790957693684264</c:v>
                </c:pt>
                <c:pt idx="33">
                  <c:v>0.1876094744483448</c:v>
                </c:pt>
                <c:pt idx="34">
                  <c:v>0.64942363155470273</c:v>
                </c:pt>
                <c:pt idx="35">
                  <c:v>-0.83782675898664982</c:v>
                </c:pt>
                <c:pt idx="36">
                  <c:v>-0.25645272824250293</c:v>
                </c:pt>
                <c:pt idx="37">
                  <c:v>0.80076728637194028</c:v>
                </c:pt>
                <c:pt idx="38">
                  <c:v>0.17132102319533365</c:v>
                </c:pt>
                <c:pt idx="39">
                  <c:v>1.3304473394306311</c:v>
                </c:pt>
                <c:pt idx="40">
                  <c:v>-0.64774417264201922</c:v>
                </c:pt>
                <c:pt idx="41">
                  <c:v>0.23112218579937149</c:v>
                </c:pt>
                <c:pt idx="42">
                  <c:v>-1.1908591310165122</c:v>
                </c:pt>
                <c:pt idx="43">
                  <c:v>-0.58697839823262044</c:v>
                </c:pt>
                <c:pt idx="44">
                  <c:v>0.14645782306371141</c:v>
                </c:pt>
                <c:pt idx="45">
                  <c:v>0.51118479699351227</c:v>
                </c:pt>
                <c:pt idx="46">
                  <c:v>0.41283210020969163</c:v>
                </c:pt>
                <c:pt idx="47">
                  <c:v>-1.1518928144615483</c:v>
                </c:pt>
                <c:pt idx="48">
                  <c:v>-1.714500336448217</c:v>
                </c:pt>
                <c:pt idx="49">
                  <c:v>-0.67634311647714629</c:v>
                </c:pt>
                <c:pt idx="50">
                  <c:v>-1.7051703495569448</c:v>
                </c:pt>
                <c:pt idx="51">
                  <c:v>0.92720693242345831</c:v>
                </c:pt>
                <c:pt idx="52">
                  <c:v>0.7986774986996189</c:v>
                </c:pt>
                <c:pt idx="53">
                  <c:v>-1.9186791235097063</c:v>
                </c:pt>
                <c:pt idx="54">
                  <c:v>-0.2124668504708965</c:v>
                </c:pt>
                <c:pt idx="55">
                  <c:v>0.22347759560070884</c:v>
                </c:pt>
                <c:pt idx="56">
                  <c:v>-0.69417843738228535</c:v>
                </c:pt>
                <c:pt idx="57">
                  <c:v>-0.52508802489817463</c:v>
                </c:pt>
                <c:pt idx="58">
                  <c:v>-0.21390313311520259</c:v>
                </c:pt>
                <c:pt idx="59">
                  <c:v>-0.77011256315530408</c:v>
                </c:pt>
                <c:pt idx="60">
                  <c:v>0.62886336604833137</c:v>
                </c:pt>
                <c:pt idx="61">
                  <c:v>0.71911176422781553</c:v>
                </c:pt>
                <c:pt idx="62">
                  <c:v>-1.2253947174907458</c:v>
                </c:pt>
                <c:pt idx="63">
                  <c:v>-1.6276680409229201</c:v>
                </c:pt>
                <c:pt idx="64">
                  <c:v>-1.7249086876917112</c:v>
                </c:pt>
                <c:pt idx="65">
                  <c:v>0.1568724785003896</c:v>
                </c:pt>
                <c:pt idx="66">
                  <c:v>-0.55144612655713532</c:v>
                </c:pt>
                <c:pt idx="67">
                  <c:v>-0.33639118912359917</c:v>
                </c:pt>
                <c:pt idx="68">
                  <c:v>0.67595780460593879</c:v>
                </c:pt>
                <c:pt idx="69">
                  <c:v>-0.34746228445575678</c:v>
                </c:pt>
                <c:pt idx="70">
                  <c:v>-0.95467954258554544</c:v>
                </c:pt>
                <c:pt idx="71">
                  <c:v>1.1345992791131077</c:v>
                </c:pt>
                <c:pt idx="72">
                  <c:v>-1.9024079757864101</c:v>
                </c:pt>
                <c:pt idx="73">
                  <c:v>-1.5775722093396651</c:v>
                </c:pt>
                <c:pt idx="74">
                  <c:v>0.73630384944100336</c:v>
                </c:pt>
                <c:pt idx="75">
                  <c:v>-2.5124250897461458E-3</c:v>
                </c:pt>
                <c:pt idx="76">
                  <c:v>1.2160261364934228</c:v>
                </c:pt>
                <c:pt idx="77">
                  <c:v>0.95362676313095773</c:v>
                </c:pt>
                <c:pt idx="78">
                  <c:v>-0.84994463082492289</c:v>
                </c:pt>
                <c:pt idx="79">
                  <c:v>-1.1464946076084193</c:v>
                </c:pt>
                <c:pt idx="80">
                  <c:v>-1.2678651979968665</c:v>
                </c:pt>
                <c:pt idx="81">
                  <c:v>0.19309097455918689</c:v>
                </c:pt>
                <c:pt idx="82">
                  <c:v>-0.4661633770538528</c:v>
                </c:pt>
                <c:pt idx="83">
                  <c:v>-0.5513620482499364</c:v>
                </c:pt>
                <c:pt idx="84">
                  <c:v>-0.43242510811594714</c:v>
                </c:pt>
                <c:pt idx="85">
                  <c:v>-0.95611009588774321</c:v>
                </c:pt>
                <c:pt idx="86">
                  <c:v>-0.36199971365228822</c:v>
                </c:pt>
                <c:pt idx="87">
                  <c:v>-0.89545172090434755</c:v>
                </c:pt>
                <c:pt idx="88">
                  <c:v>-1.0839001596194184</c:v>
                </c:pt>
                <c:pt idx="89">
                  <c:v>-0.90592515061569578</c:v>
                </c:pt>
                <c:pt idx="90">
                  <c:v>1.9715981926018573</c:v>
                </c:pt>
                <c:pt idx="91">
                  <c:v>-0.93674386716078983</c:v>
                </c:pt>
                <c:pt idx="92">
                  <c:v>0.72289835781158429</c:v>
                </c:pt>
                <c:pt idx="93">
                  <c:v>0.10059071518272271</c:v>
                </c:pt>
                <c:pt idx="94">
                  <c:v>-0.68822544568711186</c:v>
                </c:pt>
                <c:pt idx="95">
                  <c:v>0.311397994729116</c:v>
                </c:pt>
                <c:pt idx="96">
                  <c:v>-0.72871379496341004</c:v>
                </c:pt>
                <c:pt idx="97">
                  <c:v>0.3291440216700095</c:v>
                </c:pt>
                <c:pt idx="98">
                  <c:v>-1.0928034368407671</c:v>
                </c:pt>
                <c:pt idx="99">
                  <c:v>-0.36144205122381418</c:v>
                </c:pt>
                <c:pt idx="100">
                  <c:v>0.39502250377323195</c:v>
                </c:pt>
                <c:pt idx="101">
                  <c:v>0.55490150471203104</c:v>
                </c:pt>
                <c:pt idx="102">
                  <c:v>-1.0609585234072327</c:v>
                </c:pt>
                <c:pt idx="103">
                  <c:v>0.57296923981852654</c:v>
                </c:pt>
                <c:pt idx="104">
                  <c:v>1.6947693025233539</c:v>
                </c:pt>
                <c:pt idx="105">
                  <c:v>-0.75084067280203204</c:v>
                </c:pt>
                <c:pt idx="106">
                  <c:v>-0.18200666611081956</c:v>
                </c:pt>
                <c:pt idx="107">
                  <c:v>-1.3608518152757216</c:v>
                </c:pt>
                <c:pt idx="108">
                  <c:v>0.87442125663643488</c:v>
                </c:pt>
                <c:pt idx="109">
                  <c:v>-0.93977303717345495</c:v>
                </c:pt>
                <c:pt idx="110">
                  <c:v>0.7307925313346112</c:v>
                </c:pt>
                <c:pt idx="111">
                  <c:v>0.39791421325749032</c:v>
                </c:pt>
                <c:pt idx="112">
                  <c:v>1.0686237467316013</c:v>
                </c:pt>
                <c:pt idx="113">
                  <c:v>-1.6025402101717718</c:v>
                </c:pt>
                <c:pt idx="114">
                  <c:v>-0.82849734192329039</c:v>
                </c:pt>
                <c:pt idx="115">
                  <c:v>2.5762316296408119</c:v>
                </c:pt>
                <c:pt idx="116">
                  <c:v>0.7153691126888303</c:v>
                </c:pt>
                <c:pt idx="117">
                  <c:v>0.22517062184870576</c:v>
                </c:pt>
                <c:pt idx="118">
                  <c:v>-0.99191710812424705</c:v>
                </c:pt>
                <c:pt idx="119">
                  <c:v>0.68372199226252195</c:v>
                </c:pt>
                <c:pt idx="120">
                  <c:v>-1.1594542551375688</c:v>
                </c:pt>
                <c:pt idx="121">
                  <c:v>-2.2789047237025857</c:v>
                </c:pt>
                <c:pt idx="122">
                  <c:v>0.88438754816667275</c:v>
                </c:pt>
                <c:pt idx="123">
                  <c:v>1.9175878939442095</c:v>
                </c:pt>
                <c:pt idx="124">
                  <c:v>0.39551846797387513</c:v>
                </c:pt>
                <c:pt idx="125">
                  <c:v>-1.7265560193368632</c:v>
                </c:pt>
                <c:pt idx="126">
                  <c:v>0.44281669336726437</c:v>
                </c:pt>
                <c:pt idx="127">
                  <c:v>1.4388934739414672</c:v>
                </c:pt>
                <c:pt idx="128">
                  <c:v>0.12275271683619741</c:v>
                </c:pt>
                <c:pt idx="129">
                  <c:v>-2.3043290324355552</c:v>
                </c:pt>
                <c:pt idx="130">
                  <c:v>-1.2280559143718646</c:v>
                </c:pt>
                <c:pt idx="131">
                  <c:v>0.52664052144190099</c:v>
                </c:pt>
                <c:pt idx="132">
                  <c:v>-0.23936305031708699</c:v>
                </c:pt>
                <c:pt idx="133">
                  <c:v>-0.40623212670529635</c:v>
                </c:pt>
                <c:pt idx="134">
                  <c:v>2.1526424037262686</c:v>
                </c:pt>
                <c:pt idx="135">
                  <c:v>0.81537237095631798</c:v>
                </c:pt>
                <c:pt idx="136">
                  <c:v>0.31168903975974632</c:v>
                </c:pt>
                <c:pt idx="137">
                  <c:v>-1.1257954484515587</c:v>
                </c:pt>
                <c:pt idx="138">
                  <c:v>0.88240979021908306</c:v>
                </c:pt>
                <c:pt idx="139">
                  <c:v>-0.6836103776258442</c:v>
                </c:pt>
                <c:pt idx="140">
                  <c:v>1.0592064058135686</c:v>
                </c:pt>
                <c:pt idx="141">
                  <c:v>-0.91302027235319683</c:v>
                </c:pt>
                <c:pt idx="142">
                  <c:v>1.4226419811981905</c:v>
                </c:pt>
                <c:pt idx="143">
                  <c:v>0.96206223663567125</c:v>
                </c:pt>
                <c:pt idx="144">
                  <c:v>0.63875167068728178</c:v>
                </c:pt>
                <c:pt idx="145">
                  <c:v>0.74240814661595278</c:v>
                </c:pt>
                <c:pt idx="146">
                  <c:v>0.55332805872655466</c:v>
                </c:pt>
                <c:pt idx="147">
                  <c:v>1.2975411684102687</c:v>
                </c:pt>
                <c:pt idx="148">
                  <c:v>-1.112565879181183</c:v>
                </c:pt>
                <c:pt idx="149">
                  <c:v>0.61612929906621539</c:v>
                </c:pt>
                <c:pt idx="150">
                  <c:v>1.0055672357867182</c:v>
                </c:pt>
                <c:pt idx="151">
                  <c:v>-0.49557160317585902</c:v>
                </c:pt>
                <c:pt idx="152">
                  <c:v>0.47954116888744686</c:v>
                </c:pt>
                <c:pt idx="153">
                  <c:v>-0.10556166195061856</c:v>
                </c:pt>
                <c:pt idx="154">
                  <c:v>0.2755985123155586</c:v>
                </c:pt>
                <c:pt idx="155">
                  <c:v>0.59775234620954465</c:v>
                </c:pt>
                <c:pt idx="156">
                  <c:v>-9.1167032413317264E-2</c:v>
                </c:pt>
                <c:pt idx="157">
                  <c:v>-0.66867175318331351</c:v>
                </c:pt>
                <c:pt idx="158">
                  <c:v>0.14634764909449763</c:v>
                </c:pt>
                <c:pt idx="159">
                  <c:v>1.3840603847297344</c:v>
                </c:pt>
                <c:pt idx="160">
                  <c:v>-0.22303528378214113</c:v>
                </c:pt>
                <c:pt idx="161">
                  <c:v>-0.46543281903646083</c:v>
                </c:pt>
                <c:pt idx="162">
                  <c:v>0.19076160011223731</c:v>
                </c:pt>
                <c:pt idx="163">
                  <c:v>0.68625390725343971</c:v>
                </c:pt>
                <c:pt idx="164">
                  <c:v>1.1052644709507864</c:v>
                </c:pt>
                <c:pt idx="165">
                  <c:v>1.4074230392876668</c:v>
                </c:pt>
                <c:pt idx="166">
                  <c:v>0.90101675266462644</c:v>
                </c:pt>
                <c:pt idx="167">
                  <c:v>-1.8149149312318841E-2</c:v>
                </c:pt>
                <c:pt idx="168">
                  <c:v>-1.2909344672163063</c:v>
                </c:pt>
                <c:pt idx="169">
                  <c:v>-1.1408780579470197</c:v>
                </c:pt>
                <c:pt idx="170">
                  <c:v>-0.14401796679639955</c:v>
                </c:pt>
                <c:pt idx="171">
                  <c:v>-0.83034988360309614</c:v>
                </c:pt>
                <c:pt idx="172">
                  <c:v>0.75477232446463527</c:v>
                </c:pt>
                <c:pt idx="173">
                  <c:v>-0.46904811708216804</c:v>
                </c:pt>
                <c:pt idx="174">
                  <c:v>0.96483898821572589</c:v>
                </c:pt>
                <c:pt idx="175">
                  <c:v>-7.6919449368898135E-2</c:v>
                </c:pt>
                <c:pt idx="176">
                  <c:v>0.42040034584287839</c:v>
                </c:pt>
                <c:pt idx="177">
                  <c:v>-1.2721974882145521</c:v>
                </c:pt>
                <c:pt idx="178">
                  <c:v>-2.2786623353515791</c:v>
                </c:pt>
                <c:pt idx="179">
                  <c:v>-0.49105107958363775</c:v>
                </c:pt>
                <c:pt idx="180">
                  <c:v>0.48146540184895631</c:v>
                </c:pt>
                <c:pt idx="181">
                  <c:v>-1.6448864229186897</c:v>
                </c:pt>
                <c:pt idx="182">
                  <c:v>6.6632877659726253E-2</c:v>
                </c:pt>
                <c:pt idx="183">
                  <c:v>0.74603621689471478</c:v>
                </c:pt>
                <c:pt idx="184">
                  <c:v>0.27861328836863852</c:v>
                </c:pt>
                <c:pt idx="185">
                  <c:v>1.1266984017619501</c:v>
                </c:pt>
                <c:pt idx="186">
                  <c:v>-0.42035631338949564</c:v>
                </c:pt>
                <c:pt idx="187">
                  <c:v>-1.7276170584515391</c:v>
                </c:pt>
                <c:pt idx="188">
                  <c:v>1.3313570843379183</c:v>
                </c:pt>
                <c:pt idx="189">
                  <c:v>-2.6882822698553546</c:v>
                </c:pt>
                <c:pt idx="190">
                  <c:v>-1.0297732158894548</c:v>
                </c:pt>
                <c:pt idx="191">
                  <c:v>1.3556005978257979</c:v>
                </c:pt>
                <c:pt idx="192">
                  <c:v>1.6807352687308035</c:v>
                </c:pt>
                <c:pt idx="193">
                  <c:v>1.8520134291516095</c:v>
                </c:pt>
                <c:pt idx="194">
                  <c:v>-7.5661295451868227E-2</c:v>
                </c:pt>
                <c:pt idx="195">
                  <c:v>-0.18407374560733397</c:v>
                </c:pt>
                <c:pt idx="196">
                  <c:v>-4.4711145801600606E-2</c:v>
                </c:pt>
                <c:pt idx="197">
                  <c:v>1.504056341108428</c:v>
                </c:pt>
                <c:pt idx="198">
                  <c:v>-1.3285522660397744</c:v>
                </c:pt>
                <c:pt idx="199">
                  <c:v>-0.33372062248518014</c:v>
                </c:pt>
                <c:pt idx="200">
                  <c:v>-0.38470808628662195</c:v>
                </c:pt>
                <c:pt idx="201">
                  <c:v>-0.55999501985336519</c:v>
                </c:pt>
                <c:pt idx="202">
                  <c:v>-2.7644475243779401E-2</c:v>
                </c:pt>
                <c:pt idx="203">
                  <c:v>-0.79799606205625406</c:v>
                </c:pt>
                <c:pt idx="204">
                  <c:v>-1.581448313723381</c:v>
                </c:pt>
                <c:pt idx="205">
                  <c:v>-0.57819600126002257</c:v>
                </c:pt>
                <c:pt idx="206">
                  <c:v>7.6483278377206865E-2</c:v>
                </c:pt>
                <c:pt idx="207">
                  <c:v>-0.12055600384974281</c:v>
                </c:pt>
                <c:pt idx="208">
                  <c:v>-0.78151843047388847</c:v>
                </c:pt>
                <c:pt idx="209">
                  <c:v>-0.64975508340965971</c:v>
                </c:pt>
                <c:pt idx="210">
                  <c:v>0.11819283785108022</c:v>
                </c:pt>
                <c:pt idx="211">
                  <c:v>1.2693740993658589</c:v>
                </c:pt>
                <c:pt idx="212">
                  <c:v>-0.29629858508389412</c:v>
                </c:pt>
                <c:pt idx="213">
                  <c:v>-0.38386746599685501</c:v>
                </c:pt>
                <c:pt idx="214">
                  <c:v>0.7139659799803556</c:v>
                </c:pt>
                <c:pt idx="215">
                  <c:v>1.3950580490726854</c:v>
                </c:pt>
                <c:pt idx="216">
                  <c:v>-0.4099469347524663</c:v>
                </c:pt>
                <c:pt idx="217">
                  <c:v>0.40776400001113339</c:v>
                </c:pt>
                <c:pt idx="218">
                  <c:v>-0.96171065996618366</c:v>
                </c:pt>
                <c:pt idx="219">
                  <c:v>0.17402926997514256</c:v>
                </c:pt>
                <c:pt idx="220">
                  <c:v>-0.41062469305864313</c:v>
                </c:pt>
                <c:pt idx="221">
                  <c:v>-1.7294715122027919</c:v>
                </c:pt>
                <c:pt idx="222">
                  <c:v>0.60709199904065281</c:v>
                </c:pt>
                <c:pt idx="223">
                  <c:v>-0.51942894064350031</c:v>
                </c:pt>
                <c:pt idx="224">
                  <c:v>-1.3782831934431534</c:v>
                </c:pt>
                <c:pt idx="225">
                  <c:v>-0.99233958847348624</c:v>
                </c:pt>
                <c:pt idx="226">
                  <c:v>0.46318440188487242</c:v>
                </c:pt>
                <c:pt idx="227">
                  <c:v>-0.61527049701647507</c:v>
                </c:pt>
                <c:pt idx="228">
                  <c:v>-1.4533998449124055</c:v>
                </c:pt>
                <c:pt idx="229">
                  <c:v>-1.1580882518078284</c:v>
                </c:pt>
                <c:pt idx="230">
                  <c:v>-1.4388039120197906</c:v>
                </c:pt>
                <c:pt idx="231">
                  <c:v>0.94235776596652188</c:v>
                </c:pt>
                <c:pt idx="232">
                  <c:v>1.5653130259464338</c:v>
                </c:pt>
                <c:pt idx="233">
                  <c:v>6.564411961791039E-2</c:v>
                </c:pt>
                <c:pt idx="234">
                  <c:v>-0.53473567709841574</c:v>
                </c:pt>
                <c:pt idx="235">
                  <c:v>0.20198979941362169</c:v>
                </c:pt>
                <c:pt idx="236">
                  <c:v>1.3528219751874861</c:v>
                </c:pt>
                <c:pt idx="237">
                  <c:v>1.4005412394134718</c:v>
                </c:pt>
                <c:pt idx="238">
                  <c:v>1.5981339565728774</c:v>
                </c:pt>
                <c:pt idx="239">
                  <c:v>5.8523790134270885E-2</c:v>
                </c:pt>
                <c:pt idx="240">
                  <c:v>-0.49961790160029962</c:v>
                </c:pt>
                <c:pt idx="241">
                  <c:v>1.4185011839216768</c:v>
                </c:pt>
                <c:pt idx="242">
                  <c:v>1.2743730714913888</c:v>
                </c:pt>
                <c:pt idx="243">
                  <c:v>-0.11736004608923299</c:v>
                </c:pt>
                <c:pt idx="244">
                  <c:v>-0.1499146700049854</c:v>
                </c:pt>
                <c:pt idx="245">
                  <c:v>0.12216929034741057</c:v>
                </c:pt>
                <c:pt idx="246">
                  <c:v>0.62874585615915335</c:v>
                </c:pt>
                <c:pt idx="247">
                  <c:v>-1.4424367808647585</c:v>
                </c:pt>
                <c:pt idx="248">
                  <c:v>1.387083666071826</c:v>
                </c:pt>
                <c:pt idx="249">
                  <c:v>1.1222059482550004</c:v>
                </c:pt>
                <c:pt idx="250">
                  <c:v>1.3509600133262396</c:v>
                </c:pt>
                <c:pt idx="251">
                  <c:v>0.82726033782501152</c:v>
                </c:pt>
                <c:pt idx="252">
                  <c:v>-0.23303387327343963</c:v>
                </c:pt>
                <c:pt idx="253">
                  <c:v>-1.6092022066214777</c:v>
                </c:pt>
                <c:pt idx="254">
                  <c:v>1.4849421529946001</c:v>
                </c:pt>
                <c:pt idx="255">
                  <c:v>1.0042184227632298</c:v>
                </c:pt>
                <c:pt idx="256">
                  <c:v>0.44325629575982506</c:v>
                </c:pt>
                <c:pt idx="257">
                  <c:v>1.4541989374520516</c:v>
                </c:pt>
                <c:pt idx="258">
                  <c:v>0.27700007713852887</c:v>
                </c:pt>
                <c:pt idx="259">
                  <c:v>-0.44329380430841753</c:v>
                </c:pt>
                <c:pt idx="260">
                  <c:v>-0.3934733432158809</c:v>
                </c:pt>
                <c:pt idx="261">
                  <c:v>-0.19117440519818671</c:v>
                </c:pt>
                <c:pt idx="262">
                  <c:v>-0.35345572110078194</c:v>
                </c:pt>
                <c:pt idx="263">
                  <c:v>1.0611652633559798</c:v>
                </c:pt>
                <c:pt idx="264">
                  <c:v>0.6517688893447684</c:v>
                </c:pt>
                <c:pt idx="265">
                  <c:v>-0.87618795458919962</c:v>
                </c:pt>
                <c:pt idx="266">
                  <c:v>1.0211144485487686</c:v>
                </c:pt>
                <c:pt idx="267">
                  <c:v>0.3345570084672792</c:v>
                </c:pt>
                <c:pt idx="268">
                  <c:v>-0.31608224833466164</c:v>
                </c:pt>
                <c:pt idx="269">
                  <c:v>-0.25810028698996618</c:v>
                </c:pt>
                <c:pt idx="270">
                  <c:v>-1.0659808677376943</c:v>
                </c:pt>
                <c:pt idx="271">
                  <c:v>1.3253325983092967</c:v>
                </c:pt>
                <c:pt idx="272">
                  <c:v>0.22420259656166427</c:v>
                </c:pt>
                <c:pt idx="273">
                  <c:v>1.142799083248015</c:v>
                </c:pt>
                <c:pt idx="274">
                  <c:v>-2.0248685713244954</c:v>
                </c:pt>
                <c:pt idx="275">
                  <c:v>1.1700515313547313</c:v>
                </c:pt>
                <c:pt idx="276">
                  <c:v>-0.28780236045008822</c:v>
                </c:pt>
                <c:pt idx="277">
                  <c:v>0.19996032152719265</c:v>
                </c:pt>
                <c:pt idx="278">
                  <c:v>-0.42632495640952561</c:v>
                </c:pt>
                <c:pt idx="279">
                  <c:v>-0.94997561502215366</c:v>
                </c:pt>
                <c:pt idx="280">
                  <c:v>0.23798358843080572</c:v>
                </c:pt>
                <c:pt idx="281">
                  <c:v>-1.7097937686390818</c:v>
                </c:pt>
                <c:pt idx="282">
                  <c:v>-0.23206183653580462</c:v>
                </c:pt>
                <c:pt idx="283">
                  <c:v>-4.3160138403625349E-2</c:v>
                </c:pt>
                <c:pt idx="284">
                  <c:v>0.91741621641347271</c:v>
                </c:pt>
                <c:pt idx="285">
                  <c:v>0.94965672959218439</c:v>
                </c:pt>
                <c:pt idx="286">
                  <c:v>-0.2870879878673343</c:v>
                </c:pt>
                <c:pt idx="287">
                  <c:v>-1.4487758162142736</c:v>
                </c:pt>
                <c:pt idx="288">
                  <c:v>1.6153439121367741</c:v>
                </c:pt>
                <c:pt idx="289">
                  <c:v>-0.25984259675553933</c:v>
                </c:pt>
                <c:pt idx="290">
                  <c:v>1.8529151411387943</c:v>
                </c:pt>
                <c:pt idx="291">
                  <c:v>0.62056917300879144</c:v>
                </c:pt>
                <c:pt idx="292">
                  <c:v>-1.1224817804260876</c:v>
                </c:pt>
                <c:pt idx="293">
                  <c:v>0.65365817657854042</c:v>
                </c:pt>
                <c:pt idx="294">
                  <c:v>0.63946998346618922</c:v>
                </c:pt>
                <c:pt idx="295">
                  <c:v>1.2687005765104578</c:v>
                </c:pt>
                <c:pt idx="296">
                  <c:v>1.9138822137128215</c:v>
                </c:pt>
                <c:pt idx="297">
                  <c:v>1.9817755142504041</c:v>
                </c:pt>
                <c:pt idx="298">
                  <c:v>-0.30623018695437709</c:v>
                </c:pt>
                <c:pt idx="299">
                  <c:v>2.0122453078561309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E-45CB-8990-8E8DB9235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79944"/>
        <c:axId val="494770536"/>
      </c:lineChart>
      <c:catAx>
        <c:axId val="494779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0536"/>
        <c:crosses val="autoZero"/>
        <c:auto val="1"/>
        <c:lblAlgn val="ctr"/>
        <c:lblOffset val="100"/>
        <c:noMultiLvlLbl val="0"/>
      </c:catAx>
      <c:valAx>
        <c:axId val="494770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9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Random Walk</a:t>
            </a:r>
          </a:p>
          <a:p>
            <a:pPr>
              <a:defRPr/>
            </a:pPr>
            <a:r>
              <a:rPr lang="en-US"/>
              <a:t>y</a:t>
            </a:r>
            <a:r>
              <a:rPr lang="en-US" baseline="-25000"/>
              <a:t>i</a:t>
            </a:r>
            <a:r>
              <a:rPr lang="en-US"/>
              <a:t> = 1 + y</a:t>
            </a:r>
            <a:r>
              <a:rPr lang="en-US" baseline="-25000"/>
              <a:t>i-1</a:t>
            </a:r>
            <a:r>
              <a:rPr lang="en-US"/>
              <a:t> + </a:t>
            </a:r>
            <a:r>
              <a:rPr lang="el-GR">
                <a:latin typeface="Calibri" panose="020F0502020204030204" pitchFamily="34" charset="0"/>
              </a:rPr>
              <a:t>ε</a:t>
            </a:r>
            <a:r>
              <a:rPr lang="en-GB" baseline="-25000">
                <a:latin typeface="Calibri" panose="020F0502020204030204" pitchFamily="34" charset="0"/>
              </a:rPr>
              <a:t>i</a:t>
            </a:r>
            <a:endParaRPr lang="en-US" baseline="-25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'RW 1'!$C$3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'RW 1'!$C$4:$C$23</c:f>
              <c:numCache>
                <c:formatCode>General</c:formatCode>
                <c:ptCount val="20"/>
                <c:pt idx="0">
                  <c:v>1.528445389947839</c:v>
                </c:pt>
                <c:pt idx="1">
                  <c:v>1.9875093541029578</c:v>
                </c:pt>
                <c:pt idx="2">
                  <c:v>4.1892608098697028</c:v>
                </c:pt>
                <c:pt idx="3">
                  <c:v>4.9794896316597557</c:v>
                </c:pt>
                <c:pt idx="4">
                  <c:v>6.103560875846485</c:v>
                </c:pt>
                <c:pt idx="5">
                  <c:v>7.4118098676343207</c:v>
                </c:pt>
                <c:pt idx="6">
                  <c:v>7.9261521353798914</c:v>
                </c:pt>
                <c:pt idx="7">
                  <c:v>8.52934220457945</c:v>
                </c:pt>
                <c:pt idx="8">
                  <c:v>9.5507814158489168</c:v>
                </c:pt>
                <c:pt idx="9">
                  <c:v>10.149044506772244</c:v>
                </c:pt>
                <c:pt idx="10">
                  <c:v>11.030570546236385</c:v>
                </c:pt>
                <c:pt idx="11">
                  <c:v>12.79321370958624</c:v>
                </c:pt>
                <c:pt idx="12">
                  <c:v>14.940955033109075</c:v>
                </c:pt>
                <c:pt idx="13">
                  <c:v>15.675444084191726</c:v>
                </c:pt>
                <c:pt idx="14">
                  <c:v>16.268069134826106</c:v>
                </c:pt>
                <c:pt idx="15">
                  <c:v>16.71984547981878</c:v>
                </c:pt>
                <c:pt idx="16">
                  <c:v>17.532089862659575</c:v>
                </c:pt>
                <c:pt idx="17">
                  <c:v>18.748957923383585</c:v>
                </c:pt>
                <c:pt idx="18">
                  <c:v>19.398210620791843</c:v>
                </c:pt>
                <c:pt idx="19">
                  <c:v>19.509748954736484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6-4D27-9970-1ECA776AC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76024"/>
        <c:axId val="494773672"/>
      </c:lineChart>
      <c:catAx>
        <c:axId val="494776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3672"/>
        <c:crosses val="autoZero"/>
        <c:auto val="1"/>
        <c:lblAlgn val="ctr"/>
        <c:lblOffset val="100"/>
        <c:noMultiLvlLbl val="0"/>
      </c:catAx>
      <c:valAx>
        <c:axId val="494773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Correlogram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'RW 1'!$F$3</c:f>
              <c:strCache>
                <c:ptCount val="1"/>
                <c:pt idx="0">
                  <c:v>ACF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'RW 1'!$F$4:$F$10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F-45AF-BEAE-3DFD451CF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770928"/>
        <c:axId val="494781120"/>
      </c:barChart>
      <c:catAx>
        <c:axId val="494770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1120"/>
        <c:crosses val="autoZero"/>
        <c:auto val="1"/>
        <c:lblAlgn val="ctr"/>
        <c:lblOffset val="100"/>
        <c:noMultiLvlLbl val="0"/>
      </c:catAx>
      <c:valAx>
        <c:axId val="49478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Moving Average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val>
            <c:numRef>
              <c:f>'Moving 1'!$B$4:$B$18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8-43F2-8DF2-6FB7F0B3B817}"/>
            </c:ext>
          </c:extLst>
        </c:ser>
        <c:ser>
          <c:idx val="1"/>
          <c:order val="1"/>
          <c:tx>
            <c:v>Forecast</c:v>
          </c:tx>
          <c:val>
            <c:numRef>
              <c:f>'Moving 1'!$D$4:$D$18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5.666666666666667</c:v>
                </c:pt>
                <c:pt idx="3">
                  <c:v>11.333333333333334</c:v>
                </c:pt>
                <c:pt idx="4">
                  <c:v>13.666666666666666</c:v>
                </c:pt>
                <c:pt idx="5">
                  <c:v>16.333333333333332</c:v>
                </c:pt>
                <c:pt idx="6">
                  <c:v>17</c:v>
                </c:pt>
                <c:pt idx="7">
                  <c:v>20.666666666666668</c:v>
                </c:pt>
                <c:pt idx="8">
                  <c:v>32</c:v>
                </c:pt>
                <c:pt idx="9">
                  <c:v>38.333333333333336</c:v>
                </c:pt>
                <c:pt idx="10">
                  <c:v>49.333333333333336</c:v>
                </c:pt>
                <c:pt idx="11">
                  <c:v>57.333333333333336</c:v>
                </c:pt>
                <c:pt idx="12">
                  <c:v>63.666666666666664</c:v>
                </c:pt>
                <c:pt idx="13">
                  <c:v>70</c:v>
                </c:pt>
                <c:pt idx="14">
                  <c:v>74.333333333333329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D8-43F2-8DF2-6FB7F0B3B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40352"/>
        <c:axId val="494736824"/>
      </c:lineChart>
      <c:catAx>
        <c:axId val="4947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Data Point</a:t>
                </a:r>
              </a:p>
            </c:rich>
          </c:tx>
          <c:overlay val="0"/>
        </c:title>
        <c:majorTickMark val="out"/>
        <c:minorTickMark val="none"/>
        <c:tickLblPos val="nextTo"/>
        <c:crossAx val="494736824"/>
        <c:crosses val="autoZero"/>
        <c:auto val="1"/>
        <c:lblAlgn val="ctr"/>
        <c:lblOffset val="100"/>
        <c:noMultiLvlLbl val="0"/>
      </c:catAx>
      <c:valAx>
        <c:axId val="494736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47403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First Differences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'RW 1a'!$C$5:$C$23</c:f>
              <c:numCache>
                <c:formatCode>General</c:formatCode>
                <c:ptCount val="19"/>
                <c:pt idx="0">
                  <c:v>0.45906396415511885</c:v>
                </c:pt>
                <c:pt idx="1">
                  <c:v>2.201751455766745</c:v>
                </c:pt>
                <c:pt idx="2">
                  <c:v>0.79022882179005283</c:v>
                </c:pt>
                <c:pt idx="3">
                  <c:v>1.1240712441867293</c:v>
                </c:pt>
                <c:pt idx="4">
                  <c:v>1.3082489917878357</c:v>
                </c:pt>
                <c:pt idx="5">
                  <c:v>0.51434226774557068</c:v>
                </c:pt>
                <c:pt idx="6">
                  <c:v>0.60319006919955864</c:v>
                </c:pt>
                <c:pt idx="7">
                  <c:v>1.0214392112694668</c:v>
                </c:pt>
                <c:pt idx="8">
                  <c:v>0.59826309092332686</c:v>
                </c:pt>
                <c:pt idx="9">
                  <c:v>0.88152603946414132</c:v>
                </c:pt>
                <c:pt idx="10">
                  <c:v>1.7626431633498552</c:v>
                </c:pt>
                <c:pt idx="11">
                  <c:v>2.1477413235228351</c:v>
                </c:pt>
                <c:pt idx="12">
                  <c:v>0.73448905108265095</c:v>
                </c:pt>
                <c:pt idx="13">
                  <c:v>0.5926250506343802</c:v>
                </c:pt>
                <c:pt idx="14">
                  <c:v>0.45177634499267327</c:v>
                </c:pt>
                <c:pt idx="15">
                  <c:v>0.81224438284079525</c:v>
                </c:pt>
                <c:pt idx="16">
                  <c:v>1.2168680607240105</c:v>
                </c:pt>
                <c:pt idx="17">
                  <c:v>0.64925269740825797</c:v>
                </c:pt>
                <c:pt idx="18">
                  <c:v>0.1115383339446403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F-4DF9-9E27-D54851B3B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72888"/>
        <c:axId val="494779552"/>
      </c:lineChart>
      <c:catAx>
        <c:axId val="494772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9552"/>
        <c:crosses val="autoZero"/>
        <c:auto val="1"/>
        <c:lblAlgn val="ctr"/>
        <c:lblOffset val="100"/>
        <c:noMultiLvlLbl val="0"/>
      </c:catAx>
      <c:valAx>
        <c:axId val="49477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2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'RW 1a'!$F$3</c:f>
              <c:strCache>
                <c:ptCount val="1"/>
                <c:pt idx="0">
                  <c:v>ACF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'RW 1a'!$F$4:$F$10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5-4D8D-AA1D-E359B39A7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774848"/>
        <c:axId val="494775240"/>
      </c:barChart>
      <c:catAx>
        <c:axId val="494774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5240"/>
        <c:crosses val="autoZero"/>
        <c:auto val="1"/>
        <c:lblAlgn val="ctr"/>
        <c:lblOffset val="100"/>
        <c:noMultiLvlLbl val="0"/>
      </c:catAx>
      <c:valAx>
        <c:axId val="49477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Deterministic Trend</a:t>
            </a:r>
          </a:p>
          <a:p>
            <a:pPr>
              <a:defRPr/>
            </a:pPr>
            <a:r>
              <a:rPr lang="en-US"/>
              <a:t>y</a:t>
            </a:r>
            <a:r>
              <a:rPr lang="en-US" baseline="-25000"/>
              <a:t>i</a:t>
            </a:r>
            <a:r>
              <a:rPr lang="en-US"/>
              <a:t> = i + </a:t>
            </a:r>
            <a:r>
              <a:rPr lang="el-GR">
                <a:latin typeface="Calibri" panose="020F0502020204030204" pitchFamily="34" charset="0"/>
              </a:rPr>
              <a:t>ε</a:t>
            </a:r>
            <a:r>
              <a:rPr lang="en-GB" baseline="-25000">
                <a:latin typeface="Calibri" panose="020F0502020204030204" pitchFamily="34" charset="0"/>
              </a:rPr>
              <a:t>i</a:t>
            </a:r>
            <a:endParaRPr lang="en-US" baseline="-25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'DT 1'!$C$3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'DT 1'!$C$4:$C$23</c:f>
              <c:numCache>
                <c:formatCode>General</c:formatCode>
                <c:ptCount val="20"/>
                <c:pt idx="0">
                  <c:v>1.9210592743859827</c:v>
                </c:pt>
                <c:pt idx="1">
                  <c:v>1.8615801782716639</c:v>
                </c:pt>
                <c:pt idx="2">
                  <c:v>4.1781451823238465</c:v>
                </c:pt>
                <c:pt idx="3">
                  <c:v>4.2757830872476346</c:v>
                </c:pt>
                <c:pt idx="4">
                  <c:v>5.7475416173652647</c:v>
                </c:pt>
                <c:pt idx="5">
                  <c:v>7.2179008532428206</c:v>
                </c:pt>
                <c:pt idx="6">
                  <c:v>6.3106033514814008</c:v>
                </c:pt>
                <c:pt idx="7">
                  <c:v>7.0935339964071078</c:v>
                </c:pt>
                <c:pt idx="8">
                  <c:v>9.9872326508404896</c:v>
                </c:pt>
                <c:pt idx="9">
                  <c:v>10.113927415373697</c:v>
                </c:pt>
                <c:pt idx="10">
                  <c:v>13.236317667707407</c:v>
                </c:pt>
                <c:pt idx="11">
                  <c:v>12.358675348225342</c:v>
                </c:pt>
                <c:pt idx="12">
                  <c:v>12.485774992892971</c:v>
                </c:pt>
                <c:pt idx="13">
                  <c:v>15.338980981223024</c:v>
                </c:pt>
                <c:pt idx="14">
                  <c:v>13.911833658422042</c:v>
                </c:pt>
                <c:pt idx="15">
                  <c:v>17.141484955029764</c:v>
                </c:pt>
                <c:pt idx="16">
                  <c:v>16.185336965181158</c:v>
                </c:pt>
                <c:pt idx="17">
                  <c:v>20.157633691902799</c:v>
                </c:pt>
                <c:pt idx="18">
                  <c:v>18.693447772230073</c:v>
                </c:pt>
                <c:pt idx="19">
                  <c:v>19.889351531440735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A-45C5-AF31-907B2FC7A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78768"/>
        <c:axId val="494780336"/>
      </c:lineChart>
      <c:catAx>
        <c:axId val="494778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0336"/>
        <c:crosses val="autoZero"/>
        <c:auto val="1"/>
        <c:lblAlgn val="ctr"/>
        <c:lblOffset val="100"/>
        <c:noMultiLvlLbl val="0"/>
      </c:catAx>
      <c:valAx>
        <c:axId val="49478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Correlogram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'DT 1'!$F$3</c:f>
              <c:strCache>
                <c:ptCount val="1"/>
                <c:pt idx="0">
                  <c:v>ACF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'DT 1'!$F$4:$F$10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E-440E-9D14-7F786FBA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776416"/>
        <c:axId val="494776808"/>
      </c:barChart>
      <c:catAx>
        <c:axId val="494776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6808"/>
        <c:crosses val="autoZero"/>
        <c:auto val="1"/>
        <c:lblAlgn val="ctr"/>
        <c:lblOffset val="100"/>
        <c:noMultiLvlLbl val="0"/>
      </c:catAx>
      <c:valAx>
        <c:axId val="494776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Detrending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'DT 1a'!$C$5:$C$23</c:f>
              <c:numCache>
                <c:formatCode>General</c:formatCode>
                <c:ptCount val="19"/>
                <c:pt idx="0">
                  <c:v>-0.13841982172833611</c:v>
                </c:pt>
                <c:pt idx="1">
                  <c:v>1.1781451823238465</c:v>
                </c:pt>
                <c:pt idx="2">
                  <c:v>0.27578308724763456</c:v>
                </c:pt>
                <c:pt idx="3">
                  <c:v>0.7475416173652647</c:v>
                </c:pt>
                <c:pt idx="4">
                  <c:v>1.2179008532428206</c:v>
                </c:pt>
                <c:pt idx="5">
                  <c:v>-0.68939664851859916</c:v>
                </c:pt>
                <c:pt idx="6">
                  <c:v>-0.9064660035928922</c:v>
                </c:pt>
                <c:pt idx="7">
                  <c:v>0.98723265084048961</c:v>
                </c:pt>
                <c:pt idx="8">
                  <c:v>0.11392741537369666</c:v>
                </c:pt>
                <c:pt idx="9">
                  <c:v>2.2363176677074073</c:v>
                </c:pt>
                <c:pt idx="10">
                  <c:v>0.35867534822534175</c:v>
                </c:pt>
                <c:pt idx="11">
                  <c:v>-0.51422500710702934</c:v>
                </c:pt>
                <c:pt idx="12">
                  <c:v>1.338980981223024</c:v>
                </c:pt>
                <c:pt idx="13">
                  <c:v>-1.0881663415779581</c:v>
                </c:pt>
                <c:pt idx="14">
                  <c:v>1.1414849550297639</c:v>
                </c:pt>
                <c:pt idx="15">
                  <c:v>-0.81466303481884239</c:v>
                </c:pt>
                <c:pt idx="16">
                  <c:v>2.1576336919027987</c:v>
                </c:pt>
                <c:pt idx="17">
                  <c:v>-0.3065522277699273</c:v>
                </c:pt>
                <c:pt idx="18">
                  <c:v>-0.11064846855926547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0-4C83-902B-1A3757E55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77592"/>
        <c:axId val="494784648"/>
      </c:lineChart>
      <c:catAx>
        <c:axId val="494777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4648"/>
        <c:crosses val="autoZero"/>
        <c:auto val="1"/>
        <c:lblAlgn val="ctr"/>
        <c:lblOffset val="100"/>
        <c:noMultiLvlLbl val="0"/>
      </c:catAx>
      <c:valAx>
        <c:axId val="49478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77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'DT 1a'!$F$3</c:f>
              <c:strCache>
                <c:ptCount val="1"/>
                <c:pt idx="0">
                  <c:v>ACF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'DT 1a'!$F$4:$F$10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A-4F8E-8FCC-87AC3BED5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788176"/>
        <c:axId val="494785432"/>
      </c:barChart>
      <c:catAx>
        <c:axId val="494788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5432"/>
        <c:crosses val="autoZero"/>
        <c:auto val="1"/>
        <c:lblAlgn val="ctr"/>
        <c:lblOffset val="100"/>
        <c:noMultiLvlLbl val="0"/>
      </c:catAx>
      <c:valAx>
        <c:axId val="49478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Daily Winnings/Losses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'DF 0'!$B$4:$B$28</c:f>
              <c:numCache>
                <c:formatCode>_(* #,##0.00_);_(* \(#,##0.00\);_(* "-"??_);_(@_)</c:formatCode>
                <c:ptCount val="25"/>
                <c:pt idx="0">
                  <c:v>50</c:v>
                </c:pt>
                <c:pt idx="1">
                  <c:v>120.83</c:v>
                </c:pt>
                <c:pt idx="2">
                  <c:v>-25.43</c:v>
                </c:pt>
                <c:pt idx="3">
                  <c:v>31.72</c:v>
                </c:pt>
                <c:pt idx="4">
                  <c:v>94.79</c:v>
                </c:pt>
                <c:pt idx="5">
                  <c:v>61.06</c:v>
                </c:pt>
                <c:pt idx="6">
                  <c:v>87.51</c:v>
                </c:pt>
                <c:pt idx="7">
                  <c:v>-65.88</c:v>
                </c:pt>
                <c:pt idx="8">
                  <c:v>30.4</c:v>
                </c:pt>
                <c:pt idx="9">
                  <c:v>65.489999999999995</c:v>
                </c:pt>
                <c:pt idx="10">
                  <c:v>15.13</c:v>
                </c:pt>
                <c:pt idx="11">
                  <c:v>8.23</c:v>
                </c:pt>
                <c:pt idx="12">
                  <c:v>-18.71</c:v>
                </c:pt>
                <c:pt idx="13">
                  <c:v>-29.79</c:v>
                </c:pt>
                <c:pt idx="14">
                  <c:v>-97</c:v>
                </c:pt>
                <c:pt idx="15">
                  <c:v>42.43</c:v>
                </c:pt>
                <c:pt idx="16">
                  <c:v>258.7</c:v>
                </c:pt>
                <c:pt idx="17">
                  <c:v>6.83</c:v>
                </c:pt>
                <c:pt idx="18">
                  <c:v>45.63</c:v>
                </c:pt>
                <c:pt idx="19">
                  <c:v>-56.41</c:v>
                </c:pt>
                <c:pt idx="20">
                  <c:v>-101.23</c:v>
                </c:pt>
                <c:pt idx="21">
                  <c:v>-143.21</c:v>
                </c:pt>
                <c:pt idx="22">
                  <c:v>-286.77999999999997</c:v>
                </c:pt>
                <c:pt idx="23">
                  <c:v>-197.79</c:v>
                </c:pt>
                <c:pt idx="24">
                  <c:v>-236.75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2-4ADC-A75E-FA8642B36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86216"/>
        <c:axId val="494787784"/>
      </c:lineChart>
      <c:catAx>
        <c:axId val="4947862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7784"/>
        <c:crosses val="autoZero"/>
        <c:auto val="1"/>
        <c:lblAlgn val="ctr"/>
        <c:lblOffset val="100"/>
        <c:noMultiLvlLbl val="0"/>
      </c:catAx>
      <c:valAx>
        <c:axId val="494787784"/>
        <c:scaling>
          <c:orientation val="minMax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409]* #,##0_-;\-[$$-409]* #,##0_-;_-[$$-409]* &quot;-&quot;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6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Time Series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ADF!$A$3:$A$22</c:f>
              <c:numCache>
                <c:formatCode>General</c:formatCode>
                <c:ptCount val="20"/>
                <c:pt idx="0">
                  <c:v>2.1954112362229798</c:v>
                </c:pt>
                <c:pt idx="1">
                  <c:v>1.5564893013829599</c:v>
                </c:pt>
                <c:pt idx="2">
                  <c:v>1.6166080445942643</c:v>
                </c:pt>
                <c:pt idx="3">
                  <c:v>1.4354933242524082</c:v>
                </c:pt>
                <c:pt idx="4">
                  <c:v>1.4723170493758602</c:v>
                </c:pt>
                <c:pt idx="5">
                  <c:v>1.32457</c:v>
                </c:pt>
                <c:pt idx="6">
                  <c:v>2.6101002642621456</c:v>
                </c:pt>
                <c:pt idx="7">
                  <c:v>1.8739672709592898</c:v>
                </c:pt>
                <c:pt idx="8">
                  <c:v>3.0006758522775843</c:v>
                </c:pt>
                <c:pt idx="9">
                  <c:v>2.1606253513382501</c:v>
                </c:pt>
                <c:pt idx="10">
                  <c:v>2.1565013565451197</c:v>
                </c:pt>
                <c:pt idx="11">
                  <c:v>2.9629643841618374</c:v>
                </c:pt>
                <c:pt idx="12">
                  <c:v>2.1250709140930466</c:v>
                </c:pt>
                <c:pt idx="13">
                  <c:v>2.9897080234539199</c:v>
                </c:pt>
                <c:pt idx="14">
                  <c:v>3.2545925126709121</c:v>
                </c:pt>
                <c:pt idx="15">
                  <c:v>3.7153992070882</c:v>
                </c:pt>
                <c:pt idx="16">
                  <c:v>2.9207517290019536</c:v>
                </c:pt>
                <c:pt idx="17">
                  <c:v>2.3942977519624984</c:v>
                </c:pt>
                <c:pt idx="18">
                  <c:v>2.224401046632972</c:v>
                </c:pt>
                <c:pt idx="19">
                  <c:v>3.5258176072017902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D-40C4-9AAA-A7A671B6C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86608"/>
        <c:axId val="494783080"/>
      </c:lineChart>
      <c:catAx>
        <c:axId val="494786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3080"/>
        <c:crosses val="autoZero"/>
        <c:auto val="1"/>
        <c:lblAlgn val="ctr"/>
        <c:lblOffset val="100"/>
        <c:noMultiLvlLbl val="0"/>
      </c:catAx>
      <c:valAx>
        <c:axId val="4947830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6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Spline Interpolation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5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BCA-4F18-B196-29285B6DC1F1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BCA-4F18-B196-29285B6DC1F1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CA-4F18-B196-29285B6DC1F1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CA-4F18-B196-29285B6DC1F1}"/>
              </c:ext>
            </c:extLst>
          </c:dPt>
          <c:xVal>
            <c:numRef>
              <c:f>'Missing 1'!$R$4:$R$18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'Missing 1'!$S$4:$S$18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BCA-4F18-B196-29285B6DC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787392"/>
        <c:axId val="494783472"/>
      </c:scatterChart>
      <c:valAx>
        <c:axId val="49478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3472"/>
        <c:crosses val="autoZero"/>
        <c:crossBetween val="midCat"/>
      </c:valAx>
      <c:valAx>
        <c:axId val="49478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87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y</a:t>
            </a:r>
            <a:r>
              <a:rPr lang="en-GB" sz="1800" b="0" i="0" baseline="-25000">
                <a:effectLst/>
              </a:rPr>
              <a:t>i</a:t>
            </a:r>
            <a:r>
              <a:rPr lang="en-GB" sz="1800" b="0" i="0" baseline="0">
                <a:effectLst/>
              </a:rPr>
              <a:t> = 5 + .4y</a:t>
            </a:r>
            <a:r>
              <a:rPr lang="en-GB" sz="1800" b="0" i="0" baseline="-25000">
                <a:effectLst/>
              </a:rPr>
              <a:t>i-1</a:t>
            </a:r>
            <a:r>
              <a:rPr lang="en-GB" sz="1800" b="0" i="0" baseline="0">
                <a:effectLst/>
              </a:rPr>
              <a:t> + </a:t>
            </a:r>
            <a:r>
              <a:rPr lang="el-GR" sz="1800" b="0" i="0" baseline="0">
                <a:effectLst/>
              </a:rPr>
              <a:t>ε</a:t>
            </a:r>
            <a:r>
              <a:rPr lang="en-GB" sz="1800" b="0" i="0" baseline="-25000">
                <a:effectLst/>
              </a:rPr>
              <a:t>i  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'AR 1'!$C$4:$C$103</c:f>
              <c:numCache>
                <c:formatCode>General</c:formatCode>
                <c:ptCount val="100"/>
                <c:pt idx="0">
                  <c:v>4.3021475051980769</c:v>
                </c:pt>
                <c:pt idx="1">
                  <c:v>6.1430149110931316</c:v>
                </c:pt>
                <c:pt idx="2">
                  <c:v>6.3459572674893705</c:v>
                </c:pt>
                <c:pt idx="3">
                  <c:v>6.9780493152929868</c:v>
                </c:pt>
                <c:pt idx="4">
                  <c:v>9.4477537014508481</c:v>
                </c:pt>
                <c:pt idx="5">
                  <c:v>8.3642522446696148</c:v>
                </c:pt>
                <c:pt idx="6">
                  <c:v>7.0707696895845489</c:v>
                </c:pt>
                <c:pt idx="7">
                  <c:v>7.0223724931102565</c:v>
                </c:pt>
                <c:pt idx="8">
                  <c:v>7.6294074398052825</c:v>
                </c:pt>
                <c:pt idx="9">
                  <c:v>7.4517411771940036</c:v>
                </c:pt>
                <c:pt idx="10">
                  <c:v>7.3130631313404661</c:v>
                </c:pt>
                <c:pt idx="11">
                  <c:v>6.7369511871069463</c:v>
                </c:pt>
                <c:pt idx="12">
                  <c:v>7.6354174876257783</c:v>
                </c:pt>
                <c:pt idx="13">
                  <c:v>8.3342560076615939</c:v>
                </c:pt>
                <c:pt idx="14">
                  <c:v>8.5141776386100858</c:v>
                </c:pt>
                <c:pt idx="15">
                  <c:v>9.4761147740463922</c:v>
                </c:pt>
                <c:pt idx="16">
                  <c:v>8.4497227967860145</c:v>
                </c:pt>
                <c:pt idx="17">
                  <c:v>9.5044632194121306</c:v>
                </c:pt>
                <c:pt idx="18">
                  <c:v>6.6676010752525539</c:v>
                </c:pt>
                <c:pt idx="19">
                  <c:v>7.8523156414806694</c:v>
                </c:pt>
                <c:pt idx="20">
                  <c:v>7.9188624171649664</c:v>
                </c:pt>
                <c:pt idx="21">
                  <c:v>8.7725861312320053</c:v>
                </c:pt>
                <c:pt idx="22">
                  <c:v>10.918097347819121</c:v>
                </c:pt>
                <c:pt idx="23">
                  <c:v>9.1393820365107956</c:v>
                </c:pt>
                <c:pt idx="24">
                  <c:v>10.149056902391564</c:v>
                </c:pt>
                <c:pt idx="25">
                  <c:v>9.7731168391438672</c:v>
                </c:pt>
                <c:pt idx="26">
                  <c:v>8.1440033012883841</c:v>
                </c:pt>
                <c:pt idx="27">
                  <c:v>6.838500376425344</c:v>
                </c:pt>
                <c:pt idx="28">
                  <c:v>9.2094371369449455</c:v>
                </c:pt>
                <c:pt idx="29">
                  <c:v>8.8371485520723034</c:v>
                </c:pt>
                <c:pt idx="30">
                  <c:v>7.6209294629535282</c:v>
                </c:pt>
                <c:pt idx="31">
                  <c:v>7.7901579994514005</c:v>
                </c:pt>
                <c:pt idx="32">
                  <c:v>7.6194519683144453</c:v>
                </c:pt>
                <c:pt idx="33">
                  <c:v>9.127900881049305</c:v>
                </c:pt>
                <c:pt idx="34">
                  <c:v>9.2788576197719177</c:v>
                </c:pt>
                <c:pt idx="35">
                  <c:v>8.6643591532989923</c:v>
                </c:pt>
                <c:pt idx="36">
                  <c:v>9.7255313464083262</c:v>
                </c:pt>
                <c:pt idx="37">
                  <c:v>11.406770985884808</c:v>
                </c:pt>
                <c:pt idx="38">
                  <c:v>9.8336619818405797</c:v>
                </c:pt>
                <c:pt idx="39">
                  <c:v>8.4620375217512613</c:v>
                </c:pt>
                <c:pt idx="40">
                  <c:v>7.0338328748821439</c:v>
                </c:pt>
                <c:pt idx="41">
                  <c:v>7.2882995736784437</c:v>
                </c:pt>
                <c:pt idx="42">
                  <c:v>8.8866754056650521</c:v>
                </c:pt>
                <c:pt idx="43">
                  <c:v>7.4798200466140621</c:v>
                </c:pt>
                <c:pt idx="44">
                  <c:v>9.7657383666225144</c:v>
                </c:pt>
                <c:pt idx="45">
                  <c:v>7.9447003666965932</c:v>
                </c:pt>
                <c:pt idx="46">
                  <c:v>6.8290832554627521</c:v>
                </c:pt>
                <c:pt idx="47">
                  <c:v>7.9209790522165529</c:v>
                </c:pt>
                <c:pt idx="48">
                  <c:v>5.9511980566404041</c:v>
                </c:pt>
                <c:pt idx="49">
                  <c:v>7.2243633792411535</c:v>
                </c:pt>
                <c:pt idx="50">
                  <c:v>8.0384987230282157</c:v>
                </c:pt>
                <c:pt idx="51">
                  <c:v>7.7399529278597647</c:v>
                </c:pt>
                <c:pt idx="52">
                  <c:v>8.9551761475345906</c:v>
                </c:pt>
                <c:pt idx="53">
                  <c:v>9.9066867108961674</c:v>
                </c:pt>
                <c:pt idx="54">
                  <c:v>10.16660381050475</c:v>
                </c:pt>
                <c:pt idx="55">
                  <c:v>9.1166011165912639</c:v>
                </c:pt>
                <c:pt idx="56">
                  <c:v>7.4985374040370072</c:v>
                </c:pt>
                <c:pt idx="57">
                  <c:v>6.6994539517640845</c:v>
                </c:pt>
                <c:pt idx="58">
                  <c:v>9.9889227287681415</c:v>
                </c:pt>
                <c:pt idx="59">
                  <c:v>8.567950641763117</c:v>
                </c:pt>
                <c:pt idx="60">
                  <c:v>11.140657012186477</c:v>
                </c:pt>
                <c:pt idx="61">
                  <c:v>10.861815846061663</c:v>
                </c:pt>
                <c:pt idx="62">
                  <c:v>6.9476293256076023</c:v>
                </c:pt>
                <c:pt idx="63">
                  <c:v>6.380834951805145</c:v>
                </c:pt>
                <c:pt idx="64">
                  <c:v>9.0726793446289538</c:v>
                </c:pt>
                <c:pt idx="65">
                  <c:v>6.832378383517816</c:v>
                </c:pt>
                <c:pt idx="66">
                  <c:v>7.3495811868046541</c:v>
                </c:pt>
                <c:pt idx="67">
                  <c:v>8.6635730768835675</c:v>
                </c:pt>
                <c:pt idx="68">
                  <c:v>8.6199352166966747</c:v>
                </c:pt>
                <c:pt idx="69">
                  <c:v>9.0829349718133621</c:v>
                </c:pt>
                <c:pt idx="70">
                  <c:v>9.1796597917769738</c:v>
                </c:pt>
                <c:pt idx="71">
                  <c:v>6.848589700351436</c:v>
                </c:pt>
                <c:pt idx="72">
                  <c:v>7.7501860684193806</c:v>
                </c:pt>
                <c:pt idx="73">
                  <c:v>8.8331519655802584</c:v>
                </c:pt>
                <c:pt idx="74">
                  <c:v>9.3710954936637663</c:v>
                </c:pt>
                <c:pt idx="75">
                  <c:v>8.6528344763882448</c:v>
                </c:pt>
                <c:pt idx="76">
                  <c:v>9.2564658868878311</c:v>
                </c:pt>
                <c:pt idx="77">
                  <c:v>9.6513968847440008</c:v>
                </c:pt>
                <c:pt idx="78">
                  <c:v>6.6513632585601243</c:v>
                </c:pt>
                <c:pt idx="79">
                  <c:v>8.2448300200235511</c:v>
                </c:pt>
                <c:pt idx="80">
                  <c:v>6.0413591421843176</c:v>
                </c:pt>
                <c:pt idx="81">
                  <c:v>7.6493627408184555</c:v>
                </c:pt>
                <c:pt idx="82">
                  <c:v>8.5549854316047824</c:v>
                </c:pt>
                <c:pt idx="83">
                  <c:v>9.3164955064472412</c:v>
                </c:pt>
                <c:pt idx="84">
                  <c:v>9.3880379589982077</c:v>
                </c:pt>
                <c:pt idx="85">
                  <c:v>8.8184147405082118</c:v>
                </c:pt>
                <c:pt idx="86">
                  <c:v>8.9099086736321791</c:v>
                </c:pt>
                <c:pt idx="87">
                  <c:v>8.4966509972542372</c:v>
                </c:pt>
                <c:pt idx="88">
                  <c:v>9.5957622880510769</c:v>
                </c:pt>
                <c:pt idx="89">
                  <c:v>9.4341042496587111</c:v>
                </c:pt>
                <c:pt idx="90">
                  <c:v>8.3549740311930485</c:v>
                </c:pt>
                <c:pt idx="91">
                  <c:v>8.8374866436708892</c:v>
                </c:pt>
                <c:pt idx="92">
                  <c:v>7.8030050801946294</c:v>
                </c:pt>
                <c:pt idx="93">
                  <c:v>6.432132626966296</c:v>
                </c:pt>
                <c:pt idx="94">
                  <c:v>8.2070381831134771</c:v>
                </c:pt>
                <c:pt idx="95">
                  <c:v>6.8935011528724619</c:v>
                </c:pt>
                <c:pt idx="96">
                  <c:v>6.5813576553819226</c:v>
                </c:pt>
                <c:pt idx="97">
                  <c:v>6.7231135510172306</c:v>
                </c:pt>
                <c:pt idx="98">
                  <c:v>5.6031024496579178</c:v>
                </c:pt>
                <c:pt idx="99">
                  <c:v>8.2498435205593736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2-400D-9B37-0919DA531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659992"/>
        <c:axId val="494666656"/>
      </c:lineChart>
      <c:catAx>
        <c:axId val="494659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6665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494666656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59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marker>
            <c:symbol val="none"/>
          </c:marker>
          <c:cat>
            <c:strRef>
              <c:f>'Moving 1a'!$D$6:$D$21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&gt;</c:v>
                </c:pt>
              </c:strCache>
            </c:strRef>
          </c:cat>
          <c:val>
            <c:numRef>
              <c:f>'Moving 1a'!$E$6:$E$20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CA-4CE2-9231-6657FD6FC2B0}"/>
            </c:ext>
          </c:extLst>
        </c:ser>
        <c:ser>
          <c:idx val="1"/>
          <c:order val="1"/>
          <c:tx>
            <c:v>forecast</c:v>
          </c:tx>
          <c:marker>
            <c:symbol val="none"/>
          </c:marker>
          <c:val>
            <c:numRef>
              <c:f>'Moving 1a'!$F$6:$F$21</c:f>
              <c:numCache>
                <c:formatCode>General</c:formatCode>
                <c:ptCount val="16"/>
                <c:pt idx="3">
                  <c:v>5.666666666666667</c:v>
                </c:pt>
                <c:pt idx="4">
                  <c:v>11.333333333333334</c:v>
                </c:pt>
                <c:pt idx="5">
                  <c:v>13.666666666666666</c:v>
                </c:pt>
                <c:pt idx="6">
                  <c:v>16.333333333333332</c:v>
                </c:pt>
                <c:pt idx="7">
                  <c:v>17</c:v>
                </c:pt>
                <c:pt idx="8">
                  <c:v>20.666666666666668</c:v>
                </c:pt>
                <c:pt idx="9">
                  <c:v>32</c:v>
                </c:pt>
                <c:pt idx="10">
                  <c:v>38.333333333333336</c:v>
                </c:pt>
                <c:pt idx="11">
                  <c:v>49.333333333333336</c:v>
                </c:pt>
                <c:pt idx="12">
                  <c:v>57.333333333333336</c:v>
                </c:pt>
                <c:pt idx="13">
                  <c:v>63.666666666666664</c:v>
                </c:pt>
                <c:pt idx="14">
                  <c:v>70</c:v>
                </c:pt>
                <c:pt idx="15">
                  <c:v>74.333333333333329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A-4CE2-9231-6657FD6FC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786944"/>
        <c:axId val="1064921840"/>
      </c:lineChart>
      <c:catAx>
        <c:axId val="91978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4921840"/>
        <c:crosses val="autoZero"/>
        <c:auto val="1"/>
        <c:lblAlgn val="ctr"/>
        <c:lblOffset val="100"/>
        <c:noMultiLvlLbl val="0"/>
      </c:catAx>
      <c:valAx>
        <c:axId val="106492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1978694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ACF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ACF (actual)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'AR 1'!$F$5:$F$19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5-4B0A-8FA0-19829D240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665872"/>
        <c:axId val="494667048"/>
      </c:barChart>
      <c:lineChart>
        <c:grouping val="standard"/>
        <c:varyColors val="0"/>
        <c:ser>
          <c:idx val="1"/>
          <c:order val="1"/>
          <c:tx>
            <c:v>ACF (theoretical)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'AR 1'!$G$5:$G$19</c:f>
              <c:numCache>
                <c:formatCode>General</c:formatCode>
                <c:ptCount val="15"/>
                <c:pt idx="0">
                  <c:v>0.4</c:v>
                </c:pt>
                <c:pt idx="1">
                  <c:v>0.16000000000000003</c:v>
                </c:pt>
                <c:pt idx="2">
                  <c:v>6.4000000000000015E-2</c:v>
                </c:pt>
                <c:pt idx="3">
                  <c:v>2.5600000000000012E-2</c:v>
                </c:pt>
                <c:pt idx="4">
                  <c:v>1.0240000000000006E-2</c:v>
                </c:pt>
                <c:pt idx="5">
                  <c:v>4.0960000000000024E-3</c:v>
                </c:pt>
                <c:pt idx="6">
                  <c:v>1.6384000000000012E-3</c:v>
                </c:pt>
                <c:pt idx="7">
                  <c:v>6.5536000000000056E-4</c:v>
                </c:pt>
                <c:pt idx="8">
                  <c:v>2.6214400000000023E-4</c:v>
                </c:pt>
                <c:pt idx="9">
                  <c:v>1.0485760000000011E-4</c:v>
                </c:pt>
                <c:pt idx="10">
                  <c:v>4.1943040000000045E-5</c:v>
                </c:pt>
                <c:pt idx="11">
                  <c:v>1.6777216000000023E-5</c:v>
                </c:pt>
                <c:pt idx="12">
                  <c:v>6.7108864000000095E-6</c:v>
                </c:pt>
                <c:pt idx="13">
                  <c:v>2.6843545600000038E-6</c:v>
                </c:pt>
                <c:pt idx="14">
                  <c:v>1.0737418240000018E-6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15-4B0A-8FA0-19829D240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65872"/>
        <c:axId val="494667048"/>
      </c:lineChart>
      <c:catAx>
        <c:axId val="494665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67048"/>
        <c:crosses val="autoZero"/>
        <c:auto val="1"/>
        <c:lblAlgn val="ctr"/>
        <c:lblOffset val="100"/>
        <c:noMultiLvlLbl val="0"/>
      </c:catAx>
      <c:valAx>
        <c:axId val="49466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PACF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Actual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'AR 1a'!$F$6:$F$20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8-4967-8F3E-ACF22B784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658032"/>
        <c:axId val="494659208"/>
      </c:barChart>
      <c:lineChart>
        <c:grouping val="standard"/>
        <c:varyColors val="0"/>
        <c:ser>
          <c:idx val="1"/>
          <c:order val="1"/>
          <c:tx>
            <c:v>Theoretical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'AR 1a'!$G$6:$G$20</c:f>
              <c:numCache>
                <c:formatCode>General</c:formatCode>
                <c:ptCount val="15"/>
                <c:pt idx="0">
                  <c:v>0.4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8-4967-8F3E-ACF22B784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58032"/>
        <c:axId val="494659208"/>
      </c:lineChart>
      <c:catAx>
        <c:axId val="494658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59208"/>
        <c:crosses val="autoZero"/>
        <c:auto val="1"/>
        <c:lblAlgn val="ctr"/>
        <c:lblOffset val="100"/>
        <c:noMultiLvlLbl val="0"/>
      </c:catAx>
      <c:valAx>
        <c:axId val="49465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5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AR(1) Process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 1b'!$K$3</c:f>
              <c:strCache>
                <c:ptCount val="1"/>
                <c:pt idx="0">
                  <c:v>Act 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'AR 1b'!$K$4:$K$103</c:f>
              <c:numCache>
                <c:formatCode>General</c:formatCode>
                <c:ptCount val="100"/>
                <c:pt idx="0">
                  <c:v>4.3021475051980769</c:v>
                </c:pt>
                <c:pt idx="1">
                  <c:v>6.1430149110931316</c:v>
                </c:pt>
                <c:pt idx="2">
                  <c:v>6.3459572674893705</c:v>
                </c:pt>
                <c:pt idx="3">
                  <c:v>6.9780493152929868</c:v>
                </c:pt>
                <c:pt idx="4">
                  <c:v>9.4477537014508481</c:v>
                </c:pt>
                <c:pt idx="5">
                  <c:v>8.3642522446696148</c:v>
                </c:pt>
                <c:pt idx="6">
                  <c:v>7.0707696895845489</c:v>
                </c:pt>
                <c:pt idx="7">
                  <c:v>7.0223724931102565</c:v>
                </c:pt>
                <c:pt idx="8">
                  <c:v>7.6294074398052825</c:v>
                </c:pt>
                <c:pt idx="9">
                  <c:v>7.4517411771940036</c:v>
                </c:pt>
                <c:pt idx="10">
                  <c:v>7.3130631313404661</c:v>
                </c:pt>
                <c:pt idx="11">
                  <c:v>6.7369511871069463</c:v>
                </c:pt>
                <c:pt idx="12">
                  <c:v>7.6354174876257783</c:v>
                </c:pt>
                <c:pt idx="13">
                  <c:v>8.3342560076615939</c:v>
                </c:pt>
                <c:pt idx="14">
                  <c:v>8.5141776386100858</c:v>
                </c:pt>
                <c:pt idx="15">
                  <c:v>9.4761147740463922</c:v>
                </c:pt>
                <c:pt idx="16">
                  <c:v>8.4497227967860145</c:v>
                </c:pt>
                <c:pt idx="17">
                  <c:v>9.5044632194121306</c:v>
                </c:pt>
                <c:pt idx="18">
                  <c:v>6.6676010752525539</c:v>
                </c:pt>
                <c:pt idx="19">
                  <c:v>7.8523156414806694</c:v>
                </c:pt>
                <c:pt idx="20">
                  <c:v>7.9188624171649664</c:v>
                </c:pt>
                <c:pt idx="21">
                  <c:v>8.7725861312320053</c:v>
                </c:pt>
                <c:pt idx="22">
                  <c:v>10.918097347819121</c:v>
                </c:pt>
                <c:pt idx="23">
                  <c:v>9.1393820365107956</c:v>
                </c:pt>
                <c:pt idx="24">
                  <c:v>10.149056902391564</c:v>
                </c:pt>
                <c:pt idx="25">
                  <c:v>9.7731168391438672</c:v>
                </c:pt>
                <c:pt idx="26">
                  <c:v>8.1440033012883841</c:v>
                </c:pt>
                <c:pt idx="27">
                  <c:v>6.838500376425344</c:v>
                </c:pt>
                <c:pt idx="28">
                  <c:v>9.2094371369449455</c:v>
                </c:pt>
                <c:pt idx="29">
                  <c:v>8.8371485520723034</c:v>
                </c:pt>
                <c:pt idx="30">
                  <c:v>7.6209294629535282</c:v>
                </c:pt>
                <c:pt idx="31">
                  <c:v>7.7901579994514005</c:v>
                </c:pt>
                <c:pt idx="32">
                  <c:v>7.6194519683144453</c:v>
                </c:pt>
                <c:pt idx="33">
                  <c:v>9.127900881049305</c:v>
                </c:pt>
                <c:pt idx="34">
                  <c:v>9.2788576197719177</c:v>
                </c:pt>
                <c:pt idx="35">
                  <c:v>8.6643591532989923</c:v>
                </c:pt>
                <c:pt idx="36">
                  <c:v>9.7255313464083262</c:v>
                </c:pt>
                <c:pt idx="37">
                  <c:v>11.406770985884808</c:v>
                </c:pt>
                <c:pt idx="38">
                  <c:v>9.8336619818405797</c:v>
                </c:pt>
                <c:pt idx="39">
                  <c:v>8.4620375217512613</c:v>
                </c:pt>
                <c:pt idx="40">
                  <c:v>7.0338328748821439</c:v>
                </c:pt>
                <c:pt idx="41">
                  <c:v>7.2882995736784437</c:v>
                </c:pt>
                <c:pt idx="42">
                  <c:v>8.8866754056650521</c:v>
                </c:pt>
                <c:pt idx="43">
                  <c:v>7.4798200466140621</c:v>
                </c:pt>
                <c:pt idx="44">
                  <c:v>9.7657383666225144</c:v>
                </c:pt>
                <c:pt idx="45">
                  <c:v>7.9447003666965932</c:v>
                </c:pt>
                <c:pt idx="46">
                  <c:v>6.8290832554627521</c:v>
                </c:pt>
                <c:pt idx="47">
                  <c:v>7.9209790522165529</c:v>
                </c:pt>
                <c:pt idx="48">
                  <c:v>5.9511980566404041</c:v>
                </c:pt>
                <c:pt idx="49">
                  <c:v>7.2243633792411535</c:v>
                </c:pt>
                <c:pt idx="50">
                  <c:v>8.0384987230282157</c:v>
                </c:pt>
                <c:pt idx="51">
                  <c:v>7.7399529278597647</c:v>
                </c:pt>
                <c:pt idx="52">
                  <c:v>8.9551761475345906</c:v>
                </c:pt>
                <c:pt idx="53">
                  <c:v>9.9066867108961674</c:v>
                </c:pt>
                <c:pt idx="54">
                  <c:v>10.16660381050475</c:v>
                </c:pt>
                <c:pt idx="55">
                  <c:v>9.1166011165912639</c:v>
                </c:pt>
                <c:pt idx="56">
                  <c:v>7.4985374040370072</c:v>
                </c:pt>
                <c:pt idx="57">
                  <c:v>6.6994539517640845</c:v>
                </c:pt>
                <c:pt idx="58">
                  <c:v>9.9889227287681415</c:v>
                </c:pt>
                <c:pt idx="59">
                  <c:v>8.567950641763117</c:v>
                </c:pt>
                <c:pt idx="60">
                  <c:v>11.140657012186477</c:v>
                </c:pt>
                <c:pt idx="61">
                  <c:v>10.861815846061663</c:v>
                </c:pt>
                <c:pt idx="62">
                  <c:v>6.9476293256076023</c:v>
                </c:pt>
                <c:pt idx="63">
                  <c:v>6.380834951805145</c:v>
                </c:pt>
                <c:pt idx="64">
                  <c:v>9.0726793446289538</c:v>
                </c:pt>
                <c:pt idx="65">
                  <c:v>6.832378383517816</c:v>
                </c:pt>
                <c:pt idx="66">
                  <c:v>7.3495811868046541</c:v>
                </c:pt>
                <c:pt idx="67">
                  <c:v>8.6635730768835675</c:v>
                </c:pt>
                <c:pt idx="68">
                  <c:v>8.6199352166966747</c:v>
                </c:pt>
                <c:pt idx="69">
                  <c:v>9.0829349718133621</c:v>
                </c:pt>
                <c:pt idx="70">
                  <c:v>9.1796597917769738</c:v>
                </c:pt>
                <c:pt idx="71">
                  <c:v>6.848589700351436</c:v>
                </c:pt>
                <c:pt idx="72">
                  <c:v>7.7501860684193806</c:v>
                </c:pt>
                <c:pt idx="73">
                  <c:v>8.8331519655802584</c:v>
                </c:pt>
                <c:pt idx="74">
                  <c:v>9.3710954936637663</c:v>
                </c:pt>
                <c:pt idx="75">
                  <c:v>8.6528344763882448</c:v>
                </c:pt>
                <c:pt idx="76">
                  <c:v>9.2564658868878311</c:v>
                </c:pt>
                <c:pt idx="77">
                  <c:v>9.6513968847440008</c:v>
                </c:pt>
                <c:pt idx="78">
                  <c:v>6.6513632585601243</c:v>
                </c:pt>
                <c:pt idx="79">
                  <c:v>8.2448300200235511</c:v>
                </c:pt>
                <c:pt idx="80">
                  <c:v>6.0413591421843176</c:v>
                </c:pt>
                <c:pt idx="81">
                  <c:v>7.6493627408184555</c:v>
                </c:pt>
                <c:pt idx="82">
                  <c:v>8.5549854316047824</c:v>
                </c:pt>
                <c:pt idx="83">
                  <c:v>9.3164955064472412</c:v>
                </c:pt>
                <c:pt idx="84">
                  <c:v>9.3880379589982077</c:v>
                </c:pt>
                <c:pt idx="85">
                  <c:v>8.8184147405082118</c:v>
                </c:pt>
                <c:pt idx="86">
                  <c:v>8.9099086736321791</c:v>
                </c:pt>
                <c:pt idx="87">
                  <c:v>8.4966509972542372</c:v>
                </c:pt>
                <c:pt idx="88">
                  <c:v>9.5957622880510769</c:v>
                </c:pt>
                <c:pt idx="89">
                  <c:v>9.4341042496587111</c:v>
                </c:pt>
                <c:pt idx="90">
                  <c:v>8.3549740311930485</c:v>
                </c:pt>
                <c:pt idx="91">
                  <c:v>8.8374866436708892</c:v>
                </c:pt>
                <c:pt idx="92">
                  <c:v>7.8030050801946294</c:v>
                </c:pt>
                <c:pt idx="93">
                  <c:v>6.432132626966296</c:v>
                </c:pt>
                <c:pt idx="94">
                  <c:v>8.2070381831134771</c:v>
                </c:pt>
                <c:pt idx="95">
                  <c:v>6.8935011528724619</c:v>
                </c:pt>
                <c:pt idx="96">
                  <c:v>6.5813576553819226</c:v>
                </c:pt>
                <c:pt idx="97">
                  <c:v>6.7231135510172306</c:v>
                </c:pt>
                <c:pt idx="98">
                  <c:v>5.6031024496579178</c:v>
                </c:pt>
                <c:pt idx="99">
                  <c:v>8.2498435205593736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6-4651-8A10-C11E749D88B6}"/>
            </c:ext>
          </c:extLst>
        </c:ser>
        <c:ser>
          <c:idx val="1"/>
          <c:order val="1"/>
          <c:tx>
            <c:strRef>
              <c:f>'AR 1b'!$L$3</c:f>
              <c:strCache>
                <c:ptCount val="1"/>
                <c:pt idx="0">
                  <c:v>Pred 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'AR 1b'!$L$4:$L$103</c:f>
              <c:numCache>
                <c:formatCode>General</c:formatCode>
                <c:ptCount val="100"/>
                <c:pt idx="1">
                  <c:v>6.7191970540349821</c:v>
                </c:pt>
                <c:pt idx="2">
                  <c:v>7.445193759940393</c:v>
                </c:pt>
                <c:pt idx="3">
                  <c:v>7.5252296613641096</c:v>
                </c:pt>
                <c:pt idx="4">
                  <c:v>7.7745125499985086</c:v>
                </c:pt>
                <c:pt idx="5">
                  <c:v>8.7485084191029276</c:v>
                </c:pt>
                <c:pt idx="6">
                  <c:v>8.3211998112434582</c:v>
                </c:pt>
                <c:pt idx="7">
                  <c:v>7.8110793804450838</c:v>
                </c:pt>
                <c:pt idx="8">
                  <c:v>7.7919926145526155</c:v>
                </c:pt>
                <c:pt idx="9">
                  <c:v>8.0313935460150194</c:v>
                </c:pt>
                <c:pt idx="10">
                  <c:v>7.9613259675499641</c:v>
                </c:pt>
                <c:pt idx="11">
                  <c:v>7.9066344649742453</c:v>
                </c:pt>
                <c:pt idx="12">
                  <c:v>7.6794288702600859</c:v>
                </c:pt>
                <c:pt idx="13">
                  <c:v>8.0337637737163963</c:v>
                </c:pt>
                <c:pt idx="14">
                  <c:v>8.3093699699481842</c:v>
                </c:pt>
                <c:pt idx="15">
                  <c:v>8.3803270149648093</c:v>
                </c:pt>
                <c:pt idx="16">
                  <c:v>8.7596933883268768</c:v>
                </c:pt>
                <c:pt idx="17">
                  <c:v>8.3549074748642678</c:v>
                </c:pt>
                <c:pt idx="18">
                  <c:v>8.7708733776553647</c:v>
                </c:pt>
                <c:pt idx="19">
                  <c:v>7.6520787457485486</c:v>
                </c:pt>
                <c:pt idx="20">
                  <c:v>8.1193035278080572</c:v>
                </c:pt>
                <c:pt idx="21">
                  <c:v>8.1455480795778978</c:v>
                </c:pt>
                <c:pt idx="22">
                  <c:v>8.4822375131466607</c:v>
                </c:pt>
                <c:pt idx="23">
                  <c:v>9.3283788869019375</c:v>
                </c:pt>
                <c:pt idx="24">
                  <c:v>8.6268935693727844</c:v>
                </c:pt>
                <c:pt idx="25">
                  <c:v>9.0250866300557835</c:v>
                </c:pt>
                <c:pt idx="26">
                  <c:v>8.8768243235682629</c:v>
                </c:pt>
                <c:pt idx="27">
                  <c:v>8.2343385811179921</c:v>
                </c:pt>
                <c:pt idx="28">
                  <c:v>7.7194775868034027</c:v>
                </c:pt>
                <c:pt idx="29">
                  <c:v>8.6545217255258002</c:v>
                </c:pt>
                <c:pt idx="30">
                  <c:v>8.5076994799918744</c:v>
                </c:pt>
                <c:pt idx="31">
                  <c:v>8.0280500226045852</c:v>
                </c:pt>
                <c:pt idx="32">
                  <c:v>8.0947899516452182</c:v>
                </c:pt>
                <c:pt idx="33">
                  <c:v>8.0274673319460774</c:v>
                </c:pt>
                <c:pt idx="34">
                  <c:v>8.6223656598566851</c:v>
                </c:pt>
                <c:pt idx="35">
                  <c:v>8.6818996027663609</c:v>
                </c:pt>
                <c:pt idx="36">
                  <c:v>8.4395552269494836</c:v>
                </c:pt>
                <c:pt idx="37">
                  <c:v>8.8580576753760809</c:v>
                </c:pt>
                <c:pt idx="38">
                  <c:v>9.5211007800499168</c:v>
                </c:pt>
                <c:pt idx="39">
                  <c:v>8.9007019662575875</c:v>
                </c:pt>
                <c:pt idx="40">
                  <c:v>8.3597641254466346</c:v>
                </c:pt>
                <c:pt idx="41">
                  <c:v>7.7965123313927123</c:v>
                </c:pt>
                <c:pt idx="42">
                  <c:v>7.896868274736125</c:v>
                </c:pt>
                <c:pt idx="43">
                  <c:v>8.5272317572471792</c:v>
                </c:pt>
                <c:pt idx="44">
                  <c:v>7.9723996421879271</c:v>
                </c:pt>
                <c:pt idx="45">
                  <c:v>8.8739144199391582</c:v>
                </c:pt>
                <c:pt idx="46">
                  <c:v>8.1557379858075603</c:v>
                </c:pt>
                <c:pt idx="47">
                  <c:v>7.7157636860759187</c:v>
                </c:pt>
                <c:pt idx="48">
                  <c:v>8.1463828328415691</c:v>
                </c:pt>
                <c:pt idx="49">
                  <c:v>7.3695455062835205</c:v>
                </c:pt>
                <c:pt idx="50">
                  <c:v>7.8716532775011494</c:v>
                </c:pt>
                <c:pt idx="51">
                  <c:v>8.1927299481281644</c:v>
                </c:pt>
                <c:pt idx="52">
                  <c:v>8.0749902004634908</c:v>
                </c:pt>
                <c:pt idx="53">
                  <c:v>8.5542469093380387</c:v>
                </c:pt>
                <c:pt idx="54">
                  <c:v>8.929501277155385</c:v>
                </c:pt>
                <c:pt idx="55">
                  <c:v>9.0320067360059468</c:v>
                </c:pt>
                <c:pt idx="56">
                  <c:v>8.617909286873072</c:v>
                </c:pt>
                <c:pt idx="57">
                  <c:v>7.9797813470238079</c:v>
                </c:pt>
                <c:pt idx="58">
                  <c:v>7.6646408039103306</c:v>
                </c:pt>
                <c:pt idx="59">
                  <c:v>8.9619333132111283</c:v>
                </c:pt>
                <c:pt idx="60">
                  <c:v>8.4015338781156945</c:v>
                </c:pt>
                <c:pt idx="61">
                  <c:v>9.4161514134188877</c:v>
                </c:pt>
                <c:pt idx="62">
                  <c:v>9.3061827283146989</c:v>
                </c:pt>
                <c:pt idx="63">
                  <c:v>7.7625155901769904</c:v>
                </c:pt>
                <c:pt idx="64">
                  <c:v>7.5389846356994559</c:v>
                </c:pt>
                <c:pt idx="65">
                  <c:v>8.6005875277610073</c:v>
                </c:pt>
                <c:pt idx="66">
                  <c:v>7.7170632104772157</c:v>
                </c:pt>
                <c:pt idx="67">
                  <c:v>7.9210363648004751</c:v>
                </c:pt>
                <c:pt idx="68">
                  <c:v>8.4392452160891906</c:v>
                </c:pt>
                <c:pt idx="69">
                  <c:v>8.4220354253965031</c:v>
                </c:pt>
                <c:pt idx="70">
                  <c:v>8.6046321164853392</c:v>
                </c:pt>
                <c:pt idx="71">
                  <c:v>8.6427782102496167</c:v>
                </c:pt>
                <c:pt idx="72">
                  <c:v>7.7234565892626232</c:v>
                </c:pt>
                <c:pt idx="73">
                  <c:v>8.0790259209687036</c:v>
                </c:pt>
                <c:pt idx="74">
                  <c:v>8.5061233161580212</c:v>
                </c:pt>
                <c:pt idx="75">
                  <c:v>8.7182761459061648</c:v>
                </c:pt>
                <c:pt idx="76">
                  <c:v>8.435010153552545</c:v>
                </c:pt>
                <c:pt idx="77">
                  <c:v>8.6730688068810622</c:v>
                </c:pt>
                <c:pt idx="78">
                  <c:v>8.8288207108940018</c:v>
                </c:pt>
                <c:pt idx="79">
                  <c:v>7.6456749160147783</c:v>
                </c:pt>
                <c:pt idx="80">
                  <c:v>8.2741023715108106</c:v>
                </c:pt>
                <c:pt idx="81">
                  <c:v>7.405103010803467</c:v>
                </c:pt>
                <c:pt idx="82">
                  <c:v>8.039263467962968</c:v>
                </c:pt>
                <c:pt idx="83">
                  <c:v>8.3964206908018344</c:v>
                </c:pt>
                <c:pt idx="84">
                  <c:v>8.6967431388385528</c:v>
                </c:pt>
                <c:pt idx="85">
                  <c:v>8.7249578732176118</c:v>
                </c:pt>
                <c:pt idx="86">
                  <c:v>8.5003112860127601</c:v>
                </c:pt>
                <c:pt idx="87">
                  <c:v>8.5363944356440786</c:v>
                </c:pt>
                <c:pt idx="88">
                  <c:v>8.3734149017679638</c:v>
                </c:pt>
                <c:pt idx="89">
                  <c:v>8.8068796771160685</c:v>
                </c:pt>
                <c:pt idx="90">
                  <c:v>8.7431253822764994</c:v>
                </c:pt>
                <c:pt idx="91">
                  <c:v>8.3175406925045934</c:v>
                </c:pt>
                <c:pt idx="92">
                  <c:v>8.5078328157150676</c:v>
                </c:pt>
                <c:pt idx="93">
                  <c:v>8.099856551374355</c:v>
                </c:pt>
                <c:pt idx="94">
                  <c:v>7.5592152851576087</c:v>
                </c:pt>
                <c:pt idx="95">
                  <c:v>8.2591981209281951</c:v>
                </c:pt>
                <c:pt idx="96">
                  <c:v>7.7411686561302737</c:v>
                </c:pt>
                <c:pt idx="97">
                  <c:v>7.6180662804663726</c:v>
                </c:pt>
                <c:pt idx="98">
                  <c:v>7.6739716177787392</c:v>
                </c:pt>
                <c:pt idx="99">
                  <c:v>7.2322644271573697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6-4651-8A10-C11E749D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658424"/>
        <c:axId val="494662344"/>
      </c:lineChart>
      <c:catAx>
        <c:axId val="494658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62344"/>
        <c:crosses val="autoZero"/>
        <c:auto val="1"/>
        <c:lblAlgn val="ctr"/>
        <c:lblOffset val="100"/>
        <c:noMultiLvlLbl val="0"/>
      </c:catAx>
      <c:valAx>
        <c:axId val="494662344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58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y</a:t>
            </a:r>
            <a:r>
              <a:rPr lang="en-GB" sz="1800" b="0" i="0" baseline="-25000">
                <a:effectLst/>
              </a:rPr>
              <a:t>i</a:t>
            </a:r>
            <a:r>
              <a:rPr lang="en-GB" sz="1800" b="0" i="0" baseline="0">
                <a:effectLst/>
              </a:rPr>
              <a:t> = 5 + .4y</a:t>
            </a:r>
            <a:r>
              <a:rPr lang="en-GB" sz="1800" b="0" i="0" baseline="-25000">
                <a:effectLst/>
              </a:rPr>
              <a:t>i-1</a:t>
            </a:r>
            <a:r>
              <a:rPr lang="en-GB" sz="1800" b="0" i="0" baseline="0">
                <a:effectLst/>
              </a:rPr>
              <a:t> -.1</a:t>
            </a:r>
            <a:r>
              <a:rPr lang="en-GB" sz="1400" b="0" i="0" u="none" strike="noStrike" baseline="0">
                <a:effectLst/>
              </a:rPr>
              <a:t>y</a:t>
            </a:r>
            <a:r>
              <a:rPr lang="en-GB" sz="1400" b="0" i="0" u="none" strike="noStrike" baseline="-25000">
                <a:effectLst/>
              </a:rPr>
              <a:t>i-2</a:t>
            </a:r>
            <a:r>
              <a:rPr lang="en-GB" sz="1800" b="0" i="0" baseline="0">
                <a:effectLst/>
              </a:rPr>
              <a:t>+ </a:t>
            </a:r>
            <a:r>
              <a:rPr lang="el-GR" sz="1800" b="0" i="0" baseline="0">
                <a:effectLst/>
              </a:rPr>
              <a:t>ε</a:t>
            </a:r>
            <a:r>
              <a:rPr lang="en-GB" sz="1800" b="0" i="0" baseline="-25000">
                <a:effectLst/>
              </a:rPr>
              <a:t>i  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'AR 2'!$C$4:$C$103</c:f>
              <c:numCache>
                <c:formatCode>General</c:formatCode>
                <c:ptCount val="100"/>
                <c:pt idx="0">
                  <c:v>4.5267574698597484</c:v>
                </c:pt>
                <c:pt idx="1">
                  <c:v>6.893370777512497</c:v>
                </c:pt>
                <c:pt idx="2">
                  <c:v>8.4253951175675805</c:v>
                </c:pt>
                <c:pt idx="3">
                  <c:v>6.999502086988997</c:v>
                </c:pt>
                <c:pt idx="4">
                  <c:v>6.1875941616300834</c:v>
                </c:pt>
                <c:pt idx="5">
                  <c:v>5.8129764708798239</c:v>
                </c:pt>
                <c:pt idx="6">
                  <c:v>7.1200726875188378</c:v>
                </c:pt>
                <c:pt idx="7">
                  <c:v>8.5019149332741044</c:v>
                </c:pt>
                <c:pt idx="8">
                  <c:v>7.3012221051820614</c:v>
                </c:pt>
                <c:pt idx="9">
                  <c:v>6.0388768293832715</c:v>
                </c:pt>
                <c:pt idx="10">
                  <c:v>4.7460896891377891</c:v>
                </c:pt>
                <c:pt idx="11">
                  <c:v>6.6536767183588417</c:v>
                </c:pt>
                <c:pt idx="12">
                  <c:v>8.1939759194869595</c:v>
                </c:pt>
                <c:pt idx="13">
                  <c:v>7.5602635334693442</c:v>
                </c:pt>
                <c:pt idx="14">
                  <c:v>6.794451297136205</c:v>
                </c:pt>
                <c:pt idx="15">
                  <c:v>4.7244665351583883</c:v>
                </c:pt>
                <c:pt idx="16">
                  <c:v>6.0271551265385801</c:v>
                </c:pt>
                <c:pt idx="17">
                  <c:v>7.1259100258620851</c:v>
                </c:pt>
                <c:pt idx="18">
                  <c:v>7.1912478294921529</c:v>
                </c:pt>
                <c:pt idx="19">
                  <c:v>6.6826916383449895</c:v>
                </c:pt>
                <c:pt idx="20">
                  <c:v>6.5721571230018965</c:v>
                </c:pt>
                <c:pt idx="21">
                  <c:v>6.7527389135024771</c:v>
                </c:pt>
                <c:pt idx="22">
                  <c:v>5.6474000535444784</c:v>
                </c:pt>
                <c:pt idx="23">
                  <c:v>6.4773690041963041</c:v>
                </c:pt>
                <c:pt idx="24">
                  <c:v>7.2903737384173564</c:v>
                </c:pt>
                <c:pt idx="25">
                  <c:v>7.8305066981653439</c:v>
                </c:pt>
                <c:pt idx="26">
                  <c:v>7.752682958213466</c:v>
                </c:pt>
                <c:pt idx="27">
                  <c:v>5.8983792321319335</c:v>
                </c:pt>
                <c:pt idx="28">
                  <c:v>6.9970102225736142</c:v>
                </c:pt>
                <c:pt idx="29">
                  <c:v>7.5670361691232699</c:v>
                </c:pt>
                <c:pt idx="30">
                  <c:v>5.9325823975209193</c:v>
                </c:pt>
                <c:pt idx="31">
                  <c:v>6.2716739845100316</c:v>
                </c:pt>
                <c:pt idx="32">
                  <c:v>7.5927373959870117</c:v>
                </c:pt>
                <c:pt idx="33">
                  <c:v>7.0772059138076351</c:v>
                </c:pt>
                <c:pt idx="34">
                  <c:v>7.2335411603542905</c:v>
                </c:pt>
                <c:pt idx="35">
                  <c:v>9.2815947650947983</c:v>
                </c:pt>
                <c:pt idx="36">
                  <c:v>8.1261550928644262</c:v>
                </c:pt>
                <c:pt idx="37">
                  <c:v>7.4739429418675778</c:v>
                </c:pt>
                <c:pt idx="38">
                  <c:v>5.8482842063827345</c:v>
                </c:pt>
                <c:pt idx="39">
                  <c:v>4.9087410222113919</c:v>
                </c:pt>
                <c:pt idx="40">
                  <c:v>8.5560009883684138</c:v>
                </c:pt>
                <c:pt idx="41">
                  <c:v>8.7745309133389373</c:v>
                </c:pt>
                <c:pt idx="42">
                  <c:v>7.5376775568876386</c:v>
                </c:pt>
                <c:pt idx="43">
                  <c:v>8.2711357692560838</c:v>
                </c:pt>
                <c:pt idx="44">
                  <c:v>9.6160924400361214</c:v>
                </c:pt>
                <c:pt idx="45">
                  <c:v>9.1199492250703216</c:v>
                </c:pt>
                <c:pt idx="46">
                  <c:v>7.573939957780266</c:v>
                </c:pt>
                <c:pt idx="47">
                  <c:v>8.0172610519511434</c:v>
                </c:pt>
                <c:pt idx="48">
                  <c:v>6.7179685412903414</c:v>
                </c:pt>
                <c:pt idx="49">
                  <c:v>7.6314476483008358</c:v>
                </c:pt>
                <c:pt idx="50">
                  <c:v>6.9543572952914339</c:v>
                </c:pt>
                <c:pt idx="51">
                  <c:v>6.6084855817594015</c:v>
                </c:pt>
                <c:pt idx="52">
                  <c:v>6.4501230805655911</c:v>
                </c:pt>
                <c:pt idx="53">
                  <c:v>7.6879119027649709</c:v>
                </c:pt>
                <c:pt idx="54">
                  <c:v>5.7936182459941481</c:v>
                </c:pt>
                <c:pt idx="55">
                  <c:v>6.5599686446029404</c:v>
                </c:pt>
                <c:pt idx="56">
                  <c:v>8.0502499924421933</c:v>
                </c:pt>
                <c:pt idx="57">
                  <c:v>6.1160642285234905</c:v>
                </c:pt>
                <c:pt idx="58">
                  <c:v>6.7128853872972014</c:v>
                </c:pt>
                <c:pt idx="59">
                  <c:v>6.972769157706062</c:v>
                </c:pt>
                <c:pt idx="60">
                  <c:v>5.3921819539773042</c:v>
                </c:pt>
                <c:pt idx="61">
                  <c:v>5.2797035833200177</c:v>
                </c:pt>
                <c:pt idx="62">
                  <c:v>7.4698051304791724</c:v>
                </c:pt>
                <c:pt idx="63">
                  <c:v>5.3546264732197972</c:v>
                </c:pt>
                <c:pt idx="64">
                  <c:v>7.3862630048880682</c:v>
                </c:pt>
                <c:pt idx="65">
                  <c:v>8.9169928669823157</c:v>
                </c:pt>
                <c:pt idx="66">
                  <c:v>8.0300089468534299</c:v>
                </c:pt>
                <c:pt idx="67">
                  <c:v>8.2151443132194668</c:v>
                </c:pt>
                <c:pt idx="68">
                  <c:v>6.4821485455978305</c:v>
                </c:pt>
                <c:pt idx="69">
                  <c:v>8.6269994716856839</c:v>
                </c:pt>
                <c:pt idx="70">
                  <c:v>9.2940431937725041</c:v>
                </c:pt>
                <c:pt idx="71">
                  <c:v>8.4137893229457603</c:v>
                </c:pt>
                <c:pt idx="72">
                  <c:v>9.6617263427642683</c:v>
                </c:pt>
                <c:pt idx="73">
                  <c:v>8.353709968296096</c:v>
                </c:pt>
                <c:pt idx="74">
                  <c:v>7.0127164687025392</c:v>
                </c:pt>
                <c:pt idx="75">
                  <c:v>8.9515775235567929</c:v>
                </c:pt>
                <c:pt idx="76">
                  <c:v>7.7871059802711384</c:v>
                </c:pt>
                <c:pt idx="77">
                  <c:v>5.9914461883467407</c:v>
                </c:pt>
                <c:pt idx="78">
                  <c:v>6.0471013441916917</c:v>
                </c:pt>
                <c:pt idx="79">
                  <c:v>6.199402126728244</c:v>
                </c:pt>
                <c:pt idx="80">
                  <c:v>7.770246090077273</c:v>
                </c:pt>
                <c:pt idx="81">
                  <c:v>6.8348719600207684</c:v>
                </c:pt>
                <c:pt idx="82">
                  <c:v>7.3287274991072104</c:v>
                </c:pt>
                <c:pt idx="83">
                  <c:v>6.8192852019370696</c:v>
                </c:pt>
                <c:pt idx="84">
                  <c:v>6.4267890522116708</c:v>
                </c:pt>
                <c:pt idx="85">
                  <c:v>5.5555076226554707</c:v>
                </c:pt>
                <c:pt idx="86">
                  <c:v>6.3790076989131865</c:v>
                </c:pt>
                <c:pt idx="87">
                  <c:v>6.8468683813833922</c:v>
                </c:pt>
                <c:pt idx="88">
                  <c:v>6.5297839037031835</c:v>
                </c:pt>
                <c:pt idx="89">
                  <c:v>6.9722207272041752</c:v>
                </c:pt>
                <c:pt idx="90">
                  <c:v>7.9209906337611091</c:v>
                </c:pt>
                <c:pt idx="91">
                  <c:v>7.7482352854108072</c:v>
                </c:pt>
                <c:pt idx="92">
                  <c:v>6.9019892363480606</c:v>
                </c:pt>
                <c:pt idx="93">
                  <c:v>5.2437738080077576</c:v>
                </c:pt>
                <c:pt idx="94">
                  <c:v>5.9885180851756683</c:v>
                </c:pt>
                <c:pt idx="95">
                  <c:v>5.9236083765200203</c:v>
                </c:pt>
                <c:pt idx="96">
                  <c:v>7.5168005751827058</c:v>
                </c:pt>
                <c:pt idx="97">
                  <c:v>7.8620302663362134</c:v>
                </c:pt>
                <c:pt idx="98">
                  <c:v>6.7345852259753105</c:v>
                </c:pt>
                <c:pt idx="99">
                  <c:v>8.4658442020564895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6-4FA3-A752-2CE63C6D8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667440"/>
        <c:axId val="494660384"/>
      </c:lineChart>
      <c:catAx>
        <c:axId val="494667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603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494660384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6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ACF for</a:t>
            </a:r>
            <a:r>
              <a:rPr lang="en-GB" baseline="0"/>
              <a:t> AR(2) Process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ACF (actual)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'AR 2'!$F$6:$F$20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7-4105-8D4D-EB5058DC0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658816"/>
        <c:axId val="494663520"/>
      </c:barChart>
      <c:lineChart>
        <c:grouping val="standard"/>
        <c:varyColors val="0"/>
        <c:ser>
          <c:idx val="1"/>
          <c:order val="1"/>
          <c:tx>
            <c:v>ACF (theoretical)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'AR 2'!$G$6:$G$20</c:f>
              <c:numCache>
                <c:formatCode>General</c:formatCode>
                <c:ptCount val="15"/>
                <c:pt idx="0">
                  <c:v>0.4</c:v>
                </c:pt>
                <c:pt idx="1">
                  <c:v>0.16000000000000003</c:v>
                </c:pt>
                <c:pt idx="2">
                  <c:v>6.4000000000000015E-2</c:v>
                </c:pt>
                <c:pt idx="3">
                  <c:v>2.5600000000000012E-2</c:v>
                </c:pt>
                <c:pt idx="4">
                  <c:v>1.0240000000000006E-2</c:v>
                </c:pt>
                <c:pt idx="5">
                  <c:v>4.0960000000000024E-3</c:v>
                </c:pt>
                <c:pt idx="6">
                  <c:v>1.6384000000000012E-3</c:v>
                </c:pt>
                <c:pt idx="7">
                  <c:v>6.5536000000000056E-4</c:v>
                </c:pt>
                <c:pt idx="8">
                  <c:v>2.6214400000000023E-4</c:v>
                </c:pt>
                <c:pt idx="9">
                  <c:v>1.0485760000000011E-4</c:v>
                </c:pt>
                <c:pt idx="10">
                  <c:v>4.1943040000000045E-5</c:v>
                </c:pt>
                <c:pt idx="11">
                  <c:v>1.6777216000000023E-5</c:v>
                </c:pt>
                <c:pt idx="12">
                  <c:v>6.7108864000000095E-6</c:v>
                </c:pt>
                <c:pt idx="13">
                  <c:v>2.6843545600000038E-6</c:v>
                </c:pt>
                <c:pt idx="14">
                  <c:v>1.0737418240000018E-6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7-4105-8D4D-EB5058DC0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58816"/>
        <c:axId val="494663520"/>
      </c:lineChart>
      <c:catAx>
        <c:axId val="494658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63520"/>
        <c:crosses val="autoZero"/>
        <c:auto val="1"/>
        <c:lblAlgn val="ctr"/>
        <c:lblOffset val="100"/>
        <c:noMultiLvlLbl val="0"/>
      </c:catAx>
      <c:valAx>
        <c:axId val="49466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5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PACF for AR(2) Process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PACF (actual)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'AR 2'!$Z$6:$Z$20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1-406B-B456-7F68810D4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670184"/>
        <c:axId val="494676064"/>
      </c:barChart>
      <c:lineChart>
        <c:grouping val="standard"/>
        <c:varyColors val="0"/>
        <c:ser>
          <c:idx val="1"/>
          <c:order val="1"/>
          <c:tx>
            <c:v>PACF (theoretical)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'AR 2'!$AA$6:$AA$20</c:f>
              <c:numCache>
                <c:formatCode>General</c:formatCode>
                <c:ptCount val="15"/>
                <c:pt idx="0">
                  <c:v>0.4</c:v>
                </c:pt>
                <c:pt idx="1">
                  <c:v>-0.1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1-406B-B456-7F68810D4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70184"/>
        <c:axId val="494676064"/>
      </c:lineChart>
      <c:catAx>
        <c:axId val="494670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6064"/>
        <c:crosses val="autoZero"/>
        <c:auto val="1"/>
        <c:lblAlgn val="ctr"/>
        <c:lblOffset val="100"/>
        <c:noMultiLvlLbl val="0"/>
      </c:catAx>
      <c:valAx>
        <c:axId val="49467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0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PACF for AR(2) Process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PACF (actual)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'AR 2a'!$F$6:$F$20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8-4939-BA62-2533234AB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680768"/>
        <c:axId val="494679592"/>
      </c:barChart>
      <c:lineChart>
        <c:grouping val="standard"/>
        <c:varyColors val="0"/>
        <c:ser>
          <c:idx val="1"/>
          <c:order val="1"/>
          <c:tx>
            <c:v>PACF (theoretical)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'AR 2a'!$G$6:$G$20</c:f>
              <c:numCache>
                <c:formatCode>General</c:formatCode>
                <c:ptCount val="15"/>
                <c:pt idx="0">
                  <c:v>0.4</c:v>
                </c:pt>
                <c:pt idx="1">
                  <c:v>-0.1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8-4939-BA62-2533234AB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80768"/>
        <c:axId val="494679592"/>
      </c:lineChart>
      <c:catAx>
        <c:axId val="494680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9592"/>
        <c:crosses val="autoZero"/>
        <c:auto val="1"/>
        <c:lblAlgn val="ctr"/>
        <c:lblOffset val="100"/>
        <c:noMultiLvlLbl val="0"/>
      </c:catAx>
      <c:valAx>
        <c:axId val="49467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AR(2)</a:t>
            </a:r>
            <a:r>
              <a:rPr lang="en-GB" baseline="0"/>
              <a:t> Process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 2b'!$L$3</c:f>
              <c:strCache>
                <c:ptCount val="1"/>
                <c:pt idx="0">
                  <c:v>Act 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'AR 2b'!$L$4:$L$103</c:f>
              <c:numCache>
                <c:formatCode>General</c:formatCode>
                <c:ptCount val="100"/>
                <c:pt idx="0">
                  <c:v>4.5267574698597484</c:v>
                </c:pt>
                <c:pt idx="1">
                  <c:v>6.893370777512497</c:v>
                </c:pt>
                <c:pt idx="2">
                  <c:v>8.4253951175675805</c:v>
                </c:pt>
                <c:pt idx="3">
                  <c:v>6.999502086988997</c:v>
                </c:pt>
                <c:pt idx="4">
                  <c:v>6.1875941616300834</c:v>
                </c:pt>
                <c:pt idx="5">
                  <c:v>5.8129764708798239</c:v>
                </c:pt>
                <c:pt idx="6">
                  <c:v>7.1200726875188378</c:v>
                </c:pt>
                <c:pt idx="7">
                  <c:v>8.5019149332741044</c:v>
                </c:pt>
                <c:pt idx="8">
                  <c:v>7.3012221051820614</c:v>
                </c:pt>
                <c:pt idx="9">
                  <c:v>6.0388768293832715</c:v>
                </c:pt>
                <c:pt idx="10">
                  <c:v>4.7460896891377891</c:v>
                </c:pt>
                <c:pt idx="11">
                  <c:v>6.6536767183588417</c:v>
                </c:pt>
                <c:pt idx="12">
                  <c:v>8.1939759194869595</c:v>
                </c:pt>
                <c:pt idx="13">
                  <c:v>7.5602635334693442</c:v>
                </c:pt>
                <c:pt idx="14">
                  <c:v>6.794451297136205</c:v>
                </c:pt>
                <c:pt idx="15">
                  <c:v>4.7244665351583883</c:v>
                </c:pt>
                <c:pt idx="16">
                  <c:v>6.0271551265385801</c:v>
                </c:pt>
                <c:pt idx="17">
                  <c:v>7.1259100258620851</c:v>
                </c:pt>
                <c:pt idx="18">
                  <c:v>7.1912478294921529</c:v>
                </c:pt>
                <c:pt idx="19">
                  <c:v>6.6826916383449895</c:v>
                </c:pt>
                <c:pt idx="20">
                  <c:v>6.5721571230018965</c:v>
                </c:pt>
                <c:pt idx="21">
                  <c:v>6.7527389135024771</c:v>
                </c:pt>
                <c:pt idx="22">
                  <c:v>5.6474000535444784</c:v>
                </c:pt>
                <c:pt idx="23">
                  <c:v>6.4773690041963041</c:v>
                </c:pt>
                <c:pt idx="24">
                  <c:v>7.2903737384173564</c:v>
                </c:pt>
                <c:pt idx="25">
                  <c:v>7.8305066981653439</c:v>
                </c:pt>
                <c:pt idx="26">
                  <c:v>7.752682958213466</c:v>
                </c:pt>
                <c:pt idx="27">
                  <c:v>5.8983792321319335</c:v>
                </c:pt>
                <c:pt idx="28">
                  <c:v>6.9970102225736142</c:v>
                </c:pt>
                <c:pt idx="29">
                  <c:v>7.5670361691232699</c:v>
                </c:pt>
                <c:pt idx="30">
                  <c:v>5.9325823975209193</c:v>
                </c:pt>
                <c:pt idx="31">
                  <c:v>6.2716739845100316</c:v>
                </c:pt>
                <c:pt idx="32">
                  <c:v>7.5927373959870117</c:v>
                </c:pt>
                <c:pt idx="33">
                  <c:v>7.0772059138076351</c:v>
                </c:pt>
                <c:pt idx="34">
                  <c:v>7.2335411603542905</c:v>
                </c:pt>
                <c:pt idx="35">
                  <c:v>9.2815947650947983</c:v>
                </c:pt>
                <c:pt idx="36">
                  <c:v>8.1261550928644262</c:v>
                </c:pt>
                <c:pt idx="37">
                  <c:v>7.4739429418675778</c:v>
                </c:pt>
                <c:pt idx="38">
                  <c:v>5.8482842063827345</c:v>
                </c:pt>
                <c:pt idx="39">
                  <c:v>4.9087410222113919</c:v>
                </c:pt>
                <c:pt idx="40">
                  <c:v>8.5560009883684138</c:v>
                </c:pt>
                <c:pt idx="41">
                  <c:v>8.7745309133389373</c:v>
                </c:pt>
                <c:pt idx="42">
                  <c:v>7.5376775568876386</c:v>
                </c:pt>
                <c:pt idx="43">
                  <c:v>8.2711357692560838</c:v>
                </c:pt>
                <c:pt idx="44">
                  <c:v>9.6160924400361214</c:v>
                </c:pt>
                <c:pt idx="45">
                  <c:v>9.1199492250703216</c:v>
                </c:pt>
                <c:pt idx="46">
                  <c:v>7.573939957780266</c:v>
                </c:pt>
                <c:pt idx="47">
                  <c:v>8.0172610519511434</c:v>
                </c:pt>
                <c:pt idx="48">
                  <c:v>6.7179685412903414</c:v>
                </c:pt>
                <c:pt idx="49">
                  <c:v>7.6314476483008358</c:v>
                </c:pt>
                <c:pt idx="50">
                  <c:v>6.9543572952914339</c:v>
                </c:pt>
                <c:pt idx="51">
                  <c:v>6.6084855817594015</c:v>
                </c:pt>
                <c:pt idx="52">
                  <c:v>6.4501230805655911</c:v>
                </c:pt>
                <c:pt idx="53">
                  <c:v>7.6879119027649709</c:v>
                </c:pt>
                <c:pt idx="54">
                  <c:v>5.7936182459941481</c:v>
                </c:pt>
                <c:pt idx="55">
                  <c:v>6.5599686446029404</c:v>
                </c:pt>
                <c:pt idx="56">
                  <c:v>8.0502499924421933</c:v>
                </c:pt>
                <c:pt idx="57">
                  <c:v>6.1160642285234905</c:v>
                </c:pt>
                <c:pt idx="58">
                  <c:v>6.7128853872972014</c:v>
                </c:pt>
                <c:pt idx="59">
                  <c:v>6.972769157706062</c:v>
                </c:pt>
                <c:pt idx="60">
                  <c:v>5.3921819539773042</c:v>
                </c:pt>
                <c:pt idx="61">
                  <c:v>5.2797035833200177</c:v>
                </c:pt>
                <c:pt idx="62">
                  <c:v>7.4698051304791724</c:v>
                </c:pt>
                <c:pt idx="63">
                  <c:v>5.3546264732197972</c:v>
                </c:pt>
                <c:pt idx="64">
                  <c:v>7.3862630048880682</c:v>
                </c:pt>
                <c:pt idx="65">
                  <c:v>8.9169928669823157</c:v>
                </c:pt>
                <c:pt idx="66">
                  <c:v>8.0300089468534299</c:v>
                </c:pt>
                <c:pt idx="67">
                  <c:v>8.2151443132194668</c:v>
                </c:pt>
                <c:pt idx="68">
                  <c:v>6.4821485455978305</c:v>
                </c:pt>
                <c:pt idx="69">
                  <c:v>8.6269994716856839</c:v>
                </c:pt>
                <c:pt idx="70">
                  <c:v>9.2940431937725041</c:v>
                </c:pt>
                <c:pt idx="71">
                  <c:v>8.4137893229457603</c:v>
                </c:pt>
                <c:pt idx="72">
                  <c:v>9.6617263427642683</c:v>
                </c:pt>
                <c:pt idx="73">
                  <c:v>8.353709968296096</c:v>
                </c:pt>
                <c:pt idx="74">
                  <c:v>7.0127164687025392</c:v>
                </c:pt>
                <c:pt idx="75">
                  <c:v>8.9515775235567929</c:v>
                </c:pt>
                <c:pt idx="76">
                  <c:v>7.7871059802711384</c:v>
                </c:pt>
                <c:pt idx="77">
                  <c:v>5.9914461883467407</c:v>
                </c:pt>
                <c:pt idx="78">
                  <c:v>6.0471013441916917</c:v>
                </c:pt>
                <c:pt idx="79">
                  <c:v>6.199402126728244</c:v>
                </c:pt>
                <c:pt idx="80">
                  <c:v>7.770246090077273</c:v>
                </c:pt>
                <c:pt idx="81">
                  <c:v>6.8348719600207684</c:v>
                </c:pt>
                <c:pt idx="82">
                  <c:v>7.3287274991072104</c:v>
                </c:pt>
                <c:pt idx="83">
                  <c:v>6.8192852019370696</c:v>
                </c:pt>
                <c:pt idx="84">
                  <c:v>6.4267890522116708</c:v>
                </c:pt>
                <c:pt idx="85">
                  <c:v>5.5555076226554707</c:v>
                </c:pt>
                <c:pt idx="86">
                  <c:v>6.3790076989131865</c:v>
                </c:pt>
                <c:pt idx="87">
                  <c:v>6.8468683813833922</c:v>
                </c:pt>
                <c:pt idx="88">
                  <c:v>6.5297839037031835</c:v>
                </c:pt>
                <c:pt idx="89">
                  <c:v>6.9722207272041752</c:v>
                </c:pt>
                <c:pt idx="90">
                  <c:v>7.9209906337611091</c:v>
                </c:pt>
                <c:pt idx="91">
                  <c:v>7.7482352854108072</c:v>
                </c:pt>
                <c:pt idx="92">
                  <c:v>6.9019892363480606</c:v>
                </c:pt>
                <c:pt idx="93">
                  <c:v>5.2437738080077576</c:v>
                </c:pt>
                <c:pt idx="94">
                  <c:v>5.9885180851756683</c:v>
                </c:pt>
                <c:pt idx="95">
                  <c:v>5.9236083765200203</c:v>
                </c:pt>
                <c:pt idx="96">
                  <c:v>7.5168005751827058</c:v>
                </c:pt>
                <c:pt idx="97">
                  <c:v>7.8620302663362134</c:v>
                </c:pt>
                <c:pt idx="98">
                  <c:v>6.7345852259753105</c:v>
                </c:pt>
                <c:pt idx="99">
                  <c:v>8.4658442020564895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E-4D44-AC0D-DF7A674C902F}"/>
            </c:ext>
          </c:extLst>
        </c:ser>
        <c:ser>
          <c:idx val="1"/>
          <c:order val="1"/>
          <c:tx>
            <c:strRef>
              <c:f>'AR 2b'!$M$3</c:f>
              <c:strCache>
                <c:ptCount val="1"/>
                <c:pt idx="0">
                  <c:v>Pred 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'AR 2b'!$M$4:$M$103</c:f>
              <c:numCache>
                <c:formatCode>General</c:formatCode>
                <c:ptCount val="100"/>
                <c:pt idx="2">
                  <c:v>7.4236069480725231</c:v>
                </c:pt>
                <c:pt idx="3">
                  <c:v>7.7441999033107525</c:v>
                </c:pt>
                <c:pt idx="4">
                  <c:v>6.8539704489096298</c:v>
                </c:pt>
                <c:pt idx="5">
                  <c:v>6.7112776602327733</c:v>
                </c:pt>
                <c:pt idx="6">
                  <c:v>6.6698425793697176</c:v>
                </c:pt>
                <c:pt idx="7">
                  <c:v>7.3227136377318418</c:v>
                </c:pt>
                <c:pt idx="8">
                  <c:v>7.7430187282178036</c:v>
                </c:pt>
                <c:pt idx="9">
                  <c:v>6.9788441584200749</c:v>
                </c:pt>
                <c:pt idx="10">
                  <c:v>6.595936249361098</c:v>
                </c:pt>
                <c:pt idx="11">
                  <c:v>6.2089760232229274</c:v>
                </c:pt>
                <c:pt idx="12">
                  <c:v>7.2800125418456263</c:v>
                </c:pt>
                <c:pt idx="13">
                  <c:v>7.6771058476118643</c:v>
                </c:pt>
                <c:pt idx="14">
                  <c:v>7.1452652352570762</c:v>
                </c:pt>
                <c:pt idx="15">
                  <c:v>6.8979639653919858</c:v>
                </c:pt>
                <c:pt idx="16">
                  <c:v>6.0794199709723697</c:v>
                </c:pt>
                <c:pt idx="17">
                  <c:v>6.9989587378961735</c:v>
                </c:pt>
                <c:pt idx="18">
                  <c:v>7.2914227330897683</c:v>
                </c:pt>
                <c:pt idx="19">
                  <c:v>7.1469678034728474</c:v>
                </c:pt>
                <c:pt idx="20">
                  <c:v>6.9056968420420182</c:v>
                </c:pt>
                <c:pt idx="21">
                  <c:v>6.9360993405454661</c:v>
                </c:pt>
                <c:pt idx="22">
                  <c:v>7.0356115897538087</c:v>
                </c:pt>
                <c:pt idx="23">
                  <c:v>6.5051005014484105</c:v>
                </c:pt>
                <c:pt idx="24">
                  <c:v>7.0571247722528572</c:v>
                </c:pt>
                <c:pt idx="25">
                  <c:v>7.2947531573313791</c:v>
                </c:pt>
                <c:pt idx="26">
                  <c:v>7.4111688380500542</c:v>
                </c:pt>
                <c:pt idx="27">
                  <c:v>7.2902357139711249</c:v>
                </c:pt>
                <c:pt idx="28">
                  <c:v>6.4605973150317082</c:v>
                </c:pt>
                <c:pt idx="29">
                  <c:v>7.2533014966873308</c:v>
                </c:pt>
                <c:pt idx="30">
                  <c:v>7.3380265810466083</c:v>
                </c:pt>
                <c:pt idx="31">
                  <c:v>6.5055476279778395</c:v>
                </c:pt>
                <c:pt idx="32">
                  <c:v>6.9185326494880135</c:v>
                </c:pt>
                <c:pt idx="33">
                  <c:v>7.4646424089429075</c:v>
                </c:pt>
                <c:pt idx="34">
                  <c:v>7.0212062536610373</c:v>
                </c:pt>
                <c:pt idx="35">
                  <c:v>7.1738899161898919</c:v>
                </c:pt>
                <c:pt idx="36">
                  <c:v>8.0790611155233716</c:v>
                </c:pt>
                <c:pt idx="37">
                  <c:v>7.2298581680913578</c:v>
                </c:pt>
                <c:pt idx="38">
                  <c:v>7.1168179557521709</c:v>
                </c:pt>
                <c:pt idx="39">
                  <c:v>6.4820236267387319</c:v>
                </c:pt>
                <c:pt idx="40">
                  <c:v>6.3130337173154043</c:v>
                </c:pt>
                <c:pt idx="41">
                  <c:v>8.1180124684594599</c:v>
                </c:pt>
                <c:pt idx="42">
                  <c:v>7.6392485070801559</c:v>
                </c:pt>
                <c:pt idx="43">
                  <c:v>7.0430077732572354</c:v>
                </c:pt>
                <c:pt idx="44">
                  <c:v>7.5720514874147193</c:v>
                </c:pt>
                <c:pt idx="45">
                  <c:v>8.0665140366771304</c:v>
                </c:pt>
                <c:pt idx="46">
                  <c:v>7.628094958119199</c:v>
                </c:pt>
                <c:pt idx="47">
                  <c:v>7.0047338980457896</c:v>
                </c:pt>
                <c:pt idx="48">
                  <c:v>7.4510296952141859</c:v>
                </c:pt>
                <c:pt idx="49">
                  <c:v>6.7908144138115709</c:v>
                </c:pt>
                <c:pt idx="50">
                  <c:v>7.4114939030650016</c:v>
                </c:pt>
                <c:pt idx="51">
                  <c:v>6.9592906908225745</c:v>
                </c:pt>
                <c:pt idx="52">
                  <c:v>6.9095432269975632</c:v>
                </c:pt>
                <c:pt idx="53">
                  <c:v>6.892447776019484</c:v>
                </c:pt>
                <c:pt idx="54">
                  <c:v>7.4795783887754519</c:v>
                </c:pt>
                <c:pt idx="55">
                  <c:v>6.4232936237654688</c:v>
                </c:pt>
                <c:pt idx="56">
                  <c:v>7.0714586781178683</c:v>
                </c:pt>
                <c:pt idx="57">
                  <c:v>7.6266953270844509</c:v>
                </c:pt>
                <c:pt idx="58">
                  <c:v>6.5122838986551974</c:v>
                </c:pt>
                <c:pt idx="59">
                  <c:v>7.0897937439045648</c:v>
                </c:pt>
                <c:pt idx="60">
                  <c:v>7.1132176955730886</c:v>
                </c:pt>
                <c:pt idx="61">
                  <c:v>6.3543465800143393</c:v>
                </c:pt>
                <c:pt idx="62">
                  <c:v>6.553753874282874</c:v>
                </c:pt>
                <c:pt idx="63">
                  <c:v>7.5660233996831954</c:v>
                </c:pt>
                <c:pt idx="64">
                  <c:v>6.2585274827707504</c:v>
                </c:pt>
                <c:pt idx="65">
                  <c:v>7.5162167668129261</c:v>
                </c:pt>
                <c:pt idx="66">
                  <c:v>7.8893065525053032</c:v>
                </c:pt>
                <c:pt idx="67">
                  <c:v>7.2439811014903004</c:v>
                </c:pt>
                <c:pt idx="68">
                  <c:v>7.4686068368540903</c:v>
                </c:pt>
                <c:pt idx="69">
                  <c:v>6.6523781476220041</c:v>
                </c:pt>
                <c:pt idx="70">
                  <c:v>7.9009084603525768</c:v>
                </c:pt>
                <c:pt idx="71">
                  <c:v>7.8638886753368187</c:v>
                </c:pt>
                <c:pt idx="72">
                  <c:v>7.3584895903273067</c:v>
                </c:pt>
                <c:pt idx="73">
                  <c:v>8.0646280538639115</c:v>
                </c:pt>
                <c:pt idx="74">
                  <c:v>7.2729420926500676</c:v>
                </c:pt>
                <c:pt idx="75">
                  <c:v>6.8713307395018877</c:v>
                </c:pt>
                <c:pt idx="76">
                  <c:v>7.9642070283228081</c:v>
                </c:pt>
                <c:pt idx="77">
                  <c:v>7.1282070552658841</c:v>
                </c:pt>
                <c:pt idx="78">
                  <c:v>6.4974005047190992</c:v>
                </c:pt>
                <c:pt idx="79">
                  <c:v>6.8072341572332364</c:v>
                </c:pt>
                <c:pt idx="80">
                  <c:v>6.8675685460229534</c:v>
                </c:pt>
                <c:pt idx="81">
                  <c:v>7.5566956989622094</c:v>
                </c:pt>
                <c:pt idx="82">
                  <c:v>6.8830410464733456</c:v>
                </c:pt>
                <c:pt idx="83">
                  <c:v>7.2555138082102584</c:v>
                </c:pt>
                <c:pt idx="84">
                  <c:v>6.9459322238811518</c:v>
                </c:pt>
                <c:pt idx="85">
                  <c:v>6.8484467077127338</c:v>
                </c:pt>
                <c:pt idx="86">
                  <c:v>6.5150296061841759</c:v>
                </c:pt>
                <c:pt idx="87">
                  <c:v>7.0270249334055546</c:v>
                </c:pt>
                <c:pt idx="88">
                  <c:v>7.1089612003367089</c:v>
                </c:pt>
                <c:pt idx="89">
                  <c:v>6.8908417174938634</c:v>
                </c:pt>
                <c:pt idx="90">
                  <c:v>7.1419852223199589</c:v>
                </c:pt>
                <c:pt idx="91">
                  <c:v>7.5026727764344407</c:v>
                </c:pt>
                <c:pt idx="92">
                  <c:v>7.2738769738334472</c:v>
                </c:pt>
                <c:pt idx="93">
                  <c:v>6.9170046474658484</c:v>
                </c:pt>
                <c:pt idx="94">
                  <c:v>6.2981765540650132</c:v>
                </c:pt>
                <c:pt idx="95">
                  <c:v>6.8991191551567095</c:v>
                </c:pt>
                <c:pt idx="96">
                  <c:v>6.7516245531501777</c:v>
                </c:pt>
                <c:pt idx="97">
                  <c:v>7.4853211086516849</c:v>
                </c:pt>
                <c:pt idx="98">
                  <c:v>7.3896001085918464</c:v>
                </c:pt>
                <c:pt idx="99">
                  <c:v>6.8229592508439358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E-4D44-AC0D-DF7A674C9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672928"/>
        <c:axId val="494677240"/>
      </c:lineChart>
      <c:catAx>
        <c:axId val="494672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7240"/>
        <c:crosses val="autoZero"/>
        <c:auto val="1"/>
        <c:lblAlgn val="ctr"/>
        <c:lblOffset val="100"/>
        <c:noMultiLvlLbl val="0"/>
      </c:catAx>
      <c:valAx>
        <c:axId val="494677240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2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y</a:t>
            </a:r>
            <a:r>
              <a:rPr lang="en-GB" sz="1800" b="0" i="0" baseline="-25000">
                <a:effectLst/>
              </a:rPr>
              <a:t>i</a:t>
            </a:r>
            <a:r>
              <a:rPr lang="en-GB" sz="1800" b="0" i="0" baseline="0">
                <a:effectLst/>
              </a:rPr>
              <a:t> = 4 + </a:t>
            </a:r>
            <a:r>
              <a:rPr lang="el-GR" sz="1800" b="0" i="0" baseline="0">
                <a:effectLst/>
              </a:rPr>
              <a:t>ε</a:t>
            </a:r>
            <a:r>
              <a:rPr lang="en-GB" sz="1800" b="0" i="0" baseline="-25000">
                <a:effectLst/>
              </a:rPr>
              <a:t>i</a:t>
            </a:r>
            <a:r>
              <a:rPr lang="en-GB" sz="1800" b="0" i="0" baseline="0">
                <a:effectLst/>
              </a:rPr>
              <a:t> + .5</a:t>
            </a:r>
            <a:r>
              <a:rPr lang="el-GR" sz="1800" b="0" i="0" baseline="0">
                <a:effectLst/>
              </a:rPr>
              <a:t>ε</a:t>
            </a:r>
            <a:r>
              <a:rPr lang="en-GB" sz="1800" b="0" i="0" baseline="-25000">
                <a:effectLst/>
              </a:rPr>
              <a:t>i -1 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MA!$A$5:$A$203</c:f>
              <c:numCache>
                <c:formatCode>General</c:formatCode>
                <c:ptCount val="19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</c:numCache>
            </c:numRef>
          </c:cat>
          <c:val>
            <c:numRef>
              <c:f>MA!$C$5:$C$203</c:f>
              <c:numCache>
                <c:formatCode>General</c:formatCode>
                <c:ptCount val="199"/>
                <c:pt idx="0">
                  <c:v>2.7773117583679201</c:v>
                </c:pt>
                <c:pt idx="1">
                  <c:v>2.8182847983762453</c:v>
                </c:pt>
                <c:pt idx="2">
                  <c:v>6.700848498102471</c:v>
                </c:pt>
                <c:pt idx="3">
                  <c:v>3.5944672044472195</c:v>
                </c:pt>
                <c:pt idx="4">
                  <c:v>1.299381025535209</c:v>
                </c:pt>
                <c:pt idx="5">
                  <c:v>5.3316625955762804</c:v>
                </c:pt>
                <c:pt idx="6">
                  <c:v>1.4769746575859575</c:v>
                </c:pt>
                <c:pt idx="7">
                  <c:v>1.4539949395922613</c:v>
                </c:pt>
                <c:pt idx="8">
                  <c:v>1.2357598884188852</c:v>
                </c:pt>
                <c:pt idx="9">
                  <c:v>2.0509980279240807</c:v>
                </c:pt>
                <c:pt idx="10">
                  <c:v>4.1408560170709148</c:v>
                </c:pt>
                <c:pt idx="11">
                  <c:v>6.1156595486591048</c:v>
                </c:pt>
                <c:pt idx="12">
                  <c:v>6.7842780877416695</c:v>
                </c:pt>
                <c:pt idx="13">
                  <c:v>3.9193003531710038</c:v>
                </c:pt>
                <c:pt idx="14">
                  <c:v>4.9918136311946935</c:v>
                </c:pt>
                <c:pt idx="15">
                  <c:v>4.3476229149665295</c:v>
                </c:pt>
                <c:pt idx="16">
                  <c:v>1.6338718875625675</c:v>
                </c:pt>
                <c:pt idx="17">
                  <c:v>4.1829808626785017</c:v>
                </c:pt>
                <c:pt idx="18">
                  <c:v>6.0133352841535723</c:v>
                </c:pt>
                <c:pt idx="19">
                  <c:v>4.0002391870796004</c:v>
                </c:pt>
                <c:pt idx="20">
                  <c:v>3.0477959741412213</c:v>
                </c:pt>
                <c:pt idx="21">
                  <c:v>4.1295824593307584</c:v>
                </c:pt>
                <c:pt idx="22">
                  <c:v>3.4393373304798365</c:v>
                </c:pt>
                <c:pt idx="23">
                  <c:v>1.7948846067431372</c:v>
                </c:pt>
                <c:pt idx="24">
                  <c:v>5.4279588724555357</c:v>
                </c:pt>
                <c:pt idx="25">
                  <c:v>5.7075080895128529</c:v>
                </c:pt>
                <c:pt idx="26">
                  <c:v>4.2256541727616703</c:v>
                </c:pt>
                <c:pt idx="27">
                  <c:v>6.2837333341893764</c:v>
                </c:pt>
                <c:pt idx="28">
                  <c:v>9.5774703115011945</c:v>
                </c:pt>
                <c:pt idx="29">
                  <c:v>5.3346832738106826</c:v>
                </c:pt>
                <c:pt idx="30">
                  <c:v>3.471782313959872</c:v>
                </c:pt>
                <c:pt idx="31">
                  <c:v>5.2669038932045948</c:v>
                </c:pt>
                <c:pt idx="32">
                  <c:v>4.5983970709469144</c:v>
                </c:pt>
                <c:pt idx="33">
                  <c:v>3.7412447827211399</c:v>
                </c:pt>
                <c:pt idx="34">
                  <c:v>4.4632308993342864</c:v>
                </c:pt>
                <c:pt idx="35">
                  <c:v>1.6721661714764835</c:v>
                </c:pt>
                <c:pt idx="36">
                  <c:v>0.20094632672035173</c:v>
                </c:pt>
                <c:pt idx="37">
                  <c:v>3.3416386742687401</c:v>
                </c:pt>
                <c:pt idx="38">
                  <c:v>3.4811174324745111</c:v>
                </c:pt>
                <c:pt idx="39">
                  <c:v>5.5976250368524401</c:v>
                </c:pt>
                <c:pt idx="40">
                  <c:v>8.8443708747116965</c:v>
                </c:pt>
                <c:pt idx="41">
                  <c:v>6.2471977496576931</c:v>
                </c:pt>
                <c:pt idx="42">
                  <c:v>5.0330674435361784</c:v>
                </c:pt>
                <c:pt idx="43">
                  <c:v>4.0696729774905354</c:v>
                </c:pt>
                <c:pt idx="44">
                  <c:v>2.393776179109961</c:v>
                </c:pt>
                <c:pt idx="45">
                  <c:v>5.792854413679958</c:v>
                </c:pt>
                <c:pt idx="46">
                  <c:v>6.2495343600493376</c:v>
                </c:pt>
                <c:pt idx="47">
                  <c:v>4.222068860638891</c:v>
                </c:pt>
                <c:pt idx="48">
                  <c:v>5.4473402149040373</c:v>
                </c:pt>
                <c:pt idx="49">
                  <c:v>5.0024253235124458</c:v>
                </c:pt>
                <c:pt idx="50">
                  <c:v>5.6532301138739767</c:v>
                </c:pt>
                <c:pt idx="51">
                  <c:v>3.8459450836782549</c:v>
                </c:pt>
                <c:pt idx="52">
                  <c:v>7.4699665437631673</c:v>
                </c:pt>
                <c:pt idx="53">
                  <c:v>4.3326324703202275</c:v>
                </c:pt>
                <c:pt idx="54">
                  <c:v>2.5479739748800503</c:v>
                </c:pt>
                <c:pt idx="55">
                  <c:v>4.7024846185870484</c:v>
                </c:pt>
                <c:pt idx="56">
                  <c:v>5.7393884532842678</c:v>
                </c:pt>
                <c:pt idx="57">
                  <c:v>7.9134821143071505</c:v>
                </c:pt>
                <c:pt idx="58">
                  <c:v>6.2935124430098499</c:v>
                </c:pt>
                <c:pt idx="59">
                  <c:v>4.2624308233019548</c:v>
                </c:pt>
                <c:pt idx="60">
                  <c:v>7.1264993924159654</c:v>
                </c:pt>
                <c:pt idx="61">
                  <c:v>3.2719183809349417</c:v>
                </c:pt>
                <c:pt idx="62">
                  <c:v>2.4446913855783992</c:v>
                </c:pt>
                <c:pt idx="63">
                  <c:v>3.2713119117211122</c:v>
                </c:pt>
                <c:pt idx="64">
                  <c:v>4.6417459664559715</c:v>
                </c:pt>
                <c:pt idx="65">
                  <c:v>5.9366863361538726</c:v>
                </c:pt>
                <c:pt idx="66">
                  <c:v>4.4816912460605964</c:v>
                </c:pt>
                <c:pt idx="67">
                  <c:v>3.8362413010307312</c:v>
                </c:pt>
                <c:pt idx="68">
                  <c:v>4.6711336781332928</c:v>
                </c:pt>
                <c:pt idx="69">
                  <c:v>8.4802157835254022</c:v>
                </c:pt>
                <c:pt idx="70">
                  <c:v>6.520235818006384</c:v>
                </c:pt>
                <c:pt idx="71">
                  <c:v>5.3513203744150681</c:v>
                </c:pt>
                <c:pt idx="72">
                  <c:v>6.57583943339261</c:v>
                </c:pt>
                <c:pt idx="73">
                  <c:v>5.9852683442366805</c:v>
                </c:pt>
                <c:pt idx="74">
                  <c:v>6.4163254572424417</c:v>
                </c:pt>
                <c:pt idx="75">
                  <c:v>2.6454689655841164</c:v>
                </c:pt>
                <c:pt idx="76">
                  <c:v>1.9213515634486702</c:v>
                </c:pt>
                <c:pt idx="77">
                  <c:v>6.4828754056466389</c:v>
                </c:pt>
                <c:pt idx="78">
                  <c:v>6.49072430775119</c:v>
                </c:pt>
                <c:pt idx="79">
                  <c:v>6.1944697895422438</c:v>
                </c:pt>
                <c:pt idx="80">
                  <c:v>1.9844541820810249</c:v>
                </c:pt>
                <c:pt idx="81">
                  <c:v>-2.0426934359989763</c:v>
                </c:pt>
                <c:pt idx="82">
                  <c:v>5.2409355825277864</c:v>
                </c:pt>
                <c:pt idx="83">
                  <c:v>6.7524374056233967</c:v>
                </c:pt>
                <c:pt idx="84">
                  <c:v>1.65043817464597</c:v>
                </c:pt>
                <c:pt idx="85">
                  <c:v>2.9218166177613307</c:v>
                </c:pt>
                <c:pt idx="86">
                  <c:v>5.6953046168213302</c:v>
                </c:pt>
                <c:pt idx="87">
                  <c:v>4.9252692197720584</c:v>
                </c:pt>
                <c:pt idx="88">
                  <c:v>2.3017761451797196</c:v>
                </c:pt>
                <c:pt idx="89">
                  <c:v>1.7872778283474187</c:v>
                </c:pt>
                <c:pt idx="90">
                  <c:v>5.4193388918346193</c:v>
                </c:pt>
                <c:pt idx="91">
                  <c:v>2.8206342060332483</c:v>
                </c:pt>
                <c:pt idx="92">
                  <c:v>3.796213562475919</c:v>
                </c:pt>
                <c:pt idx="93">
                  <c:v>6.1576334108780975</c:v>
                </c:pt>
                <c:pt idx="94">
                  <c:v>2.9595894783046011</c:v>
                </c:pt>
                <c:pt idx="95">
                  <c:v>3.4604507117960481E-2</c:v>
                </c:pt>
                <c:pt idx="96">
                  <c:v>2.1055446395763848</c:v>
                </c:pt>
                <c:pt idx="97">
                  <c:v>6.2219770756010861</c:v>
                </c:pt>
                <c:pt idx="98">
                  <c:v>3.3804563263193561</c:v>
                </c:pt>
                <c:pt idx="99">
                  <c:v>-1.5854215755533532</c:v>
                </c:pt>
                <c:pt idx="100">
                  <c:v>0.98428341296934585</c:v>
                </c:pt>
                <c:pt idx="101">
                  <c:v>4.6837300420066281</c:v>
                </c:pt>
                <c:pt idx="102">
                  <c:v>6.8392369318352628</c:v>
                </c:pt>
                <c:pt idx="103">
                  <c:v>6.1953498292515796</c:v>
                </c:pt>
                <c:pt idx="104">
                  <c:v>3.2646030723818873</c:v>
                </c:pt>
                <c:pt idx="105">
                  <c:v>3.4836130634154991</c:v>
                </c:pt>
                <c:pt idx="106">
                  <c:v>6.4617027066764843</c:v>
                </c:pt>
                <c:pt idx="107">
                  <c:v>5.7365384540403177</c:v>
                </c:pt>
                <c:pt idx="108">
                  <c:v>6.1922565023301948</c:v>
                </c:pt>
                <c:pt idx="109">
                  <c:v>5.503186246177771</c:v>
                </c:pt>
                <c:pt idx="110">
                  <c:v>4.1502724521797001</c:v>
                </c:pt>
                <c:pt idx="111">
                  <c:v>2.8314360292509826</c:v>
                </c:pt>
                <c:pt idx="112">
                  <c:v>2.7148936617523134</c:v>
                </c:pt>
                <c:pt idx="113">
                  <c:v>3.3706215000192117</c:v>
                </c:pt>
                <c:pt idx="114">
                  <c:v>3.1696269479060009</c:v>
                </c:pt>
                <c:pt idx="115">
                  <c:v>3.749751195930366</c:v>
                </c:pt>
                <c:pt idx="116">
                  <c:v>5.5921320699327932</c:v>
                </c:pt>
                <c:pt idx="117">
                  <c:v>4.7995665396423206</c:v>
                </c:pt>
                <c:pt idx="118">
                  <c:v>7.7439699709106158</c:v>
                </c:pt>
                <c:pt idx="119">
                  <c:v>5.7291638389629096</c:v>
                </c:pt>
                <c:pt idx="120">
                  <c:v>4.2177781807187262</c:v>
                </c:pt>
                <c:pt idx="121">
                  <c:v>2.6870204249050205</c:v>
                </c:pt>
                <c:pt idx="122">
                  <c:v>2.8642486218519956</c:v>
                </c:pt>
                <c:pt idx="123">
                  <c:v>5.9304317477279485</c:v>
                </c:pt>
                <c:pt idx="124">
                  <c:v>3.5180626353752893</c:v>
                </c:pt>
                <c:pt idx="125">
                  <c:v>3.1456926614268306</c:v>
                </c:pt>
                <c:pt idx="126">
                  <c:v>4.0040285010825238</c:v>
                </c:pt>
                <c:pt idx="127">
                  <c:v>3.7518522285095979</c:v>
                </c:pt>
                <c:pt idx="128">
                  <c:v>8.910283159733547</c:v>
                </c:pt>
                <c:pt idx="129">
                  <c:v>7.0331971192394658</c:v>
                </c:pt>
                <c:pt idx="130">
                  <c:v>4.8766492423051782</c:v>
                </c:pt>
                <c:pt idx="131">
                  <c:v>6.5582302528528436</c:v>
                </c:pt>
                <c:pt idx="132">
                  <c:v>4.503630067922499</c:v>
                </c:pt>
                <c:pt idx="133">
                  <c:v>4.2442871629378098</c:v>
                </c:pt>
                <c:pt idx="134">
                  <c:v>-0.58158336475385286</c:v>
                </c:pt>
                <c:pt idx="135">
                  <c:v>1.3233674072978707</c:v>
                </c:pt>
                <c:pt idx="136">
                  <c:v>3.4916464093345185</c:v>
                </c:pt>
                <c:pt idx="137">
                  <c:v>1.6642662260900702</c:v>
                </c:pt>
                <c:pt idx="138">
                  <c:v>9.8989837633443711E-2</c:v>
                </c:pt>
                <c:pt idx="139">
                  <c:v>-2.05532239446292</c:v>
                </c:pt>
                <c:pt idx="140">
                  <c:v>6.0820296326048222</c:v>
                </c:pt>
                <c:pt idx="141">
                  <c:v>7.2392035422551757</c:v>
                </c:pt>
                <c:pt idx="142">
                  <c:v>1.4456909282980008</c:v>
                </c:pt>
                <c:pt idx="143">
                  <c:v>1.249226964553791</c:v>
                </c:pt>
                <c:pt idx="144">
                  <c:v>4.2864263854326872</c:v>
                </c:pt>
                <c:pt idx="145">
                  <c:v>6.7904212681993723</c:v>
                </c:pt>
                <c:pt idx="146">
                  <c:v>8.1043555287785392</c:v>
                </c:pt>
                <c:pt idx="147">
                  <c:v>5.6099331508012709</c:v>
                </c:pt>
                <c:pt idx="148">
                  <c:v>0.11890246109531667</c:v>
                </c:pt>
                <c:pt idx="149">
                  <c:v>7.5848418032476648</c:v>
                </c:pt>
                <c:pt idx="150">
                  <c:v>6.6804560633116932</c:v>
                </c:pt>
                <c:pt idx="151">
                  <c:v>3.2838330941604985</c:v>
                </c:pt>
                <c:pt idx="152">
                  <c:v>1.5688262138326134</c:v>
                </c:pt>
                <c:pt idx="153">
                  <c:v>4.176045913497199</c:v>
                </c:pt>
                <c:pt idx="154">
                  <c:v>4.4857946953936123</c:v>
                </c:pt>
                <c:pt idx="155">
                  <c:v>5.093624794628778</c:v>
                </c:pt>
                <c:pt idx="156">
                  <c:v>4.9883982345054774</c:v>
                </c:pt>
                <c:pt idx="157">
                  <c:v>6.4985996281746754</c:v>
                </c:pt>
                <c:pt idx="158">
                  <c:v>7.632537858440374</c:v>
                </c:pt>
                <c:pt idx="159">
                  <c:v>5.9383563381625279</c:v>
                </c:pt>
                <c:pt idx="160">
                  <c:v>4.9517419362171262</c:v>
                </c:pt>
                <c:pt idx="161">
                  <c:v>5.9854338402584748</c:v>
                </c:pt>
                <c:pt idx="162">
                  <c:v>9.3336812230096324</c:v>
                </c:pt>
                <c:pt idx="163">
                  <c:v>3.3486144626272472</c:v>
                </c:pt>
                <c:pt idx="164">
                  <c:v>2.3143550498193273</c:v>
                </c:pt>
                <c:pt idx="165">
                  <c:v>4.6257784418989107</c:v>
                </c:pt>
                <c:pt idx="166">
                  <c:v>4.6846883093693243</c:v>
                </c:pt>
                <c:pt idx="167">
                  <c:v>5.8680150321208702</c:v>
                </c:pt>
                <c:pt idx="168">
                  <c:v>6.2650970389670464</c:v>
                </c:pt>
                <c:pt idx="169">
                  <c:v>3.6601210568860654</c:v>
                </c:pt>
                <c:pt idx="170">
                  <c:v>5.5246109926766414</c:v>
                </c:pt>
                <c:pt idx="171">
                  <c:v>6.0415808789336296</c:v>
                </c:pt>
                <c:pt idx="172">
                  <c:v>4.3649369043551163</c:v>
                </c:pt>
                <c:pt idx="173">
                  <c:v>0.76545354800178511</c:v>
                </c:pt>
                <c:pt idx="174">
                  <c:v>3.483142389469831</c:v>
                </c:pt>
                <c:pt idx="175">
                  <c:v>4.1567728766172678</c:v>
                </c:pt>
                <c:pt idx="176">
                  <c:v>2.5097999415323464</c:v>
                </c:pt>
                <c:pt idx="177">
                  <c:v>3.4949931666367231</c:v>
                </c:pt>
                <c:pt idx="178">
                  <c:v>3.2755938548280858</c:v>
                </c:pt>
                <c:pt idx="179">
                  <c:v>5.7349866339440183</c:v>
                </c:pt>
                <c:pt idx="180">
                  <c:v>4.9913549947536602</c:v>
                </c:pt>
                <c:pt idx="181">
                  <c:v>2.2983311002082814</c:v>
                </c:pt>
                <c:pt idx="182">
                  <c:v>4.6767215457946882</c:v>
                </c:pt>
                <c:pt idx="183">
                  <c:v>7.1445699841795278</c:v>
                </c:pt>
                <c:pt idx="184">
                  <c:v>1.8779461714699786</c:v>
                </c:pt>
                <c:pt idx="185">
                  <c:v>3.4195480126750901</c:v>
                </c:pt>
                <c:pt idx="186">
                  <c:v>6.0957974034641413</c:v>
                </c:pt>
                <c:pt idx="187">
                  <c:v>7.0853817889582995</c:v>
                </c:pt>
                <c:pt idx="188">
                  <c:v>5.7079215119713496</c:v>
                </c:pt>
                <c:pt idx="189">
                  <c:v>2.3020686333469169</c:v>
                </c:pt>
                <c:pt idx="190">
                  <c:v>3.9244148017221567</c:v>
                </c:pt>
                <c:pt idx="191">
                  <c:v>3.6413565869428144</c:v>
                </c:pt>
                <c:pt idx="192">
                  <c:v>4.0834517201550353</c:v>
                </c:pt>
                <c:pt idx="193">
                  <c:v>1.9568245257986472</c:v>
                </c:pt>
                <c:pt idx="194">
                  <c:v>3.7859516353376081</c:v>
                </c:pt>
                <c:pt idx="195">
                  <c:v>5.2615565994201203</c:v>
                </c:pt>
                <c:pt idx="196">
                  <c:v>8.5424037458180759</c:v>
                </c:pt>
                <c:pt idx="197">
                  <c:v>5.2602920212539228</c:v>
                </c:pt>
                <c:pt idx="198">
                  <c:v>1.6302392945918964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9-45EC-8AE9-FA5DA4AB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678416"/>
        <c:axId val="494678808"/>
      </c:lineChart>
      <c:catAx>
        <c:axId val="49467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8808"/>
        <c:crosses val="autoZero"/>
        <c:auto val="0"/>
        <c:lblAlgn val="ctr"/>
        <c:lblOffset val="100"/>
        <c:tickLblSkip val="20"/>
        <c:tickMarkSkip val="10"/>
        <c:noMultiLvlLbl val="0"/>
      </c:catAx>
      <c:valAx>
        <c:axId val="494678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ACF for MA(1) Process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 1'!$F$4</c:f>
              <c:strCache>
                <c:ptCount val="1"/>
                <c:pt idx="0">
                  <c:v>ACF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'MA 1'!$F$5:$F$19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C-408F-B87B-4C45C515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680376"/>
        <c:axId val="494681552"/>
      </c:barChart>
      <c:lineChart>
        <c:grouping val="standard"/>
        <c:varyColors val="0"/>
        <c:ser>
          <c:idx val="1"/>
          <c:order val="1"/>
          <c:tx>
            <c:strRef>
              <c:f>'MA 1'!$G$4</c:f>
              <c:strCache>
                <c:ptCount val="1"/>
                <c:pt idx="0">
                  <c:v>ACF (pop)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'MA 1'!$G$5:$G$19</c:f>
              <c:numCache>
                <c:formatCode>General</c:formatCode>
                <c:ptCount val="15"/>
                <c:pt idx="0">
                  <c:v>0.4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7C-408F-B87B-4C45C515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80376"/>
        <c:axId val="494681552"/>
      </c:lineChart>
      <c:catAx>
        <c:axId val="494680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1552"/>
        <c:crosses val="autoZero"/>
        <c:auto val="1"/>
        <c:lblAlgn val="ctr"/>
        <c:lblOffset val="100"/>
        <c:noMultiLvlLbl val="0"/>
      </c:catAx>
      <c:valAx>
        <c:axId val="49468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0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Weighted Moving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Weighted!$B$3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Weighted!$B$4:$B$18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2-419E-B5CC-0EF381136E56}"/>
            </c:ext>
          </c:extLst>
        </c:ser>
        <c:ser>
          <c:idx val="1"/>
          <c:order val="1"/>
          <c:tx>
            <c:strRef>
              <c:f>Weighted!$C$3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Weighted!$C$4:$C$18</c:f>
              <c:numCache>
                <c:formatCode>General</c:formatCode>
                <c:ptCount val="15"/>
                <c:pt idx="3">
                  <c:v>7.1999999999999993</c:v>
                </c:pt>
                <c:pt idx="4">
                  <c:v>15.2</c:v>
                </c:pt>
                <c:pt idx="5">
                  <c:v>14.1</c:v>
                </c:pt>
                <c:pt idx="6">
                  <c:v>15.799999999999999</c:v>
                </c:pt>
                <c:pt idx="7">
                  <c:v>19.5</c:v>
                </c:pt>
                <c:pt idx="8">
                  <c:v>22.1</c:v>
                </c:pt>
                <c:pt idx="9">
                  <c:v>39.699999999999996</c:v>
                </c:pt>
                <c:pt idx="10">
                  <c:v>42.199999999999996</c:v>
                </c:pt>
                <c:pt idx="11">
                  <c:v>51</c:v>
                </c:pt>
                <c:pt idx="12">
                  <c:v>65.900000000000006</c:v>
                </c:pt>
                <c:pt idx="13">
                  <c:v>64.099999999999994</c:v>
                </c:pt>
                <c:pt idx="14">
                  <c:v>70.5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2-419E-B5CC-0EF381136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43096"/>
        <c:axId val="494740744"/>
      </c:lineChart>
      <c:catAx>
        <c:axId val="494743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0744"/>
        <c:crosses val="autoZero"/>
        <c:auto val="1"/>
        <c:lblAlgn val="ctr"/>
        <c:lblOffset val="100"/>
        <c:noMultiLvlLbl val="0"/>
      </c:catAx>
      <c:valAx>
        <c:axId val="49474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3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PACF for MA(1) Process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PACF (actual)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'MA 2'!$F$5:$F$19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0-4CB7-80AC-C9504A26B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670576"/>
        <c:axId val="494670968"/>
      </c:barChart>
      <c:lineChart>
        <c:grouping val="standard"/>
        <c:varyColors val="0"/>
        <c:ser>
          <c:idx val="1"/>
          <c:order val="1"/>
          <c:tx>
            <c:v>PACF (theoretical)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'MA 2'!$G$5:$G$19</c:f>
              <c:numCache>
                <c:formatCode>General</c:formatCode>
                <c:ptCount val="15"/>
                <c:pt idx="0">
                  <c:v>0.4</c:v>
                </c:pt>
                <c:pt idx="1">
                  <c:v>-0.19047619047619047</c:v>
                </c:pt>
                <c:pt idx="2">
                  <c:v>9.4117647058823528E-2</c:v>
                </c:pt>
                <c:pt idx="3">
                  <c:v>-4.6920821114369501E-2</c:v>
                </c:pt>
                <c:pt idx="4">
                  <c:v>2.3443223443223443E-2</c:v>
                </c:pt>
                <c:pt idx="5">
                  <c:v>-1.1719465299395715E-2</c:v>
                </c:pt>
                <c:pt idx="6">
                  <c:v>5.859464408331426E-3</c:v>
                </c:pt>
                <c:pt idx="7">
                  <c:v>-2.9296986759135279E-3</c:v>
                </c:pt>
                <c:pt idx="8">
                  <c:v>1.4648451469851942E-3</c:v>
                </c:pt>
                <c:pt idx="9">
                  <c:v>-7.3242204962302437E-4</c:v>
                </c:pt>
                <c:pt idx="10">
                  <c:v>3.6621095932787414E-4</c:v>
                </c:pt>
                <c:pt idx="11">
                  <c:v>-1.8310547147848416E-4</c:v>
                </c:pt>
                <c:pt idx="12">
                  <c:v>9.1552734716060513E-5</c:v>
                </c:pt>
                <c:pt idx="13">
                  <c:v>-4.5776367230132564E-5</c:v>
                </c:pt>
                <c:pt idx="14">
                  <c:v>2.2888183599079071E-5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0-4CB7-80AC-C9504A26B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70576"/>
        <c:axId val="494670968"/>
      </c:lineChart>
      <c:catAx>
        <c:axId val="494670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0968"/>
        <c:crosses val="autoZero"/>
        <c:auto val="1"/>
        <c:lblAlgn val="ctr"/>
        <c:lblOffset val="100"/>
        <c:noMultiLvlLbl val="0"/>
      </c:catAx>
      <c:valAx>
        <c:axId val="494670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Correlogram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 5'!$L$3</c:f>
              <c:strCache>
                <c:ptCount val="1"/>
                <c:pt idx="0">
                  <c:v>ACF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'MA 5'!$L$4:$L$18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3-4DE1-B545-FE12B7FE6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671360"/>
        <c:axId val="494672144"/>
      </c:barChart>
      <c:catAx>
        <c:axId val="494671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2144"/>
        <c:crosses val="autoZero"/>
        <c:auto val="1"/>
        <c:lblAlgn val="ctr"/>
        <c:lblOffset val="100"/>
        <c:noMultiLvlLbl val="0"/>
      </c:catAx>
      <c:valAx>
        <c:axId val="49467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ARMA(1,1) Process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'ARMA 1.1'!$C$7:$C$111</c:f>
              <c:numCache>
                <c:formatCode>General</c:formatCode>
                <c:ptCount val="105"/>
                <c:pt idx="0">
                  <c:v>0.11767564756553417</c:v>
                </c:pt>
                <c:pt idx="1">
                  <c:v>0.7082510857989277</c:v>
                </c:pt>
                <c:pt idx="2">
                  <c:v>-1.6632314016182241</c:v>
                </c:pt>
                <c:pt idx="3">
                  <c:v>-1.4795255177397577</c:v>
                </c:pt>
                <c:pt idx="4">
                  <c:v>-0.18397368823429228</c:v>
                </c:pt>
                <c:pt idx="5">
                  <c:v>0.5213574266459754</c:v>
                </c:pt>
                <c:pt idx="6">
                  <c:v>-2.8806316112839903E-2</c:v>
                </c:pt>
                <c:pt idx="7">
                  <c:v>-1.3220266186970195</c:v>
                </c:pt>
                <c:pt idx="8">
                  <c:v>0.54995509917293139</c:v>
                </c:pt>
                <c:pt idx="9">
                  <c:v>1.3276715980041807</c:v>
                </c:pt>
                <c:pt idx="10">
                  <c:v>0.32031075448298674</c:v>
                </c:pt>
                <c:pt idx="11">
                  <c:v>0.31201511646204882</c:v>
                </c:pt>
                <c:pt idx="12">
                  <c:v>0.91819881129981251</c:v>
                </c:pt>
                <c:pt idx="13">
                  <c:v>0.15188555685885632</c:v>
                </c:pt>
                <c:pt idx="14">
                  <c:v>0.39352967065490746</c:v>
                </c:pt>
                <c:pt idx="15">
                  <c:v>-0.27456413012780267</c:v>
                </c:pt>
                <c:pt idx="16">
                  <c:v>1.2288378220245906</c:v>
                </c:pt>
                <c:pt idx="17">
                  <c:v>2.6684005524939507</c:v>
                </c:pt>
                <c:pt idx="18">
                  <c:v>3.417728063820773</c:v>
                </c:pt>
                <c:pt idx="19">
                  <c:v>2.2391971568137397</c:v>
                </c:pt>
                <c:pt idx="20">
                  <c:v>2.1225599146000729</c:v>
                </c:pt>
                <c:pt idx="21">
                  <c:v>0.46379871540949502</c:v>
                </c:pt>
                <c:pt idx="22">
                  <c:v>-0.55080545418476379</c:v>
                </c:pt>
                <c:pt idx="23">
                  <c:v>1.182946247108128</c:v>
                </c:pt>
                <c:pt idx="24">
                  <c:v>-2.4132987150346601</c:v>
                </c:pt>
                <c:pt idx="25">
                  <c:v>0.97947060944543229</c:v>
                </c:pt>
                <c:pt idx="26">
                  <c:v>0.55088233224937044</c:v>
                </c:pt>
                <c:pt idx="27">
                  <c:v>1.2279214175815407</c:v>
                </c:pt>
                <c:pt idx="28">
                  <c:v>-0.92350668389273016</c:v>
                </c:pt>
                <c:pt idx="29">
                  <c:v>-9.0278955688554874E-2</c:v>
                </c:pt>
                <c:pt idx="30">
                  <c:v>1.6837933463631751</c:v>
                </c:pt>
                <c:pt idx="31">
                  <c:v>-0.61077144818691864</c:v>
                </c:pt>
                <c:pt idx="32">
                  <c:v>1.2810446629007595</c:v>
                </c:pt>
                <c:pt idx="33">
                  <c:v>-0.92224582870659311</c:v>
                </c:pt>
                <c:pt idx="34">
                  <c:v>-0.57811003842058217</c:v>
                </c:pt>
                <c:pt idx="35">
                  <c:v>0.76869728403468252</c:v>
                </c:pt>
                <c:pt idx="36">
                  <c:v>4.4704988336533191E-2</c:v>
                </c:pt>
                <c:pt idx="37">
                  <c:v>-0.49733946564676035</c:v>
                </c:pt>
                <c:pt idx="38">
                  <c:v>2.0166442406466927</c:v>
                </c:pt>
                <c:pt idx="39">
                  <c:v>-0.39241120873068225</c:v>
                </c:pt>
                <c:pt idx="40">
                  <c:v>0.47880316337405276</c:v>
                </c:pt>
                <c:pt idx="41">
                  <c:v>0.13114911585296218</c:v>
                </c:pt>
                <c:pt idx="42">
                  <c:v>-0.68974482309167784</c:v>
                </c:pt>
                <c:pt idx="43">
                  <c:v>-4.676101435002028E-2</c:v>
                </c:pt>
                <c:pt idx="44">
                  <c:v>-6.7915955901392086E-2</c:v>
                </c:pt>
                <c:pt idx="45">
                  <c:v>1.6351027285369504</c:v>
                </c:pt>
                <c:pt idx="46">
                  <c:v>0.42824334673202724</c:v>
                </c:pt>
                <c:pt idx="47">
                  <c:v>-0.30576894721655368</c:v>
                </c:pt>
                <c:pt idx="48">
                  <c:v>0.16903700930033908</c:v>
                </c:pt>
                <c:pt idx="49">
                  <c:v>0.48665589243652163</c:v>
                </c:pt>
                <c:pt idx="50">
                  <c:v>0.656149765945373</c:v>
                </c:pt>
                <c:pt idx="51">
                  <c:v>0.12931765474080215</c:v>
                </c:pt>
                <c:pt idx="52">
                  <c:v>-1.0336941858944391</c:v>
                </c:pt>
                <c:pt idx="53">
                  <c:v>-1.8932485178263683</c:v>
                </c:pt>
                <c:pt idx="54">
                  <c:v>-1.3261012119216922</c:v>
                </c:pt>
                <c:pt idx="55">
                  <c:v>-1.2601378550819728</c:v>
                </c:pt>
                <c:pt idx="56">
                  <c:v>-1.2360238876608063</c:v>
                </c:pt>
                <c:pt idx="57">
                  <c:v>0.60763228061870456</c:v>
                </c:pt>
                <c:pt idx="58">
                  <c:v>-1.1537156266307513</c:v>
                </c:pt>
                <c:pt idx="59">
                  <c:v>-1.8025695228409639</c:v>
                </c:pt>
                <c:pt idx="60">
                  <c:v>-0.29953218565044587</c:v>
                </c:pt>
                <c:pt idx="61">
                  <c:v>-0.50119153448444642</c:v>
                </c:pt>
                <c:pt idx="62">
                  <c:v>-0.2996142193188927</c:v>
                </c:pt>
                <c:pt idx="63">
                  <c:v>-0.18037200484180566</c:v>
                </c:pt>
                <c:pt idx="64">
                  <c:v>2.3570455860885375</c:v>
                </c:pt>
                <c:pt idx="65">
                  <c:v>0.92360441469872367</c:v>
                </c:pt>
                <c:pt idx="66">
                  <c:v>-0.29923415297504224</c:v>
                </c:pt>
                <c:pt idx="67">
                  <c:v>0.27416106500694781</c:v>
                </c:pt>
                <c:pt idx="68">
                  <c:v>-0.24391912623899398</c:v>
                </c:pt>
                <c:pt idx="69">
                  <c:v>-0.71226815780491937</c:v>
                </c:pt>
                <c:pt idx="70">
                  <c:v>-1.2051923029937734</c:v>
                </c:pt>
                <c:pt idx="71">
                  <c:v>-4.7834054672032278E-2</c:v>
                </c:pt>
                <c:pt idx="72">
                  <c:v>-0.85348220666723562</c:v>
                </c:pt>
                <c:pt idx="73">
                  <c:v>-1.5879271771560706</c:v>
                </c:pt>
                <c:pt idx="74">
                  <c:v>-0.27615265935113054</c:v>
                </c:pt>
                <c:pt idx="75">
                  <c:v>-1.5512112466225216</c:v>
                </c:pt>
                <c:pt idx="76">
                  <c:v>-0.69083037200228681</c:v>
                </c:pt>
                <c:pt idx="77">
                  <c:v>-0.37090492775934858</c:v>
                </c:pt>
                <c:pt idx="78">
                  <c:v>0.49875434212734082</c:v>
                </c:pt>
                <c:pt idx="79">
                  <c:v>-1.865443965370184</c:v>
                </c:pt>
                <c:pt idx="80">
                  <c:v>-0.84481643763392711</c:v>
                </c:pt>
                <c:pt idx="81">
                  <c:v>-2.0079145599241652</c:v>
                </c:pt>
                <c:pt idx="82">
                  <c:v>0.43952699667074951</c:v>
                </c:pt>
                <c:pt idx="83">
                  <c:v>1.1752527284229008</c:v>
                </c:pt>
                <c:pt idx="84">
                  <c:v>-7.8496510935846864E-2</c:v>
                </c:pt>
                <c:pt idx="85">
                  <c:v>0.65301886392561626</c:v>
                </c:pt>
                <c:pt idx="86">
                  <c:v>0.30096503596008034</c:v>
                </c:pt>
                <c:pt idx="87">
                  <c:v>-0.6772883579593133</c:v>
                </c:pt>
                <c:pt idx="88">
                  <c:v>1.208496897982166</c:v>
                </c:pt>
                <c:pt idx="89">
                  <c:v>-0.16628774878482411</c:v>
                </c:pt>
                <c:pt idx="90">
                  <c:v>1.0092289043672076</c:v>
                </c:pt>
                <c:pt idx="91">
                  <c:v>-0.32778833574077881</c:v>
                </c:pt>
                <c:pt idx="92">
                  <c:v>-1.9779448345736914</c:v>
                </c:pt>
                <c:pt idx="93">
                  <c:v>-0.8998395132916901</c:v>
                </c:pt>
                <c:pt idx="94">
                  <c:v>0.29356356983196735</c:v>
                </c:pt>
                <c:pt idx="95">
                  <c:v>0.87413789235647132</c:v>
                </c:pt>
                <c:pt idx="96">
                  <c:v>1.048588930382079</c:v>
                </c:pt>
                <c:pt idx="97">
                  <c:v>0.37710360840585522</c:v>
                </c:pt>
                <c:pt idx="98">
                  <c:v>1.1007334064754151</c:v>
                </c:pt>
                <c:pt idx="99">
                  <c:v>-0.4435433102285542</c:v>
                </c:pt>
                <c:pt idx="100">
                  <c:v>0.12661201219791668</c:v>
                </c:pt>
                <c:pt idx="101">
                  <c:v>0.6186567997187562</c:v>
                </c:pt>
                <c:pt idx="102">
                  <c:v>1.3693776475136747</c:v>
                </c:pt>
                <c:pt idx="103">
                  <c:v>0.76144222023537533</c:v>
                </c:pt>
                <c:pt idx="104">
                  <c:v>1.9547650554829581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1-495A-846A-ABD177C3B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673320"/>
        <c:axId val="494673712"/>
      </c:lineChart>
      <c:catAx>
        <c:axId val="494673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3712"/>
        <c:crosses val="autoZero"/>
        <c:auto val="1"/>
        <c:lblAlgn val="ctr"/>
        <c:lblOffset val="100"/>
        <c:noMultiLvlLbl val="0"/>
      </c:catAx>
      <c:valAx>
        <c:axId val="49467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73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ACF for ARMA(1,1) Process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ACF (actual)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'ARMA 1.1'!$M$6:$M$20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5-4925-92D3-CB8CF57F1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689000"/>
        <c:axId val="494688216"/>
      </c:barChart>
      <c:lineChart>
        <c:grouping val="standard"/>
        <c:varyColors val="0"/>
        <c:ser>
          <c:idx val="1"/>
          <c:order val="1"/>
          <c:tx>
            <c:v>ACF (theoretical)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'ARMA 1.1'!$N$6:$N$20</c:f>
              <c:numCache>
                <c:formatCode>General</c:formatCode>
                <c:ptCount val="15"/>
                <c:pt idx="0">
                  <c:v>0.35537190082644626</c:v>
                </c:pt>
                <c:pt idx="1">
                  <c:v>0.24876033057851238</c:v>
                </c:pt>
                <c:pt idx="2">
                  <c:v>0.17413223140495865</c:v>
                </c:pt>
                <c:pt idx="3">
                  <c:v>0.12189256198347105</c:v>
                </c:pt>
                <c:pt idx="4">
                  <c:v>8.5324793388429729E-2</c:v>
                </c:pt>
                <c:pt idx="5">
                  <c:v>5.9727355371900805E-2</c:v>
                </c:pt>
                <c:pt idx="6">
                  <c:v>4.180914876033056E-2</c:v>
                </c:pt>
                <c:pt idx="7">
                  <c:v>2.9266404132231388E-2</c:v>
                </c:pt>
                <c:pt idx="8">
                  <c:v>2.0486482892561969E-2</c:v>
                </c:pt>
                <c:pt idx="9">
                  <c:v>1.4340538024793377E-2</c:v>
                </c:pt>
                <c:pt idx="10">
                  <c:v>1.0038376617355363E-2</c:v>
                </c:pt>
                <c:pt idx="11">
                  <c:v>7.0268636321487539E-3</c:v>
                </c:pt>
                <c:pt idx="12">
                  <c:v>4.9188045425041273E-3</c:v>
                </c:pt>
                <c:pt idx="13">
                  <c:v>3.4431631797528887E-3</c:v>
                </c:pt>
                <c:pt idx="14">
                  <c:v>2.4102142258270219E-3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85-4925-92D3-CB8CF57F1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89000"/>
        <c:axId val="494688216"/>
      </c:lineChart>
      <c:catAx>
        <c:axId val="494689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8216"/>
        <c:crosses val="autoZero"/>
        <c:auto val="1"/>
        <c:lblAlgn val="ctr"/>
        <c:lblOffset val="100"/>
        <c:noMultiLvlLbl val="0"/>
      </c:catAx>
      <c:valAx>
        <c:axId val="494688216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9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ACF for ARMA(1,1) Process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ACF (actual)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'ARMA 1.1'!$M$6:$M$20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F-42F8-9CAA-A434232BF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683120"/>
        <c:axId val="494688608"/>
      </c:barChart>
      <c:lineChart>
        <c:grouping val="standard"/>
        <c:varyColors val="0"/>
        <c:ser>
          <c:idx val="1"/>
          <c:order val="1"/>
          <c:tx>
            <c:v>ACF (theoretical)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'ARMA 1.1'!$N$6:$N$20</c:f>
              <c:numCache>
                <c:formatCode>General</c:formatCode>
                <c:ptCount val="15"/>
                <c:pt idx="0">
                  <c:v>0.35537190082644626</c:v>
                </c:pt>
                <c:pt idx="1">
                  <c:v>0.24876033057851238</c:v>
                </c:pt>
                <c:pt idx="2">
                  <c:v>0.17413223140495865</c:v>
                </c:pt>
                <c:pt idx="3">
                  <c:v>0.12189256198347105</c:v>
                </c:pt>
                <c:pt idx="4">
                  <c:v>8.5324793388429729E-2</c:v>
                </c:pt>
                <c:pt idx="5">
                  <c:v>5.9727355371900805E-2</c:v>
                </c:pt>
                <c:pt idx="6">
                  <c:v>4.180914876033056E-2</c:v>
                </c:pt>
                <c:pt idx="7">
                  <c:v>2.9266404132231388E-2</c:v>
                </c:pt>
                <c:pt idx="8">
                  <c:v>2.0486482892561969E-2</c:v>
                </c:pt>
                <c:pt idx="9">
                  <c:v>1.4340538024793377E-2</c:v>
                </c:pt>
                <c:pt idx="10">
                  <c:v>1.0038376617355363E-2</c:v>
                </c:pt>
                <c:pt idx="11">
                  <c:v>7.0268636321487539E-3</c:v>
                </c:pt>
                <c:pt idx="12">
                  <c:v>4.9188045425041273E-3</c:v>
                </c:pt>
                <c:pt idx="13">
                  <c:v>3.4431631797528887E-3</c:v>
                </c:pt>
                <c:pt idx="14">
                  <c:v>2.4102142258270219E-3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F-42F8-9CAA-A434232BF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83120"/>
        <c:axId val="494688608"/>
      </c:lineChart>
      <c:catAx>
        <c:axId val="494683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8608"/>
        <c:crosses val="autoZero"/>
        <c:auto val="1"/>
        <c:lblAlgn val="ctr"/>
        <c:lblOffset val="100"/>
        <c:noMultiLvlLbl val="0"/>
      </c:catAx>
      <c:valAx>
        <c:axId val="494688608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ARMA(1,1) Process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'ARMA 1.1a'!$C$7:$C$111</c:f>
              <c:numCache>
                <c:formatCode>General</c:formatCode>
                <c:ptCount val="105"/>
                <c:pt idx="0">
                  <c:v>3.1176756475655343</c:v>
                </c:pt>
                <c:pt idx="1">
                  <c:v>5.8082510857989273</c:v>
                </c:pt>
                <c:pt idx="2">
                  <c:v>4.9067685983817757</c:v>
                </c:pt>
                <c:pt idx="3">
                  <c:v>6.1194744822602427</c:v>
                </c:pt>
                <c:pt idx="4">
                  <c:v>8.1353263117657075</c:v>
                </c:pt>
                <c:pt idx="5">
                  <c:v>9.3448674266459744</c:v>
                </c:pt>
                <c:pt idx="6">
                  <c:v>9.147650683887159</c:v>
                </c:pt>
                <c:pt idx="7">
                  <c:v>8.1014932813029787</c:v>
                </c:pt>
                <c:pt idx="8">
                  <c:v>10.146419029172929</c:v>
                </c:pt>
                <c:pt idx="9">
                  <c:v>11.045196349004179</c:v>
                </c:pt>
                <c:pt idx="10">
                  <c:v>10.122578080182986</c:v>
                </c:pt>
                <c:pt idx="11">
                  <c:v>10.173602244452049</c:v>
                </c:pt>
                <c:pt idx="12">
                  <c:v>10.821309800892813</c:v>
                </c:pt>
                <c:pt idx="13">
                  <c:v>10.084063249573957</c:v>
                </c:pt>
                <c:pt idx="14">
                  <c:v>10.346054055555477</c:v>
                </c:pt>
                <c:pt idx="15">
                  <c:v>9.6922029393025948</c:v>
                </c:pt>
                <c:pt idx="16">
                  <c:v>11.205574770625867</c:v>
                </c:pt>
                <c:pt idx="17">
                  <c:v>12.652116416514845</c:v>
                </c:pt>
                <c:pt idx="18">
                  <c:v>13.406329168635398</c:v>
                </c:pt>
                <c:pt idx="19">
                  <c:v>12.231217930183975</c:v>
                </c:pt>
                <c:pt idx="20">
                  <c:v>12.116974455959237</c:v>
                </c:pt>
                <c:pt idx="21">
                  <c:v>10.45988889436091</c:v>
                </c:pt>
                <c:pt idx="22">
                  <c:v>9.4464576710812267</c:v>
                </c:pt>
                <c:pt idx="23">
                  <c:v>11.181030434794321</c:v>
                </c:pt>
                <c:pt idx="24">
                  <c:v>7.5853602163456753</c:v>
                </c:pt>
                <c:pt idx="25">
                  <c:v>10.978531861411668</c:v>
                </c:pt>
                <c:pt idx="26">
                  <c:v>10.550225208625736</c:v>
                </c:pt>
                <c:pt idx="27">
                  <c:v>11.227461431044995</c:v>
                </c:pt>
                <c:pt idx="28">
                  <c:v>9.0761713255316874</c:v>
                </c:pt>
                <c:pt idx="29">
                  <c:v>9.9094956509085375</c:v>
                </c:pt>
                <c:pt idx="30">
                  <c:v>11.683635570981139</c:v>
                </c:pt>
                <c:pt idx="31">
                  <c:v>9.3891181090456559</c:v>
                </c:pt>
                <c:pt idx="32">
                  <c:v>11.280967352963561</c:v>
                </c:pt>
                <c:pt idx="33">
                  <c:v>9.0777000543373685</c:v>
                </c:pt>
                <c:pt idx="34">
                  <c:v>9.4218520797101899</c:v>
                </c:pt>
                <c:pt idx="35">
                  <c:v>10.768670766726222</c:v>
                </c:pt>
                <c:pt idx="36">
                  <c:v>10.044686426220611</c:v>
                </c:pt>
                <c:pt idx="37">
                  <c:v>9.5026475408720934</c:v>
                </c:pt>
                <c:pt idx="38">
                  <c:v>12.016635145209889</c:v>
                </c:pt>
                <c:pt idx="39">
                  <c:v>9.6075824244635548</c:v>
                </c:pt>
                <c:pt idx="40">
                  <c:v>10.47879870661002</c:v>
                </c:pt>
                <c:pt idx="41">
                  <c:v>10.131145996118137</c:v>
                </c:pt>
                <c:pt idx="42">
                  <c:v>9.3102529930939451</c:v>
                </c:pt>
                <c:pt idx="43">
                  <c:v>9.9532374569799149</c:v>
                </c:pt>
                <c:pt idx="44">
                  <c:v>9.9320829740295604</c:v>
                </c:pt>
                <c:pt idx="45">
                  <c:v>11.635101979488615</c:v>
                </c:pt>
                <c:pt idx="46">
                  <c:v>10.428242822398191</c:v>
                </c:pt>
                <c:pt idx="47">
                  <c:v>9.6942306857497602</c:v>
                </c:pt>
                <c:pt idx="48">
                  <c:v>10.169036752376758</c:v>
                </c:pt>
                <c:pt idx="49">
                  <c:v>10.486655712590014</c:v>
                </c:pt>
                <c:pt idx="50">
                  <c:v>10.656149640052817</c:v>
                </c:pt>
                <c:pt idx="51">
                  <c:v>10.129317566616011</c:v>
                </c:pt>
                <c:pt idx="52">
                  <c:v>8.9663057524182062</c:v>
                </c:pt>
                <c:pt idx="53">
                  <c:v>8.1067514389924824</c:v>
                </c:pt>
                <c:pt idx="54">
                  <c:v>8.6738987578515037</c:v>
                </c:pt>
                <c:pt idx="55">
                  <c:v>8.7398621237592646</c:v>
                </c:pt>
                <c:pt idx="56">
                  <c:v>8.7639760975280581</c:v>
                </c:pt>
                <c:pt idx="57">
                  <c:v>10.607632270250908</c:v>
                </c:pt>
                <c:pt idx="58">
                  <c:v>8.8462843661117905</c:v>
                </c:pt>
                <c:pt idx="59">
                  <c:v>8.197430472078814</c:v>
                </c:pt>
                <c:pt idx="60">
                  <c:v>9.7004678107933984</c:v>
                </c:pt>
                <c:pt idx="61">
                  <c:v>9.4988084630262453</c:v>
                </c:pt>
                <c:pt idx="62">
                  <c:v>9.7003857789385908</c:v>
                </c:pt>
                <c:pt idx="63">
                  <c:v>9.8196279939384326</c:v>
                </c:pt>
                <c:pt idx="64">
                  <c:v>12.357045585234705</c:v>
                </c:pt>
                <c:pt idx="65">
                  <c:v>10.923604414101041</c:v>
                </c:pt>
                <c:pt idx="66">
                  <c:v>9.7007658466065791</c:v>
                </c:pt>
                <c:pt idx="67">
                  <c:v>10.274161064714084</c:v>
                </c:pt>
                <c:pt idx="68">
                  <c:v>9.7560808735560016</c:v>
                </c:pt>
                <c:pt idx="69">
                  <c:v>9.287731842051576</c:v>
                </c:pt>
                <c:pt idx="70">
                  <c:v>8.7948076969057745</c:v>
                </c:pt>
                <c:pt idx="71">
                  <c:v>9.9521659452576507</c:v>
                </c:pt>
                <c:pt idx="72">
                  <c:v>9.1465177932835431</c:v>
                </c:pt>
                <c:pt idx="73">
                  <c:v>8.4120728228094741</c:v>
                </c:pt>
                <c:pt idx="74">
                  <c:v>9.723847340624749</c:v>
                </c:pt>
                <c:pt idx="75">
                  <c:v>8.4487887533605939</c:v>
                </c:pt>
                <c:pt idx="76">
                  <c:v>9.3091696279858951</c:v>
                </c:pt>
                <c:pt idx="77">
                  <c:v>9.6290950722323778</c:v>
                </c:pt>
                <c:pt idx="78">
                  <c:v>10.498754342121549</c:v>
                </c:pt>
                <c:pt idx="79">
                  <c:v>8.1345560346257617</c:v>
                </c:pt>
                <c:pt idx="80">
                  <c:v>9.155183562363236</c:v>
                </c:pt>
                <c:pt idx="81">
                  <c:v>7.9920854400738497</c:v>
                </c:pt>
                <c:pt idx="82">
                  <c:v>10.439526996669359</c:v>
                </c:pt>
                <c:pt idx="83">
                  <c:v>11.175252728421926</c:v>
                </c:pt>
                <c:pt idx="84">
                  <c:v>9.9215034890634719</c:v>
                </c:pt>
                <c:pt idx="85">
                  <c:v>10.653018863925139</c:v>
                </c:pt>
                <c:pt idx="86">
                  <c:v>10.300965035959745</c:v>
                </c:pt>
                <c:pt idx="87">
                  <c:v>9.322711642040451</c:v>
                </c:pt>
                <c:pt idx="88">
                  <c:v>11.208496897982</c:v>
                </c:pt>
                <c:pt idx="89">
                  <c:v>9.8337122512150579</c:v>
                </c:pt>
                <c:pt idx="90">
                  <c:v>11.009228904367124</c:v>
                </c:pt>
                <c:pt idx="91">
                  <c:v>9.672211664259164</c:v>
                </c:pt>
                <c:pt idx="92">
                  <c:v>8.0220551654262664</c:v>
                </c:pt>
                <c:pt idx="93">
                  <c:v>9.1001604867082797</c:v>
                </c:pt>
                <c:pt idx="94">
                  <c:v>10.293563569831946</c:v>
                </c:pt>
                <c:pt idx="95">
                  <c:v>10.874137892356456</c:v>
                </c:pt>
                <c:pt idx="96">
                  <c:v>11.048588930382071</c:v>
                </c:pt>
                <c:pt idx="97">
                  <c:v>10.377103608405847</c:v>
                </c:pt>
                <c:pt idx="98">
                  <c:v>11.10073340647541</c:v>
                </c:pt>
                <c:pt idx="99">
                  <c:v>9.5564566897714425</c:v>
                </c:pt>
                <c:pt idx="100">
                  <c:v>10.126612012197914</c:v>
                </c:pt>
                <c:pt idx="101">
                  <c:v>10.618656799718755</c:v>
                </c:pt>
                <c:pt idx="102">
                  <c:v>11.369377647513675</c:v>
                </c:pt>
                <c:pt idx="103">
                  <c:v>10.761442220235375</c:v>
                </c:pt>
                <c:pt idx="104">
                  <c:v>11.954765055482959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5-4EF4-AC53-5CC9E9758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683512"/>
        <c:axId val="494683904"/>
      </c:lineChart>
      <c:catAx>
        <c:axId val="494683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3904"/>
        <c:crosses val="autoZero"/>
        <c:auto val="1"/>
        <c:lblAlgn val="ctr"/>
        <c:lblOffset val="100"/>
        <c:noMultiLvlLbl val="0"/>
      </c:catAx>
      <c:valAx>
        <c:axId val="49468390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3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ARMA(2,1)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'ARMA 2.1'!$AE$4:$AE$113</c:f>
              <c:numCache>
                <c:formatCode>General</c:formatCode>
                <c:ptCount val="110"/>
                <c:pt idx="0">
                  <c:v>3.1176756475655343</c:v>
                </c:pt>
                <c:pt idx="1">
                  <c:v>5.8082510857989273</c:v>
                </c:pt>
                <c:pt idx="2">
                  <c:v>4.9067685983817757</c:v>
                </c:pt>
                <c:pt idx="3">
                  <c:v>6.1194744822602427</c:v>
                </c:pt>
                <c:pt idx="4">
                  <c:v>8.1353263117657075</c:v>
                </c:pt>
                <c:pt idx="5">
                  <c:v>9.3448674266459744</c:v>
                </c:pt>
                <c:pt idx="6">
                  <c:v>9.147650683887159</c:v>
                </c:pt>
                <c:pt idx="7">
                  <c:v>8.1014932813029787</c:v>
                </c:pt>
                <c:pt idx="8">
                  <c:v>10.146419029172929</c:v>
                </c:pt>
                <c:pt idx="9">
                  <c:v>11.045196349004179</c:v>
                </c:pt>
                <c:pt idx="10">
                  <c:v>10.122578080182986</c:v>
                </c:pt>
                <c:pt idx="11">
                  <c:v>10.173602244452049</c:v>
                </c:pt>
                <c:pt idx="12">
                  <c:v>10.821309800892813</c:v>
                </c:pt>
                <c:pt idx="13">
                  <c:v>10.084063249573957</c:v>
                </c:pt>
                <c:pt idx="14">
                  <c:v>10.346054055555477</c:v>
                </c:pt>
                <c:pt idx="15">
                  <c:v>9.6922029393025948</c:v>
                </c:pt>
                <c:pt idx="16">
                  <c:v>11.205574770625867</c:v>
                </c:pt>
                <c:pt idx="17">
                  <c:v>12.652116416514845</c:v>
                </c:pt>
                <c:pt idx="18">
                  <c:v>13.406329168635398</c:v>
                </c:pt>
                <c:pt idx="19">
                  <c:v>12.231217930183975</c:v>
                </c:pt>
                <c:pt idx="20">
                  <c:v>12.116974455959237</c:v>
                </c:pt>
                <c:pt idx="21">
                  <c:v>10.45988889436091</c:v>
                </c:pt>
                <c:pt idx="22">
                  <c:v>9.4464576710812267</c:v>
                </c:pt>
                <c:pt idx="23">
                  <c:v>11.181030434794321</c:v>
                </c:pt>
                <c:pt idx="24">
                  <c:v>7.5853602163456753</c:v>
                </c:pt>
                <c:pt idx="25">
                  <c:v>10.978531861411668</c:v>
                </c:pt>
                <c:pt idx="26">
                  <c:v>10.550225208625736</c:v>
                </c:pt>
                <c:pt idx="27">
                  <c:v>11.227461431044995</c:v>
                </c:pt>
                <c:pt idx="28">
                  <c:v>9.0761713255316874</c:v>
                </c:pt>
                <c:pt idx="29">
                  <c:v>9.9094956509085375</c:v>
                </c:pt>
                <c:pt idx="30">
                  <c:v>11.683635570981139</c:v>
                </c:pt>
                <c:pt idx="31">
                  <c:v>9.3891181090456559</c:v>
                </c:pt>
                <c:pt idx="32">
                  <c:v>11.280967352963561</c:v>
                </c:pt>
                <c:pt idx="33">
                  <c:v>9.0777000543373685</c:v>
                </c:pt>
                <c:pt idx="34">
                  <c:v>9.4218520797101899</c:v>
                </c:pt>
                <c:pt idx="35">
                  <c:v>10.768670766726222</c:v>
                </c:pt>
                <c:pt idx="36">
                  <c:v>10.044686426220611</c:v>
                </c:pt>
                <c:pt idx="37">
                  <c:v>9.5026475408720934</c:v>
                </c:pt>
                <c:pt idx="38">
                  <c:v>12.016635145209889</c:v>
                </c:pt>
                <c:pt idx="39">
                  <c:v>9.6075824244635548</c:v>
                </c:pt>
                <c:pt idx="40">
                  <c:v>10.47879870661002</c:v>
                </c:pt>
                <c:pt idx="41">
                  <c:v>10.131145996118137</c:v>
                </c:pt>
                <c:pt idx="42">
                  <c:v>9.3102529930939451</c:v>
                </c:pt>
                <c:pt idx="43">
                  <c:v>9.9532374569799149</c:v>
                </c:pt>
                <c:pt idx="44">
                  <c:v>9.9320829740295604</c:v>
                </c:pt>
                <c:pt idx="45">
                  <c:v>11.635101979488615</c:v>
                </c:pt>
                <c:pt idx="46">
                  <c:v>10.428242822398191</c:v>
                </c:pt>
                <c:pt idx="47">
                  <c:v>9.6942306857497602</c:v>
                </c:pt>
                <c:pt idx="48">
                  <c:v>10.169036752376758</c:v>
                </c:pt>
                <c:pt idx="49">
                  <c:v>10.486655712590014</c:v>
                </c:pt>
                <c:pt idx="50">
                  <c:v>10.656149640052817</c:v>
                </c:pt>
                <c:pt idx="51">
                  <c:v>10.129317566616011</c:v>
                </c:pt>
                <c:pt idx="52">
                  <c:v>8.9663057524182062</c:v>
                </c:pt>
                <c:pt idx="53">
                  <c:v>8.1067514389924824</c:v>
                </c:pt>
                <c:pt idx="54">
                  <c:v>8.6738987578515037</c:v>
                </c:pt>
                <c:pt idx="55">
                  <c:v>8.7398621237592646</c:v>
                </c:pt>
                <c:pt idx="56">
                  <c:v>8.7639760975280581</c:v>
                </c:pt>
                <c:pt idx="57">
                  <c:v>10.607632270250908</c:v>
                </c:pt>
                <c:pt idx="58">
                  <c:v>8.8462843661117905</c:v>
                </c:pt>
                <c:pt idx="59">
                  <c:v>8.197430472078814</c:v>
                </c:pt>
                <c:pt idx="60">
                  <c:v>9.7004678107933984</c:v>
                </c:pt>
                <c:pt idx="61">
                  <c:v>9.4988084630262453</c:v>
                </c:pt>
                <c:pt idx="62">
                  <c:v>9.7003857789385908</c:v>
                </c:pt>
                <c:pt idx="63">
                  <c:v>9.8196279939384326</c:v>
                </c:pt>
                <c:pt idx="64">
                  <c:v>12.357045585234705</c:v>
                </c:pt>
                <c:pt idx="65">
                  <c:v>10.923604414101041</c:v>
                </c:pt>
                <c:pt idx="66">
                  <c:v>9.7007658466065791</c:v>
                </c:pt>
                <c:pt idx="67">
                  <c:v>10.274161064714084</c:v>
                </c:pt>
                <c:pt idx="68">
                  <c:v>9.7560808735560016</c:v>
                </c:pt>
                <c:pt idx="69">
                  <c:v>9.287731842051576</c:v>
                </c:pt>
                <c:pt idx="70">
                  <c:v>8.7948076969057745</c:v>
                </c:pt>
                <c:pt idx="71">
                  <c:v>9.9521659452576507</c:v>
                </c:pt>
                <c:pt idx="72">
                  <c:v>9.1465177932835431</c:v>
                </c:pt>
                <c:pt idx="73">
                  <c:v>8.4120728228094741</c:v>
                </c:pt>
                <c:pt idx="74">
                  <c:v>9.723847340624749</c:v>
                </c:pt>
                <c:pt idx="75">
                  <c:v>8.4487887533605939</c:v>
                </c:pt>
                <c:pt idx="76">
                  <c:v>9.3091696279858951</c:v>
                </c:pt>
                <c:pt idx="77">
                  <c:v>9.6290950722323778</c:v>
                </c:pt>
                <c:pt idx="78">
                  <c:v>10.498754342121549</c:v>
                </c:pt>
                <c:pt idx="79">
                  <c:v>8.1345560346257617</c:v>
                </c:pt>
                <c:pt idx="80">
                  <c:v>9.155183562363236</c:v>
                </c:pt>
                <c:pt idx="81">
                  <c:v>7.9920854400738497</c:v>
                </c:pt>
                <c:pt idx="82">
                  <c:v>10.439526996669359</c:v>
                </c:pt>
                <c:pt idx="83">
                  <c:v>11.175252728421926</c:v>
                </c:pt>
                <c:pt idx="84">
                  <c:v>9.9215034890634719</c:v>
                </c:pt>
                <c:pt idx="85">
                  <c:v>10.653018863925139</c:v>
                </c:pt>
                <c:pt idx="86">
                  <c:v>10.300965035959745</c:v>
                </c:pt>
                <c:pt idx="87">
                  <c:v>9.322711642040451</c:v>
                </c:pt>
                <c:pt idx="88">
                  <c:v>11.208496897982</c:v>
                </c:pt>
                <c:pt idx="89">
                  <c:v>9.8337122512150579</c:v>
                </c:pt>
                <c:pt idx="90">
                  <c:v>11.009228904367124</c:v>
                </c:pt>
                <c:pt idx="91">
                  <c:v>9.672211664259164</c:v>
                </c:pt>
                <c:pt idx="92">
                  <c:v>8.0220551654262664</c:v>
                </c:pt>
                <c:pt idx="93">
                  <c:v>9.1001604867082797</c:v>
                </c:pt>
                <c:pt idx="94">
                  <c:v>10.293563569831946</c:v>
                </c:pt>
                <c:pt idx="95">
                  <c:v>10.874137892356456</c:v>
                </c:pt>
                <c:pt idx="96">
                  <c:v>11.048588930382071</c:v>
                </c:pt>
                <c:pt idx="97">
                  <c:v>10.377103608405847</c:v>
                </c:pt>
                <c:pt idx="98">
                  <c:v>11.10073340647541</c:v>
                </c:pt>
                <c:pt idx="99">
                  <c:v>9.5564566897714425</c:v>
                </c:pt>
                <c:pt idx="100">
                  <c:v>10.126612012197914</c:v>
                </c:pt>
                <c:pt idx="101">
                  <c:v>10.618656799718755</c:v>
                </c:pt>
                <c:pt idx="102">
                  <c:v>11.369377647513675</c:v>
                </c:pt>
                <c:pt idx="103">
                  <c:v>10.761442220235375</c:v>
                </c:pt>
                <c:pt idx="104">
                  <c:v>11.954765055482959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2A-45F3-BBEB-C07BFDC64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684296"/>
        <c:axId val="494687040"/>
      </c:lineChart>
      <c:catAx>
        <c:axId val="494684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7040"/>
        <c:crosses val="autoZero"/>
        <c:auto val="1"/>
        <c:lblAlgn val="ctr"/>
        <c:lblOffset val="100"/>
        <c:noMultiLvlLbl val="0"/>
      </c:catAx>
      <c:valAx>
        <c:axId val="494687040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4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Time series plot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MK!$A$4:$A$15</c:f>
              <c:numCache>
                <c:formatCode>0.0</c:formatCode>
                <c:ptCount val="12"/>
                <c:pt idx="0">
                  <c:v>6.8</c:v>
                </c:pt>
                <c:pt idx="1">
                  <c:v>5.9</c:v>
                </c:pt>
                <c:pt idx="2">
                  <c:v>5.7</c:v>
                </c:pt>
                <c:pt idx="3">
                  <c:v>5.5</c:v>
                </c:pt>
                <c:pt idx="4">
                  <c:v>5.5</c:v>
                </c:pt>
                <c:pt idx="5">
                  <c:v>4.5</c:v>
                </c:pt>
                <c:pt idx="6">
                  <c:v>4</c:v>
                </c:pt>
                <c:pt idx="7">
                  <c:v>5.1000000000000005</c:v>
                </c:pt>
                <c:pt idx="8">
                  <c:v>4.5</c:v>
                </c:pt>
                <c:pt idx="9">
                  <c:v>4.5</c:v>
                </c:pt>
                <c:pt idx="10">
                  <c:v>3.3</c:v>
                </c:pt>
                <c:pt idx="11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F-450B-B49C-FD9DE8C04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90176"/>
        <c:axId val="494690960"/>
      </c:lineChart>
      <c:catAx>
        <c:axId val="494690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90960"/>
        <c:crosses val="autoZero"/>
        <c:auto val="1"/>
        <c:lblAlgn val="ctr"/>
        <c:lblOffset val="100"/>
        <c:noMultiLvlLbl val="0"/>
      </c:catAx>
      <c:valAx>
        <c:axId val="494690960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90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Time Series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'MK + Sen'!$A$3:$A$72</c:f>
              <c:numCache>
                <c:formatCode>0.0</c:formatCode>
                <c:ptCount val="70"/>
                <c:pt idx="0">
                  <c:v>4.8</c:v>
                </c:pt>
                <c:pt idx="1">
                  <c:v>4.9000000000000004</c:v>
                </c:pt>
                <c:pt idx="2">
                  <c:v>4.5</c:v>
                </c:pt>
                <c:pt idx="3">
                  <c:v>5.9</c:v>
                </c:pt>
                <c:pt idx="4">
                  <c:v>6.8</c:v>
                </c:pt>
                <c:pt idx="5">
                  <c:v>5.3</c:v>
                </c:pt>
                <c:pt idx="6">
                  <c:v>4.5</c:v>
                </c:pt>
                <c:pt idx="7">
                  <c:v>4.0999999999999996</c:v>
                </c:pt>
                <c:pt idx="8">
                  <c:v>5.0999999999999996</c:v>
                </c:pt>
                <c:pt idx="9">
                  <c:v>4.5</c:v>
                </c:pt>
                <c:pt idx="10">
                  <c:v>3.9</c:v>
                </c:pt>
                <c:pt idx="11">
                  <c:v>3</c:v>
                </c:pt>
                <c:pt idx="12">
                  <c:v>5.4</c:v>
                </c:pt>
                <c:pt idx="13">
                  <c:v>3.9</c:v>
                </c:pt>
                <c:pt idx="14">
                  <c:v>5.7</c:v>
                </c:pt>
                <c:pt idx="15">
                  <c:v>4.4000000000000004</c:v>
                </c:pt>
                <c:pt idx="16">
                  <c:v>6.2</c:v>
                </c:pt>
                <c:pt idx="17">
                  <c:v>4.4000000000000004</c:v>
                </c:pt>
                <c:pt idx="18">
                  <c:v>3.7</c:v>
                </c:pt>
                <c:pt idx="19">
                  <c:v>4.4000000000000004</c:v>
                </c:pt>
                <c:pt idx="20">
                  <c:v>4</c:v>
                </c:pt>
                <c:pt idx="21">
                  <c:v>3.8</c:v>
                </c:pt>
                <c:pt idx="22">
                  <c:v>5.0999999999999996</c:v>
                </c:pt>
                <c:pt idx="23">
                  <c:v>4.4000000000000004</c:v>
                </c:pt>
                <c:pt idx="24">
                  <c:v>3.3</c:v>
                </c:pt>
                <c:pt idx="25">
                  <c:v>3.9</c:v>
                </c:pt>
                <c:pt idx="26">
                  <c:v>5.2</c:v>
                </c:pt>
                <c:pt idx="27">
                  <c:v>5.5</c:v>
                </c:pt>
                <c:pt idx="28">
                  <c:v>5.0999999999999996</c:v>
                </c:pt>
                <c:pt idx="29">
                  <c:v>6</c:v>
                </c:pt>
                <c:pt idx="30">
                  <c:v>6.6</c:v>
                </c:pt>
                <c:pt idx="31">
                  <c:v>3.5</c:v>
                </c:pt>
                <c:pt idx="32">
                  <c:v>4.5999999999999996</c:v>
                </c:pt>
                <c:pt idx="33">
                  <c:v>3.6</c:v>
                </c:pt>
                <c:pt idx="34">
                  <c:v>4.8</c:v>
                </c:pt>
                <c:pt idx="35">
                  <c:v>4.0999999999999996</c:v>
                </c:pt>
                <c:pt idx="36">
                  <c:v>5</c:v>
                </c:pt>
                <c:pt idx="37">
                  <c:v>5.4</c:v>
                </c:pt>
                <c:pt idx="38">
                  <c:v>6.2</c:v>
                </c:pt>
                <c:pt idx="39">
                  <c:v>5.5</c:v>
                </c:pt>
                <c:pt idx="40">
                  <c:v>3.5</c:v>
                </c:pt>
                <c:pt idx="41">
                  <c:v>4.9000000000000004</c:v>
                </c:pt>
                <c:pt idx="42">
                  <c:v>3.2</c:v>
                </c:pt>
                <c:pt idx="43">
                  <c:v>5.7</c:v>
                </c:pt>
                <c:pt idx="44">
                  <c:v>7.2</c:v>
                </c:pt>
                <c:pt idx="45">
                  <c:v>6.6</c:v>
                </c:pt>
                <c:pt idx="46">
                  <c:v>6.3</c:v>
                </c:pt>
                <c:pt idx="47">
                  <c:v>6.4</c:v>
                </c:pt>
                <c:pt idx="48">
                  <c:v>4.9000000000000004</c:v>
                </c:pt>
                <c:pt idx="49">
                  <c:v>5.2</c:v>
                </c:pt>
                <c:pt idx="50">
                  <c:v>6.2</c:v>
                </c:pt>
                <c:pt idx="51">
                  <c:v>4.4000000000000004</c:v>
                </c:pt>
                <c:pt idx="52">
                  <c:v>5.7</c:v>
                </c:pt>
                <c:pt idx="53">
                  <c:v>5.3</c:v>
                </c:pt>
                <c:pt idx="54">
                  <c:v>6.6</c:v>
                </c:pt>
                <c:pt idx="55">
                  <c:v>7</c:v>
                </c:pt>
                <c:pt idx="56">
                  <c:v>5.8</c:v>
                </c:pt>
                <c:pt idx="57">
                  <c:v>6.2</c:v>
                </c:pt>
                <c:pt idx="58">
                  <c:v>5.6</c:v>
                </c:pt>
                <c:pt idx="59">
                  <c:v>5.9</c:v>
                </c:pt>
                <c:pt idx="60">
                  <c:v>5.8</c:v>
                </c:pt>
                <c:pt idx="61">
                  <c:v>6.5</c:v>
                </c:pt>
                <c:pt idx="62">
                  <c:v>6.7</c:v>
                </c:pt>
                <c:pt idx="63">
                  <c:v>7.2</c:v>
                </c:pt>
                <c:pt idx="64">
                  <c:v>6</c:v>
                </c:pt>
                <c:pt idx="65">
                  <c:v>5.0999999999999996</c:v>
                </c:pt>
                <c:pt idx="66">
                  <c:v>6.9</c:v>
                </c:pt>
                <c:pt idx="67">
                  <c:v>5.3</c:v>
                </c:pt>
                <c:pt idx="68">
                  <c:v>6.6</c:v>
                </c:pt>
                <c:pt idx="69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6-4367-81DE-BA359D3F0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84688"/>
        <c:axId val="494692920"/>
      </c:lineChart>
      <c:catAx>
        <c:axId val="494684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9292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94692920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Chicken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'Granger 1'!$A$2:$A$43</c:f>
              <c:numCache>
                <c:formatCode>General</c:formatCode>
                <c:ptCount val="42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cat>
          <c:val>
            <c:numRef>
              <c:f>'Granger 1'!$B$2:$B$43</c:f>
              <c:numCache>
                <c:formatCode>General</c:formatCode>
                <c:ptCount val="42"/>
                <c:pt idx="0">
                  <c:v>449743</c:v>
                </c:pt>
                <c:pt idx="1">
                  <c:v>436815</c:v>
                </c:pt>
                <c:pt idx="2">
                  <c:v>444523</c:v>
                </c:pt>
                <c:pt idx="3">
                  <c:v>433937</c:v>
                </c:pt>
                <c:pt idx="4">
                  <c:v>389958</c:v>
                </c:pt>
                <c:pt idx="5">
                  <c:v>403446</c:v>
                </c:pt>
                <c:pt idx="6">
                  <c:v>423921</c:v>
                </c:pt>
                <c:pt idx="7">
                  <c:v>389624</c:v>
                </c:pt>
                <c:pt idx="8">
                  <c:v>418591</c:v>
                </c:pt>
                <c:pt idx="9">
                  <c:v>438288</c:v>
                </c:pt>
                <c:pt idx="10">
                  <c:v>422841</c:v>
                </c:pt>
                <c:pt idx="11">
                  <c:v>476935</c:v>
                </c:pt>
                <c:pt idx="12">
                  <c:v>542047</c:v>
                </c:pt>
                <c:pt idx="13">
                  <c:v>582197</c:v>
                </c:pt>
                <c:pt idx="14">
                  <c:v>516497</c:v>
                </c:pt>
                <c:pt idx="15">
                  <c:v>523227</c:v>
                </c:pt>
                <c:pt idx="16">
                  <c:v>467217</c:v>
                </c:pt>
                <c:pt idx="17">
                  <c:v>499644</c:v>
                </c:pt>
                <c:pt idx="18">
                  <c:v>430876</c:v>
                </c:pt>
                <c:pt idx="19">
                  <c:v>456549</c:v>
                </c:pt>
                <c:pt idx="20">
                  <c:v>430988</c:v>
                </c:pt>
                <c:pt idx="21">
                  <c:v>426555</c:v>
                </c:pt>
                <c:pt idx="22">
                  <c:v>398156</c:v>
                </c:pt>
                <c:pt idx="23">
                  <c:v>396776</c:v>
                </c:pt>
                <c:pt idx="24">
                  <c:v>390708</c:v>
                </c:pt>
                <c:pt idx="25">
                  <c:v>383690</c:v>
                </c:pt>
                <c:pt idx="26">
                  <c:v>391363</c:v>
                </c:pt>
                <c:pt idx="27">
                  <c:v>374281</c:v>
                </c:pt>
                <c:pt idx="28">
                  <c:v>387002</c:v>
                </c:pt>
                <c:pt idx="29">
                  <c:v>369484</c:v>
                </c:pt>
                <c:pt idx="30">
                  <c:v>366082</c:v>
                </c:pt>
                <c:pt idx="31">
                  <c:v>377392</c:v>
                </c:pt>
                <c:pt idx="32">
                  <c:v>375575</c:v>
                </c:pt>
                <c:pt idx="33">
                  <c:v>382262</c:v>
                </c:pt>
                <c:pt idx="34">
                  <c:v>394118</c:v>
                </c:pt>
                <c:pt idx="35">
                  <c:v>393019</c:v>
                </c:pt>
                <c:pt idx="36">
                  <c:v>428746</c:v>
                </c:pt>
                <c:pt idx="37">
                  <c:v>425158</c:v>
                </c:pt>
                <c:pt idx="38">
                  <c:v>422096</c:v>
                </c:pt>
                <c:pt idx="39">
                  <c:v>433280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8-4700-B7BC-2E6D726B8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87824"/>
        <c:axId val="494691352"/>
      </c:lineChart>
      <c:catAx>
        <c:axId val="49468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91352"/>
        <c:crosses val="autoZero"/>
        <c:auto val="1"/>
        <c:lblAlgn val="ctr"/>
        <c:lblOffset val="100"/>
        <c:noMultiLvlLbl val="0"/>
      </c:catAx>
      <c:valAx>
        <c:axId val="494691352"/>
        <c:scaling>
          <c:orientation val="minMax"/>
          <c:min val="3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7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marker>
            <c:symbol val="none"/>
          </c:marker>
          <c:cat>
            <c:strRef>
              <c:f>Weighted!$Q$6:$Q$21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&gt;</c:v>
                </c:pt>
              </c:strCache>
            </c:strRef>
          </c:cat>
          <c:val>
            <c:numRef>
              <c:f>Weighted!$R$6:$R$20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A-41F8-AEBF-17C66B2754F1}"/>
            </c:ext>
          </c:extLst>
        </c:ser>
        <c:ser>
          <c:idx val="1"/>
          <c:order val="1"/>
          <c:tx>
            <c:v>forecast</c:v>
          </c:tx>
          <c:marker>
            <c:symbol val="none"/>
          </c:marker>
          <c:val>
            <c:numRef>
              <c:f>Weighted!$S$6:$S$21</c:f>
              <c:numCache>
                <c:formatCode>General</c:formatCode>
                <c:ptCount val="16"/>
                <c:pt idx="3">
                  <c:v>7.1999999999999993</c:v>
                </c:pt>
                <c:pt idx="4">
                  <c:v>15.2</c:v>
                </c:pt>
                <c:pt idx="5">
                  <c:v>14.1</c:v>
                </c:pt>
                <c:pt idx="6">
                  <c:v>15.799999999999999</c:v>
                </c:pt>
                <c:pt idx="7">
                  <c:v>19.5</c:v>
                </c:pt>
                <c:pt idx="8">
                  <c:v>22.1</c:v>
                </c:pt>
                <c:pt idx="9">
                  <c:v>39.699999999999996</c:v>
                </c:pt>
                <c:pt idx="10">
                  <c:v>42.199999999999996</c:v>
                </c:pt>
                <c:pt idx="11">
                  <c:v>51</c:v>
                </c:pt>
                <c:pt idx="12">
                  <c:v>65.900000000000006</c:v>
                </c:pt>
                <c:pt idx="13">
                  <c:v>64.099999999999994</c:v>
                </c:pt>
                <c:pt idx="14">
                  <c:v>70.5</c:v>
                </c:pt>
                <c:pt idx="15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A-41F8-AEBF-17C66B275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6573440"/>
        <c:axId val="1064908944"/>
      </c:lineChart>
      <c:catAx>
        <c:axId val="91657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4908944"/>
        <c:crosses val="autoZero"/>
        <c:auto val="1"/>
        <c:lblAlgn val="ctr"/>
        <c:lblOffset val="100"/>
        <c:noMultiLvlLbl val="0"/>
      </c:catAx>
      <c:valAx>
        <c:axId val="106490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16573440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Egg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'Granger 1'!$A$2:$A$43</c:f>
              <c:numCache>
                <c:formatCode>General</c:formatCode>
                <c:ptCount val="42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cat>
          <c:val>
            <c:numRef>
              <c:f>'Granger 1'!$C$2:$C$43</c:f>
              <c:numCache>
                <c:formatCode>General</c:formatCode>
                <c:ptCount val="42"/>
                <c:pt idx="0">
                  <c:v>3532</c:v>
                </c:pt>
                <c:pt idx="1">
                  <c:v>3327</c:v>
                </c:pt>
                <c:pt idx="2">
                  <c:v>3255</c:v>
                </c:pt>
                <c:pt idx="3">
                  <c:v>3156</c:v>
                </c:pt>
                <c:pt idx="4">
                  <c:v>3081</c:v>
                </c:pt>
                <c:pt idx="5">
                  <c:v>3166</c:v>
                </c:pt>
                <c:pt idx="6">
                  <c:v>3443</c:v>
                </c:pt>
                <c:pt idx="7">
                  <c:v>3424</c:v>
                </c:pt>
                <c:pt idx="8">
                  <c:v>3561</c:v>
                </c:pt>
                <c:pt idx="9">
                  <c:v>3640</c:v>
                </c:pt>
                <c:pt idx="10">
                  <c:v>3840</c:v>
                </c:pt>
                <c:pt idx="11">
                  <c:v>4456</c:v>
                </c:pt>
                <c:pt idx="12">
                  <c:v>5000</c:v>
                </c:pt>
                <c:pt idx="13">
                  <c:v>5366</c:v>
                </c:pt>
                <c:pt idx="14">
                  <c:v>5154</c:v>
                </c:pt>
                <c:pt idx="15">
                  <c:v>5130</c:v>
                </c:pt>
                <c:pt idx="16">
                  <c:v>5077</c:v>
                </c:pt>
                <c:pt idx="17">
                  <c:v>5032</c:v>
                </c:pt>
                <c:pt idx="18">
                  <c:v>5148</c:v>
                </c:pt>
                <c:pt idx="19">
                  <c:v>5404</c:v>
                </c:pt>
                <c:pt idx="20">
                  <c:v>5322</c:v>
                </c:pt>
                <c:pt idx="21">
                  <c:v>5323</c:v>
                </c:pt>
                <c:pt idx="22">
                  <c:v>5307</c:v>
                </c:pt>
                <c:pt idx="23">
                  <c:v>5402</c:v>
                </c:pt>
                <c:pt idx="24">
                  <c:v>5407</c:v>
                </c:pt>
                <c:pt idx="25">
                  <c:v>5500</c:v>
                </c:pt>
                <c:pt idx="26">
                  <c:v>5442</c:v>
                </c:pt>
                <c:pt idx="27">
                  <c:v>5442</c:v>
                </c:pt>
                <c:pt idx="28">
                  <c:v>5542</c:v>
                </c:pt>
                <c:pt idx="29">
                  <c:v>5339</c:v>
                </c:pt>
                <c:pt idx="30">
                  <c:v>5358</c:v>
                </c:pt>
                <c:pt idx="31">
                  <c:v>5403</c:v>
                </c:pt>
                <c:pt idx="32">
                  <c:v>5345</c:v>
                </c:pt>
                <c:pt idx="33">
                  <c:v>5435</c:v>
                </c:pt>
                <c:pt idx="34">
                  <c:v>5474</c:v>
                </c:pt>
                <c:pt idx="35">
                  <c:v>5540</c:v>
                </c:pt>
                <c:pt idx="36">
                  <c:v>5836</c:v>
                </c:pt>
                <c:pt idx="37">
                  <c:v>5777</c:v>
                </c:pt>
                <c:pt idx="38">
                  <c:v>5629</c:v>
                </c:pt>
                <c:pt idx="39">
                  <c:v>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7-401D-A524-327A1454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85080"/>
        <c:axId val="494686256"/>
      </c:lineChart>
      <c:catAx>
        <c:axId val="494685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6256"/>
        <c:crosses val="autoZero"/>
        <c:auto val="1"/>
        <c:lblAlgn val="ctr"/>
        <c:lblOffset val="100"/>
        <c:noMultiLvlLbl val="0"/>
      </c:catAx>
      <c:valAx>
        <c:axId val="494686256"/>
        <c:scaling>
          <c:orientation val="minMax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85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Chicken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'Granger 2'!$A$2:$A$43</c:f>
              <c:numCache>
                <c:formatCode>General</c:formatCode>
                <c:ptCount val="42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cat>
          <c:val>
            <c:numRef>
              <c:f>'Granger 2'!$B$2:$B$43</c:f>
              <c:numCache>
                <c:formatCode>General</c:formatCode>
                <c:ptCount val="42"/>
                <c:pt idx="1">
                  <c:v>-12928</c:v>
                </c:pt>
                <c:pt idx="2">
                  <c:v>7708</c:v>
                </c:pt>
                <c:pt idx="3">
                  <c:v>-10586</c:v>
                </c:pt>
                <c:pt idx="4">
                  <c:v>-43979</c:v>
                </c:pt>
                <c:pt idx="5">
                  <c:v>13488</c:v>
                </c:pt>
                <c:pt idx="6">
                  <c:v>20475</c:v>
                </c:pt>
                <c:pt idx="7">
                  <c:v>-34297</c:v>
                </c:pt>
                <c:pt idx="8">
                  <c:v>28967</c:v>
                </c:pt>
                <c:pt idx="9">
                  <c:v>19697</c:v>
                </c:pt>
                <c:pt idx="10">
                  <c:v>-15447</c:v>
                </c:pt>
                <c:pt idx="11">
                  <c:v>54094</c:v>
                </c:pt>
                <c:pt idx="12">
                  <c:v>65112</c:v>
                </c:pt>
                <c:pt idx="13">
                  <c:v>40150</c:v>
                </c:pt>
                <c:pt idx="14">
                  <c:v>-65700</c:v>
                </c:pt>
                <c:pt idx="15">
                  <c:v>6730</c:v>
                </c:pt>
                <c:pt idx="16">
                  <c:v>-56010</c:v>
                </c:pt>
                <c:pt idx="17">
                  <c:v>32427</c:v>
                </c:pt>
                <c:pt idx="18">
                  <c:v>-68768</c:v>
                </c:pt>
                <c:pt idx="19">
                  <c:v>25673</c:v>
                </c:pt>
                <c:pt idx="20">
                  <c:v>-25561</c:v>
                </c:pt>
                <c:pt idx="21">
                  <c:v>-4433</c:v>
                </c:pt>
                <c:pt idx="22">
                  <c:v>-28399</c:v>
                </c:pt>
                <c:pt idx="23">
                  <c:v>-1380</c:v>
                </c:pt>
                <c:pt idx="24">
                  <c:v>-6068</c:v>
                </c:pt>
                <c:pt idx="25">
                  <c:v>-7018</c:v>
                </c:pt>
                <c:pt idx="26">
                  <c:v>7673</c:v>
                </c:pt>
                <c:pt idx="27">
                  <c:v>-17082</c:v>
                </c:pt>
                <c:pt idx="28">
                  <c:v>12721</c:v>
                </c:pt>
                <c:pt idx="29">
                  <c:v>-17518</c:v>
                </c:pt>
                <c:pt idx="30">
                  <c:v>-3402</c:v>
                </c:pt>
                <c:pt idx="31">
                  <c:v>11310</c:v>
                </c:pt>
                <c:pt idx="32">
                  <c:v>-1817</c:v>
                </c:pt>
                <c:pt idx="33">
                  <c:v>6687</c:v>
                </c:pt>
                <c:pt idx="34">
                  <c:v>11856</c:v>
                </c:pt>
                <c:pt idx="35">
                  <c:v>-1099</c:v>
                </c:pt>
                <c:pt idx="36">
                  <c:v>35727</c:v>
                </c:pt>
                <c:pt idx="37">
                  <c:v>-3588</c:v>
                </c:pt>
                <c:pt idx="38">
                  <c:v>-3062</c:v>
                </c:pt>
                <c:pt idx="39">
                  <c:v>11184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9-4582-AB74-F1E782D4D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92528"/>
        <c:axId val="494693312"/>
      </c:lineChart>
      <c:catAx>
        <c:axId val="49469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93312"/>
        <c:crosses val="autoZero"/>
        <c:auto val="1"/>
        <c:lblAlgn val="ctr"/>
        <c:lblOffset val="100"/>
        <c:noMultiLvlLbl val="0"/>
      </c:catAx>
      <c:valAx>
        <c:axId val="494693312"/>
        <c:scaling>
          <c:orientation val="minMax"/>
          <c:max val="70000"/>
          <c:min val="-7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9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Egg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'Granger 2'!$A$2:$A$43</c:f>
              <c:numCache>
                <c:formatCode>General</c:formatCode>
                <c:ptCount val="42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cat>
          <c:val>
            <c:numRef>
              <c:f>'Granger 2'!$C$3:$C$41</c:f>
              <c:numCache>
                <c:formatCode>General</c:formatCode>
                <c:ptCount val="39"/>
                <c:pt idx="0">
                  <c:v>-205</c:v>
                </c:pt>
                <c:pt idx="1">
                  <c:v>-72</c:v>
                </c:pt>
                <c:pt idx="2">
                  <c:v>-99</c:v>
                </c:pt>
                <c:pt idx="3">
                  <c:v>-75</c:v>
                </c:pt>
                <c:pt idx="4">
                  <c:v>85</c:v>
                </c:pt>
                <c:pt idx="5">
                  <c:v>277</c:v>
                </c:pt>
                <c:pt idx="6">
                  <c:v>-19</c:v>
                </c:pt>
                <c:pt idx="7">
                  <c:v>137</c:v>
                </c:pt>
                <c:pt idx="8">
                  <c:v>79</c:v>
                </c:pt>
                <c:pt idx="9">
                  <c:v>200</c:v>
                </c:pt>
                <c:pt idx="10">
                  <c:v>616</c:v>
                </c:pt>
                <c:pt idx="11">
                  <c:v>544</c:v>
                </c:pt>
                <c:pt idx="12">
                  <c:v>366</c:v>
                </c:pt>
                <c:pt idx="13">
                  <c:v>-212</c:v>
                </c:pt>
                <c:pt idx="14">
                  <c:v>-24</c:v>
                </c:pt>
                <c:pt idx="15">
                  <c:v>-53</c:v>
                </c:pt>
                <c:pt idx="16">
                  <c:v>-45</c:v>
                </c:pt>
                <c:pt idx="17">
                  <c:v>116</c:v>
                </c:pt>
                <c:pt idx="18">
                  <c:v>256</c:v>
                </c:pt>
                <c:pt idx="19">
                  <c:v>-82</c:v>
                </c:pt>
                <c:pt idx="20">
                  <c:v>1</c:v>
                </c:pt>
                <c:pt idx="21">
                  <c:v>-16</c:v>
                </c:pt>
                <c:pt idx="22">
                  <c:v>95</c:v>
                </c:pt>
                <c:pt idx="23">
                  <c:v>5</c:v>
                </c:pt>
                <c:pt idx="24">
                  <c:v>93</c:v>
                </c:pt>
                <c:pt idx="25">
                  <c:v>-58</c:v>
                </c:pt>
                <c:pt idx="26">
                  <c:v>0</c:v>
                </c:pt>
                <c:pt idx="27">
                  <c:v>100</c:v>
                </c:pt>
                <c:pt idx="28">
                  <c:v>-203</c:v>
                </c:pt>
                <c:pt idx="29">
                  <c:v>19</c:v>
                </c:pt>
                <c:pt idx="30">
                  <c:v>45</c:v>
                </c:pt>
                <c:pt idx="31">
                  <c:v>-58</c:v>
                </c:pt>
                <c:pt idx="32">
                  <c:v>90</c:v>
                </c:pt>
                <c:pt idx="33">
                  <c:v>39</c:v>
                </c:pt>
                <c:pt idx="34">
                  <c:v>66</c:v>
                </c:pt>
                <c:pt idx="35">
                  <c:v>296</c:v>
                </c:pt>
                <c:pt idx="36">
                  <c:v>-59</c:v>
                </c:pt>
                <c:pt idx="37">
                  <c:v>-148</c:v>
                </c:pt>
                <c:pt idx="38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3-4928-8B29-EA79A5D7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94096"/>
        <c:axId val="494705856"/>
      </c:lineChart>
      <c:catAx>
        <c:axId val="49469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05856"/>
        <c:crosses val="autoZero"/>
        <c:auto val="1"/>
        <c:lblAlgn val="ctr"/>
        <c:lblOffset val="100"/>
        <c:noMultiLvlLbl val="0"/>
      </c:catAx>
      <c:valAx>
        <c:axId val="494705856"/>
        <c:scaling>
          <c:orientation val="minMax"/>
          <c:max val="650"/>
          <c:min val="-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9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Oil Price Comparison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Engle!$B$1</c:f>
              <c:strCache>
                <c:ptCount val="1"/>
                <c:pt idx="0">
                  <c:v>WTI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Engle!$B$2:$B$505</c:f>
              <c:numCache>
                <c:formatCode>0.00</c:formatCode>
                <c:ptCount val="504"/>
                <c:pt idx="0">
                  <c:v>46.17</c:v>
                </c:pt>
                <c:pt idx="1">
                  <c:v>48.61</c:v>
                </c:pt>
                <c:pt idx="2">
                  <c:v>48.56</c:v>
                </c:pt>
                <c:pt idx="3">
                  <c:v>42.75</c:v>
                </c:pt>
                <c:pt idx="4">
                  <c:v>41.68</c:v>
                </c:pt>
                <c:pt idx="5">
                  <c:v>40.69</c:v>
                </c:pt>
                <c:pt idx="6">
                  <c:v>37.65</c:v>
                </c:pt>
                <c:pt idx="7">
                  <c:v>37.770000000000003</c:v>
                </c:pt>
                <c:pt idx="8">
                  <c:v>37.43</c:v>
                </c:pt>
                <c:pt idx="9">
                  <c:v>35.409999999999997</c:v>
                </c:pt>
                <c:pt idx="10">
                  <c:v>35.380000000000003</c:v>
                </c:pt>
                <c:pt idx="11">
                  <c:v>38.57</c:v>
                </c:pt>
                <c:pt idx="12">
                  <c:v>42.56</c:v>
                </c:pt>
                <c:pt idx="13">
                  <c:v>42.33</c:v>
                </c:pt>
                <c:pt idx="14">
                  <c:v>45.12</c:v>
                </c:pt>
                <c:pt idx="15">
                  <c:v>46.5</c:v>
                </c:pt>
                <c:pt idx="16">
                  <c:v>41.67</c:v>
                </c:pt>
                <c:pt idx="17">
                  <c:v>42.04</c:v>
                </c:pt>
                <c:pt idx="18">
                  <c:v>41.58</c:v>
                </c:pt>
                <c:pt idx="19">
                  <c:v>41.73</c:v>
                </c:pt>
                <c:pt idx="20">
                  <c:v>41.35</c:v>
                </c:pt>
                <c:pt idx="21">
                  <c:v>40.869999999999997</c:v>
                </c:pt>
                <c:pt idx="22">
                  <c:v>40.270000000000003</c:v>
                </c:pt>
                <c:pt idx="23">
                  <c:v>41.15</c:v>
                </c:pt>
                <c:pt idx="24">
                  <c:v>40.24</c:v>
                </c:pt>
                <c:pt idx="25">
                  <c:v>39.58</c:v>
                </c:pt>
                <c:pt idx="26">
                  <c:v>37.54</c:v>
                </c:pt>
                <c:pt idx="27">
                  <c:v>35.93</c:v>
                </c:pt>
                <c:pt idx="28">
                  <c:v>34.03</c:v>
                </c:pt>
                <c:pt idx="29">
                  <c:v>37.630000000000003</c:v>
                </c:pt>
                <c:pt idx="30">
                  <c:v>34.96</c:v>
                </c:pt>
                <c:pt idx="31">
                  <c:v>34.67</c:v>
                </c:pt>
                <c:pt idx="32">
                  <c:v>39.6</c:v>
                </c:pt>
                <c:pt idx="33">
                  <c:v>39.35</c:v>
                </c:pt>
                <c:pt idx="34">
                  <c:v>37.659999999999997</c:v>
                </c:pt>
                <c:pt idx="35">
                  <c:v>38.86</c:v>
                </c:pt>
                <c:pt idx="36">
                  <c:v>41.64</c:v>
                </c:pt>
                <c:pt idx="37">
                  <c:v>43.18</c:v>
                </c:pt>
                <c:pt idx="38">
                  <c:v>44.15</c:v>
                </c:pt>
                <c:pt idx="39">
                  <c:v>40.07</c:v>
                </c:pt>
                <c:pt idx="40">
                  <c:v>41.57</c:v>
                </c:pt>
                <c:pt idx="41">
                  <c:v>45.28</c:v>
                </c:pt>
                <c:pt idx="42">
                  <c:v>43.54</c:v>
                </c:pt>
                <c:pt idx="43">
                  <c:v>45.43</c:v>
                </c:pt>
                <c:pt idx="44">
                  <c:v>47.01</c:v>
                </c:pt>
                <c:pt idx="45">
                  <c:v>45.68</c:v>
                </c:pt>
                <c:pt idx="46">
                  <c:v>42.46</c:v>
                </c:pt>
                <c:pt idx="47">
                  <c:v>46.91</c:v>
                </c:pt>
                <c:pt idx="48">
                  <c:v>46.22</c:v>
                </c:pt>
                <c:pt idx="49">
                  <c:v>47.33</c:v>
                </c:pt>
                <c:pt idx="50">
                  <c:v>48.97</c:v>
                </c:pt>
                <c:pt idx="51">
                  <c:v>48.12</c:v>
                </c:pt>
                <c:pt idx="52">
                  <c:v>51.46</c:v>
                </c:pt>
                <c:pt idx="53">
                  <c:v>51.55</c:v>
                </c:pt>
                <c:pt idx="54">
                  <c:v>53.05</c:v>
                </c:pt>
                <c:pt idx="55">
                  <c:v>53.36</c:v>
                </c:pt>
                <c:pt idx="56">
                  <c:v>52.24</c:v>
                </c:pt>
                <c:pt idx="57">
                  <c:v>53.87</c:v>
                </c:pt>
                <c:pt idx="58">
                  <c:v>52.41</c:v>
                </c:pt>
                <c:pt idx="59">
                  <c:v>48.49</c:v>
                </c:pt>
                <c:pt idx="60">
                  <c:v>49.64</c:v>
                </c:pt>
                <c:pt idx="61">
                  <c:v>48.46</c:v>
                </c:pt>
                <c:pt idx="62">
                  <c:v>52.61</c:v>
                </c:pt>
                <c:pt idx="63">
                  <c:v>52.52</c:v>
                </c:pt>
                <c:pt idx="64">
                  <c:v>51.1</c:v>
                </c:pt>
                <c:pt idx="65">
                  <c:v>49.13</c:v>
                </c:pt>
                <c:pt idx="66">
                  <c:v>49.37</c:v>
                </c:pt>
                <c:pt idx="67">
                  <c:v>52.24</c:v>
                </c:pt>
                <c:pt idx="68">
                  <c:v>50.22</c:v>
                </c:pt>
                <c:pt idx="69">
                  <c:v>49.51</c:v>
                </c:pt>
                <c:pt idx="70">
                  <c:v>49.26</c:v>
                </c:pt>
                <c:pt idx="71">
                  <c:v>49.97</c:v>
                </c:pt>
                <c:pt idx="72">
                  <c:v>50.36</c:v>
                </c:pt>
                <c:pt idx="73">
                  <c:v>45.82</c:v>
                </c:pt>
                <c:pt idx="74">
                  <c:v>46.65</c:v>
                </c:pt>
                <c:pt idx="75">
                  <c:v>47.41</c:v>
                </c:pt>
                <c:pt idx="76">
                  <c:v>48.46</c:v>
                </c:pt>
                <c:pt idx="77">
                  <c:v>50.65</c:v>
                </c:pt>
                <c:pt idx="78">
                  <c:v>49.29</c:v>
                </c:pt>
                <c:pt idx="79">
                  <c:v>49.01</c:v>
                </c:pt>
                <c:pt idx="80">
                  <c:v>50.19</c:v>
                </c:pt>
                <c:pt idx="81">
                  <c:v>50.35</c:v>
                </c:pt>
                <c:pt idx="82">
                  <c:v>52.18</c:v>
                </c:pt>
                <c:pt idx="83">
                  <c:v>54.45</c:v>
                </c:pt>
                <c:pt idx="84">
                  <c:v>53.81</c:v>
                </c:pt>
                <c:pt idx="85">
                  <c:v>56.29</c:v>
                </c:pt>
                <c:pt idx="86">
                  <c:v>56.67</c:v>
                </c:pt>
                <c:pt idx="87">
                  <c:v>58.58</c:v>
                </c:pt>
                <c:pt idx="88">
                  <c:v>57.79</c:v>
                </c:pt>
                <c:pt idx="89">
                  <c:v>58.81</c:v>
                </c:pt>
                <c:pt idx="90">
                  <c:v>58</c:v>
                </c:pt>
                <c:pt idx="91">
                  <c:v>58.58</c:v>
                </c:pt>
                <c:pt idx="92">
                  <c:v>56.52</c:v>
                </c:pt>
                <c:pt idx="93">
                  <c:v>58.99</c:v>
                </c:pt>
                <c:pt idx="94">
                  <c:v>59.52</c:v>
                </c:pt>
                <c:pt idx="95">
                  <c:v>61.45</c:v>
                </c:pt>
                <c:pt idx="96">
                  <c:v>60.49</c:v>
                </c:pt>
                <c:pt idx="97">
                  <c:v>61.15</c:v>
                </c:pt>
                <c:pt idx="98">
                  <c:v>62.48</c:v>
                </c:pt>
                <c:pt idx="99">
                  <c:v>63.41</c:v>
                </c:pt>
                <c:pt idx="100">
                  <c:v>65.09</c:v>
                </c:pt>
                <c:pt idx="101">
                  <c:v>66.31</c:v>
                </c:pt>
                <c:pt idx="102">
                  <c:v>68.59</c:v>
                </c:pt>
                <c:pt idx="103">
                  <c:v>68.58</c:v>
                </c:pt>
                <c:pt idx="104">
                  <c:v>66.14</c:v>
                </c:pt>
                <c:pt idx="105">
                  <c:v>68.8</c:v>
                </c:pt>
                <c:pt idx="106">
                  <c:v>68.430000000000007</c:v>
                </c:pt>
                <c:pt idx="107">
                  <c:v>68.05</c:v>
                </c:pt>
                <c:pt idx="108">
                  <c:v>70.02</c:v>
                </c:pt>
                <c:pt idx="109">
                  <c:v>71.38</c:v>
                </c:pt>
                <c:pt idx="110">
                  <c:v>72.69</c:v>
                </c:pt>
                <c:pt idx="111">
                  <c:v>72.13</c:v>
                </c:pt>
                <c:pt idx="112">
                  <c:v>70.540000000000006</c:v>
                </c:pt>
                <c:pt idx="113">
                  <c:v>70.47</c:v>
                </c:pt>
                <c:pt idx="114">
                  <c:v>71.069999999999993</c:v>
                </c:pt>
                <c:pt idx="115">
                  <c:v>71.42</c:v>
                </c:pt>
                <c:pt idx="116">
                  <c:v>69.599999999999994</c:v>
                </c:pt>
                <c:pt idx="117">
                  <c:v>67.09</c:v>
                </c:pt>
                <c:pt idx="118">
                  <c:v>68.81</c:v>
                </c:pt>
                <c:pt idx="119">
                  <c:v>68.14</c:v>
                </c:pt>
                <c:pt idx="120">
                  <c:v>69.7</c:v>
                </c:pt>
                <c:pt idx="121">
                  <c:v>69.16</c:v>
                </c:pt>
                <c:pt idx="122">
                  <c:v>71.47</c:v>
                </c:pt>
                <c:pt idx="123">
                  <c:v>69.819999999999993</c:v>
                </c:pt>
                <c:pt idx="124">
                  <c:v>69.319999999999993</c:v>
                </c:pt>
                <c:pt idx="125">
                  <c:v>66.680000000000007</c:v>
                </c:pt>
                <c:pt idx="126">
                  <c:v>64.06</c:v>
                </c:pt>
                <c:pt idx="127">
                  <c:v>62.88</c:v>
                </c:pt>
                <c:pt idx="128">
                  <c:v>60.15</c:v>
                </c:pt>
                <c:pt idx="129">
                  <c:v>60.36</c:v>
                </c:pt>
                <c:pt idx="130">
                  <c:v>59.93</c:v>
                </c:pt>
                <c:pt idx="131">
                  <c:v>59.69</c:v>
                </c:pt>
                <c:pt idx="132">
                  <c:v>59.62</c:v>
                </c:pt>
                <c:pt idx="133">
                  <c:v>61.49</c:v>
                </c:pt>
                <c:pt idx="134">
                  <c:v>62.07</c:v>
                </c:pt>
                <c:pt idx="135">
                  <c:v>63.56</c:v>
                </c:pt>
                <c:pt idx="136">
                  <c:v>63.93</c:v>
                </c:pt>
                <c:pt idx="137">
                  <c:v>64.81</c:v>
                </c:pt>
                <c:pt idx="138">
                  <c:v>64.58</c:v>
                </c:pt>
                <c:pt idx="139">
                  <c:v>66.099999999999994</c:v>
                </c:pt>
                <c:pt idx="140">
                  <c:v>66.959999999999994</c:v>
                </c:pt>
                <c:pt idx="141">
                  <c:v>68.34</c:v>
                </c:pt>
                <c:pt idx="142">
                  <c:v>67.239999999999995</c:v>
                </c:pt>
                <c:pt idx="143">
                  <c:v>63.42</c:v>
                </c:pt>
                <c:pt idx="144">
                  <c:v>66.900000000000006</c:v>
                </c:pt>
                <c:pt idx="145">
                  <c:v>69.260000000000005</c:v>
                </c:pt>
                <c:pt idx="146">
                  <c:v>71.59</c:v>
                </c:pt>
                <c:pt idx="147">
                  <c:v>71.400000000000006</c:v>
                </c:pt>
                <c:pt idx="148">
                  <c:v>71.97</c:v>
                </c:pt>
                <c:pt idx="149">
                  <c:v>71.959999999999994</c:v>
                </c:pt>
                <c:pt idx="150">
                  <c:v>70.97</c:v>
                </c:pt>
                <c:pt idx="151">
                  <c:v>70.59</c:v>
                </c:pt>
                <c:pt idx="152">
                  <c:v>69.459999999999994</c:v>
                </c:pt>
                <c:pt idx="153">
                  <c:v>70.08</c:v>
                </c:pt>
                <c:pt idx="154">
                  <c:v>70.569999999999993</c:v>
                </c:pt>
                <c:pt idx="155">
                  <c:v>67.510000000000005</c:v>
                </c:pt>
                <c:pt idx="156">
                  <c:v>66.72</c:v>
                </c:pt>
                <c:pt idx="157">
                  <c:v>69.22</c:v>
                </c:pt>
                <c:pt idx="158">
                  <c:v>72.540000000000006</c:v>
                </c:pt>
                <c:pt idx="159">
                  <c:v>72.400000000000006</c:v>
                </c:pt>
                <c:pt idx="160">
                  <c:v>73.12</c:v>
                </c:pt>
                <c:pt idx="161">
                  <c:v>73.680000000000007</c:v>
                </c:pt>
                <c:pt idx="162">
                  <c:v>71.599999999999994</c:v>
                </c:pt>
                <c:pt idx="163">
                  <c:v>71.38</c:v>
                </c:pt>
                <c:pt idx="164">
                  <c:v>72.489999999999995</c:v>
                </c:pt>
                <c:pt idx="165">
                  <c:v>72.72</c:v>
                </c:pt>
                <c:pt idx="166">
                  <c:v>69.97</c:v>
                </c:pt>
                <c:pt idx="167">
                  <c:v>68.11</c:v>
                </c:pt>
                <c:pt idx="168">
                  <c:v>68.03</c:v>
                </c:pt>
                <c:pt idx="169">
                  <c:v>67.900000000000006</c:v>
                </c:pt>
                <c:pt idx="170">
                  <c:v>67.95</c:v>
                </c:pt>
                <c:pt idx="171">
                  <c:v>71.08</c:v>
                </c:pt>
                <c:pt idx="172">
                  <c:v>71.27</c:v>
                </c:pt>
                <c:pt idx="173">
                  <c:v>71.95</c:v>
                </c:pt>
                <c:pt idx="174">
                  <c:v>69.34</c:v>
                </c:pt>
                <c:pt idx="175">
                  <c:v>68.86</c:v>
                </c:pt>
                <c:pt idx="176">
                  <c:v>70.81</c:v>
                </c:pt>
                <c:pt idx="177">
                  <c:v>72.5</c:v>
                </c:pt>
                <c:pt idx="178">
                  <c:v>72.48</c:v>
                </c:pt>
                <c:pt idx="179">
                  <c:v>71.95</c:v>
                </c:pt>
                <c:pt idx="180">
                  <c:v>69.739999999999995</c:v>
                </c:pt>
                <c:pt idx="181">
                  <c:v>71.5</c:v>
                </c:pt>
                <c:pt idx="182">
                  <c:v>68.739999999999995</c:v>
                </c:pt>
                <c:pt idx="183">
                  <c:v>65.739999999999995</c:v>
                </c:pt>
                <c:pt idx="184">
                  <c:v>65.91</c:v>
                </c:pt>
                <c:pt idx="185">
                  <c:v>66.69</c:v>
                </c:pt>
                <c:pt idx="186">
                  <c:v>66.56</c:v>
                </c:pt>
                <c:pt idx="187">
                  <c:v>70.459999999999994</c:v>
                </c:pt>
                <c:pt idx="188">
                  <c:v>70.67</c:v>
                </c:pt>
                <c:pt idx="189">
                  <c:v>69.8</c:v>
                </c:pt>
                <c:pt idx="190">
                  <c:v>70.260000000000005</c:v>
                </c:pt>
                <c:pt idx="191">
                  <c:v>70.709999999999994</c:v>
                </c:pt>
                <c:pt idx="192">
                  <c:v>69.599999999999994</c:v>
                </c:pt>
                <c:pt idx="193">
                  <c:v>71.69</c:v>
                </c:pt>
                <c:pt idx="194">
                  <c:v>71.75</c:v>
                </c:pt>
                <c:pt idx="195">
                  <c:v>73.239999999999995</c:v>
                </c:pt>
                <c:pt idx="196">
                  <c:v>74.099999999999994</c:v>
                </c:pt>
                <c:pt idx="197">
                  <c:v>75.2</c:v>
                </c:pt>
                <c:pt idx="198">
                  <c:v>77.55</c:v>
                </c:pt>
                <c:pt idx="199">
                  <c:v>78.540000000000006</c:v>
                </c:pt>
                <c:pt idx="200">
                  <c:v>79.47</c:v>
                </c:pt>
                <c:pt idx="201">
                  <c:v>78.87</c:v>
                </c:pt>
                <c:pt idx="202">
                  <c:v>81.03</c:v>
                </c:pt>
                <c:pt idx="203">
                  <c:v>80.819999999999993</c:v>
                </c:pt>
                <c:pt idx="204">
                  <c:v>80.11</c:v>
                </c:pt>
                <c:pt idx="205">
                  <c:v>78.61</c:v>
                </c:pt>
                <c:pt idx="206">
                  <c:v>79.45</c:v>
                </c:pt>
                <c:pt idx="207">
                  <c:v>77.39</c:v>
                </c:pt>
                <c:pt idx="208">
                  <c:v>79.84</c:v>
                </c:pt>
                <c:pt idx="209">
                  <c:v>77.040000000000006</c:v>
                </c:pt>
                <c:pt idx="210">
                  <c:v>78.08</c:v>
                </c:pt>
                <c:pt idx="211">
                  <c:v>79.58</c:v>
                </c:pt>
                <c:pt idx="212">
                  <c:v>80.3</c:v>
                </c:pt>
                <c:pt idx="213">
                  <c:v>79.64</c:v>
                </c:pt>
                <c:pt idx="214">
                  <c:v>77.400000000000006</c:v>
                </c:pt>
                <c:pt idx="215">
                  <c:v>79.44</c:v>
                </c:pt>
                <c:pt idx="216">
                  <c:v>79.010000000000005</c:v>
                </c:pt>
                <c:pt idx="217">
                  <c:v>79.16</c:v>
                </c:pt>
                <c:pt idx="218">
                  <c:v>77.25</c:v>
                </c:pt>
                <c:pt idx="219">
                  <c:v>76.34</c:v>
                </c:pt>
                <c:pt idx="220">
                  <c:v>78.91</c:v>
                </c:pt>
                <c:pt idx="221">
                  <c:v>79.08</c:v>
                </c:pt>
                <c:pt idx="222">
                  <c:v>79.55</c:v>
                </c:pt>
                <c:pt idx="223">
                  <c:v>77.47</c:v>
                </c:pt>
                <c:pt idx="224">
                  <c:v>76.83</c:v>
                </c:pt>
                <c:pt idx="225">
                  <c:v>76.489999999999995</c:v>
                </c:pt>
                <c:pt idx="226">
                  <c:v>74.88</c:v>
                </c:pt>
                <c:pt idx="227">
                  <c:v>77.25</c:v>
                </c:pt>
                <c:pt idx="228">
                  <c:v>75.95</c:v>
                </c:pt>
                <c:pt idx="229">
                  <c:v>77.19</c:v>
                </c:pt>
                <c:pt idx="230">
                  <c:v>78.39</c:v>
                </c:pt>
                <c:pt idx="231">
                  <c:v>76.62</c:v>
                </c:pt>
                <c:pt idx="232">
                  <c:v>76.42</c:v>
                </c:pt>
                <c:pt idx="233">
                  <c:v>75.41</c:v>
                </c:pt>
                <c:pt idx="234">
                  <c:v>73.89</c:v>
                </c:pt>
                <c:pt idx="235">
                  <c:v>72.59</c:v>
                </c:pt>
                <c:pt idx="236">
                  <c:v>70.67</c:v>
                </c:pt>
                <c:pt idx="237">
                  <c:v>70.540000000000006</c:v>
                </c:pt>
                <c:pt idx="238">
                  <c:v>69.86</c:v>
                </c:pt>
                <c:pt idx="239">
                  <c:v>69.48</c:v>
                </c:pt>
                <c:pt idx="240">
                  <c:v>70.62</c:v>
                </c:pt>
                <c:pt idx="241">
                  <c:v>72.64</c:v>
                </c:pt>
                <c:pt idx="242">
                  <c:v>72.58</c:v>
                </c:pt>
                <c:pt idx="243">
                  <c:v>73.3</c:v>
                </c:pt>
                <c:pt idx="244">
                  <c:v>72.709999999999994</c:v>
                </c:pt>
                <c:pt idx="245">
                  <c:v>73.48</c:v>
                </c:pt>
                <c:pt idx="246">
                  <c:v>76.03</c:v>
                </c:pt>
                <c:pt idx="247">
                  <c:v>76.83</c:v>
                </c:pt>
                <c:pt idx="248">
                  <c:v>78.67</c:v>
                </c:pt>
                <c:pt idx="249">
                  <c:v>78.87</c:v>
                </c:pt>
                <c:pt idx="250">
                  <c:v>79.349999999999994</c:v>
                </c:pt>
                <c:pt idx="251">
                  <c:v>79.39</c:v>
                </c:pt>
                <c:pt idx="252">
                  <c:v>81.52</c:v>
                </c:pt>
                <c:pt idx="253">
                  <c:v>81.739999999999995</c:v>
                </c:pt>
                <c:pt idx="254">
                  <c:v>83.12</c:v>
                </c:pt>
                <c:pt idx="255">
                  <c:v>82.6</c:v>
                </c:pt>
                <c:pt idx="256">
                  <c:v>82.74</c:v>
                </c:pt>
                <c:pt idx="257">
                  <c:v>82.54</c:v>
                </c:pt>
                <c:pt idx="258">
                  <c:v>80.790000000000006</c:v>
                </c:pt>
                <c:pt idx="259">
                  <c:v>79.66</c:v>
                </c:pt>
                <c:pt idx="260">
                  <c:v>79.349999999999994</c:v>
                </c:pt>
                <c:pt idx="261">
                  <c:v>77.959999999999994</c:v>
                </c:pt>
                <c:pt idx="262">
                  <c:v>78.98</c:v>
                </c:pt>
                <c:pt idx="263">
                  <c:v>77.42</c:v>
                </c:pt>
                <c:pt idx="264">
                  <c:v>75.84</c:v>
                </c:pt>
                <c:pt idx="265">
                  <c:v>74.25</c:v>
                </c:pt>
                <c:pt idx="266">
                  <c:v>74.900000000000006</c:v>
                </c:pt>
                <c:pt idx="267">
                  <c:v>74.67</c:v>
                </c:pt>
                <c:pt idx="268">
                  <c:v>73.64</c:v>
                </c:pt>
                <c:pt idx="269">
                  <c:v>73.62</c:v>
                </c:pt>
                <c:pt idx="270">
                  <c:v>72.849999999999994</c:v>
                </c:pt>
                <c:pt idx="271">
                  <c:v>74.41</c:v>
                </c:pt>
                <c:pt idx="272">
                  <c:v>77.209999999999994</c:v>
                </c:pt>
                <c:pt idx="273">
                  <c:v>76.959999999999994</c:v>
                </c:pt>
                <c:pt idx="274">
                  <c:v>73.13</c:v>
                </c:pt>
                <c:pt idx="275">
                  <c:v>71.150000000000006</c:v>
                </c:pt>
                <c:pt idx="276">
                  <c:v>71.87</c:v>
                </c:pt>
                <c:pt idx="277">
                  <c:v>73.709999999999994</c:v>
                </c:pt>
                <c:pt idx="278">
                  <c:v>74.48</c:v>
                </c:pt>
                <c:pt idx="279">
                  <c:v>75.23</c:v>
                </c:pt>
                <c:pt idx="280">
                  <c:v>74.11</c:v>
                </c:pt>
                <c:pt idx="281">
                  <c:v>76.98</c:v>
                </c:pt>
                <c:pt idx="282">
                  <c:v>77.27</c:v>
                </c:pt>
                <c:pt idx="283">
                  <c:v>78.97</c:v>
                </c:pt>
                <c:pt idx="284">
                  <c:v>79.77</c:v>
                </c:pt>
                <c:pt idx="285">
                  <c:v>80.040000000000006</c:v>
                </c:pt>
                <c:pt idx="286">
                  <c:v>78.61</c:v>
                </c:pt>
                <c:pt idx="287">
                  <c:v>79.75</c:v>
                </c:pt>
                <c:pt idx="288">
                  <c:v>77.989999999999995</c:v>
                </c:pt>
                <c:pt idx="289">
                  <c:v>79.72</c:v>
                </c:pt>
                <c:pt idx="290">
                  <c:v>78.709999999999994</c:v>
                </c:pt>
                <c:pt idx="291">
                  <c:v>79.62</c:v>
                </c:pt>
                <c:pt idx="292">
                  <c:v>80.91</c:v>
                </c:pt>
                <c:pt idx="293">
                  <c:v>80.209999999999994</c:v>
                </c:pt>
                <c:pt idx="294">
                  <c:v>81.5</c:v>
                </c:pt>
                <c:pt idx="295">
                  <c:v>81.849999999999994</c:v>
                </c:pt>
                <c:pt idx="296">
                  <c:v>81.5</c:v>
                </c:pt>
                <c:pt idx="297">
                  <c:v>82.07</c:v>
                </c:pt>
                <c:pt idx="298">
                  <c:v>82.1</c:v>
                </c:pt>
                <c:pt idx="299">
                  <c:v>81.260000000000005</c:v>
                </c:pt>
                <c:pt idx="300">
                  <c:v>79.790000000000006</c:v>
                </c:pt>
                <c:pt idx="301">
                  <c:v>81.75</c:v>
                </c:pt>
                <c:pt idx="302">
                  <c:v>82.93</c:v>
                </c:pt>
                <c:pt idx="303">
                  <c:v>82.16</c:v>
                </c:pt>
                <c:pt idx="304">
                  <c:v>80.58</c:v>
                </c:pt>
                <c:pt idx="305">
                  <c:v>81.260000000000005</c:v>
                </c:pt>
                <c:pt idx="306">
                  <c:v>81.680000000000007</c:v>
                </c:pt>
                <c:pt idx="307">
                  <c:v>80.290000000000006</c:v>
                </c:pt>
                <c:pt idx="308">
                  <c:v>80.25</c:v>
                </c:pt>
                <c:pt idx="309">
                  <c:v>79.75</c:v>
                </c:pt>
                <c:pt idx="310">
                  <c:v>81.92</c:v>
                </c:pt>
                <c:pt idx="311">
                  <c:v>82.14</c:v>
                </c:pt>
                <c:pt idx="312">
                  <c:v>83.45</c:v>
                </c:pt>
                <c:pt idx="313">
                  <c:v>84.53</c:v>
                </c:pt>
                <c:pt idx="314">
                  <c:v>86.36</c:v>
                </c:pt>
                <c:pt idx="315">
                  <c:v>86.54</c:v>
                </c:pt>
                <c:pt idx="316">
                  <c:v>85.64</c:v>
                </c:pt>
                <c:pt idx="317">
                  <c:v>85.17</c:v>
                </c:pt>
                <c:pt idx="318">
                  <c:v>84.6</c:v>
                </c:pt>
                <c:pt idx="319">
                  <c:v>84.07</c:v>
                </c:pt>
                <c:pt idx="320">
                  <c:v>83.8</c:v>
                </c:pt>
                <c:pt idx="321">
                  <c:v>85.62</c:v>
                </c:pt>
                <c:pt idx="322">
                  <c:v>85.25</c:v>
                </c:pt>
                <c:pt idx="323">
                  <c:v>82.97</c:v>
                </c:pt>
                <c:pt idx="324">
                  <c:v>81.52</c:v>
                </c:pt>
                <c:pt idx="325">
                  <c:v>82.98</c:v>
                </c:pt>
                <c:pt idx="326">
                  <c:v>82.78</c:v>
                </c:pt>
                <c:pt idx="327">
                  <c:v>82.89</c:v>
                </c:pt>
                <c:pt idx="328">
                  <c:v>84.34</c:v>
                </c:pt>
                <c:pt idx="329">
                  <c:v>84.2</c:v>
                </c:pt>
                <c:pt idx="330">
                  <c:v>82.43</c:v>
                </c:pt>
                <c:pt idx="331">
                  <c:v>83.22</c:v>
                </c:pt>
                <c:pt idx="332">
                  <c:v>85.17</c:v>
                </c:pt>
                <c:pt idx="333">
                  <c:v>86.07</c:v>
                </c:pt>
                <c:pt idx="334">
                  <c:v>86.19</c:v>
                </c:pt>
                <c:pt idx="335">
                  <c:v>82.73</c:v>
                </c:pt>
                <c:pt idx="336">
                  <c:v>80</c:v>
                </c:pt>
                <c:pt idx="337">
                  <c:v>77.180000000000007</c:v>
                </c:pt>
                <c:pt idx="338">
                  <c:v>75.099999999999994</c:v>
                </c:pt>
                <c:pt idx="339">
                  <c:v>76.89</c:v>
                </c:pt>
                <c:pt idx="340">
                  <c:v>76.37</c:v>
                </c:pt>
                <c:pt idx="341">
                  <c:v>75.650000000000006</c:v>
                </c:pt>
                <c:pt idx="342">
                  <c:v>74.38</c:v>
                </c:pt>
                <c:pt idx="343">
                  <c:v>71.61</c:v>
                </c:pt>
                <c:pt idx="344">
                  <c:v>70.08</c:v>
                </c:pt>
                <c:pt idx="345">
                  <c:v>69.38</c:v>
                </c:pt>
                <c:pt idx="346">
                  <c:v>69.91</c:v>
                </c:pt>
                <c:pt idx="347">
                  <c:v>68.28</c:v>
                </c:pt>
                <c:pt idx="348">
                  <c:v>68.03</c:v>
                </c:pt>
                <c:pt idx="349">
                  <c:v>68.23</c:v>
                </c:pt>
                <c:pt idx="350">
                  <c:v>64.78</c:v>
                </c:pt>
                <c:pt idx="351">
                  <c:v>71.52</c:v>
                </c:pt>
                <c:pt idx="352">
                  <c:v>74.56</c:v>
                </c:pt>
                <c:pt idx="353">
                  <c:v>74</c:v>
                </c:pt>
                <c:pt idx="354">
                  <c:v>72.7</c:v>
                </c:pt>
                <c:pt idx="355">
                  <c:v>72.88</c:v>
                </c:pt>
                <c:pt idx="356">
                  <c:v>74.62</c:v>
                </c:pt>
                <c:pt idx="357">
                  <c:v>71.430000000000007</c:v>
                </c:pt>
                <c:pt idx="358">
                  <c:v>71.55</c:v>
                </c:pt>
                <c:pt idx="359">
                  <c:v>71.88</c:v>
                </c:pt>
                <c:pt idx="360">
                  <c:v>74.38</c:v>
                </c:pt>
                <c:pt idx="361">
                  <c:v>75.48</c:v>
                </c:pt>
                <c:pt idx="362">
                  <c:v>73.89</c:v>
                </c:pt>
                <c:pt idx="363">
                  <c:v>74.989999999999995</c:v>
                </c:pt>
                <c:pt idx="364">
                  <c:v>76.84</c:v>
                </c:pt>
                <c:pt idx="365">
                  <c:v>77.67</c:v>
                </c:pt>
                <c:pt idx="366">
                  <c:v>76.819999999999993</c:v>
                </c:pt>
                <c:pt idx="367">
                  <c:v>77.180000000000007</c:v>
                </c:pt>
                <c:pt idx="368">
                  <c:v>77.84</c:v>
                </c:pt>
                <c:pt idx="369">
                  <c:v>77.150000000000006</c:v>
                </c:pt>
                <c:pt idx="370">
                  <c:v>75.900000000000006</c:v>
                </c:pt>
                <c:pt idx="371">
                  <c:v>75.959999999999994</c:v>
                </c:pt>
                <c:pt idx="372">
                  <c:v>78.45</c:v>
                </c:pt>
                <c:pt idx="373">
                  <c:v>78.260000000000005</c:v>
                </c:pt>
                <c:pt idx="374">
                  <c:v>75.930000000000007</c:v>
                </c:pt>
                <c:pt idx="375">
                  <c:v>75.59</c:v>
                </c:pt>
                <c:pt idx="376">
                  <c:v>72.95</c:v>
                </c:pt>
                <c:pt idx="377">
                  <c:v>72.06</c:v>
                </c:pt>
                <c:pt idx="378">
                  <c:v>71.959999999999994</c:v>
                </c:pt>
                <c:pt idx="379">
                  <c:v>74.05</c:v>
                </c:pt>
                <c:pt idx="380">
                  <c:v>75.459999999999994</c:v>
                </c:pt>
                <c:pt idx="381">
                  <c:v>76.08</c:v>
                </c:pt>
                <c:pt idx="382">
                  <c:v>74.930000000000007</c:v>
                </c:pt>
                <c:pt idx="383">
                  <c:v>77.16</c:v>
                </c:pt>
                <c:pt idx="384">
                  <c:v>77.02</c:v>
                </c:pt>
                <c:pt idx="385">
                  <c:v>76.67</c:v>
                </c:pt>
                <c:pt idx="386">
                  <c:v>75.959999999999994</c:v>
                </c:pt>
                <c:pt idx="387">
                  <c:v>76.53</c:v>
                </c:pt>
                <c:pt idx="388">
                  <c:v>77.319999999999993</c:v>
                </c:pt>
                <c:pt idx="389">
                  <c:v>76.27</c:v>
                </c:pt>
                <c:pt idx="390">
                  <c:v>79.010000000000005</c:v>
                </c:pt>
                <c:pt idx="391">
                  <c:v>78.680000000000007</c:v>
                </c:pt>
                <c:pt idx="392">
                  <c:v>78.930000000000007</c:v>
                </c:pt>
                <c:pt idx="393">
                  <c:v>77.459999999999994</c:v>
                </c:pt>
                <c:pt idx="394">
                  <c:v>77.06</c:v>
                </c:pt>
                <c:pt idx="395">
                  <c:v>78.3</c:v>
                </c:pt>
                <c:pt idx="396">
                  <c:v>78.849999999999994</c:v>
                </c:pt>
                <c:pt idx="397">
                  <c:v>81.25</c:v>
                </c:pt>
                <c:pt idx="398">
                  <c:v>82.52</c:v>
                </c:pt>
                <c:pt idx="399">
                  <c:v>82.49</c:v>
                </c:pt>
                <c:pt idx="400">
                  <c:v>82</c:v>
                </c:pt>
                <c:pt idx="401">
                  <c:v>80.67</c:v>
                </c:pt>
                <c:pt idx="402">
                  <c:v>81.459999999999994</c:v>
                </c:pt>
                <c:pt idx="403">
                  <c:v>80.239999999999995</c:v>
                </c:pt>
                <c:pt idx="404">
                  <c:v>78.09</c:v>
                </c:pt>
                <c:pt idx="405">
                  <c:v>75.680000000000007</c:v>
                </c:pt>
                <c:pt idx="406">
                  <c:v>75.39</c:v>
                </c:pt>
                <c:pt idx="407">
                  <c:v>75.17</c:v>
                </c:pt>
                <c:pt idx="408">
                  <c:v>75.760000000000005</c:v>
                </c:pt>
                <c:pt idx="409">
                  <c:v>75.39</c:v>
                </c:pt>
                <c:pt idx="410">
                  <c:v>74.45</c:v>
                </c:pt>
                <c:pt idx="411">
                  <c:v>73.45</c:v>
                </c:pt>
                <c:pt idx="412">
                  <c:v>72.709999999999994</c:v>
                </c:pt>
                <c:pt idx="413">
                  <c:v>71.239999999999995</c:v>
                </c:pt>
                <c:pt idx="414">
                  <c:v>72.069999999999993</c:v>
                </c:pt>
                <c:pt idx="415">
                  <c:v>73.36</c:v>
                </c:pt>
                <c:pt idx="416">
                  <c:v>75.17</c:v>
                </c:pt>
                <c:pt idx="417">
                  <c:v>74.69</c:v>
                </c:pt>
                <c:pt idx="418">
                  <c:v>71.930000000000007</c:v>
                </c:pt>
                <c:pt idx="419">
                  <c:v>73.97</c:v>
                </c:pt>
                <c:pt idx="420">
                  <c:v>74.989999999999995</c:v>
                </c:pt>
                <c:pt idx="421">
                  <c:v>74.52</c:v>
                </c:pt>
                <c:pt idx="422">
                  <c:v>73.98</c:v>
                </c:pt>
                <c:pt idx="423">
                  <c:v>74.650000000000006</c:v>
                </c:pt>
                <c:pt idx="424">
                  <c:v>74.25</c:v>
                </c:pt>
                <c:pt idx="425">
                  <c:v>76.400000000000006</c:v>
                </c:pt>
                <c:pt idx="426">
                  <c:v>77.17</c:v>
                </c:pt>
                <c:pt idx="427">
                  <c:v>76.78</c:v>
                </c:pt>
                <c:pt idx="428">
                  <c:v>75.92</c:v>
                </c:pt>
                <c:pt idx="429">
                  <c:v>74.58</c:v>
                </c:pt>
                <c:pt idx="430">
                  <c:v>73.63</c:v>
                </c:pt>
                <c:pt idx="431">
                  <c:v>74.81</c:v>
                </c:pt>
                <c:pt idx="432">
                  <c:v>72.959999999999994</c:v>
                </c:pt>
                <c:pt idx="433">
                  <c:v>72.98</c:v>
                </c:pt>
                <c:pt idx="434">
                  <c:v>73.400000000000006</c:v>
                </c:pt>
                <c:pt idx="435">
                  <c:v>74.63</c:v>
                </c:pt>
                <c:pt idx="436">
                  <c:v>76.510000000000005</c:v>
                </c:pt>
                <c:pt idx="437">
                  <c:v>76.150000000000006</c:v>
                </c:pt>
                <c:pt idx="438">
                  <c:v>77.849999999999994</c:v>
                </c:pt>
                <c:pt idx="439">
                  <c:v>79.95</c:v>
                </c:pt>
                <c:pt idx="440">
                  <c:v>81.569999999999993</c:v>
                </c:pt>
                <c:pt idx="441">
                  <c:v>81.430000000000007</c:v>
                </c:pt>
                <c:pt idx="442">
                  <c:v>82.83</c:v>
                </c:pt>
                <c:pt idx="443">
                  <c:v>83.21</c:v>
                </c:pt>
                <c:pt idx="444">
                  <c:v>81.34</c:v>
                </c:pt>
                <c:pt idx="445">
                  <c:v>82.66</c:v>
                </c:pt>
                <c:pt idx="446">
                  <c:v>82.18</c:v>
                </c:pt>
                <c:pt idx="447">
                  <c:v>81.67</c:v>
                </c:pt>
                <c:pt idx="448">
                  <c:v>83.03</c:v>
                </c:pt>
                <c:pt idx="449">
                  <c:v>82.71</c:v>
                </c:pt>
                <c:pt idx="450">
                  <c:v>81.23</c:v>
                </c:pt>
                <c:pt idx="451">
                  <c:v>83.06</c:v>
                </c:pt>
                <c:pt idx="452">
                  <c:v>79.569999999999993</c:v>
                </c:pt>
                <c:pt idx="453">
                  <c:v>81.93</c:v>
                </c:pt>
                <c:pt idx="454">
                  <c:v>80.03</c:v>
                </c:pt>
                <c:pt idx="455">
                  <c:v>81.150000000000006</c:v>
                </c:pt>
                <c:pt idx="456">
                  <c:v>82</c:v>
                </c:pt>
                <c:pt idx="457">
                  <c:v>82.6</c:v>
                </c:pt>
                <c:pt idx="458">
                  <c:v>81.900000000000006</c:v>
                </c:pt>
                <c:pt idx="459">
                  <c:v>82.2</c:v>
                </c:pt>
                <c:pt idx="460">
                  <c:v>81.45</c:v>
                </c:pt>
                <c:pt idx="461">
                  <c:v>82.94</c:v>
                </c:pt>
                <c:pt idx="462">
                  <c:v>83.91</c:v>
                </c:pt>
                <c:pt idx="463">
                  <c:v>84.45</c:v>
                </c:pt>
                <c:pt idx="464">
                  <c:v>86.49</c:v>
                </c:pt>
                <c:pt idx="465">
                  <c:v>86.85</c:v>
                </c:pt>
                <c:pt idx="466">
                  <c:v>87.07</c:v>
                </c:pt>
                <c:pt idx="467">
                  <c:v>87.04</c:v>
                </c:pt>
                <c:pt idx="468">
                  <c:v>87.77</c:v>
                </c:pt>
                <c:pt idx="469">
                  <c:v>87.77</c:v>
                </c:pt>
                <c:pt idx="470">
                  <c:v>84.89</c:v>
                </c:pt>
                <c:pt idx="471">
                  <c:v>84.88</c:v>
                </c:pt>
                <c:pt idx="472">
                  <c:v>82.33</c:v>
                </c:pt>
                <c:pt idx="473">
                  <c:v>80.430000000000007</c:v>
                </c:pt>
                <c:pt idx="474">
                  <c:v>81.88</c:v>
                </c:pt>
                <c:pt idx="475">
                  <c:v>81.650000000000006</c:v>
                </c:pt>
                <c:pt idx="476">
                  <c:v>81.239999999999995</c:v>
                </c:pt>
                <c:pt idx="477">
                  <c:v>80.790000000000006</c:v>
                </c:pt>
                <c:pt idx="478">
                  <c:v>83.21</c:v>
                </c:pt>
                <c:pt idx="479">
                  <c:v>83.87</c:v>
                </c:pt>
                <c:pt idx="480">
                  <c:v>85.73</c:v>
                </c:pt>
                <c:pt idx="481">
                  <c:v>84.12</c:v>
                </c:pt>
                <c:pt idx="482">
                  <c:v>86.75</c:v>
                </c:pt>
                <c:pt idx="483">
                  <c:v>87.98</c:v>
                </c:pt>
                <c:pt idx="484">
                  <c:v>89.18</c:v>
                </c:pt>
                <c:pt idx="485">
                  <c:v>89.33</c:v>
                </c:pt>
                <c:pt idx="486">
                  <c:v>88.69</c:v>
                </c:pt>
                <c:pt idx="487">
                  <c:v>88.3</c:v>
                </c:pt>
                <c:pt idx="488">
                  <c:v>88.35</c:v>
                </c:pt>
                <c:pt idx="489">
                  <c:v>87.81</c:v>
                </c:pt>
                <c:pt idx="490">
                  <c:v>88.62</c:v>
                </c:pt>
                <c:pt idx="491">
                  <c:v>88.33</c:v>
                </c:pt>
                <c:pt idx="492">
                  <c:v>88.66</c:v>
                </c:pt>
                <c:pt idx="493">
                  <c:v>87.71</c:v>
                </c:pt>
                <c:pt idx="494">
                  <c:v>88.02</c:v>
                </c:pt>
                <c:pt idx="495">
                  <c:v>88.68</c:v>
                </c:pt>
                <c:pt idx="496">
                  <c:v>89.3</c:v>
                </c:pt>
                <c:pt idx="497">
                  <c:v>89.83</c:v>
                </c:pt>
                <c:pt idx="498">
                  <c:v>90.84</c:v>
                </c:pt>
                <c:pt idx="499">
                  <c:v>90.99</c:v>
                </c:pt>
                <c:pt idx="500">
                  <c:v>91.48</c:v>
                </c:pt>
                <c:pt idx="501">
                  <c:v>91.13</c:v>
                </c:pt>
                <c:pt idx="502">
                  <c:v>89.85</c:v>
                </c:pt>
                <c:pt idx="503">
                  <c:v>91.38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2A-4662-ABDB-9C7426D923FB}"/>
            </c:ext>
          </c:extLst>
        </c:ser>
        <c:ser>
          <c:idx val="1"/>
          <c:order val="1"/>
          <c:tx>
            <c:strRef>
              <c:f>Engle!$C$1</c:f>
              <c:strCache>
                <c:ptCount val="1"/>
                <c:pt idx="0">
                  <c:v>Brent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Engle!$C$2:$C$505</c:f>
              <c:numCache>
                <c:formatCode>0.00</c:formatCode>
                <c:ptCount val="504"/>
                <c:pt idx="0">
                  <c:v>42.94</c:v>
                </c:pt>
                <c:pt idx="1">
                  <c:v>45.84</c:v>
                </c:pt>
                <c:pt idx="2">
                  <c:v>48.89</c:v>
                </c:pt>
                <c:pt idx="3">
                  <c:v>46.23</c:v>
                </c:pt>
                <c:pt idx="4">
                  <c:v>42.94</c:v>
                </c:pt>
                <c:pt idx="5">
                  <c:v>42.34</c:v>
                </c:pt>
                <c:pt idx="6">
                  <c:v>40.86</c:v>
                </c:pt>
                <c:pt idx="7">
                  <c:v>43.05</c:v>
                </c:pt>
                <c:pt idx="8">
                  <c:v>42.27</c:v>
                </c:pt>
                <c:pt idx="9">
                  <c:v>42.32</c:v>
                </c:pt>
                <c:pt idx="10">
                  <c:v>43.42</c:v>
                </c:pt>
                <c:pt idx="11">
                  <c:v>41.22</c:v>
                </c:pt>
                <c:pt idx="12">
                  <c:v>39.9</c:v>
                </c:pt>
                <c:pt idx="13">
                  <c:v>42.42</c:v>
                </c:pt>
                <c:pt idx="14">
                  <c:v>43.13</c:v>
                </c:pt>
                <c:pt idx="15">
                  <c:v>48</c:v>
                </c:pt>
                <c:pt idx="16">
                  <c:v>42.86</c:v>
                </c:pt>
                <c:pt idx="17">
                  <c:v>42.86</c:v>
                </c:pt>
                <c:pt idx="18">
                  <c:v>43.13</c:v>
                </c:pt>
                <c:pt idx="19">
                  <c:v>44.17</c:v>
                </c:pt>
                <c:pt idx="20">
                  <c:v>42.96</c:v>
                </c:pt>
                <c:pt idx="21">
                  <c:v>43.15</c:v>
                </c:pt>
                <c:pt idx="22">
                  <c:v>43.68</c:v>
                </c:pt>
                <c:pt idx="23">
                  <c:v>43.92</c:v>
                </c:pt>
                <c:pt idx="24">
                  <c:v>44.49</c:v>
                </c:pt>
                <c:pt idx="25">
                  <c:v>47.23</c:v>
                </c:pt>
                <c:pt idx="26">
                  <c:v>45.88</c:v>
                </c:pt>
                <c:pt idx="27">
                  <c:v>44.24</c:v>
                </c:pt>
                <c:pt idx="28">
                  <c:v>47.23</c:v>
                </c:pt>
                <c:pt idx="29">
                  <c:v>43.36</c:v>
                </c:pt>
                <c:pt idx="30">
                  <c:v>39.69</c:v>
                </c:pt>
                <c:pt idx="31">
                  <c:v>39.409999999999997</c:v>
                </c:pt>
                <c:pt idx="32">
                  <c:v>42.36</c:v>
                </c:pt>
                <c:pt idx="33">
                  <c:v>42.19</c:v>
                </c:pt>
                <c:pt idx="34">
                  <c:v>41.27</c:v>
                </c:pt>
                <c:pt idx="35">
                  <c:v>40.18</c:v>
                </c:pt>
                <c:pt idx="36">
                  <c:v>42.37</c:v>
                </c:pt>
                <c:pt idx="37">
                  <c:v>45.15</c:v>
                </c:pt>
                <c:pt idx="38">
                  <c:v>44.41</c:v>
                </c:pt>
                <c:pt idx="39">
                  <c:v>42.6</c:v>
                </c:pt>
                <c:pt idx="40">
                  <c:v>42.72</c:v>
                </c:pt>
                <c:pt idx="41">
                  <c:v>46.07</c:v>
                </c:pt>
                <c:pt idx="42">
                  <c:v>44.45</c:v>
                </c:pt>
                <c:pt idx="43">
                  <c:v>43.48</c:v>
                </c:pt>
                <c:pt idx="44">
                  <c:v>44.55</c:v>
                </c:pt>
                <c:pt idx="45">
                  <c:v>44.99</c:v>
                </c:pt>
                <c:pt idx="46">
                  <c:v>43.2</c:v>
                </c:pt>
                <c:pt idx="47">
                  <c:v>42.19</c:v>
                </c:pt>
                <c:pt idx="48">
                  <c:v>44.97</c:v>
                </c:pt>
                <c:pt idx="49">
                  <c:v>44.12</c:v>
                </c:pt>
                <c:pt idx="50">
                  <c:v>45.53</c:v>
                </c:pt>
                <c:pt idx="51">
                  <c:v>45.22</c:v>
                </c:pt>
                <c:pt idx="52">
                  <c:v>48.03</c:v>
                </c:pt>
                <c:pt idx="53">
                  <c:v>49.27</c:v>
                </c:pt>
                <c:pt idx="54">
                  <c:v>51.84</c:v>
                </c:pt>
                <c:pt idx="55">
                  <c:v>51.32</c:v>
                </c:pt>
                <c:pt idx="56">
                  <c:v>51.46</c:v>
                </c:pt>
                <c:pt idx="57">
                  <c:v>51.89</c:v>
                </c:pt>
                <c:pt idx="58">
                  <c:v>50.81</c:v>
                </c:pt>
                <c:pt idx="59">
                  <c:v>49.05</c:v>
                </c:pt>
                <c:pt idx="60">
                  <c:v>46.13</c:v>
                </c:pt>
                <c:pt idx="61">
                  <c:v>45.92</c:v>
                </c:pt>
                <c:pt idx="62">
                  <c:v>50.89</c:v>
                </c:pt>
                <c:pt idx="63">
                  <c:v>50.48</c:v>
                </c:pt>
                <c:pt idx="64">
                  <c:v>50.91</c:v>
                </c:pt>
                <c:pt idx="65">
                  <c:v>50.62</c:v>
                </c:pt>
                <c:pt idx="66">
                  <c:v>52.06</c:v>
                </c:pt>
                <c:pt idx="67">
                  <c:v>52.33</c:v>
                </c:pt>
                <c:pt idx="68">
                  <c:v>50.73</c:v>
                </c:pt>
                <c:pt idx="69">
                  <c:v>52.06</c:v>
                </c:pt>
                <c:pt idx="70">
                  <c:v>51.31</c:v>
                </c:pt>
                <c:pt idx="71">
                  <c:v>51.83</c:v>
                </c:pt>
                <c:pt idx="72">
                  <c:v>52.02</c:v>
                </c:pt>
                <c:pt idx="73">
                  <c:v>49.06</c:v>
                </c:pt>
                <c:pt idx="74">
                  <c:v>48.69</c:v>
                </c:pt>
                <c:pt idx="75">
                  <c:v>48.5</c:v>
                </c:pt>
                <c:pt idx="76">
                  <c:v>48.29</c:v>
                </c:pt>
                <c:pt idx="77">
                  <c:v>50.29</c:v>
                </c:pt>
                <c:pt idx="78">
                  <c:v>48.67</c:v>
                </c:pt>
                <c:pt idx="79">
                  <c:v>48.64</c:v>
                </c:pt>
                <c:pt idx="80">
                  <c:v>50.22</c:v>
                </c:pt>
                <c:pt idx="81">
                  <c:v>50.3</c:v>
                </c:pt>
                <c:pt idx="82">
                  <c:v>51.75</c:v>
                </c:pt>
                <c:pt idx="83">
                  <c:v>53.26</c:v>
                </c:pt>
                <c:pt idx="84">
                  <c:v>53.16</c:v>
                </c:pt>
                <c:pt idx="85">
                  <c:v>55.07</c:v>
                </c:pt>
                <c:pt idx="86">
                  <c:v>56.63</c:v>
                </c:pt>
                <c:pt idx="87">
                  <c:v>56.02</c:v>
                </c:pt>
                <c:pt idx="88">
                  <c:v>55.99</c:v>
                </c:pt>
                <c:pt idx="89">
                  <c:v>56.52</c:v>
                </c:pt>
                <c:pt idx="90">
                  <c:v>56.84</c:v>
                </c:pt>
                <c:pt idx="91">
                  <c:v>56.25</c:v>
                </c:pt>
                <c:pt idx="92">
                  <c:v>56.33</c:v>
                </c:pt>
                <c:pt idx="93">
                  <c:v>56.51</c:v>
                </c:pt>
                <c:pt idx="94">
                  <c:v>57.12</c:v>
                </c:pt>
                <c:pt idx="95">
                  <c:v>59.1</c:v>
                </c:pt>
                <c:pt idx="96">
                  <c:v>58.02</c:v>
                </c:pt>
                <c:pt idx="97">
                  <c:v>58.7</c:v>
                </c:pt>
                <c:pt idx="98">
                  <c:v>59.05</c:v>
                </c:pt>
                <c:pt idx="99">
                  <c:v>61.28</c:v>
                </c:pt>
                <c:pt idx="100">
                  <c:v>63.47</c:v>
                </c:pt>
                <c:pt idx="101">
                  <c:v>64.98</c:v>
                </c:pt>
                <c:pt idx="102">
                  <c:v>66.599999999999994</c:v>
                </c:pt>
                <c:pt idx="103">
                  <c:v>67.67</c:v>
                </c:pt>
                <c:pt idx="104">
                  <c:v>66.150000000000006</c:v>
                </c:pt>
                <c:pt idx="105">
                  <c:v>67.680000000000007</c:v>
                </c:pt>
                <c:pt idx="106">
                  <c:v>67.77</c:v>
                </c:pt>
                <c:pt idx="107">
                  <c:v>67.61</c:v>
                </c:pt>
                <c:pt idx="108">
                  <c:v>68.94</c:v>
                </c:pt>
                <c:pt idx="109">
                  <c:v>70.52</c:v>
                </c:pt>
                <c:pt idx="110">
                  <c:v>71.709999999999994</c:v>
                </c:pt>
                <c:pt idx="111">
                  <c:v>70.62</c:v>
                </c:pt>
                <c:pt idx="112">
                  <c:v>68.489999999999995</c:v>
                </c:pt>
                <c:pt idx="113">
                  <c:v>70.52</c:v>
                </c:pt>
                <c:pt idx="114">
                  <c:v>68.95</c:v>
                </c:pt>
                <c:pt idx="115">
                  <c:v>69.959999999999994</c:v>
                </c:pt>
                <c:pt idx="116">
                  <c:v>70.48</c:v>
                </c:pt>
                <c:pt idx="117">
                  <c:v>66.13</c:v>
                </c:pt>
                <c:pt idx="118">
                  <c:v>66.36</c:v>
                </c:pt>
                <c:pt idx="119">
                  <c:v>68.47</c:v>
                </c:pt>
                <c:pt idx="120">
                  <c:v>68.819999999999993</c:v>
                </c:pt>
                <c:pt idx="121">
                  <c:v>68.099999999999994</c:v>
                </c:pt>
                <c:pt idx="122">
                  <c:v>69.75</c:v>
                </c:pt>
                <c:pt idx="123">
                  <c:v>68.11</c:v>
                </c:pt>
                <c:pt idx="124">
                  <c:v>68.52</c:v>
                </c:pt>
                <c:pt idx="125">
                  <c:v>65.739999999999995</c:v>
                </c:pt>
                <c:pt idx="126">
                  <c:v>63.12</c:v>
                </c:pt>
                <c:pt idx="127">
                  <c:v>61.54</c:v>
                </c:pt>
                <c:pt idx="128">
                  <c:v>59.71</c:v>
                </c:pt>
                <c:pt idx="129">
                  <c:v>59.17</c:v>
                </c:pt>
                <c:pt idx="130">
                  <c:v>58.43</c:v>
                </c:pt>
                <c:pt idx="131">
                  <c:v>58.25</c:v>
                </c:pt>
                <c:pt idx="132">
                  <c:v>60.48</c:v>
                </c:pt>
                <c:pt idx="133">
                  <c:v>61.25</c:v>
                </c:pt>
                <c:pt idx="134">
                  <c:v>62.02</c:v>
                </c:pt>
                <c:pt idx="135">
                  <c:v>63.54</c:v>
                </c:pt>
                <c:pt idx="136">
                  <c:v>64.64</c:v>
                </c:pt>
                <c:pt idx="137">
                  <c:v>65.930000000000007</c:v>
                </c:pt>
                <c:pt idx="138">
                  <c:v>65.36</c:v>
                </c:pt>
                <c:pt idx="139">
                  <c:v>68.06</c:v>
                </c:pt>
                <c:pt idx="140">
                  <c:v>68.819999999999993</c:v>
                </c:pt>
                <c:pt idx="141">
                  <c:v>69.78</c:v>
                </c:pt>
                <c:pt idx="142">
                  <c:v>68.53</c:v>
                </c:pt>
                <c:pt idx="143">
                  <c:v>65.790000000000006</c:v>
                </c:pt>
                <c:pt idx="144">
                  <c:v>68.819999999999993</c:v>
                </c:pt>
                <c:pt idx="145">
                  <c:v>70.08</c:v>
                </c:pt>
                <c:pt idx="146">
                  <c:v>72.900000000000006</c:v>
                </c:pt>
                <c:pt idx="147">
                  <c:v>73.819999999999993</c:v>
                </c:pt>
                <c:pt idx="148">
                  <c:v>74.39</c:v>
                </c:pt>
                <c:pt idx="149">
                  <c:v>74.61</c:v>
                </c:pt>
                <c:pt idx="150">
                  <c:v>74.209999999999994</c:v>
                </c:pt>
                <c:pt idx="151">
                  <c:v>73.790000000000006</c:v>
                </c:pt>
                <c:pt idx="152">
                  <c:v>71.58</c:v>
                </c:pt>
                <c:pt idx="153">
                  <c:v>74.03</c:v>
                </c:pt>
                <c:pt idx="154">
                  <c:v>73.760000000000005</c:v>
                </c:pt>
                <c:pt idx="155">
                  <c:v>71.33</c:v>
                </c:pt>
                <c:pt idx="156">
                  <c:v>68.650000000000006</c:v>
                </c:pt>
                <c:pt idx="157">
                  <c:v>68.66</c:v>
                </c:pt>
                <c:pt idx="158">
                  <c:v>72.81</c:v>
                </c:pt>
                <c:pt idx="159">
                  <c:v>73.75</c:v>
                </c:pt>
                <c:pt idx="160">
                  <c:v>73.709999999999994</c:v>
                </c:pt>
                <c:pt idx="161">
                  <c:v>74.34</c:v>
                </c:pt>
                <c:pt idx="162">
                  <c:v>73.099999999999994</c:v>
                </c:pt>
                <c:pt idx="163">
                  <c:v>70.739999999999995</c:v>
                </c:pt>
                <c:pt idx="164">
                  <c:v>70.680000000000007</c:v>
                </c:pt>
                <c:pt idx="165">
                  <c:v>72.8</c:v>
                </c:pt>
                <c:pt idx="166">
                  <c:v>69.02</c:v>
                </c:pt>
                <c:pt idx="167">
                  <c:v>68.78</c:v>
                </c:pt>
                <c:pt idx="168">
                  <c:v>67.599999999999994</c:v>
                </c:pt>
                <c:pt idx="169">
                  <c:v>66.78</c:v>
                </c:pt>
                <c:pt idx="170">
                  <c:v>65.84</c:v>
                </c:pt>
                <c:pt idx="171">
                  <c:v>69.2</c:v>
                </c:pt>
                <c:pt idx="172">
                  <c:v>69.760000000000005</c:v>
                </c:pt>
                <c:pt idx="173">
                  <c:v>68.959999999999994</c:v>
                </c:pt>
                <c:pt idx="174">
                  <c:v>68.760000000000005</c:v>
                </c:pt>
                <c:pt idx="175">
                  <c:v>66.91</c:v>
                </c:pt>
                <c:pt idx="176">
                  <c:v>66.53</c:v>
                </c:pt>
                <c:pt idx="177">
                  <c:v>68.510000000000005</c:v>
                </c:pt>
                <c:pt idx="178">
                  <c:v>71.56</c:v>
                </c:pt>
                <c:pt idx="179">
                  <c:v>70.72</c:v>
                </c:pt>
                <c:pt idx="180">
                  <c:v>68.11</c:v>
                </c:pt>
                <c:pt idx="181">
                  <c:v>69.650000000000006</c:v>
                </c:pt>
                <c:pt idx="182">
                  <c:v>67.430000000000007</c:v>
                </c:pt>
                <c:pt idx="183">
                  <c:v>64.989999999999995</c:v>
                </c:pt>
                <c:pt idx="184">
                  <c:v>64.599999999999994</c:v>
                </c:pt>
                <c:pt idx="185">
                  <c:v>65.430000000000007</c:v>
                </c:pt>
                <c:pt idx="186">
                  <c:v>64.63</c:v>
                </c:pt>
                <c:pt idx="187">
                  <c:v>65.819999999999993</c:v>
                </c:pt>
                <c:pt idx="188">
                  <c:v>67.12</c:v>
                </c:pt>
                <c:pt idx="189">
                  <c:v>66.5</c:v>
                </c:pt>
                <c:pt idx="190">
                  <c:v>65.260000000000005</c:v>
                </c:pt>
                <c:pt idx="191">
                  <c:v>68.510000000000005</c:v>
                </c:pt>
                <c:pt idx="192">
                  <c:v>67.650000000000006</c:v>
                </c:pt>
                <c:pt idx="193">
                  <c:v>68.47</c:v>
                </c:pt>
                <c:pt idx="194">
                  <c:v>69.45</c:v>
                </c:pt>
                <c:pt idx="195">
                  <c:v>70.75</c:v>
                </c:pt>
                <c:pt idx="196">
                  <c:v>70.81</c:v>
                </c:pt>
                <c:pt idx="197">
                  <c:v>72.16</c:v>
                </c:pt>
                <c:pt idx="198">
                  <c:v>73.14</c:v>
                </c:pt>
                <c:pt idx="199">
                  <c:v>74.58</c:v>
                </c:pt>
                <c:pt idx="200">
                  <c:v>75.86</c:v>
                </c:pt>
                <c:pt idx="201">
                  <c:v>76.510000000000005</c:v>
                </c:pt>
                <c:pt idx="202">
                  <c:v>77.739999999999995</c:v>
                </c:pt>
                <c:pt idx="203">
                  <c:v>78.36</c:v>
                </c:pt>
                <c:pt idx="204">
                  <c:v>77.72</c:v>
                </c:pt>
                <c:pt idx="205">
                  <c:v>76.45</c:v>
                </c:pt>
                <c:pt idx="206">
                  <c:v>76.69</c:v>
                </c:pt>
                <c:pt idx="207">
                  <c:v>75.11</c:v>
                </c:pt>
                <c:pt idx="208">
                  <c:v>77.180000000000007</c:v>
                </c:pt>
                <c:pt idx="209">
                  <c:v>74.91</c:v>
                </c:pt>
                <c:pt idx="210">
                  <c:v>75.56</c:v>
                </c:pt>
                <c:pt idx="211">
                  <c:v>75.680000000000007</c:v>
                </c:pt>
                <c:pt idx="212">
                  <c:v>78.209999999999994</c:v>
                </c:pt>
                <c:pt idx="213">
                  <c:v>78.02</c:v>
                </c:pt>
                <c:pt idx="214">
                  <c:v>75.510000000000005</c:v>
                </c:pt>
                <c:pt idx="215">
                  <c:v>77.180000000000007</c:v>
                </c:pt>
                <c:pt idx="216">
                  <c:v>77.069999999999993</c:v>
                </c:pt>
                <c:pt idx="217">
                  <c:v>76.989999999999995</c:v>
                </c:pt>
                <c:pt idx="218">
                  <c:v>75.180000000000007</c:v>
                </c:pt>
                <c:pt idx="219">
                  <c:v>74.81</c:v>
                </c:pt>
                <c:pt idx="220">
                  <c:v>77.14</c:v>
                </c:pt>
                <c:pt idx="221">
                  <c:v>77.36</c:v>
                </c:pt>
                <c:pt idx="222">
                  <c:v>78.64</c:v>
                </c:pt>
                <c:pt idx="223">
                  <c:v>76.45</c:v>
                </c:pt>
                <c:pt idx="224">
                  <c:v>75.61</c:v>
                </c:pt>
                <c:pt idx="225">
                  <c:v>78.14</c:v>
                </c:pt>
                <c:pt idx="226">
                  <c:v>75.349999999999994</c:v>
                </c:pt>
                <c:pt idx="227">
                  <c:v>76.569999999999993</c:v>
                </c:pt>
                <c:pt idx="228">
                  <c:v>76</c:v>
                </c:pt>
                <c:pt idx="229">
                  <c:v>77.77</c:v>
                </c:pt>
                <c:pt idx="230">
                  <c:v>78.680000000000007</c:v>
                </c:pt>
                <c:pt idx="231">
                  <c:v>76.959999999999994</c:v>
                </c:pt>
                <c:pt idx="232">
                  <c:v>77.760000000000005</c:v>
                </c:pt>
                <c:pt idx="233">
                  <c:v>77.739999999999995</c:v>
                </c:pt>
                <c:pt idx="234">
                  <c:v>76.180000000000007</c:v>
                </c:pt>
                <c:pt idx="235">
                  <c:v>74.930000000000007</c:v>
                </c:pt>
                <c:pt idx="236">
                  <c:v>73.63</c:v>
                </c:pt>
                <c:pt idx="237">
                  <c:v>70.91</c:v>
                </c:pt>
                <c:pt idx="238">
                  <c:v>70.069999999999993</c:v>
                </c:pt>
                <c:pt idx="239">
                  <c:v>71.19</c:v>
                </c:pt>
                <c:pt idx="240">
                  <c:v>71.33</c:v>
                </c:pt>
                <c:pt idx="241">
                  <c:v>73.34</c:v>
                </c:pt>
                <c:pt idx="242">
                  <c:v>71.28</c:v>
                </c:pt>
                <c:pt idx="243">
                  <c:v>71.87</c:v>
                </c:pt>
                <c:pt idx="244">
                  <c:v>72.739999999999995</c:v>
                </c:pt>
                <c:pt idx="245">
                  <c:v>71.64</c:v>
                </c:pt>
                <c:pt idx="246">
                  <c:v>73.87</c:v>
                </c:pt>
                <c:pt idx="247">
                  <c:v>75.150000000000006</c:v>
                </c:pt>
                <c:pt idx="248">
                  <c:v>76.59</c:v>
                </c:pt>
                <c:pt idx="249">
                  <c:v>76.650000000000006</c:v>
                </c:pt>
                <c:pt idx="250">
                  <c:v>77.62</c:v>
                </c:pt>
                <c:pt idx="251">
                  <c:v>77.91</c:v>
                </c:pt>
                <c:pt idx="252">
                  <c:v>79.05</c:v>
                </c:pt>
                <c:pt idx="253">
                  <c:v>79.27</c:v>
                </c:pt>
                <c:pt idx="254">
                  <c:v>80.14</c:v>
                </c:pt>
                <c:pt idx="255">
                  <c:v>80.569999999999993</c:v>
                </c:pt>
                <c:pt idx="256">
                  <c:v>80.06</c:v>
                </c:pt>
                <c:pt idx="257">
                  <c:v>80.14</c:v>
                </c:pt>
                <c:pt idx="258">
                  <c:v>79.38</c:v>
                </c:pt>
                <c:pt idx="259">
                  <c:v>77.569999999999993</c:v>
                </c:pt>
                <c:pt idx="260">
                  <c:v>77.61</c:v>
                </c:pt>
                <c:pt idx="261">
                  <c:v>76.849999999999994</c:v>
                </c:pt>
                <c:pt idx="262">
                  <c:v>75.180000000000007</c:v>
                </c:pt>
                <c:pt idx="263">
                  <c:v>75.09</c:v>
                </c:pt>
                <c:pt idx="264">
                  <c:v>74.13</c:v>
                </c:pt>
                <c:pt idx="265">
                  <c:v>72.73</c:v>
                </c:pt>
                <c:pt idx="266">
                  <c:v>72.180000000000007</c:v>
                </c:pt>
                <c:pt idx="267">
                  <c:v>72.63</c:v>
                </c:pt>
                <c:pt idx="268">
                  <c:v>72.75</c:v>
                </c:pt>
                <c:pt idx="269">
                  <c:v>70.650000000000006</c:v>
                </c:pt>
                <c:pt idx="270">
                  <c:v>71.2</c:v>
                </c:pt>
                <c:pt idx="271">
                  <c:v>71.58</c:v>
                </c:pt>
                <c:pt idx="272">
                  <c:v>73.94</c:v>
                </c:pt>
                <c:pt idx="273">
                  <c:v>75.77</c:v>
                </c:pt>
                <c:pt idx="274">
                  <c:v>71.3</c:v>
                </c:pt>
                <c:pt idx="275">
                  <c:v>70.11</c:v>
                </c:pt>
                <c:pt idx="276">
                  <c:v>69.62</c:v>
                </c:pt>
                <c:pt idx="277">
                  <c:v>70.400000000000006</c:v>
                </c:pt>
                <c:pt idx="278">
                  <c:v>70.400000000000006</c:v>
                </c:pt>
                <c:pt idx="279">
                  <c:v>72.349999999999994</c:v>
                </c:pt>
                <c:pt idx="280">
                  <c:v>71.489999999999995</c:v>
                </c:pt>
                <c:pt idx="281">
                  <c:v>74.819999999999993</c:v>
                </c:pt>
                <c:pt idx="282">
                  <c:v>74.89</c:v>
                </c:pt>
                <c:pt idx="283">
                  <c:v>76.61</c:v>
                </c:pt>
                <c:pt idx="284">
                  <c:v>76.88</c:v>
                </c:pt>
                <c:pt idx="285">
                  <c:v>76.95</c:v>
                </c:pt>
                <c:pt idx="286">
                  <c:v>76.44</c:v>
                </c:pt>
                <c:pt idx="287">
                  <c:v>77</c:v>
                </c:pt>
                <c:pt idx="288">
                  <c:v>74.38</c:v>
                </c:pt>
                <c:pt idx="289">
                  <c:v>76.36</c:v>
                </c:pt>
                <c:pt idx="290">
                  <c:v>76.069999999999993</c:v>
                </c:pt>
                <c:pt idx="291">
                  <c:v>77.5</c:v>
                </c:pt>
                <c:pt idx="292">
                  <c:v>78.66</c:v>
                </c:pt>
                <c:pt idx="293">
                  <c:v>77.88</c:v>
                </c:pt>
                <c:pt idx="294">
                  <c:v>79.2</c:v>
                </c:pt>
                <c:pt idx="295">
                  <c:v>78.94</c:v>
                </c:pt>
                <c:pt idx="296">
                  <c:v>78.77</c:v>
                </c:pt>
                <c:pt idx="297">
                  <c:v>80.290000000000006</c:v>
                </c:pt>
                <c:pt idx="298">
                  <c:v>79.44</c:v>
                </c:pt>
                <c:pt idx="299">
                  <c:v>79.38</c:v>
                </c:pt>
                <c:pt idx="300">
                  <c:v>77.08</c:v>
                </c:pt>
                <c:pt idx="301">
                  <c:v>79.45</c:v>
                </c:pt>
                <c:pt idx="302">
                  <c:v>80.28</c:v>
                </c:pt>
                <c:pt idx="303">
                  <c:v>80.09</c:v>
                </c:pt>
                <c:pt idx="304">
                  <c:v>78.37</c:v>
                </c:pt>
                <c:pt idx="305">
                  <c:v>78.09</c:v>
                </c:pt>
                <c:pt idx="306">
                  <c:v>79.17</c:v>
                </c:pt>
                <c:pt idx="307">
                  <c:v>78.03</c:v>
                </c:pt>
                <c:pt idx="308">
                  <c:v>78.64</c:v>
                </c:pt>
                <c:pt idx="309">
                  <c:v>77.98</c:v>
                </c:pt>
                <c:pt idx="310">
                  <c:v>79.89</c:v>
                </c:pt>
                <c:pt idx="311">
                  <c:v>79.459999999999994</c:v>
                </c:pt>
                <c:pt idx="312">
                  <c:v>80.37</c:v>
                </c:pt>
                <c:pt idx="313">
                  <c:v>82.63</c:v>
                </c:pt>
                <c:pt idx="314">
                  <c:v>84.48</c:v>
                </c:pt>
                <c:pt idx="315">
                  <c:v>85.05</c:v>
                </c:pt>
                <c:pt idx="316">
                  <c:v>84.49</c:v>
                </c:pt>
                <c:pt idx="317">
                  <c:v>82.63</c:v>
                </c:pt>
                <c:pt idx="318">
                  <c:v>82.77</c:v>
                </c:pt>
                <c:pt idx="319">
                  <c:v>85.21</c:v>
                </c:pt>
                <c:pt idx="320">
                  <c:v>83.44</c:v>
                </c:pt>
                <c:pt idx="321">
                  <c:v>85.81</c:v>
                </c:pt>
                <c:pt idx="322">
                  <c:v>86.9</c:v>
                </c:pt>
                <c:pt idx="323">
                  <c:v>84.81</c:v>
                </c:pt>
                <c:pt idx="324">
                  <c:v>83.09</c:v>
                </c:pt>
                <c:pt idx="325">
                  <c:v>84.73</c:v>
                </c:pt>
                <c:pt idx="326">
                  <c:v>84.55</c:v>
                </c:pt>
                <c:pt idx="327">
                  <c:v>84.58</c:v>
                </c:pt>
                <c:pt idx="328">
                  <c:v>86.09</c:v>
                </c:pt>
                <c:pt idx="329">
                  <c:v>86.72</c:v>
                </c:pt>
                <c:pt idx="330">
                  <c:v>85.59</c:v>
                </c:pt>
                <c:pt idx="331">
                  <c:v>84.59</c:v>
                </c:pt>
                <c:pt idx="332">
                  <c:v>86.82</c:v>
                </c:pt>
                <c:pt idx="333">
                  <c:v>86.19</c:v>
                </c:pt>
                <c:pt idx="334">
                  <c:v>88.09</c:v>
                </c:pt>
                <c:pt idx="335">
                  <c:v>85.39</c:v>
                </c:pt>
                <c:pt idx="336">
                  <c:v>82.31</c:v>
                </c:pt>
                <c:pt idx="337">
                  <c:v>80.209999999999994</c:v>
                </c:pt>
                <c:pt idx="338">
                  <c:v>76.48</c:v>
                </c:pt>
                <c:pt idx="339">
                  <c:v>78.08</c:v>
                </c:pt>
                <c:pt idx="340">
                  <c:v>79</c:v>
                </c:pt>
                <c:pt idx="341">
                  <c:v>78.7</c:v>
                </c:pt>
                <c:pt idx="342">
                  <c:v>79.41</c:v>
                </c:pt>
                <c:pt idx="343">
                  <c:v>76.430000000000007</c:v>
                </c:pt>
                <c:pt idx="344">
                  <c:v>73.87</c:v>
                </c:pt>
                <c:pt idx="345">
                  <c:v>75.12</c:v>
                </c:pt>
                <c:pt idx="346">
                  <c:v>71.86</c:v>
                </c:pt>
                <c:pt idx="347">
                  <c:v>69.56</c:v>
                </c:pt>
                <c:pt idx="348">
                  <c:v>70.45</c:v>
                </c:pt>
                <c:pt idx="349">
                  <c:v>69.62</c:v>
                </c:pt>
                <c:pt idx="350">
                  <c:v>67.180000000000007</c:v>
                </c:pt>
                <c:pt idx="351">
                  <c:v>70.59</c:v>
                </c:pt>
                <c:pt idx="352">
                  <c:v>73.56</c:v>
                </c:pt>
                <c:pt idx="353">
                  <c:v>73</c:v>
                </c:pt>
                <c:pt idx="354">
                  <c:v>73.08</c:v>
                </c:pt>
                <c:pt idx="355">
                  <c:v>72.78</c:v>
                </c:pt>
                <c:pt idx="356">
                  <c:v>73.12</c:v>
                </c:pt>
                <c:pt idx="357">
                  <c:v>71.84</c:v>
                </c:pt>
                <c:pt idx="358">
                  <c:v>71.09</c:v>
                </c:pt>
                <c:pt idx="359">
                  <c:v>71.430000000000007</c:v>
                </c:pt>
                <c:pt idx="360">
                  <c:v>73.680000000000007</c:v>
                </c:pt>
                <c:pt idx="361">
                  <c:v>74.33</c:v>
                </c:pt>
                <c:pt idx="362">
                  <c:v>73.28</c:v>
                </c:pt>
                <c:pt idx="363">
                  <c:v>75.11</c:v>
                </c:pt>
                <c:pt idx="364">
                  <c:v>75.290000000000006</c:v>
                </c:pt>
                <c:pt idx="365">
                  <c:v>76.12</c:v>
                </c:pt>
                <c:pt idx="366">
                  <c:v>77.52</c:v>
                </c:pt>
                <c:pt idx="367">
                  <c:v>77.05</c:v>
                </c:pt>
                <c:pt idx="368">
                  <c:v>78.53</c:v>
                </c:pt>
                <c:pt idx="369">
                  <c:v>78.08</c:v>
                </c:pt>
                <c:pt idx="370">
                  <c:v>75.22</c:v>
                </c:pt>
                <c:pt idx="371">
                  <c:v>75.17</c:v>
                </c:pt>
                <c:pt idx="372">
                  <c:v>76.209999999999994</c:v>
                </c:pt>
                <c:pt idx="373">
                  <c:v>76.66</c:v>
                </c:pt>
                <c:pt idx="374">
                  <c:v>74.209999999999994</c:v>
                </c:pt>
                <c:pt idx="375">
                  <c:v>74.94</c:v>
                </c:pt>
                <c:pt idx="376">
                  <c:v>71.73</c:v>
                </c:pt>
                <c:pt idx="377">
                  <c:v>71.75</c:v>
                </c:pt>
                <c:pt idx="378">
                  <c:v>73.08</c:v>
                </c:pt>
                <c:pt idx="379">
                  <c:v>72.97</c:v>
                </c:pt>
                <c:pt idx="380">
                  <c:v>74.56</c:v>
                </c:pt>
                <c:pt idx="381">
                  <c:v>75.2</c:v>
                </c:pt>
                <c:pt idx="382">
                  <c:v>74.349999999999994</c:v>
                </c:pt>
                <c:pt idx="383">
                  <c:v>76.45</c:v>
                </c:pt>
                <c:pt idx="384">
                  <c:v>76.63</c:v>
                </c:pt>
                <c:pt idx="385">
                  <c:v>75.52</c:v>
                </c:pt>
                <c:pt idx="386">
                  <c:v>75.55</c:v>
                </c:pt>
                <c:pt idx="387">
                  <c:v>76.290000000000006</c:v>
                </c:pt>
                <c:pt idx="388">
                  <c:v>76.31</c:v>
                </c:pt>
                <c:pt idx="389">
                  <c:v>75.75</c:v>
                </c:pt>
                <c:pt idx="390">
                  <c:v>77.59</c:v>
                </c:pt>
                <c:pt idx="391">
                  <c:v>77.27</c:v>
                </c:pt>
                <c:pt idx="392">
                  <c:v>77.900000000000006</c:v>
                </c:pt>
                <c:pt idx="393">
                  <c:v>75.52</c:v>
                </c:pt>
                <c:pt idx="394">
                  <c:v>76.66</c:v>
                </c:pt>
                <c:pt idx="395">
                  <c:v>78.599999999999994</c:v>
                </c:pt>
                <c:pt idx="396">
                  <c:v>77.5</c:v>
                </c:pt>
                <c:pt idx="397">
                  <c:v>81.93</c:v>
                </c:pt>
                <c:pt idx="398">
                  <c:v>83.6</c:v>
                </c:pt>
                <c:pt idx="399">
                  <c:v>83.76</c:v>
                </c:pt>
                <c:pt idx="400">
                  <c:v>82.9</c:v>
                </c:pt>
                <c:pt idx="401">
                  <c:v>81.28</c:v>
                </c:pt>
                <c:pt idx="402">
                  <c:v>81.540000000000006</c:v>
                </c:pt>
                <c:pt idx="403">
                  <c:v>79.89</c:v>
                </c:pt>
                <c:pt idx="404">
                  <c:v>77.83</c:v>
                </c:pt>
                <c:pt idx="405">
                  <c:v>76.63</c:v>
                </c:pt>
                <c:pt idx="406">
                  <c:v>75.14</c:v>
                </c:pt>
                <c:pt idx="407">
                  <c:v>74.56</c:v>
                </c:pt>
                <c:pt idx="408">
                  <c:v>76.739999999999995</c:v>
                </c:pt>
                <c:pt idx="409">
                  <c:v>75.099999999999994</c:v>
                </c:pt>
                <c:pt idx="410">
                  <c:v>74.84</c:v>
                </c:pt>
                <c:pt idx="411">
                  <c:v>73.48</c:v>
                </c:pt>
                <c:pt idx="412">
                  <c:v>73.08</c:v>
                </c:pt>
                <c:pt idx="413">
                  <c:v>70.61</c:v>
                </c:pt>
                <c:pt idx="414">
                  <c:v>70.739999999999995</c:v>
                </c:pt>
                <c:pt idx="415">
                  <c:v>74.5</c:v>
                </c:pt>
                <c:pt idx="416">
                  <c:v>75.16</c:v>
                </c:pt>
                <c:pt idx="417">
                  <c:v>76.05</c:v>
                </c:pt>
                <c:pt idx="418">
                  <c:v>75.510000000000005</c:v>
                </c:pt>
                <c:pt idx="419">
                  <c:v>75.53</c:v>
                </c:pt>
                <c:pt idx="420">
                  <c:v>74.930000000000007</c:v>
                </c:pt>
                <c:pt idx="421">
                  <c:v>75.03</c:v>
                </c:pt>
                <c:pt idx="422">
                  <c:v>75.78</c:v>
                </c:pt>
                <c:pt idx="423">
                  <c:v>77.48</c:v>
                </c:pt>
                <c:pt idx="424">
                  <c:v>77.87</c:v>
                </c:pt>
                <c:pt idx="425">
                  <c:v>77.540000000000006</c:v>
                </c:pt>
                <c:pt idx="426">
                  <c:v>78.52</c:v>
                </c:pt>
                <c:pt idx="427">
                  <c:v>78.89</c:v>
                </c:pt>
                <c:pt idx="428">
                  <c:v>78.459999999999994</c:v>
                </c:pt>
                <c:pt idx="429">
                  <c:v>78.89</c:v>
                </c:pt>
                <c:pt idx="430">
                  <c:v>77.430000000000007</c:v>
                </c:pt>
                <c:pt idx="431">
                  <c:v>79.42</c:v>
                </c:pt>
                <c:pt idx="432">
                  <c:v>78.760000000000005</c:v>
                </c:pt>
                <c:pt idx="433">
                  <c:v>77.290000000000006</c:v>
                </c:pt>
                <c:pt idx="434">
                  <c:v>77.69</c:v>
                </c:pt>
                <c:pt idx="435">
                  <c:v>78.73</c:v>
                </c:pt>
                <c:pt idx="436">
                  <c:v>77.709999999999994</c:v>
                </c:pt>
                <c:pt idx="437">
                  <c:v>79.14</c:v>
                </c:pt>
                <c:pt idx="438">
                  <c:v>78.790000000000006</c:v>
                </c:pt>
                <c:pt idx="439">
                  <c:v>80.77</c:v>
                </c:pt>
                <c:pt idx="440">
                  <c:v>82.69</c:v>
                </c:pt>
                <c:pt idx="441">
                  <c:v>83.42</c:v>
                </c:pt>
                <c:pt idx="442">
                  <c:v>83.35</c:v>
                </c:pt>
                <c:pt idx="443">
                  <c:v>85.01</c:v>
                </c:pt>
                <c:pt idx="444">
                  <c:v>83.67</c:v>
                </c:pt>
                <c:pt idx="445">
                  <c:v>83.88</c:v>
                </c:pt>
                <c:pt idx="446">
                  <c:v>83.08</c:v>
                </c:pt>
                <c:pt idx="447">
                  <c:v>82.99</c:v>
                </c:pt>
                <c:pt idx="448">
                  <c:v>84.01</c:v>
                </c:pt>
                <c:pt idx="449">
                  <c:v>83.55</c:v>
                </c:pt>
                <c:pt idx="450">
                  <c:v>81.94</c:v>
                </c:pt>
                <c:pt idx="451">
                  <c:v>82.3</c:v>
                </c:pt>
                <c:pt idx="452">
                  <c:v>81.12</c:v>
                </c:pt>
                <c:pt idx="453">
                  <c:v>81.680000000000007</c:v>
                </c:pt>
                <c:pt idx="454">
                  <c:v>81.28</c:v>
                </c:pt>
                <c:pt idx="455">
                  <c:v>80.75</c:v>
                </c:pt>
                <c:pt idx="456">
                  <c:v>81.91</c:v>
                </c:pt>
                <c:pt idx="457">
                  <c:v>82.62</c:v>
                </c:pt>
                <c:pt idx="458">
                  <c:v>81.27</c:v>
                </c:pt>
                <c:pt idx="459">
                  <c:v>82.97</c:v>
                </c:pt>
                <c:pt idx="460">
                  <c:v>82.47</c:v>
                </c:pt>
                <c:pt idx="461">
                  <c:v>84.06</c:v>
                </c:pt>
                <c:pt idx="462">
                  <c:v>84.71</c:v>
                </c:pt>
                <c:pt idx="463">
                  <c:v>85.33</c:v>
                </c:pt>
                <c:pt idx="464">
                  <c:v>86.83</c:v>
                </c:pt>
                <c:pt idx="465">
                  <c:v>87.05</c:v>
                </c:pt>
                <c:pt idx="466">
                  <c:v>87.15</c:v>
                </c:pt>
                <c:pt idx="467">
                  <c:v>87.93</c:v>
                </c:pt>
                <c:pt idx="468">
                  <c:v>87.92</c:v>
                </c:pt>
                <c:pt idx="469">
                  <c:v>88.08</c:v>
                </c:pt>
                <c:pt idx="470">
                  <c:v>86.07</c:v>
                </c:pt>
                <c:pt idx="471">
                  <c:v>85.49</c:v>
                </c:pt>
                <c:pt idx="472">
                  <c:v>83.98</c:v>
                </c:pt>
                <c:pt idx="473">
                  <c:v>83.36</c:v>
                </c:pt>
                <c:pt idx="474">
                  <c:v>83.7</c:v>
                </c:pt>
                <c:pt idx="475">
                  <c:v>83.17</c:v>
                </c:pt>
                <c:pt idx="476">
                  <c:v>82.34</c:v>
                </c:pt>
                <c:pt idx="477">
                  <c:v>82.37</c:v>
                </c:pt>
                <c:pt idx="478">
                  <c:v>84.53</c:v>
                </c:pt>
                <c:pt idx="479">
                  <c:v>84.78</c:v>
                </c:pt>
                <c:pt idx="480">
                  <c:v>85.9</c:v>
                </c:pt>
                <c:pt idx="481">
                  <c:v>86.02</c:v>
                </c:pt>
                <c:pt idx="482">
                  <c:v>88.56</c:v>
                </c:pt>
                <c:pt idx="483">
                  <c:v>89.37</c:v>
                </c:pt>
                <c:pt idx="484">
                  <c:v>90.65</c:v>
                </c:pt>
                <c:pt idx="485">
                  <c:v>91.25</c:v>
                </c:pt>
                <c:pt idx="486">
                  <c:v>90.78</c:v>
                </c:pt>
                <c:pt idx="487">
                  <c:v>89.74</c:v>
                </c:pt>
                <c:pt idx="488">
                  <c:v>89.93</c:v>
                </c:pt>
                <c:pt idx="489">
                  <c:v>89.54</c:v>
                </c:pt>
                <c:pt idx="490">
                  <c:v>90.4</c:v>
                </c:pt>
                <c:pt idx="491">
                  <c:v>90.63</c:v>
                </c:pt>
                <c:pt idx="492">
                  <c:v>91.33</c:v>
                </c:pt>
                <c:pt idx="493">
                  <c:v>91.09</c:v>
                </c:pt>
                <c:pt idx="494">
                  <c:v>91.11</c:v>
                </c:pt>
                <c:pt idx="495">
                  <c:v>91.31</c:v>
                </c:pt>
                <c:pt idx="496">
                  <c:v>93.11</c:v>
                </c:pt>
                <c:pt idx="497">
                  <c:v>93.55</c:v>
                </c:pt>
                <c:pt idx="498">
                  <c:v>93.63</c:v>
                </c:pt>
                <c:pt idx="499">
                  <c:v>93.08</c:v>
                </c:pt>
                <c:pt idx="500">
                  <c:v>93.52</c:v>
                </c:pt>
                <c:pt idx="501">
                  <c:v>93.52</c:v>
                </c:pt>
                <c:pt idx="502">
                  <c:v>92.5</c:v>
                </c:pt>
                <c:pt idx="503">
                  <c:v>93.23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2A-4662-ABDB-9C7426D92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699976"/>
        <c:axId val="494703112"/>
      </c:lineChart>
      <c:catAx>
        <c:axId val="494699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03112"/>
        <c:crosses val="autoZero"/>
        <c:auto val="1"/>
        <c:lblAlgn val="ctr"/>
        <c:lblOffset val="100"/>
        <c:noMultiLvlLbl val="0"/>
      </c:catAx>
      <c:valAx>
        <c:axId val="494703112"/>
        <c:scaling>
          <c:orientation val="minMax"/>
          <c:max val="95"/>
          <c:min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99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Cross</a:t>
            </a:r>
            <a:r>
              <a:rPr lang="en-GB" baseline="0"/>
              <a:t> Correlation, Lag = 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Cross!$B$3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Cross!$A$4:$A$21</c:f>
              <c:numCache>
                <c:formatCode>mmm\-yy</c:formatCode>
                <c:ptCount val="1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</c:numCache>
            </c:numRef>
          </c:cat>
          <c:val>
            <c:numRef>
              <c:f>Cross!$B$4:$B$21</c:f>
              <c:numCache>
                <c:formatCode>0.0</c:formatCode>
                <c:ptCount val="18"/>
                <c:pt idx="0" formatCode="General">
                  <c:v>4.5</c:v>
                </c:pt>
                <c:pt idx="1">
                  <c:v>4.8</c:v>
                </c:pt>
                <c:pt idx="2">
                  <c:v>5.0999999999999996</c:v>
                </c:pt>
                <c:pt idx="3">
                  <c:v>5.9</c:v>
                </c:pt>
                <c:pt idx="4">
                  <c:v>6.8</c:v>
                </c:pt>
                <c:pt idx="5">
                  <c:v>8</c:v>
                </c:pt>
                <c:pt idx="6">
                  <c:v>6.1</c:v>
                </c:pt>
                <c:pt idx="7">
                  <c:v>5.8</c:v>
                </c:pt>
                <c:pt idx="8">
                  <c:v>6.8</c:v>
                </c:pt>
                <c:pt idx="9">
                  <c:v>3.7</c:v>
                </c:pt>
                <c:pt idx="10">
                  <c:v>4.3</c:v>
                </c:pt>
                <c:pt idx="11">
                  <c:v>5.0999999999999996</c:v>
                </c:pt>
                <c:pt idx="12">
                  <c:v>7.9</c:v>
                </c:pt>
                <c:pt idx="13">
                  <c:v>8.1</c:v>
                </c:pt>
                <c:pt idx="14">
                  <c:v>8</c:v>
                </c:pt>
                <c:pt idx="15">
                  <c:v>9.1</c:v>
                </c:pt>
                <c:pt idx="16">
                  <c:v>10.199999999999999</c:v>
                </c:pt>
                <c:pt idx="17">
                  <c:v>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C-44D7-8B4A-C0B99E920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05072"/>
        <c:axId val="494707424"/>
      </c:lineChart>
      <c:lineChart>
        <c:grouping val="standard"/>
        <c:varyColors val="0"/>
        <c:ser>
          <c:idx val="1"/>
          <c:order val="1"/>
          <c:tx>
            <c:strRef>
              <c:f>Cross!$C$3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Cross!$C$4:$C$21</c:f>
              <c:numCache>
                <c:formatCode>0.0</c:formatCode>
                <c:ptCount val="18"/>
                <c:pt idx="0" formatCode="General">
                  <c:v>15.8</c:v>
                </c:pt>
                <c:pt idx="1">
                  <c:v>18.2</c:v>
                </c:pt>
                <c:pt idx="2">
                  <c:v>19.8</c:v>
                </c:pt>
                <c:pt idx="3">
                  <c:v>22.6</c:v>
                </c:pt>
                <c:pt idx="4">
                  <c:v>24</c:v>
                </c:pt>
                <c:pt idx="5">
                  <c:v>25.9</c:v>
                </c:pt>
                <c:pt idx="6">
                  <c:v>31.6</c:v>
                </c:pt>
                <c:pt idx="7">
                  <c:v>37.4</c:v>
                </c:pt>
                <c:pt idx="8">
                  <c:v>36.9</c:v>
                </c:pt>
                <c:pt idx="9">
                  <c:v>31.5</c:v>
                </c:pt>
                <c:pt idx="10">
                  <c:v>30.9</c:v>
                </c:pt>
                <c:pt idx="11">
                  <c:v>37.5</c:v>
                </c:pt>
                <c:pt idx="12">
                  <c:v>20.7</c:v>
                </c:pt>
                <c:pt idx="13">
                  <c:v>23.8</c:v>
                </c:pt>
                <c:pt idx="14">
                  <c:v>26.3</c:v>
                </c:pt>
                <c:pt idx="15">
                  <c:v>37.9</c:v>
                </c:pt>
                <c:pt idx="16">
                  <c:v>41.5</c:v>
                </c:pt>
                <c:pt idx="17">
                  <c:v>41.8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C-44D7-8B4A-C0B99E920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95272"/>
        <c:axId val="494700760"/>
      </c:lineChart>
      <c:dateAx>
        <c:axId val="4947050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07424"/>
        <c:crosses val="autoZero"/>
        <c:auto val="1"/>
        <c:lblOffset val="100"/>
        <c:baseTimeUnit val="months"/>
      </c:dateAx>
      <c:valAx>
        <c:axId val="49470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05072"/>
        <c:crosses val="autoZero"/>
        <c:crossBetween val="between"/>
      </c:valAx>
      <c:valAx>
        <c:axId val="4947007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95272"/>
        <c:crosses val="max"/>
        <c:crossBetween val="between"/>
      </c:valAx>
      <c:catAx>
        <c:axId val="494695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947007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Cross Correlation, Lag =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Inventory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Cross!$B$4:$B$18</c:f>
              <c:numCache>
                <c:formatCode>0.0</c:formatCode>
                <c:ptCount val="15"/>
                <c:pt idx="0" formatCode="General">
                  <c:v>4.5</c:v>
                </c:pt>
                <c:pt idx="1">
                  <c:v>4.8</c:v>
                </c:pt>
                <c:pt idx="2">
                  <c:v>5.0999999999999996</c:v>
                </c:pt>
                <c:pt idx="3">
                  <c:v>5.9</c:v>
                </c:pt>
                <c:pt idx="4">
                  <c:v>6.8</c:v>
                </c:pt>
                <c:pt idx="5">
                  <c:v>8</c:v>
                </c:pt>
                <c:pt idx="6">
                  <c:v>6.1</c:v>
                </c:pt>
                <c:pt idx="7">
                  <c:v>5.8</c:v>
                </c:pt>
                <c:pt idx="8">
                  <c:v>6.8</c:v>
                </c:pt>
                <c:pt idx="9">
                  <c:v>3.7</c:v>
                </c:pt>
                <c:pt idx="10">
                  <c:v>4.3</c:v>
                </c:pt>
                <c:pt idx="11">
                  <c:v>5.0999999999999996</c:v>
                </c:pt>
                <c:pt idx="12">
                  <c:v>7.9</c:v>
                </c:pt>
                <c:pt idx="13">
                  <c:v>8.1</c:v>
                </c:pt>
                <c:pt idx="1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A-4429-9D7F-E1946A196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05464"/>
        <c:axId val="494701544"/>
      </c:lineChart>
      <c:lineChart>
        <c:grouping val="standard"/>
        <c:varyColors val="0"/>
        <c:ser>
          <c:idx val="1"/>
          <c:order val="1"/>
          <c:tx>
            <c:v>Revenue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Cross!$C$7:$C$21</c:f>
              <c:numCache>
                <c:formatCode>0.0</c:formatCode>
                <c:ptCount val="15"/>
                <c:pt idx="0">
                  <c:v>22.6</c:v>
                </c:pt>
                <c:pt idx="1">
                  <c:v>24</c:v>
                </c:pt>
                <c:pt idx="2">
                  <c:v>25.9</c:v>
                </c:pt>
                <c:pt idx="3">
                  <c:v>31.6</c:v>
                </c:pt>
                <c:pt idx="4">
                  <c:v>37.4</c:v>
                </c:pt>
                <c:pt idx="5">
                  <c:v>36.9</c:v>
                </c:pt>
                <c:pt idx="6">
                  <c:v>31.5</c:v>
                </c:pt>
                <c:pt idx="7">
                  <c:v>30.9</c:v>
                </c:pt>
                <c:pt idx="8">
                  <c:v>37.5</c:v>
                </c:pt>
                <c:pt idx="9">
                  <c:v>20.7</c:v>
                </c:pt>
                <c:pt idx="10">
                  <c:v>23.8</c:v>
                </c:pt>
                <c:pt idx="11">
                  <c:v>26.3</c:v>
                </c:pt>
                <c:pt idx="12">
                  <c:v>37.9</c:v>
                </c:pt>
                <c:pt idx="13">
                  <c:v>41.5</c:v>
                </c:pt>
                <c:pt idx="14">
                  <c:v>41.8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A-4429-9D7F-E1946A196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97624"/>
        <c:axId val="494706248"/>
      </c:lineChart>
      <c:catAx>
        <c:axId val="494705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01544"/>
        <c:crosses val="autoZero"/>
        <c:auto val="1"/>
        <c:lblAlgn val="ctr"/>
        <c:lblOffset val="100"/>
        <c:noMultiLvlLbl val="0"/>
      </c:catAx>
      <c:valAx>
        <c:axId val="49470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05464"/>
        <c:crosses val="autoZero"/>
        <c:crossBetween val="between"/>
      </c:valAx>
      <c:valAx>
        <c:axId val="494706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697624"/>
        <c:crosses val="max"/>
        <c:crossBetween val="between"/>
      </c:valAx>
      <c:catAx>
        <c:axId val="494697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94706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Cross Correlation, Lag = 3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Series X</c:v>
          </c:tx>
          <c:marker>
            <c:symbol val="none"/>
          </c:marker>
          <c:val>
            <c:numRef>
              <c:f>Cross!$B$4:$B$18</c:f>
              <c:numCache>
                <c:formatCode>0.0</c:formatCode>
                <c:ptCount val="15"/>
                <c:pt idx="0" formatCode="General">
                  <c:v>4.5</c:v>
                </c:pt>
                <c:pt idx="1">
                  <c:v>4.8</c:v>
                </c:pt>
                <c:pt idx="2">
                  <c:v>5.0999999999999996</c:v>
                </c:pt>
                <c:pt idx="3">
                  <c:v>5.9</c:v>
                </c:pt>
                <c:pt idx="4">
                  <c:v>6.8</c:v>
                </c:pt>
                <c:pt idx="5">
                  <c:v>8</c:v>
                </c:pt>
                <c:pt idx="6">
                  <c:v>6.1</c:v>
                </c:pt>
                <c:pt idx="7">
                  <c:v>5.8</c:v>
                </c:pt>
                <c:pt idx="8">
                  <c:v>6.8</c:v>
                </c:pt>
                <c:pt idx="9">
                  <c:v>3.7</c:v>
                </c:pt>
                <c:pt idx="10">
                  <c:v>4.3</c:v>
                </c:pt>
                <c:pt idx="11">
                  <c:v>5.0999999999999996</c:v>
                </c:pt>
                <c:pt idx="12">
                  <c:v>7.9</c:v>
                </c:pt>
                <c:pt idx="13">
                  <c:v>8.1</c:v>
                </c:pt>
                <c:pt idx="1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3-47A9-AE85-503FCD1C8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97232"/>
        <c:axId val="494698800"/>
      </c:lineChart>
      <c:lineChart>
        <c:grouping val="standard"/>
        <c:varyColors val="0"/>
        <c:ser>
          <c:idx val="1"/>
          <c:order val="1"/>
          <c:tx>
            <c:v>Series Y</c:v>
          </c:tx>
          <c:marker>
            <c:symbol val="none"/>
          </c:marker>
          <c:val>
            <c:numRef>
              <c:f>Cross!$C$7:$C$21</c:f>
              <c:numCache>
                <c:formatCode>0.0</c:formatCode>
                <c:ptCount val="15"/>
                <c:pt idx="0">
                  <c:v>22.6</c:v>
                </c:pt>
                <c:pt idx="1">
                  <c:v>24</c:v>
                </c:pt>
                <c:pt idx="2">
                  <c:v>25.9</c:v>
                </c:pt>
                <c:pt idx="3">
                  <c:v>31.6</c:v>
                </c:pt>
                <c:pt idx="4">
                  <c:v>37.4</c:v>
                </c:pt>
                <c:pt idx="5">
                  <c:v>36.9</c:v>
                </c:pt>
                <c:pt idx="6">
                  <c:v>31.5</c:v>
                </c:pt>
                <c:pt idx="7">
                  <c:v>30.9</c:v>
                </c:pt>
                <c:pt idx="8">
                  <c:v>37.5</c:v>
                </c:pt>
                <c:pt idx="9">
                  <c:v>20.7</c:v>
                </c:pt>
                <c:pt idx="10">
                  <c:v>23.8</c:v>
                </c:pt>
                <c:pt idx="11">
                  <c:v>26.3</c:v>
                </c:pt>
                <c:pt idx="12">
                  <c:v>37.9</c:v>
                </c:pt>
                <c:pt idx="13">
                  <c:v>41.5</c:v>
                </c:pt>
                <c:pt idx="14">
                  <c:v>41.8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F3-47A9-AE85-503FCD1C8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99192"/>
        <c:axId val="494703504"/>
      </c:lineChart>
      <c:catAx>
        <c:axId val="49469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494698800"/>
        <c:crosses val="autoZero"/>
        <c:auto val="1"/>
        <c:lblAlgn val="ctr"/>
        <c:lblOffset val="100"/>
        <c:noMultiLvlLbl val="0"/>
      </c:catAx>
      <c:valAx>
        <c:axId val="494698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4697232"/>
        <c:crosses val="autoZero"/>
        <c:crossBetween val="between"/>
      </c:valAx>
      <c:valAx>
        <c:axId val="49470350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crossAx val="494699192"/>
        <c:crosses val="max"/>
        <c:crossBetween val="between"/>
      </c:valAx>
      <c:catAx>
        <c:axId val="494699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94703504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Cross Correlation, Lag =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Cross!$A$4:$A$18</c:f>
              <c:numCache>
                <c:formatCode>mmm\-yy</c:formatCode>
                <c:ptCount val="1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</c:numCache>
            </c:numRef>
          </c:cat>
          <c:val>
            <c:numRef>
              <c:f>Cross!$B$4:$B$18</c:f>
              <c:numCache>
                <c:formatCode>0.0</c:formatCode>
                <c:ptCount val="15"/>
                <c:pt idx="0" formatCode="General">
                  <c:v>4.5</c:v>
                </c:pt>
                <c:pt idx="1">
                  <c:v>4.8</c:v>
                </c:pt>
                <c:pt idx="2">
                  <c:v>5.0999999999999996</c:v>
                </c:pt>
                <c:pt idx="3">
                  <c:v>5.9</c:v>
                </c:pt>
                <c:pt idx="4">
                  <c:v>6.8</c:v>
                </c:pt>
                <c:pt idx="5">
                  <c:v>8</c:v>
                </c:pt>
                <c:pt idx="6">
                  <c:v>6.1</c:v>
                </c:pt>
                <c:pt idx="7">
                  <c:v>5.8</c:v>
                </c:pt>
                <c:pt idx="8">
                  <c:v>6.8</c:v>
                </c:pt>
                <c:pt idx="9">
                  <c:v>3.7</c:v>
                </c:pt>
                <c:pt idx="10">
                  <c:v>4.3</c:v>
                </c:pt>
                <c:pt idx="11">
                  <c:v>5.0999999999999996</c:v>
                </c:pt>
                <c:pt idx="12">
                  <c:v>7.9</c:v>
                </c:pt>
                <c:pt idx="13">
                  <c:v>8.1</c:v>
                </c:pt>
                <c:pt idx="1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6-40BD-B751-5EA0CE6B1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01936"/>
        <c:axId val="494702328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Cross!$C$7:$C$21</c:f>
              <c:numCache>
                <c:formatCode>0.0</c:formatCode>
                <c:ptCount val="15"/>
                <c:pt idx="0">
                  <c:v>22.6</c:v>
                </c:pt>
                <c:pt idx="1">
                  <c:v>24</c:v>
                </c:pt>
                <c:pt idx="2">
                  <c:v>25.9</c:v>
                </c:pt>
                <c:pt idx="3">
                  <c:v>31.6</c:v>
                </c:pt>
                <c:pt idx="4">
                  <c:v>37.4</c:v>
                </c:pt>
                <c:pt idx="5">
                  <c:v>36.9</c:v>
                </c:pt>
                <c:pt idx="6">
                  <c:v>31.5</c:v>
                </c:pt>
                <c:pt idx="7">
                  <c:v>30.9</c:v>
                </c:pt>
                <c:pt idx="8">
                  <c:v>37.5</c:v>
                </c:pt>
                <c:pt idx="9">
                  <c:v>20.7</c:v>
                </c:pt>
                <c:pt idx="10">
                  <c:v>23.8</c:v>
                </c:pt>
                <c:pt idx="11">
                  <c:v>26.3</c:v>
                </c:pt>
                <c:pt idx="12">
                  <c:v>37.9</c:v>
                </c:pt>
                <c:pt idx="13">
                  <c:v>41.5</c:v>
                </c:pt>
                <c:pt idx="14">
                  <c:v>41.8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6-40BD-B751-5EA0CE6B1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03896"/>
        <c:axId val="494702720"/>
      </c:lineChart>
      <c:dateAx>
        <c:axId val="49470193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02328"/>
        <c:crosses val="autoZero"/>
        <c:auto val="1"/>
        <c:lblOffset val="100"/>
        <c:baseTimeUnit val="months"/>
      </c:dateAx>
      <c:valAx>
        <c:axId val="49470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01936"/>
        <c:crosses val="autoZero"/>
        <c:crossBetween val="between"/>
      </c:valAx>
      <c:valAx>
        <c:axId val="4947027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03896"/>
        <c:crosses val="max"/>
        <c:crossBetween val="between"/>
      </c:valAx>
      <c:catAx>
        <c:axId val="494703896"/>
        <c:scaling>
          <c:orientation val="minMax"/>
        </c:scaling>
        <c:delete val="1"/>
        <c:axPos val="t"/>
        <c:majorTickMark val="out"/>
        <c:minorTickMark val="none"/>
        <c:tickLblPos val="nextTo"/>
        <c:crossAx val="49470272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Weighted Moving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'Weighted 2'!$B$3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'Weighted 2'!$B$4:$B$18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E-43DD-B249-1E8CB19BEA3A}"/>
            </c:ext>
          </c:extLst>
        </c:ser>
        <c:ser>
          <c:idx val="1"/>
          <c:order val="1"/>
          <c:tx>
            <c:strRef>
              <c:f>'Weighted 2'!$C$3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'Weighted 2'!$C$4:$C$18</c:f>
              <c:numCache>
                <c:formatCode>General</c:formatCode>
                <c:ptCount val="15"/>
                <c:pt idx="3">
                  <c:v>8.1049723756906005</c:v>
                </c:pt>
                <c:pt idx="4">
                  <c:v>17.538674033149153</c:v>
                </c:pt>
                <c:pt idx="5">
                  <c:v>13.790055248618799</c:v>
                </c:pt>
                <c:pt idx="6">
                  <c:v>15.881215469613252</c:v>
                </c:pt>
                <c:pt idx="7">
                  <c:v>20.881215469613252</c:v>
                </c:pt>
                <c:pt idx="8">
                  <c:v>22.776243093922652</c:v>
                </c:pt>
                <c:pt idx="9">
                  <c:v>44.73480662983421</c:v>
                </c:pt>
                <c:pt idx="10">
                  <c:v>43.237569060773495</c:v>
                </c:pt>
                <c:pt idx="11">
                  <c:v>52.643646408839757</c:v>
                </c:pt>
                <c:pt idx="12">
                  <c:v>70.748618784530365</c:v>
                </c:pt>
                <c:pt idx="13">
                  <c:v>63.356353591160243</c:v>
                </c:pt>
                <c:pt idx="14">
                  <c:v>71.643646408839757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E-43DD-B249-1E8CB19BE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41528"/>
        <c:axId val="494741920"/>
      </c:lineChart>
      <c:catAx>
        <c:axId val="494741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1920"/>
        <c:crosses val="autoZero"/>
        <c:auto val="1"/>
        <c:lblAlgn val="ctr"/>
        <c:lblOffset val="100"/>
        <c:noMultiLvlLbl val="0"/>
      </c:catAx>
      <c:valAx>
        <c:axId val="49474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1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Single Exponential Smoothing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Exp!$B$3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Exp!$A$4:$A$19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Exp!$B$4:$B$18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20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51</c:v>
                </c:pt>
                <c:pt idx="9">
                  <c:v>41</c:v>
                </c:pt>
                <c:pt idx="10">
                  <c:v>56</c:v>
                </c:pt>
                <c:pt idx="11">
                  <c:v>75</c:v>
                </c:pt>
                <c:pt idx="12">
                  <c:v>60</c:v>
                </c:pt>
                <c:pt idx="13">
                  <c:v>75</c:v>
                </c:pt>
                <c:pt idx="1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5-4FAB-AB53-B699FC81D795}"/>
            </c:ext>
          </c:extLst>
        </c:ser>
        <c:ser>
          <c:idx val="1"/>
          <c:order val="1"/>
          <c:tx>
            <c:strRef>
              <c:f>Exp!$C$3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Exp!$A$4:$A$19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Exp!$C$4:$C$19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3.8</c:v>
                </c:pt>
                <c:pt idx="3">
                  <c:v>5.88</c:v>
                </c:pt>
                <c:pt idx="4">
                  <c:v>11.528</c:v>
                </c:pt>
                <c:pt idx="5">
                  <c:v>11.716800000000001</c:v>
                </c:pt>
                <c:pt idx="6">
                  <c:v>13.830080000000001</c:v>
                </c:pt>
                <c:pt idx="7">
                  <c:v>17.098047999999999</c:v>
                </c:pt>
                <c:pt idx="8">
                  <c:v>19.458828799999999</c:v>
                </c:pt>
                <c:pt idx="9">
                  <c:v>32.075297280000001</c:v>
                </c:pt>
                <c:pt idx="10">
                  <c:v>35.645178368000003</c:v>
                </c:pt>
                <c:pt idx="11">
                  <c:v>43.787107020800001</c:v>
                </c:pt>
                <c:pt idx="12">
                  <c:v>56.272264212480003</c:v>
                </c:pt>
                <c:pt idx="13">
                  <c:v>57.763358527488002</c:v>
                </c:pt>
                <c:pt idx="14">
                  <c:v>64.658015116492805</c:v>
                </c:pt>
                <c:pt idx="15">
                  <c:v>73.99480906989568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5-4FAB-AB53-B699FC81D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43880"/>
        <c:axId val="494734472"/>
      </c:lineChart>
      <c:catAx>
        <c:axId val="494743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34472"/>
        <c:crosses val="autoZero"/>
        <c:auto val="1"/>
        <c:lblAlgn val="ctr"/>
        <c:lblOffset val="100"/>
        <c:noMultiLvlLbl val="0"/>
      </c:catAx>
      <c:valAx>
        <c:axId val="494734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743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4" Type="http://schemas.openxmlformats.org/officeDocument/2006/relationships/chart" Target="../charts/chart7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15</xdr:row>
      <xdr:rowOff>61912</xdr:rowOff>
    </xdr:from>
    <xdr:to>
      <xdr:col>18</xdr:col>
      <xdr:colOff>533400</xdr:colOff>
      <xdr:row>29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495300</xdr:colOff>
      <xdr:row>2</xdr:row>
      <xdr:rowOff>176212</xdr:rowOff>
    </xdr:from>
    <xdr:to>
      <xdr:col>19</xdr:col>
      <xdr:colOff>190500</xdr:colOff>
      <xdr:row>17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28575</xdr:colOff>
      <xdr:row>1</xdr:row>
      <xdr:rowOff>119062</xdr:rowOff>
    </xdr:from>
    <xdr:to>
      <xdr:col>34</xdr:col>
      <xdr:colOff>333375</xdr:colOff>
      <xdr:row>16</xdr:row>
      <xdr:rowOff>4762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187325</xdr:colOff>
      <xdr:row>6</xdr:row>
      <xdr:rowOff>73025</xdr:rowOff>
    </xdr:from>
    <xdr:to>
      <xdr:col>16</xdr:col>
      <xdr:colOff>492125</xdr:colOff>
      <xdr:row>21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134C47-992D-4B7A-8773-93536CC3B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3</xdr:row>
      <xdr:rowOff>185737</xdr:rowOff>
    </xdr:from>
    <xdr:to>
      <xdr:col>14</xdr:col>
      <xdr:colOff>514350</xdr:colOff>
      <xdr:row>18</xdr:row>
      <xdr:rowOff>71437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257175</xdr:colOff>
      <xdr:row>4</xdr:row>
      <xdr:rowOff>4762</xdr:rowOff>
    </xdr:from>
    <xdr:to>
      <xdr:col>26</xdr:col>
      <xdr:colOff>561975</xdr:colOff>
      <xdr:row>18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3</xdr:row>
      <xdr:rowOff>61912</xdr:rowOff>
    </xdr:from>
    <xdr:to>
      <xdr:col>14</xdr:col>
      <xdr:colOff>419100</xdr:colOff>
      <xdr:row>17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238125</xdr:colOff>
      <xdr:row>3</xdr:row>
      <xdr:rowOff>147637</xdr:rowOff>
    </xdr:from>
    <xdr:to>
      <xdr:col>26</xdr:col>
      <xdr:colOff>542925</xdr:colOff>
      <xdr:row>18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371475</xdr:colOff>
      <xdr:row>2</xdr:row>
      <xdr:rowOff>185737</xdr:rowOff>
    </xdr:from>
    <xdr:to>
      <xdr:col>16</xdr:col>
      <xdr:colOff>66675</xdr:colOff>
      <xdr:row>17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4</xdr:row>
      <xdr:rowOff>85725</xdr:rowOff>
    </xdr:from>
    <xdr:to>
      <xdr:col>18</xdr:col>
      <xdr:colOff>504825</xdr:colOff>
      <xdr:row>19</xdr:row>
      <xdr:rowOff>60325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6B2C13-94F3-43A7-AD0D-B6D262F66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3</xdr:row>
      <xdr:rowOff>52387</xdr:rowOff>
    </xdr:from>
    <xdr:to>
      <xdr:col>16</xdr:col>
      <xdr:colOff>504825</xdr:colOff>
      <xdr:row>17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4</xdr:row>
      <xdr:rowOff>4762</xdr:rowOff>
    </xdr:from>
    <xdr:to>
      <xdr:col>22</xdr:col>
      <xdr:colOff>0</xdr:colOff>
      <xdr:row>18</xdr:row>
      <xdr:rowOff>80962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3</xdr:row>
      <xdr:rowOff>109537</xdr:rowOff>
    </xdr:from>
    <xdr:to>
      <xdr:col>17</xdr:col>
      <xdr:colOff>542925</xdr:colOff>
      <xdr:row>17</xdr:row>
      <xdr:rowOff>185737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377825</xdr:colOff>
      <xdr:row>3</xdr:row>
      <xdr:rowOff>60325</xdr:rowOff>
    </xdr:from>
    <xdr:to>
      <xdr:col>18</xdr:col>
      <xdr:colOff>73025</xdr:colOff>
      <xdr:row>18</xdr:row>
      <xdr:rowOff>41275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816DC9-29BE-40E1-B35B-9B37AC0A9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3</xdr:row>
      <xdr:rowOff>52387</xdr:rowOff>
    </xdr:from>
    <xdr:to>
      <xdr:col>12</xdr:col>
      <xdr:colOff>428625</xdr:colOff>
      <xdr:row>17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314325</xdr:colOff>
      <xdr:row>3</xdr:row>
      <xdr:rowOff>104775</xdr:rowOff>
    </xdr:from>
    <xdr:to>
      <xdr:col>24</xdr:col>
      <xdr:colOff>314325</xdr:colOff>
      <xdr:row>13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438150</xdr:colOff>
      <xdr:row>2</xdr:row>
      <xdr:rowOff>33337</xdr:rowOff>
    </xdr:from>
    <xdr:to>
      <xdr:col>18</xdr:col>
      <xdr:colOff>133350</xdr:colOff>
      <xdr:row>16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3</xdr:row>
      <xdr:rowOff>185737</xdr:rowOff>
    </xdr:from>
    <xdr:to>
      <xdr:col>17</xdr:col>
      <xdr:colOff>504825</xdr:colOff>
      <xdr:row>18</xdr:row>
      <xdr:rowOff>71437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187325</xdr:colOff>
      <xdr:row>3</xdr:row>
      <xdr:rowOff>180975</xdr:rowOff>
    </xdr:from>
    <xdr:to>
      <xdr:col>20</xdr:col>
      <xdr:colOff>492125</xdr:colOff>
      <xdr:row>18</xdr:row>
      <xdr:rowOff>149225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DAF50E-3CC6-4F5A-A8C9-B43DA19B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4</xdr:row>
      <xdr:rowOff>119062</xdr:rowOff>
    </xdr:from>
    <xdr:to>
      <xdr:col>9</xdr:col>
      <xdr:colOff>495300</xdr:colOff>
      <xdr:row>19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419100</xdr:colOff>
      <xdr:row>5</xdr:row>
      <xdr:rowOff>33337</xdr:rowOff>
    </xdr:from>
    <xdr:to>
      <xdr:col>22</xdr:col>
      <xdr:colOff>114300</xdr:colOff>
      <xdr:row>19</xdr:row>
      <xdr:rowOff>109537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316840</xdr:colOff>
      <xdr:row>1</xdr:row>
      <xdr:rowOff>164635</xdr:rowOff>
    </xdr:from>
    <xdr:to>
      <xdr:col>13</xdr:col>
      <xdr:colOff>46964</xdr:colOff>
      <xdr:row>16</xdr:row>
      <xdr:rowOff>80101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26</xdr:row>
      <xdr:rowOff>14287</xdr:rowOff>
    </xdr:from>
    <xdr:to>
      <xdr:col>7</xdr:col>
      <xdr:colOff>552450</xdr:colOff>
      <xdr:row>40</xdr:row>
      <xdr:rowOff>90487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447675</xdr:colOff>
      <xdr:row>1</xdr:row>
      <xdr:rowOff>4762</xdr:rowOff>
    </xdr:from>
    <xdr:to>
      <xdr:col>14</xdr:col>
      <xdr:colOff>142875</xdr:colOff>
      <xdr:row>15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466725</xdr:colOff>
      <xdr:row>16</xdr:row>
      <xdr:rowOff>23812</xdr:rowOff>
    </xdr:from>
    <xdr:to>
      <xdr:col>14</xdr:col>
      <xdr:colOff>161925</xdr:colOff>
      <xdr:row>30</xdr:row>
      <xdr:rowOff>100012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447675</xdr:colOff>
      <xdr:row>2</xdr:row>
      <xdr:rowOff>80962</xdr:rowOff>
    </xdr:from>
    <xdr:to>
      <xdr:col>14</xdr:col>
      <xdr:colOff>142875</xdr:colOff>
      <xdr:row>16</xdr:row>
      <xdr:rowOff>157162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171450</xdr:colOff>
      <xdr:row>2</xdr:row>
      <xdr:rowOff>80962</xdr:rowOff>
    </xdr:from>
    <xdr:to>
      <xdr:col>21</xdr:col>
      <xdr:colOff>476250</xdr:colOff>
      <xdr:row>16</xdr:row>
      <xdr:rowOff>157162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476250</xdr:colOff>
      <xdr:row>18</xdr:row>
      <xdr:rowOff>19050</xdr:rowOff>
    </xdr:from>
    <xdr:to>
      <xdr:col>14</xdr:col>
      <xdr:colOff>171450</xdr:colOff>
      <xdr:row>32</xdr:row>
      <xdr:rowOff>95250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128587</xdr:rowOff>
    </xdr:from>
    <xdr:to>
      <xdr:col>13</xdr:col>
      <xdr:colOff>419100</xdr:colOff>
      <xdr:row>16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447675</xdr:colOff>
      <xdr:row>1</xdr:row>
      <xdr:rowOff>128587</xdr:rowOff>
    </xdr:from>
    <xdr:to>
      <xdr:col>21</xdr:col>
      <xdr:colOff>142875</xdr:colOff>
      <xdr:row>16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1</xdr:row>
      <xdr:rowOff>138112</xdr:rowOff>
    </xdr:from>
    <xdr:to>
      <xdr:col>13</xdr:col>
      <xdr:colOff>447675</xdr:colOff>
      <xdr:row>16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409575</xdr:colOff>
      <xdr:row>2</xdr:row>
      <xdr:rowOff>100012</xdr:rowOff>
    </xdr:from>
    <xdr:to>
      <xdr:col>22</xdr:col>
      <xdr:colOff>104775</xdr:colOff>
      <xdr:row>16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4</xdr:row>
      <xdr:rowOff>85725</xdr:rowOff>
    </xdr:from>
    <xdr:to>
      <xdr:col>11</xdr:col>
      <xdr:colOff>361950</xdr:colOff>
      <xdr:row>14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1</xdr:row>
      <xdr:rowOff>109537</xdr:rowOff>
    </xdr:from>
    <xdr:to>
      <xdr:col>13</xdr:col>
      <xdr:colOff>400050</xdr:colOff>
      <xdr:row>15</xdr:row>
      <xdr:rowOff>185737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542925</xdr:colOff>
      <xdr:row>1</xdr:row>
      <xdr:rowOff>100012</xdr:rowOff>
    </xdr:from>
    <xdr:to>
      <xdr:col>21</xdr:col>
      <xdr:colOff>238125</xdr:colOff>
      <xdr:row>15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1</xdr:row>
      <xdr:rowOff>109537</xdr:rowOff>
    </xdr:from>
    <xdr:to>
      <xdr:col>13</xdr:col>
      <xdr:colOff>476250</xdr:colOff>
      <xdr:row>15</xdr:row>
      <xdr:rowOff>185737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152400</xdr:colOff>
      <xdr:row>1</xdr:row>
      <xdr:rowOff>100012</xdr:rowOff>
    </xdr:from>
    <xdr:to>
      <xdr:col>21</xdr:col>
      <xdr:colOff>457200</xdr:colOff>
      <xdr:row>15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523875</xdr:colOff>
      <xdr:row>20</xdr:row>
      <xdr:rowOff>114300</xdr:rowOff>
    </xdr:from>
    <xdr:to>
      <xdr:col>12</xdr:col>
      <xdr:colOff>219075</xdr:colOff>
      <xdr:row>35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3</xdr:row>
      <xdr:rowOff>80962</xdr:rowOff>
    </xdr:from>
    <xdr:to>
      <xdr:col>8</xdr:col>
      <xdr:colOff>466725</xdr:colOff>
      <xdr:row>17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180975</xdr:colOff>
      <xdr:row>2</xdr:row>
      <xdr:rowOff>147637</xdr:rowOff>
    </xdr:from>
    <xdr:to>
      <xdr:col>26</xdr:col>
      <xdr:colOff>485775</xdr:colOff>
      <xdr:row>17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2</xdr:row>
      <xdr:rowOff>52387</xdr:rowOff>
    </xdr:from>
    <xdr:to>
      <xdr:col>15</xdr:col>
      <xdr:colOff>85725</xdr:colOff>
      <xdr:row>16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171450</xdr:colOff>
      <xdr:row>2</xdr:row>
      <xdr:rowOff>61912</xdr:rowOff>
    </xdr:from>
    <xdr:to>
      <xdr:col>22</xdr:col>
      <xdr:colOff>476250</xdr:colOff>
      <xdr:row>16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5</xdr:row>
      <xdr:rowOff>52387</xdr:rowOff>
    </xdr:from>
    <xdr:to>
      <xdr:col>14</xdr:col>
      <xdr:colOff>457200</xdr:colOff>
      <xdr:row>19</xdr:row>
      <xdr:rowOff>128587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200025</xdr:colOff>
      <xdr:row>1</xdr:row>
      <xdr:rowOff>114300</xdr:rowOff>
    </xdr:from>
    <xdr:to>
      <xdr:col>22</xdr:col>
      <xdr:colOff>504825</xdr:colOff>
      <xdr:row>16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428625</xdr:colOff>
      <xdr:row>2</xdr:row>
      <xdr:rowOff>71437</xdr:rowOff>
    </xdr:from>
    <xdr:to>
      <xdr:col>15</xdr:col>
      <xdr:colOff>123825</xdr:colOff>
      <xdr:row>16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171450</xdr:colOff>
      <xdr:row>2</xdr:row>
      <xdr:rowOff>61912</xdr:rowOff>
    </xdr:from>
    <xdr:to>
      <xdr:col>22</xdr:col>
      <xdr:colOff>476250</xdr:colOff>
      <xdr:row>16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485775</xdr:colOff>
      <xdr:row>2</xdr:row>
      <xdr:rowOff>14287</xdr:rowOff>
    </xdr:from>
    <xdr:to>
      <xdr:col>35</xdr:col>
      <xdr:colOff>180975</xdr:colOff>
      <xdr:row>16</xdr:row>
      <xdr:rowOff>90487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504825</xdr:colOff>
      <xdr:row>3</xdr:row>
      <xdr:rowOff>176212</xdr:rowOff>
    </xdr:from>
    <xdr:to>
      <xdr:col>15</xdr:col>
      <xdr:colOff>200025</xdr:colOff>
      <xdr:row>18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155575</xdr:colOff>
      <xdr:row>4</xdr:row>
      <xdr:rowOff>92075</xdr:rowOff>
    </xdr:from>
    <xdr:to>
      <xdr:col>16</xdr:col>
      <xdr:colOff>460375</xdr:colOff>
      <xdr:row>19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304808-638F-4783-980A-DB6C4C8F8D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138112</xdr:rowOff>
    </xdr:from>
    <xdr:to>
      <xdr:col>22</xdr:col>
      <xdr:colOff>161925</xdr:colOff>
      <xdr:row>16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2</xdr:row>
      <xdr:rowOff>42862</xdr:rowOff>
    </xdr:from>
    <xdr:to>
      <xdr:col>11</xdr:col>
      <xdr:colOff>457200</xdr:colOff>
      <xdr:row>16</xdr:row>
      <xdr:rowOff>119062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3</xdr:row>
      <xdr:rowOff>109537</xdr:rowOff>
    </xdr:from>
    <xdr:to>
      <xdr:col>14</xdr:col>
      <xdr:colOff>495300</xdr:colOff>
      <xdr:row>17</xdr:row>
      <xdr:rowOff>185737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200025</xdr:colOff>
      <xdr:row>3</xdr:row>
      <xdr:rowOff>138112</xdr:rowOff>
    </xdr:from>
    <xdr:to>
      <xdr:col>14</xdr:col>
      <xdr:colOff>504825</xdr:colOff>
      <xdr:row>18</xdr:row>
      <xdr:rowOff>23812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257175</xdr:colOff>
      <xdr:row>2</xdr:row>
      <xdr:rowOff>147637</xdr:rowOff>
    </xdr:from>
    <xdr:to>
      <xdr:col>19</xdr:col>
      <xdr:colOff>561975</xdr:colOff>
      <xdr:row>17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</xdr:row>
      <xdr:rowOff>38100</xdr:rowOff>
    </xdr:from>
    <xdr:to>
      <xdr:col>10</xdr:col>
      <xdr:colOff>438150</xdr:colOff>
      <xdr:row>20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161925</xdr:colOff>
      <xdr:row>4</xdr:row>
      <xdr:rowOff>100012</xdr:rowOff>
    </xdr:from>
    <xdr:to>
      <xdr:col>24</xdr:col>
      <xdr:colOff>466725</xdr:colOff>
      <xdr:row>18</xdr:row>
      <xdr:rowOff>176212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4</xdr:row>
      <xdr:rowOff>100012</xdr:rowOff>
    </xdr:from>
    <xdr:to>
      <xdr:col>24</xdr:col>
      <xdr:colOff>466725</xdr:colOff>
      <xdr:row>18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133350</xdr:colOff>
      <xdr:row>6</xdr:row>
      <xdr:rowOff>19050</xdr:rowOff>
    </xdr:from>
    <xdr:to>
      <xdr:col>10</xdr:col>
      <xdr:colOff>438150</xdr:colOff>
      <xdr:row>20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200025</xdr:colOff>
      <xdr:row>4</xdr:row>
      <xdr:rowOff>119062</xdr:rowOff>
    </xdr:from>
    <xdr:to>
      <xdr:col>38</xdr:col>
      <xdr:colOff>504825</xdr:colOff>
      <xdr:row>18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12</xdr:row>
      <xdr:rowOff>119062</xdr:rowOff>
    </xdr:from>
    <xdr:to>
      <xdr:col>22</xdr:col>
      <xdr:colOff>38100</xdr:colOff>
      <xdr:row>27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0</xdr:row>
      <xdr:rowOff>180975</xdr:rowOff>
    </xdr:from>
    <xdr:to>
      <xdr:col>15</xdr:col>
      <xdr:colOff>495300</xdr:colOff>
      <xdr:row>15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2</xdr:row>
      <xdr:rowOff>90487</xdr:rowOff>
    </xdr:from>
    <xdr:to>
      <xdr:col>14</xdr:col>
      <xdr:colOff>485775</xdr:colOff>
      <xdr:row>16</xdr:row>
      <xdr:rowOff>166687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161925</xdr:colOff>
      <xdr:row>17</xdr:row>
      <xdr:rowOff>139700</xdr:rowOff>
    </xdr:from>
    <xdr:to>
      <xdr:col>14</xdr:col>
      <xdr:colOff>466725</xdr:colOff>
      <xdr:row>32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C531EB-F17A-49F0-B233-52B09BC1BA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21</xdr:row>
      <xdr:rowOff>14287</xdr:rowOff>
    </xdr:from>
    <xdr:to>
      <xdr:col>11</xdr:col>
      <xdr:colOff>38100</xdr:colOff>
      <xdr:row>35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333375</xdr:colOff>
      <xdr:row>6</xdr:row>
      <xdr:rowOff>90487</xdr:rowOff>
    </xdr:from>
    <xdr:to>
      <xdr:col>11</xdr:col>
      <xdr:colOff>28575</xdr:colOff>
      <xdr:row>20</xdr:row>
      <xdr:rowOff>166687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20</xdr:row>
      <xdr:rowOff>33337</xdr:rowOff>
    </xdr:from>
    <xdr:to>
      <xdr:col>10</xdr:col>
      <xdr:colOff>0</xdr:colOff>
      <xdr:row>34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266700</xdr:colOff>
      <xdr:row>5</xdr:row>
      <xdr:rowOff>80962</xdr:rowOff>
    </xdr:from>
    <xdr:to>
      <xdr:col>9</xdr:col>
      <xdr:colOff>571500</xdr:colOff>
      <xdr:row>19</xdr:row>
      <xdr:rowOff>157162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14</xdr:row>
      <xdr:rowOff>57150</xdr:rowOff>
    </xdr:from>
    <xdr:to>
      <xdr:col>11</xdr:col>
      <xdr:colOff>352425</xdr:colOff>
      <xdr:row>28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19</xdr:row>
      <xdr:rowOff>90487</xdr:rowOff>
    </xdr:from>
    <xdr:to>
      <xdr:col>11</xdr:col>
      <xdr:colOff>123825</xdr:colOff>
      <xdr:row>33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419100</xdr:colOff>
      <xdr:row>19</xdr:row>
      <xdr:rowOff>90487</xdr:rowOff>
    </xdr:from>
    <xdr:to>
      <xdr:col>19</xdr:col>
      <xdr:colOff>114300</xdr:colOff>
      <xdr:row>33</xdr:row>
      <xdr:rowOff>166687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247650</xdr:colOff>
      <xdr:row>1</xdr:row>
      <xdr:rowOff>52387</xdr:rowOff>
    </xdr:from>
    <xdr:to>
      <xdr:col>16</xdr:col>
      <xdr:colOff>552450</xdr:colOff>
      <xdr:row>15</xdr:row>
      <xdr:rowOff>128587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428625</xdr:colOff>
      <xdr:row>34</xdr:row>
      <xdr:rowOff>138112</xdr:rowOff>
    </xdr:from>
    <xdr:to>
      <xdr:col>19</xdr:col>
      <xdr:colOff>123825</xdr:colOff>
      <xdr:row>49</xdr:row>
      <xdr:rowOff>23812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6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3</xdr:row>
      <xdr:rowOff>14287</xdr:rowOff>
    </xdr:from>
    <xdr:to>
      <xdr:col>14</xdr:col>
      <xdr:colOff>581025</xdr:colOff>
      <xdr:row>17</xdr:row>
      <xdr:rowOff>90487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2</xdr:row>
      <xdr:rowOff>80962</xdr:rowOff>
    </xdr:from>
    <xdr:to>
      <xdr:col>12</xdr:col>
      <xdr:colOff>533400</xdr:colOff>
      <xdr:row>16</xdr:row>
      <xdr:rowOff>157162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295275</xdr:colOff>
      <xdr:row>4</xdr:row>
      <xdr:rowOff>57150</xdr:rowOff>
    </xdr:from>
    <xdr:to>
      <xdr:col>21</xdr:col>
      <xdr:colOff>295275</xdr:colOff>
      <xdr:row>14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323850</xdr:colOff>
      <xdr:row>4</xdr:row>
      <xdr:rowOff>28575</xdr:rowOff>
    </xdr:from>
    <xdr:to>
      <xdr:col>11</xdr:col>
      <xdr:colOff>323850</xdr:colOff>
      <xdr:row>14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5</xdr:row>
      <xdr:rowOff>4762</xdr:rowOff>
    </xdr:from>
    <xdr:to>
      <xdr:col>14</xdr:col>
      <xdr:colOff>152400</xdr:colOff>
      <xdr:row>19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4"/>
  <dimension ref="A1:B18"/>
  <sheetViews>
    <sheetView tabSelected="1" workbookViewId="0"/>
  </sheetViews>
  <sheetFormatPr defaultRowHeight="14.5" x14ac:dyDescent="0.35"/>
  <cols>
    <col min="1" max="1" width="28.81640625" customWidth="1"/>
  </cols>
  <sheetData>
    <row r="1" spans="1:2" ht="15" customHeight="1" x14ac:dyDescent="0.35">
      <c r="A1" s="7" t="s">
        <v>268</v>
      </c>
      <c r="B1" s="7"/>
    </row>
    <row r="2" spans="1:2" x14ac:dyDescent="0.35">
      <c r="A2" s="7" t="s">
        <v>701</v>
      </c>
    </row>
    <row r="3" spans="1:2" ht="15" customHeight="1" x14ac:dyDescent="0.35">
      <c r="A3" s="7"/>
      <c r="B3" s="7"/>
    </row>
    <row r="4" spans="1:2" ht="15" customHeight="1" x14ac:dyDescent="0.35">
      <c r="A4" s="39" t="s">
        <v>674</v>
      </c>
    </row>
    <row r="6" spans="1:2" x14ac:dyDescent="0.35">
      <c r="A6" s="7" t="s">
        <v>269</v>
      </c>
    </row>
    <row r="7" spans="1:2" x14ac:dyDescent="0.35">
      <c r="A7" s="7"/>
    </row>
    <row r="8" spans="1:2" x14ac:dyDescent="0.35">
      <c r="A8" s="102" t="s">
        <v>491</v>
      </c>
    </row>
    <row r="9" spans="1:2" x14ac:dyDescent="0.35">
      <c r="A9" s="102" t="s">
        <v>271</v>
      </c>
    </row>
    <row r="10" spans="1:2" x14ac:dyDescent="0.35">
      <c r="A10" s="102" t="s">
        <v>310</v>
      </c>
    </row>
    <row r="11" spans="1:2" x14ac:dyDescent="0.35">
      <c r="A11" s="102" t="s">
        <v>334</v>
      </c>
    </row>
    <row r="12" spans="1:2" x14ac:dyDescent="0.35">
      <c r="A12" s="102" t="s">
        <v>348</v>
      </c>
    </row>
    <row r="13" spans="1:2" x14ac:dyDescent="0.35">
      <c r="A13" s="102" t="s">
        <v>426</v>
      </c>
    </row>
    <row r="14" spans="1:2" x14ac:dyDescent="0.35">
      <c r="A14" s="102" t="s">
        <v>432</v>
      </c>
    </row>
    <row r="15" spans="1:2" x14ac:dyDescent="0.35">
      <c r="A15" s="102" t="s">
        <v>528</v>
      </c>
    </row>
    <row r="16" spans="1:2" x14ac:dyDescent="0.35">
      <c r="A16" s="102" t="s">
        <v>675</v>
      </c>
    </row>
    <row r="17" spans="1:1" x14ac:dyDescent="0.35">
      <c r="A17" s="102" t="s">
        <v>673</v>
      </c>
    </row>
    <row r="18" spans="1:1" x14ac:dyDescent="0.35">
      <c r="A18" s="102" t="s">
        <v>425</v>
      </c>
    </row>
  </sheetData>
  <hyperlinks>
    <hyperlink ref="A9" location="TOC!A20" display="Basic Forecasting Methods" xr:uid="{00000000-0004-0000-0000-000000000000}"/>
    <hyperlink ref="A10" location="TOC!A58" display="Stochastic Processes" xr:uid="{00000000-0004-0000-0000-000001000000}"/>
    <hyperlink ref="A11" location="TOC!A107" display="Autoregressive Processes" xr:uid="{00000000-0004-0000-0000-000002000000}"/>
    <hyperlink ref="A12" location="TOC!A134" display="Moving Average Processes" xr:uid="{00000000-0004-0000-0000-000003000000}"/>
    <hyperlink ref="A18" location="TOC!A242" display="Statistical tables" xr:uid="{00000000-0004-0000-0000-000005000000}"/>
    <hyperlink ref="A13" location="TOC!A157" display="ARMA Processes" xr:uid="{00000000-0004-0000-0000-000006000000}"/>
    <hyperlink ref="A14" location="TOC!A181" display="ARIMA Processes" xr:uid="{00000000-0004-0000-0000-000007000000}"/>
    <hyperlink ref="A8" location="TOC!A8" display="Forecast Accuracy" xr:uid="{00000000-0004-0000-0000-00000B000000}"/>
    <hyperlink ref="A15" location="TOC!A197" display="SARIMA Processes" xr:uid="{00000000-0004-0000-0000-00000D000000}"/>
    <hyperlink ref="A17" location="TOC!A218" display="Miscellaneous Topics" xr:uid="{00000000-0004-0000-0000-00000E000000}"/>
    <hyperlink ref="A16" location="TOC!A201" display="Panel Data" xr:uid="{5E402927-FB07-4DC3-9080-DF446401031A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G21"/>
  <sheetViews>
    <sheetView workbookViewId="0"/>
  </sheetViews>
  <sheetFormatPr defaultRowHeight="14.5" x14ac:dyDescent="0.35"/>
  <cols>
    <col min="1" max="4" width="7.1796875" customWidth="1"/>
    <col min="5" max="5" width="8" customWidth="1"/>
    <col min="6" max="6" width="4.54296875" customWidth="1"/>
  </cols>
  <sheetData>
    <row r="1" spans="1:7" x14ac:dyDescent="0.35">
      <c r="A1" s="7" t="s">
        <v>7</v>
      </c>
    </row>
    <row r="3" spans="1:7" x14ac:dyDescent="0.35">
      <c r="A3" s="8" t="s">
        <v>3</v>
      </c>
      <c r="B3" s="8" t="s">
        <v>1</v>
      </c>
      <c r="C3" s="8" t="s">
        <v>138</v>
      </c>
      <c r="D3" s="9" t="s">
        <v>6</v>
      </c>
      <c r="E3" s="9" t="s">
        <v>5</v>
      </c>
      <c r="G3" s="9" t="s">
        <v>8</v>
      </c>
    </row>
    <row r="4" spans="1:7" x14ac:dyDescent="0.35">
      <c r="A4" s="3">
        <v>1</v>
      </c>
      <c r="B4" s="3">
        <v>3</v>
      </c>
      <c r="G4" s="3">
        <v>0</v>
      </c>
    </row>
    <row r="5" spans="1:7" x14ac:dyDescent="0.35">
      <c r="A5" s="3">
        <f>A4+1</f>
        <v>2</v>
      </c>
      <c r="B5" s="3">
        <v>5</v>
      </c>
      <c r="G5" s="3">
        <v>0.22375690607734966</v>
      </c>
    </row>
    <row r="6" spans="1:7" x14ac:dyDescent="0.35">
      <c r="A6" s="3">
        <f t="shared" ref="A6:A18" si="0">A5+1</f>
        <v>3</v>
      </c>
      <c r="B6" s="3">
        <v>9</v>
      </c>
      <c r="G6" s="10">
        <v>0.77624309392265034</v>
      </c>
    </row>
    <row r="7" spans="1:7" x14ac:dyDescent="0.35">
      <c r="A7" s="3">
        <f t="shared" si="0"/>
        <v>4</v>
      </c>
      <c r="B7" s="3">
        <v>20</v>
      </c>
      <c r="C7">
        <f>SUMPRODUCT(B4:B6,G$4:G$6)</f>
        <v>8.1049723756906005</v>
      </c>
      <c r="D7">
        <f>ABS(B7-C7)</f>
        <v>11.8950276243094</v>
      </c>
      <c r="E7">
        <f>(B7-C7)^2</f>
        <v>141.49168218308373</v>
      </c>
      <c r="G7" s="12">
        <f>SUM(G4:G6)</f>
        <v>1</v>
      </c>
    </row>
    <row r="8" spans="1:7" x14ac:dyDescent="0.35">
      <c r="A8" s="3">
        <f t="shared" si="0"/>
        <v>5</v>
      </c>
      <c r="B8" s="3">
        <v>12</v>
      </c>
      <c r="C8">
        <f t="shared" ref="C8:C18" si="1">SUMPRODUCT(B5:B7,G$4:G$6)</f>
        <v>17.538674033149153</v>
      </c>
      <c r="D8">
        <f t="shared" ref="D8:D18" si="2">ABS(B8-C8)</f>
        <v>5.5386740331491531</v>
      </c>
      <c r="E8">
        <f t="shared" ref="E8:E18" si="3">(B8-C8)^2</f>
        <v>30.676910045480707</v>
      </c>
    </row>
    <row r="9" spans="1:7" x14ac:dyDescent="0.35">
      <c r="A9" s="3">
        <f t="shared" si="0"/>
        <v>6</v>
      </c>
      <c r="B9" s="3">
        <v>17</v>
      </c>
      <c r="C9">
        <f t="shared" si="1"/>
        <v>13.790055248618799</v>
      </c>
      <c r="D9">
        <f t="shared" si="2"/>
        <v>3.2099447513812009</v>
      </c>
      <c r="E9">
        <f t="shared" si="3"/>
        <v>10.303745306919719</v>
      </c>
    </row>
    <row r="10" spans="1:7" x14ac:dyDescent="0.35">
      <c r="A10" s="3">
        <f t="shared" si="0"/>
        <v>7</v>
      </c>
      <c r="B10" s="3">
        <v>22</v>
      </c>
      <c r="C10">
        <f t="shared" si="1"/>
        <v>15.881215469613252</v>
      </c>
      <c r="D10">
        <f t="shared" si="2"/>
        <v>6.1187845303867476</v>
      </c>
      <c r="E10">
        <f t="shared" si="3"/>
        <v>37.439524129300175</v>
      </c>
    </row>
    <row r="11" spans="1:7" x14ac:dyDescent="0.35">
      <c r="A11" s="3">
        <f t="shared" si="0"/>
        <v>8</v>
      </c>
      <c r="B11" s="3">
        <v>23</v>
      </c>
      <c r="C11">
        <f t="shared" si="1"/>
        <v>20.881215469613252</v>
      </c>
      <c r="D11">
        <f t="shared" si="2"/>
        <v>2.1187845303867476</v>
      </c>
      <c r="E11">
        <f t="shared" si="3"/>
        <v>4.4892478862061909</v>
      </c>
    </row>
    <row r="12" spans="1:7" x14ac:dyDescent="0.35">
      <c r="A12" s="3">
        <f t="shared" si="0"/>
        <v>9</v>
      </c>
      <c r="B12" s="3">
        <v>51</v>
      </c>
      <c r="C12">
        <f t="shared" si="1"/>
        <v>22.776243093922652</v>
      </c>
      <c r="D12">
        <f t="shared" si="2"/>
        <v>28.223756906077348</v>
      </c>
      <c r="E12">
        <f t="shared" si="3"/>
        <v>796.58045389334882</v>
      </c>
    </row>
    <row r="13" spans="1:7" x14ac:dyDescent="0.35">
      <c r="A13" s="3">
        <f t="shared" si="0"/>
        <v>10</v>
      </c>
      <c r="B13" s="3">
        <v>41</v>
      </c>
      <c r="C13">
        <f t="shared" si="1"/>
        <v>44.73480662983421</v>
      </c>
      <c r="D13">
        <f t="shared" si="2"/>
        <v>3.7348066298342104</v>
      </c>
      <c r="E13">
        <f t="shared" si="3"/>
        <v>13.948780562253573</v>
      </c>
    </row>
    <row r="14" spans="1:7" x14ac:dyDescent="0.35">
      <c r="A14" s="3">
        <f t="shared" si="0"/>
        <v>11</v>
      </c>
      <c r="B14" s="3">
        <v>56</v>
      </c>
      <c r="C14">
        <f t="shared" si="1"/>
        <v>43.237569060773495</v>
      </c>
      <c r="D14">
        <f t="shared" si="2"/>
        <v>12.762430939226505</v>
      </c>
      <c r="E14">
        <f t="shared" si="3"/>
        <v>162.87964347852594</v>
      </c>
    </row>
    <row r="15" spans="1:7" x14ac:dyDescent="0.35">
      <c r="A15" s="3">
        <f t="shared" si="0"/>
        <v>12</v>
      </c>
      <c r="B15" s="3">
        <v>75</v>
      </c>
      <c r="C15">
        <f t="shared" si="1"/>
        <v>52.643646408839757</v>
      </c>
      <c r="D15">
        <f t="shared" si="2"/>
        <v>22.356353591160243</v>
      </c>
      <c r="E15">
        <f t="shared" si="3"/>
        <v>499.80654589298348</v>
      </c>
    </row>
    <row r="16" spans="1:7" x14ac:dyDescent="0.35">
      <c r="A16" s="3">
        <f t="shared" si="0"/>
        <v>13</v>
      </c>
      <c r="B16" s="3">
        <v>60</v>
      </c>
      <c r="C16">
        <f t="shared" si="1"/>
        <v>70.748618784530365</v>
      </c>
      <c r="D16">
        <f t="shared" si="2"/>
        <v>10.748618784530365</v>
      </c>
      <c r="E16">
        <f t="shared" si="3"/>
        <v>115.53280577515902</v>
      </c>
    </row>
    <row r="17" spans="1:5" x14ac:dyDescent="0.35">
      <c r="A17" s="3">
        <f t="shared" si="0"/>
        <v>14</v>
      </c>
      <c r="B17" s="3">
        <v>75</v>
      </c>
      <c r="C17">
        <f t="shared" si="1"/>
        <v>63.356353591160243</v>
      </c>
      <c r="D17">
        <f t="shared" si="2"/>
        <v>11.643646408839757</v>
      </c>
      <c r="E17">
        <f t="shared" si="3"/>
        <v>135.57450169408696</v>
      </c>
    </row>
    <row r="18" spans="1:5" x14ac:dyDescent="0.35">
      <c r="A18" s="10">
        <f t="shared" si="0"/>
        <v>15</v>
      </c>
      <c r="B18" s="10">
        <v>88</v>
      </c>
      <c r="C18" s="4">
        <f t="shared" si="1"/>
        <v>71.643646408839757</v>
      </c>
      <c r="D18" s="4">
        <f t="shared" si="2"/>
        <v>16.356353591160243</v>
      </c>
      <c r="E18" s="4">
        <f t="shared" si="3"/>
        <v>267.53030279906056</v>
      </c>
    </row>
    <row r="20" spans="1:5" x14ac:dyDescent="0.35">
      <c r="D20" s="3" t="s">
        <v>12</v>
      </c>
      <c r="E20" s="3" t="s">
        <v>4</v>
      </c>
    </row>
    <row r="21" spans="1:5" x14ac:dyDescent="0.35">
      <c r="D21" s="5">
        <f>AVERAGE(D4:D18)</f>
        <v>11.225598526703493</v>
      </c>
      <c r="E21" s="6">
        <f>AVERAGE(E4:E18)</f>
        <v>184.68784530386742</v>
      </c>
    </row>
  </sheetData>
  <pageMargins left="0.7" right="0.7" top="0.75" bottom="0.75" header="0.3" footer="0.3"/>
  <ignoredErrors>
    <ignoredError sqref="C7:C18" formulaRange="1"/>
  </ignoredErrors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14"/>
  <dimension ref="A1:AE22"/>
  <sheetViews>
    <sheetView workbookViewId="0"/>
  </sheetViews>
  <sheetFormatPr defaultRowHeight="14.5" x14ac:dyDescent="0.35"/>
  <cols>
    <col min="1" max="1" width="7.7265625" customWidth="1"/>
    <col min="4" max="4" width="6.7265625" customWidth="1"/>
    <col min="5" max="5" width="19.7265625" customWidth="1"/>
    <col min="7" max="7" width="4.54296875" customWidth="1"/>
    <col min="8" max="8" width="4.81640625" customWidth="1"/>
    <col min="21" max="21" width="6.26953125" customWidth="1"/>
  </cols>
  <sheetData>
    <row r="1" spans="1:31" x14ac:dyDescent="0.35">
      <c r="A1" s="7" t="s">
        <v>653</v>
      </c>
    </row>
    <row r="3" spans="1:31" x14ac:dyDescent="0.35">
      <c r="A3" s="261" t="s">
        <v>654</v>
      </c>
      <c r="B3" s="15" t="s">
        <v>655</v>
      </c>
      <c r="C3" s="261" t="s">
        <v>656</v>
      </c>
    </row>
    <row r="4" spans="1:31" x14ac:dyDescent="0.35">
      <c r="A4" s="262">
        <v>43101</v>
      </c>
      <c r="B4" s="137">
        <v>4.5</v>
      </c>
      <c r="C4" s="137">
        <v>15.8</v>
      </c>
      <c r="E4" t="s">
        <v>657</v>
      </c>
      <c r="U4" t="s">
        <v>658</v>
      </c>
    </row>
    <row r="5" spans="1:31" x14ac:dyDescent="0.35">
      <c r="A5" s="262">
        <v>43132</v>
      </c>
      <c r="B5" s="12">
        <v>4.8</v>
      </c>
      <c r="C5" s="12">
        <v>18.2</v>
      </c>
      <c r="AB5">
        <f t="array" aca="1" ref="AB5:AB22" ca="1">OFFSET(B4:B21,1,0,COUNT(B4:B21)-H8,1)</f>
        <v>4.8</v>
      </c>
      <c r="AC5">
        <f t="array" aca="1" ref="AC5:AC22" ca="1">OFFSET(C4:C21,0,0,COUNT(C4:C21)-H8,1)</f>
        <v>15.8</v>
      </c>
      <c r="AE5">
        <f ca="1">CORREL(AB5:AB21,AC5:AC21)</f>
        <v>0.32316963997696591</v>
      </c>
    </row>
    <row r="6" spans="1:31" x14ac:dyDescent="0.35">
      <c r="A6" s="262">
        <v>43160</v>
      </c>
      <c r="B6" s="12">
        <v>5.0999999999999996</v>
      </c>
      <c r="C6" s="12">
        <v>19.8</v>
      </c>
      <c r="E6" t="s">
        <v>659</v>
      </c>
      <c r="F6" s="121">
        <v>6</v>
      </c>
      <c r="H6" s="261" t="s">
        <v>78</v>
      </c>
      <c r="I6" s="261" t="s">
        <v>660</v>
      </c>
      <c r="U6" s="261" t="s">
        <v>78</v>
      </c>
      <c r="V6" s="261" t="s">
        <v>660</v>
      </c>
      <c r="AB6">
        <f ca="1"/>
        <v>5.0999999999999996</v>
      </c>
      <c r="AC6">
        <f ca="1"/>
        <v>18.2</v>
      </c>
    </row>
    <row r="7" spans="1:31" x14ac:dyDescent="0.35">
      <c r="A7" s="262">
        <v>43191</v>
      </c>
      <c r="B7" s="12">
        <v>5.9</v>
      </c>
      <c r="C7" s="12">
        <v>22.6</v>
      </c>
      <c r="E7" t="s">
        <v>661</v>
      </c>
      <c r="F7" s="107">
        <f t="array" ref="F7">INDEX(H7:H13,MATCH(F8,ABS(I7:I13),0),1)</f>
        <v>3</v>
      </c>
      <c r="H7" s="137">
        <v>0</v>
      </c>
      <c r="I7">
        <f>CORREL(B4:B21,C4:C21)</f>
        <v>0.44823334414680926</v>
      </c>
      <c r="U7" s="137">
        <v>0</v>
      </c>
      <c r="V7">
        <f t="array" aca="1" ref="V7" ca="1">CORREL(OFFSET(B$4:B$21,0,0,COUNT(B$4:B$21)-H7,1),OFFSET(C$4:C$21,H7,0,COUNT(C$4:C$21)-H7,1))</f>
        <v>0.44823334414680926</v>
      </c>
      <c r="AB7">
        <f ca="1"/>
        <v>5.9</v>
      </c>
      <c r="AC7">
        <f ca="1"/>
        <v>19.8</v>
      </c>
    </row>
    <row r="8" spans="1:31" x14ac:dyDescent="0.35">
      <c r="A8" s="262">
        <v>43221</v>
      </c>
      <c r="B8" s="12">
        <v>6.8</v>
      </c>
      <c r="C8" s="12">
        <v>24</v>
      </c>
      <c r="E8" t="s">
        <v>662</v>
      </c>
      <c r="F8" s="107">
        <f t="array" ref="F8">MAX(ABS(I7:I13))</f>
        <v>0.97133495323510133</v>
      </c>
      <c r="H8" s="17">
        <f>H7+1</f>
        <v>1</v>
      </c>
      <c r="I8" s="13">
        <f>CORREL(B4:B20,C5:C21)</f>
        <v>0.49090874224755843</v>
      </c>
      <c r="U8" s="17">
        <f>U7+1</f>
        <v>1</v>
      </c>
      <c r="V8">
        <f t="array" aca="1" ref="V8" ca="1">CORREL(OFFSET(B$4:B$21,0,0,COUNT(B$4:B$21)-H8,1),OFFSET(C$4:C$21,H8,0,COUNT(C$4:C$21)-H8,1))</f>
        <v>0.49090874224755843</v>
      </c>
      <c r="AB8">
        <f ca="1"/>
        <v>6.8</v>
      </c>
      <c r="AC8">
        <f ca="1"/>
        <v>22.6</v>
      </c>
    </row>
    <row r="9" spans="1:31" x14ac:dyDescent="0.35">
      <c r="A9" s="262">
        <v>43252</v>
      </c>
      <c r="B9" s="12">
        <v>8</v>
      </c>
      <c r="C9" s="12">
        <v>25.9</v>
      </c>
      <c r="E9" t="s">
        <v>663</v>
      </c>
      <c r="F9" s="107">
        <f>F7</f>
        <v>3</v>
      </c>
      <c r="H9" s="17">
        <f t="shared" ref="H9:H13" si="0">H8+1</f>
        <v>2</v>
      </c>
      <c r="I9" s="13">
        <f>CORREL(B4:B19,C6:C21)</f>
        <v>0.64700788864160408</v>
      </c>
      <c r="U9" s="17">
        <f t="shared" ref="U9:U13" si="1">U8+1</f>
        <v>2</v>
      </c>
      <c r="V9">
        <f t="array" aca="1" ref="V9" ca="1">CORREL(OFFSET(B$4:B$21,0,0,COUNT(B$4:B$21)-H9,1),OFFSET(C$4:C$21,H9,0,COUNT(C$4:C$21)-H9,1))</f>
        <v>0.64700788864160408</v>
      </c>
      <c r="AB9">
        <f ca="1"/>
        <v>8</v>
      </c>
      <c r="AC9">
        <f ca="1"/>
        <v>24</v>
      </c>
    </row>
    <row r="10" spans="1:31" x14ac:dyDescent="0.35">
      <c r="A10" s="262">
        <v>43282</v>
      </c>
      <c r="B10" s="12">
        <v>6.1</v>
      </c>
      <c r="C10" s="12">
        <v>31.6</v>
      </c>
      <c r="E10" t="s">
        <v>664</v>
      </c>
      <c r="F10" s="108">
        <f>INDEX(I7:I13,F9+1,1)</f>
        <v>0.97133495323510133</v>
      </c>
      <c r="H10" s="17">
        <f t="shared" si="0"/>
        <v>3</v>
      </c>
      <c r="I10" s="13">
        <f>CORREL(B4:B18,C7:C21)</f>
        <v>0.97133495323510133</v>
      </c>
      <c r="U10" s="17">
        <f t="shared" si="1"/>
        <v>3</v>
      </c>
      <c r="V10">
        <f t="array" aca="1" ref="V10" ca="1">CORREL(OFFSET(B$4:B$21,0,0,COUNT(B$4:B$21)-H10,1),OFFSET(C$4:C$21,H10,0,COUNT(C$4:C$21)-H10,1))</f>
        <v>0.97133495323510133</v>
      </c>
      <c r="AB10">
        <f ca="1"/>
        <v>6.1</v>
      </c>
      <c r="AC10">
        <f ca="1"/>
        <v>25.9</v>
      </c>
    </row>
    <row r="11" spans="1:31" x14ac:dyDescent="0.35">
      <c r="A11" s="262">
        <v>43313</v>
      </c>
      <c r="B11" s="12">
        <v>5.8</v>
      </c>
      <c r="C11" s="12">
        <v>37.4</v>
      </c>
      <c r="H11" s="17">
        <f t="shared" si="0"/>
        <v>4</v>
      </c>
      <c r="I11" s="13">
        <f>CORREL(B4:B17,C8:C21)</f>
        <v>0.56510952337850839</v>
      </c>
      <c r="U11" s="17">
        <f t="shared" si="1"/>
        <v>4</v>
      </c>
      <c r="V11">
        <f t="array" aca="1" ref="V11" ca="1">CORREL(OFFSET(B$4:B$21,0,0,COUNT(B$4:B$21)-H11,1),OFFSET(C$4:C$21,H11,0,COUNT(C$4:C$21)-H11,1))</f>
        <v>0.56510952337850839</v>
      </c>
      <c r="AB11">
        <f ca="1"/>
        <v>5.8</v>
      </c>
      <c r="AC11">
        <f ca="1"/>
        <v>31.6</v>
      </c>
    </row>
    <row r="12" spans="1:31" x14ac:dyDescent="0.35">
      <c r="A12" s="262">
        <v>43344</v>
      </c>
      <c r="B12" s="12">
        <v>6.8</v>
      </c>
      <c r="C12" s="12">
        <v>36.9</v>
      </c>
      <c r="H12" s="17">
        <f t="shared" si="0"/>
        <v>5</v>
      </c>
      <c r="I12" s="13">
        <f>CORREL(B4:B16,C9:C21)</f>
        <v>0.11718706366885712</v>
      </c>
      <c r="U12" s="17">
        <f t="shared" si="1"/>
        <v>5</v>
      </c>
      <c r="V12">
        <f t="array" aca="1" ref="V12" ca="1">CORREL(OFFSET(B$4:B$21,0,0,COUNT(B$4:B$21)-H12,1),OFFSET(C$4:C$21,H12,0,COUNT(C$4:C$21)-H12,1))</f>
        <v>0.11718706366885712</v>
      </c>
      <c r="AB12">
        <f ca="1"/>
        <v>6.8</v>
      </c>
      <c r="AC12">
        <f ca="1"/>
        <v>37.4</v>
      </c>
    </row>
    <row r="13" spans="1:31" x14ac:dyDescent="0.35">
      <c r="A13" s="262">
        <v>43374</v>
      </c>
      <c r="B13" s="12">
        <v>3.7</v>
      </c>
      <c r="C13" s="12">
        <v>31.5</v>
      </c>
      <c r="H13" s="10">
        <f t="shared" si="0"/>
        <v>6</v>
      </c>
      <c r="I13" s="4">
        <f>CORREL(B4:B15,C10:C21)</f>
        <v>-0.39671040524855694</v>
      </c>
      <c r="U13" s="10">
        <f t="shared" si="1"/>
        <v>6</v>
      </c>
      <c r="V13" s="4">
        <f t="array" aca="1" ref="V13" ca="1">CORREL(OFFSET(B$4:B$21,0,0,COUNT(B$4:B$21)-H13,1),OFFSET(C$4:C$21,H13,0,COUNT(C$4:C$21)-H13,1))</f>
        <v>-0.39671040524855694</v>
      </c>
      <c r="AB13">
        <f ca="1"/>
        <v>3.7</v>
      </c>
      <c r="AC13">
        <f ca="1"/>
        <v>36.9</v>
      </c>
    </row>
    <row r="14" spans="1:31" x14ac:dyDescent="0.35">
      <c r="A14" s="262">
        <v>43405</v>
      </c>
      <c r="B14" s="12">
        <v>4.3</v>
      </c>
      <c r="C14" s="12">
        <v>30.9</v>
      </c>
      <c r="AB14">
        <f ca="1"/>
        <v>4.3</v>
      </c>
      <c r="AC14">
        <f ca="1"/>
        <v>31.5</v>
      </c>
    </row>
    <row r="15" spans="1:31" x14ac:dyDescent="0.35">
      <c r="A15" s="262">
        <v>43435</v>
      </c>
      <c r="B15" s="12">
        <v>5.0999999999999996</v>
      </c>
      <c r="C15" s="12">
        <v>37.5</v>
      </c>
      <c r="AB15">
        <f ca="1"/>
        <v>5.0999999999999996</v>
      </c>
      <c r="AC15">
        <f ca="1"/>
        <v>30.9</v>
      </c>
    </row>
    <row r="16" spans="1:31" x14ac:dyDescent="0.35">
      <c r="A16" s="262">
        <v>43466</v>
      </c>
      <c r="B16" s="12">
        <v>7.9</v>
      </c>
      <c r="C16" s="12">
        <v>20.7</v>
      </c>
      <c r="AB16">
        <f ca="1"/>
        <v>7.9</v>
      </c>
      <c r="AC16">
        <f ca="1"/>
        <v>37.5</v>
      </c>
    </row>
    <row r="17" spans="1:29" x14ac:dyDescent="0.35">
      <c r="A17" s="262">
        <v>43497</v>
      </c>
      <c r="B17" s="12">
        <v>8.1</v>
      </c>
      <c r="C17" s="12">
        <v>23.8</v>
      </c>
      <c r="AB17">
        <f ca="1"/>
        <v>8.1</v>
      </c>
      <c r="AC17">
        <f ca="1"/>
        <v>20.7</v>
      </c>
    </row>
    <row r="18" spans="1:29" x14ac:dyDescent="0.35">
      <c r="A18" s="262">
        <v>43525</v>
      </c>
      <c r="B18" s="12">
        <v>8</v>
      </c>
      <c r="C18" s="12">
        <v>26.3</v>
      </c>
      <c r="AB18">
        <f ca="1"/>
        <v>8</v>
      </c>
      <c r="AC18">
        <f ca="1"/>
        <v>23.8</v>
      </c>
    </row>
    <row r="19" spans="1:29" x14ac:dyDescent="0.35">
      <c r="A19" s="262">
        <v>43556</v>
      </c>
      <c r="B19" s="12">
        <v>9.1</v>
      </c>
      <c r="C19" s="12">
        <v>37.9</v>
      </c>
      <c r="AB19">
        <f ca="1"/>
        <v>9.1</v>
      </c>
      <c r="AC19">
        <f ca="1"/>
        <v>26.3</v>
      </c>
    </row>
    <row r="20" spans="1:29" x14ac:dyDescent="0.35">
      <c r="A20" s="262">
        <v>43586</v>
      </c>
      <c r="B20" s="12">
        <v>10.199999999999999</v>
      </c>
      <c r="C20" s="12">
        <v>41.5</v>
      </c>
      <c r="AB20">
        <f ca="1"/>
        <v>10.199999999999999</v>
      </c>
      <c r="AC20">
        <f ca="1"/>
        <v>37.9</v>
      </c>
    </row>
    <row r="21" spans="1:29" x14ac:dyDescent="0.35">
      <c r="A21" s="263">
        <v>43617</v>
      </c>
      <c r="B21" s="55">
        <v>11.3</v>
      </c>
      <c r="C21" s="55">
        <v>41.8</v>
      </c>
      <c r="AB21">
        <f ca="1"/>
        <v>11.3</v>
      </c>
      <c r="AC21">
        <f ca="1"/>
        <v>41.5</v>
      </c>
    </row>
    <row r="22" spans="1:29" x14ac:dyDescent="0.35">
      <c r="AB22" t="e">
        <f ca="1"/>
        <v>#N/A</v>
      </c>
      <c r="AC22" t="e">
        <f ca="1"/>
        <v>#N/A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7"/>
  <dimension ref="A1:AV26"/>
  <sheetViews>
    <sheetView topLeftCell="A10" workbookViewId="0">
      <selection activeCell="I24" sqref="I24"/>
    </sheetView>
  </sheetViews>
  <sheetFormatPr defaultRowHeight="14.5" x14ac:dyDescent="0.35"/>
  <cols>
    <col min="1" max="1" width="4.81640625" customWidth="1"/>
    <col min="2" max="2" width="6.453125" customWidth="1"/>
    <col min="3" max="3" width="7.7265625" customWidth="1"/>
    <col min="5" max="7" width="6.81640625" customWidth="1"/>
    <col min="12" max="12" width="13.7265625" customWidth="1"/>
    <col min="20" max="20" width="3.453125" customWidth="1"/>
    <col min="21" max="21" width="6.26953125" customWidth="1"/>
  </cols>
  <sheetData>
    <row r="1" spans="1:48" x14ac:dyDescent="0.35">
      <c r="A1" s="7"/>
      <c r="B1" s="7"/>
      <c r="C1" s="7"/>
      <c r="F1" t="s">
        <v>636</v>
      </c>
      <c r="L1" t="s">
        <v>141</v>
      </c>
      <c r="U1" t="s">
        <v>353</v>
      </c>
      <c r="Y1" t="s">
        <v>355</v>
      </c>
      <c r="AC1" t="s">
        <v>374</v>
      </c>
      <c r="AG1" t="s">
        <v>379</v>
      </c>
      <c r="AM1" t="s">
        <v>383</v>
      </c>
      <c r="AU1" t="s">
        <v>384</v>
      </c>
    </row>
    <row r="2" spans="1:48" ht="15" thickBot="1" x14ac:dyDescent="0.4">
      <c r="A2" s="72"/>
      <c r="B2" s="72"/>
      <c r="C2" s="72"/>
      <c r="D2" s="72"/>
      <c r="AP2" t="s">
        <v>156</v>
      </c>
      <c r="AQ2">
        <f>0.05</f>
        <v>0.05</v>
      </c>
    </row>
    <row r="3" spans="1:48" ht="15.5" thickTop="1" thickBot="1" x14ac:dyDescent="0.4">
      <c r="B3" s="239" t="s">
        <v>307</v>
      </c>
      <c r="C3" s="239" t="s">
        <v>308</v>
      </c>
      <c r="D3" s="239" t="s">
        <v>110</v>
      </c>
      <c r="F3" s="45" t="s">
        <v>291</v>
      </c>
      <c r="G3" s="45" t="str">
        <f t="array" ref="G3:H3">B3:C3</f>
        <v>X1</v>
      </c>
      <c r="H3" s="45" t="str">
        <v>X2</v>
      </c>
      <c r="I3" s="45" t="str">
        <f>D3</f>
        <v>Y</v>
      </c>
      <c r="J3" s="45" t="s">
        <v>354</v>
      </c>
      <c r="L3" s="44" t="s">
        <v>142</v>
      </c>
      <c r="M3" s="44"/>
      <c r="O3" s="44"/>
      <c r="P3" s="44"/>
      <c r="U3" s="45" t="s">
        <v>291</v>
      </c>
      <c r="V3" s="45" t="s">
        <v>194</v>
      </c>
      <c r="W3" s="45" t="s">
        <v>354</v>
      </c>
      <c r="Y3" s="45" t="s">
        <v>356</v>
      </c>
      <c r="Z3" s="45" t="s">
        <v>357</v>
      </c>
      <c r="AA3" s="45" t="s">
        <v>358</v>
      </c>
      <c r="AC3" s="45" t="s">
        <v>173</v>
      </c>
      <c r="AD3" s="45" t="s">
        <v>174</v>
      </c>
      <c r="AE3" s="45" t="s">
        <v>375</v>
      </c>
      <c r="AG3" s="45" t="s">
        <v>380</v>
      </c>
      <c r="AH3" s="45" t="s">
        <v>162</v>
      </c>
      <c r="AI3" s="45" t="s">
        <v>81</v>
      </c>
      <c r="AJ3" s="45" t="s">
        <v>392</v>
      </c>
      <c r="AK3" s="45" t="s">
        <v>92</v>
      </c>
      <c r="AM3" s="45" t="s">
        <v>291</v>
      </c>
      <c r="AN3" s="45" t="s">
        <v>194</v>
      </c>
      <c r="AO3" s="45" t="s">
        <v>354</v>
      </c>
      <c r="AP3" s="45" t="s">
        <v>138</v>
      </c>
      <c r="AQ3" s="45" t="s">
        <v>81</v>
      </c>
      <c r="AR3" s="45" t="s">
        <v>127</v>
      </c>
      <c r="AS3" s="45" t="s">
        <v>128</v>
      </c>
      <c r="AU3" s="45" t="s">
        <v>291</v>
      </c>
      <c r="AV3" s="45" t="s">
        <v>179</v>
      </c>
    </row>
    <row r="4" spans="1:48" ht="15" thickTop="1" x14ac:dyDescent="0.35">
      <c r="A4">
        <v>1</v>
      </c>
      <c r="B4" s="240">
        <v>1</v>
      </c>
      <c r="C4" s="241">
        <v>10.895</v>
      </c>
      <c r="D4">
        <f>3.11767564756553+0.7</f>
        <v>3.8176756475655296</v>
      </c>
      <c r="F4">
        <v>1</v>
      </c>
      <c r="G4" t="e">
        <f t="array" aca="1" ref="G4:G22" ca="1">ADIFF(B4:B23,1)</f>
        <v>#NAME?</v>
      </c>
      <c r="H4" t="e">
        <f t="array" aca="1" ref="H4:H22" ca="1">ADIFF(C4:C23,1)</f>
        <v>#NAME?</v>
      </c>
      <c r="I4" t="e">
        <f t="array" aca="1" ref="I4:I22" ca="1">ADIFF(D4:D23,1)</f>
        <v>#NAME?</v>
      </c>
      <c r="J4" t="e">
        <f t="array" aca="1" ref="J4:J22" ca="1">I4:I22-TREND(I4:I22,G4:H22,,TRUE)</f>
        <v>#NAME?</v>
      </c>
      <c r="L4" t="s">
        <v>144</v>
      </c>
      <c r="M4" t="e">
        <f ca="1">SQRT(M5)</f>
        <v>#NAME?</v>
      </c>
      <c r="O4" t="s">
        <v>145</v>
      </c>
      <c r="P4" t="e">
        <f ca="1">M8*LN(N13/M8)+2*(M12+1)</f>
        <v>#NAME?</v>
      </c>
      <c r="U4" s="137">
        <v>0</v>
      </c>
      <c r="V4">
        <v>0</v>
      </c>
      <c r="W4">
        <v>0</v>
      </c>
      <c r="Y4" s="137">
        <v>1</v>
      </c>
      <c r="Z4">
        <v>0</v>
      </c>
      <c r="AA4" t="e">
        <f ca="1">AH5</f>
        <v>#NAME?</v>
      </c>
      <c r="AG4" t="s">
        <v>359</v>
      </c>
      <c r="AH4" t="e">
        <f t="array" aca="1" ref="AH4:AI5" ca="1">ARIMA_Coeff(J4:J22,0,1,0,FALSE)</f>
        <v>#NAME?</v>
      </c>
      <c r="AI4" t="e">
        <f ca="1"/>
        <v>#NAME?</v>
      </c>
      <c r="AJ4" t="e">
        <f ca="1">AH4/AI4</f>
        <v>#NAME?</v>
      </c>
      <c r="AK4" t="e">
        <f ca="1">_xlfn.T.DIST.2T(ABS(AJ4),AA$17-AA$9-AA$10-1)</f>
        <v>#NAME?</v>
      </c>
      <c r="AM4">
        <f>U4</f>
        <v>0</v>
      </c>
      <c r="AN4">
        <f>V4</f>
        <v>0</v>
      </c>
      <c r="AO4">
        <f>W4</f>
        <v>0</v>
      </c>
      <c r="AU4">
        <v>1</v>
      </c>
      <c r="AV4" t="e">
        <f ca="1">J4</f>
        <v>#NAME?</v>
      </c>
    </row>
    <row r="5" spans="1:48" x14ac:dyDescent="0.35">
      <c r="A5">
        <f t="shared" ref="A5:A23" si="0">A4+1</f>
        <v>2</v>
      </c>
      <c r="B5" s="240">
        <v>2</v>
      </c>
      <c r="C5" s="241">
        <v>11.895</v>
      </c>
      <c r="D5">
        <v>6.5100100000000003</v>
      </c>
      <c r="F5">
        <f>F4+1</f>
        <v>2</v>
      </c>
      <c r="G5" t="e">
        <f ca="1"/>
        <v>#NAME?</v>
      </c>
      <c r="H5" t="e">
        <f ca="1"/>
        <v>#NAME?</v>
      </c>
      <c r="I5" t="e">
        <f ca="1"/>
        <v>#NAME?</v>
      </c>
      <c r="J5" t="e">
        <f ca="1"/>
        <v>#NAME?</v>
      </c>
      <c r="L5" t="s">
        <v>148</v>
      </c>
      <c r="M5" t="e">
        <f ca="1">N12/N14</f>
        <v>#NAME?</v>
      </c>
      <c r="O5" t="s">
        <v>149</v>
      </c>
      <c r="P5" t="e">
        <f ca="1">P4+2*(M12+2)*(M12+3)/(M8-M12-3)</f>
        <v>#NAME?</v>
      </c>
      <c r="U5" s="137">
        <f>U4+1</f>
        <v>1</v>
      </c>
      <c r="V5" t="e">
        <f ca="1">J4</f>
        <v>#NAME?</v>
      </c>
      <c r="W5" t="e">
        <f ca="1">V5-SUMPRODUCT(W4,AA$4)</f>
        <v>#NAME?</v>
      </c>
      <c r="Y5" s="10" t="s">
        <v>359</v>
      </c>
      <c r="Z5" s="4" t="e">
        <f ca="1">AH4</f>
        <v>#NAME?</v>
      </c>
      <c r="AA5" s="4" t="e">
        <f ca="1">Z5</f>
        <v>#NAME?</v>
      </c>
      <c r="AC5" t="s">
        <v>376</v>
      </c>
      <c r="AG5" s="4" t="s">
        <v>382</v>
      </c>
      <c r="AH5" s="4" t="e">
        <f ca="1"/>
        <v>#NAME?</v>
      </c>
      <c r="AI5" s="4" t="e">
        <f ca="1"/>
        <v>#NAME?</v>
      </c>
      <c r="AJ5" s="4" t="e">
        <f ca="1">AH5/AI5</f>
        <v>#NAME?</v>
      </c>
      <c r="AK5" s="4" t="e">
        <f ca="1">_xlfn.T.DIST.2T(ABS(AJ5),AA$17-AA$9-AA$10-1)</f>
        <v>#NAME?</v>
      </c>
      <c r="AM5">
        <f t="shared" ref="AM5:AO23" si="1">U5</f>
        <v>1</v>
      </c>
      <c r="AN5" t="e">
        <f t="shared" ca="1" si="1"/>
        <v>#NAME?</v>
      </c>
      <c r="AO5" t="e">
        <f t="shared" ca="1" si="1"/>
        <v>#NAME?</v>
      </c>
      <c r="AP5" t="e">
        <f ca="1">AN5-AO5</f>
        <v>#NAME?</v>
      </c>
      <c r="AQ5" t="e">
        <f ca="1">AA$14</f>
        <v>#NAME?</v>
      </c>
      <c r="AR5" t="e">
        <f ca="1">AP5-_xlfn.NORM.S.INV(1-AQ$2/2)*AQ5</f>
        <v>#NAME?</v>
      </c>
      <c r="AS5" t="e">
        <f ca="1">AP5+_xlfn.NORM.S.INV(1-AQ$2/2)*AQ5</f>
        <v>#NAME?</v>
      </c>
      <c r="AU5">
        <f>AU4+1</f>
        <v>2</v>
      </c>
      <c r="AV5" t="e">
        <f ca="1">J5</f>
        <v>#NAME?</v>
      </c>
    </row>
    <row r="6" spans="1:48" ht="15" thickBot="1" x14ac:dyDescent="0.4">
      <c r="A6">
        <f t="shared" si="0"/>
        <v>3</v>
      </c>
      <c r="B6" s="240">
        <v>3.5</v>
      </c>
      <c r="C6" s="241">
        <v>12.685</v>
      </c>
      <c r="D6">
        <f>4.90676859838178-0.5</f>
        <v>4.4067685983817801</v>
      </c>
      <c r="F6">
        <f t="shared" ref="F6:F22" si="2">F5+1</f>
        <v>3</v>
      </c>
      <c r="G6" t="e">
        <f ca="1"/>
        <v>#NAME?</v>
      </c>
      <c r="H6" t="e">
        <f ca="1"/>
        <v>#NAME?</v>
      </c>
      <c r="I6" t="e">
        <f ca="1"/>
        <v>#NAME?</v>
      </c>
      <c r="J6" t="e">
        <f ca="1"/>
        <v>#NAME?</v>
      </c>
      <c r="L6" t="s">
        <v>150</v>
      </c>
      <c r="M6" t="e">
        <f ca="1">1-(1-M5)*(M8-1)/(M8-M12-1)</f>
        <v>#NAME?</v>
      </c>
      <c r="O6" s="4" t="s">
        <v>151</v>
      </c>
      <c r="P6" s="4" t="e">
        <f ca="1">M8*LN(N13/M8)+(M12+1)*LN(M8)</f>
        <v>#NAME?</v>
      </c>
      <c r="U6" s="137">
        <f t="shared" ref="U6:U23" si="3">U5+1</f>
        <v>2</v>
      </c>
      <c r="V6" t="e">
        <f t="shared" ref="V6:V23" ca="1" si="4">J5</f>
        <v>#NAME?</v>
      </c>
      <c r="W6" t="e">
        <f t="shared" ref="W6:W23" ca="1" si="5">V6-SUMPRODUCT(W5,AA$4)</f>
        <v>#NAME?</v>
      </c>
      <c r="AM6">
        <f t="shared" si="1"/>
        <v>2</v>
      </c>
      <c r="AN6" t="e">
        <f t="shared" ca="1" si="1"/>
        <v>#NAME?</v>
      </c>
      <c r="AO6" t="e">
        <f t="shared" ca="1" si="1"/>
        <v>#NAME?</v>
      </c>
      <c r="AP6" t="e">
        <f t="shared" ref="AP6:AP23" ca="1" si="6">AN6-AO6</f>
        <v>#NAME?</v>
      </c>
      <c r="AQ6" t="e">
        <f t="shared" ref="AQ6:AQ23" ca="1" si="7">AA$14</f>
        <v>#NAME?</v>
      </c>
      <c r="AR6" t="e">
        <f t="shared" ref="AR6:AR23" ca="1" si="8">AP6-_xlfn.NORM.S.INV(1-AQ$2/2)*AQ6</f>
        <v>#NAME?</v>
      </c>
      <c r="AS6" t="e">
        <f t="shared" ref="AS6:AS23" ca="1" si="9">AP6+_xlfn.NORM.S.INV(1-AQ$2/2)*AQ6</f>
        <v>#NAME?</v>
      </c>
      <c r="AU6">
        <f t="shared" ref="AU6:AU25" si="10">AU5+1</f>
        <v>3</v>
      </c>
      <c r="AV6" t="e">
        <f t="shared" ref="AV6:AV22" ca="1" si="11">J6</f>
        <v>#NAME?</v>
      </c>
    </row>
    <row r="7" spans="1:48" ht="15" thickTop="1" x14ac:dyDescent="0.35">
      <c r="A7">
        <f t="shared" si="0"/>
        <v>4</v>
      </c>
      <c r="B7" s="240">
        <v>3.5</v>
      </c>
      <c r="C7" s="241">
        <v>13.58</v>
      </c>
      <c r="D7">
        <f>6.11947448226024+0.0001</f>
        <v>6.1195744822602398</v>
      </c>
      <c r="F7">
        <f t="shared" si="2"/>
        <v>4</v>
      </c>
      <c r="G7" t="e">
        <f ca="1"/>
        <v>#NAME?</v>
      </c>
      <c r="H7" t="e">
        <f ca="1"/>
        <v>#NAME?</v>
      </c>
      <c r="I7" t="e">
        <f ca="1"/>
        <v>#NAME?</v>
      </c>
      <c r="J7" t="e">
        <f ca="1"/>
        <v>#NAME?</v>
      </c>
      <c r="L7" t="s">
        <v>146</v>
      </c>
      <c r="M7" t="e">
        <f ca="1">SQRT(O13)</f>
        <v>#NAME?</v>
      </c>
      <c r="U7" s="137">
        <f t="shared" si="3"/>
        <v>3</v>
      </c>
      <c r="V7" t="e">
        <f t="shared" ca="1" si="4"/>
        <v>#NAME?</v>
      </c>
      <c r="W7" t="e">
        <f t="shared" ca="1" si="5"/>
        <v>#NAME?</v>
      </c>
      <c r="Z7" t="s">
        <v>121</v>
      </c>
      <c r="AA7" s="119" t="e">
        <f ca="1">SUMSQ(W5:W23)</f>
        <v>#NAME?</v>
      </c>
      <c r="AC7" s="45" t="s">
        <v>173</v>
      </c>
      <c r="AD7" s="45" t="s">
        <v>174</v>
      </c>
      <c r="AE7" s="45" t="s">
        <v>375</v>
      </c>
      <c r="AM7">
        <f t="shared" si="1"/>
        <v>3</v>
      </c>
      <c r="AN7" t="e">
        <f t="shared" ca="1" si="1"/>
        <v>#NAME?</v>
      </c>
      <c r="AO7" t="e">
        <f t="shared" ca="1" si="1"/>
        <v>#NAME?</v>
      </c>
      <c r="AP7" t="e">
        <f t="shared" ca="1" si="6"/>
        <v>#NAME?</v>
      </c>
      <c r="AQ7" t="e">
        <f t="shared" ca="1" si="7"/>
        <v>#NAME?</v>
      </c>
      <c r="AR7" t="e">
        <f t="shared" ca="1" si="8"/>
        <v>#NAME?</v>
      </c>
      <c r="AS7" t="e">
        <f t="shared" ca="1" si="9"/>
        <v>#NAME?</v>
      </c>
      <c r="AU7">
        <f t="shared" si="10"/>
        <v>4</v>
      </c>
      <c r="AV7" t="e">
        <f t="shared" ca="1" si="11"/>
        <v>#NAME?</v>
      </c>
    </row>
    <row r="8" spans="1:48" x14ac:dyDescent="0.35">
      <c r="A8">
        <f t="shared" si="0"/>
        <v>5</v>
      </c>
      <c r="B8" s="240">
        <v>3</v>
      </c>
      <c r="C8" s="241">
        <v>14.895</v>
      </c>
      <c r="D8">
        <v>8.1353263117657075</v>
      </c>
      <c r="F8">
        <f t="shared" si="2"/>
        <v>5</v>
      </c>
      <c r="G8" t="e">
        <f ca="1"/>
        <v>#NAME?</v>
      </c>
      <c r="H8" t="e">
        <f ca="1"/>
        <v>#NAME?</v>
      </c>
      <c r="I8" t="e">
        <f ca="1"/>
        <v>#NAME?</v>
      </c>
      <c r="J8" t="e">
        <f ca="1"/>
        <v>#NAME?</v>
      </c>
      <c r="L8" s="4" t="s">
        <v>153</v>
      </c>
      <c r="M8" s="4">
        <f ca="1">COUNT(I4:I22)</f>
        <v>0</v>
      </c>
      <c r="U8" s="137">
        <f t="shared" si="3"/>
        <v>4</v>
      </c>
      <c r="V8" t="e">
        <f t="shared" ca="1" si="4"/>
        <v>#NAME?</v>
      </c>
      <c r="W8" t="e">
        <f t="shared" ca="1" si="5"/>
        <v>#NAME?</v>
      </c>
      <c r="AC8" s="15" t="e">
        <f t="array" aca="1" ref="AC8:AE8" ca="1">MARoots(AA4)</f>
        <v>#NAME?</v>
      </c>
      <c r="AD8" s="15" t="e">
        <f ca="1"/>
        <v>#NAME?</v>
      </c>
      <c r="AE8" s="15" t="e">
        <f ca="1"/>
        <v>#NAME?</v>
      </c>
      <c r="AM8">
        <f t="shared" si="1"/>
        <v>4</v>
      </c>
      <c r="AN8" t="e">
        <f t="shared" ca="1" si="1"/>
        <v>#NAME?</v>
      </c>
      <c r="AO8" t="e">
        <f t="shared" ca="1" si="1"/>
        <v>#NAME?</v>
      </c>
      <c r="AP8" t="e">
        <f t="shared" ca="1" si="6"/>
        <v>#NAME?</v>
      </c>
      <c r="AQ8" t="e">
        <f t="shared" ca="1" si="7"/>
        <v>#NAME?</v>
      </c>
      <c r="AR8" t="e">
        <f t="shared" ca="1" si="8"/>
        <v>#NAME?</v>
      </c>
      <c r="AS8" t="e">
        <f t="shared" ca="1" si="9"/>
        <v>#NAME?</v>
      </c>
      <c r="AU8">
        <f t="shared" si="10"/>
        <v>5</v>
      </c>
      <c r="AV8" t="e">
        <f t="shared" ca="1" si="11"/>
        <v>#NAME?</v>
      </c>
    </row>
    <row r="9" spans="1:48" x14ac:dyDescent="0.35">
      <c r="A9">
        <f t="shared" si="0"/>
        <v>6</v>
      </c>
      <c r="B9" s="240">
        <v>4.5</v>
      </c>
      <c r="C9" s="241">
        <v>15.7</v>
      </c>
      <c r="D9">
        <v>9.3448674266459744</v>
      </c>
      <c r="F9">
        <f t="shared" si="2"/>
        <v>6</v>
      </c>
      <c r="G9" t="e">
        <f ca="1"/>
        <v>#NAME?</v>
      </c>
      <c r="H9" t="e">
        <f ca="1"/>
        <v>#NAME?</v>
      </c>
      <c r="I9" t="e">
        <f ca="1"/>
        <v>#NAME?</v>
      </c>
      <c r="J9" t="e">
        <f ca="1"/>
        <v>#NAME?</v>
      </c>
      <c r="U9" s="137">
        <f t="shared" si="3"/>
        <v>5</v>
      </c>
      <c r="V9" t="e">
        <f t="shared" ca="1" si="4"/>
        <v>#NAME?</v>
      </c>
      <c r="W9" t="e">
        <f t="shared" ca="1" si="5"/>
        <v>#NAME?</v>
      </c>
      <c r="Z9" t="s">
        <v>361</v>
      </c>
      <c r="AA9" s="151">
        <v>0</v>
      </c>
      <c r="AM9">
        <f t="shared" si="1"/>
        <v>5</v>
      </c>
      <c r="AN9" t="e">
        <f t="shared" ca="1" si="1"/>
        <v>#NAME?</v>
      </c>
      <c r="AO9" t="e">
        <f t="shared" ca="1" si="1"/>
        <v>#NAME?</v>
      </c>
      <c r="AP9" t="e">
        <f t="shared" ca="1" si="6"/>
        <v>#NAME?</v>
      </c>
      <c r="AQ9" t="e">
        <f t="shared" ca="1" si="7"/>
        <v>#NAME?</v>
      </c>
      <c r="AR9" t="e">
        <f t="shared" ca="1" si="8"/>
        <v>#NAME?</v>
      </c>
      <c r="AS9" t="e">
        <f t="shared" ca="1" si="9"/>
        <v>#NAME?</v>
      </c>
      <c r="AU9">
        <f t="shared" si="10"/>
        <v>6</v>
      </c>
      <c r="AV9" t="e">
        <f t="shared" ca="1" si="11"/>
        <v>#NAME?</v>
      </c>
    </row>
    <row r="10" spans="1:48" ht="15" thickBot="1" x14ac:dyDescent="0.4">
      <c r="A10">
        <f t="shared" si="0"/>
        <v>7</v>
      </c>
      <c r="B10" s="240">
        <v>5</v>
      </c>
      <c r="C10" s="241">
        <v>16.79</v>
      </c>
      <c r="D10">
        <v>9.1476506838871607</v>
      </c>
      <c r="F10">
        <f t="shared" si="2"/>
        <v>7</v>
      </c>
      <c r="G10" t="e">
        <f ca="1"/>
        <v>#NAME?</v>
      </c>
      <c r="H10" t="e">
        <f ca="1"/>
        <v>#NAME?</v>
      </c>
      <c r="I10" t="e">
        <f ca="1"/>
        <v>#NAME?</v>
      </c>
      <c r="J10" t="e">
        <f ca="1"/>
        <v>#NAME?</v>
      </c>
      <c r="L10" t="s">
        <v>155</v>
      </c>
      <c r="P10" s="137" t="s">
        <v>156</v>
      </c>
      <c r="Q10" s="137">
        <v>0.05</v>
      </c>
      <c r="U10" s="137">
        <f t="shared" si="3"/>
        <v>6</v>
      </c>
      <c r="V10" t="e">
        <f t="shared" ca="1" si="4"/>
        <v>#NAME?</v>
      </c>
      <c r="W10" t="e">
        <f t="shared" ca="1" si="5"/>
        <v>#NAME?</v>
      </c>
      <c r="Z10" t="s">
        <v>362</v>
      </c>
      <c r="AA10" s="107">
        <v>1</v>
      </c>
      <c r="AC10" t="s">
        <v>377</v>
      </c>
      <c r="AM10">
        <f t="shared" si="1"/>
        <v>6</v>
      </c>
      <c r="AN10" t="e">
        <f t="shared" ca="1" si="1"/>
        <v>#NAME?</v>
      </c>
      <c r="AO10" t="e">
        <f t="shared" ca="1" si="1"/>
        <v>#NAME?</v>
      </c>
      <c r="AP10" t="e">
        <f t="shared" ca="1" si="6"/>
        <v>#NAME?</v>
      </c>
      <c r="AQ10" t="e">
        <f t="shared" ca="1" si="7"/>
        <v>#NAME?</v>
      </c>
      <c r="AR10" t="e">
        <f t="shared" ca="1" si="8"/>
        <v>#NAME?</v>
      </c>
      <c r="AS10" t="e">
        <f t="shared" ca="1" si="9"/>
        <v>#NAME?</v>
      </c>
      <c r="AU10">
        <f t="shared" si="10"/>
        <v>7</v>
      </c>
      <c r="AV10" t="e">
        <f t="shared" ca="1" si="11"/>
        <v>#NAME?</v>
      </c>
    </row>
    <row r="11" spans="1:48" ht="15.5" thickTop="1" thickBot="1" x14ac:dyDescent="0.4">
      <c r="A11">
        <f t="shared" si="0"/>
        <v>8</v>
      </c>
      <c r="B11" s="240">
        <v>4.5</v>
      </c>
      <c r="C11" s="241">
        <v>17.475000000000001</v>
      </c>
      <c r="D11">
        <f>8.10149328130298</f>
        <v>8.1014932813029805</v>
      </c>
      <c r="F11">
        <f t="shared" si="2"/>
        <v>8</v>
      </c>
      <c r="G11" t="e">
        <f ca="1"/>
        <v>#NAME?</v>
      </c>
      <c r="H11" t="e">
        <f ca="1"/>
        <v>#NAME?</v>
      </c>
      <c r="I11" t="e">
        <f ca="1"/>
        <v>#NAME?</v>
      </c>
      <c r="J11" t="e">
        <f ca="1"/>
        <v>#NAME?</v>
      </c>
      <c r="L11" s="45"/>
      <c r="M11" s="45" t="s">
        <v>88</v>
      </c>
      <c r="N11" s="45" t="s">
        <v>157</v>
      </c>
      <c r="O11" s="45" t="s">
        <v>158</v>
      </c>
      <c r="P11" s="45" t="s">
        <v>159</v>
      </c>
      <c r="Q11" s="45" t="s">
        <v>92</v>
      </c>
      <c r="R11" s="45" t="s">
        <v>84</v>
      </c>
      <c r="U11" s="137">
        <f t="shared" si="3"/>
        <v>7</v>
      </c>
      <c r="V11" t="e">
        <f t="shared" ca="1" si="4"/>
        <v>#NAME?</v>
      </c>
      <c r="W11" t="e">
        <f t="shared" ca="1" si="5"/>
        <v>#NAME?</v>
      </c>
      <c r="Z11" t="s">
        <v>363</v>
      </c>
      <c r="AA11" s="107">
        <v>0</v>
      </c>
      <c r="AM11">
        <f t="shared" si="1"/>
        <v>7</v>
      </c>
      <c r="AN11" t="e">
        <f t="shared" ca="1" si="1"/>
        <v>#NAME?</v>
      </c>
      <c r="AO11" t="e">
        <f t="shared" ca="1" si="1"/>
        <v>#NAME?</v>
      </c>
      <c r="AP11" t="e">
        <f t="shared" ca="1" si="6"/>
        <v>#NAME?</v>
      </c>
      <c r="AQ11" t="e">
        <f t="shared" ca="1" si="7"/>
        <v>#NAME?</v>
      </c>
      <c r="AR11" t="e">
        <f t="shared" ca="1" si="8"/>
        <v>#NAME?</v>
      </c>
      <c r="AS11" t="e">
        <f t="shared" ca="1" si="9"/>
        <v>#NAME?</v>
      </c>
      <c r="AU11">
        <f t="shared" si="10"/>
        <v>8</v>
      </c>
      <c r="AV11" t="e">
        <f t="shared" ca="1" si="11"/>
        <v>#NAME?</v>
      </c>
    </row>
    <row r="12" spans="1:48" ht="15" thickTop="1" x14ac:dyDescent="0.35">
      <c r="A12">
        <f t="shared" si="0"/>
        <v>9</v>
      </c>
      <c r="B12" s="240">
        <v>8</v>
      </c>
      <c r="C12" s="241">
        <v>18.475000000000001</v>
      </c>
      <c r="D12">
        <v>10.146419029172929</v>
      </c>
      <c r="F12">
        <f t="shared" si="2"/>
        <v>9</v>
      </c>
      <c r="G12" t="e">
        <f ca="1"/>
        <v>#NAME?</v>
      </c>
      <c r="H12" t="e">
        <f ca="1"/>
        <v>#NAME?</v>
      </c>
      <c r="I12" t="e">
        <f ca="1"/>
        <v>#NAME?</v>
      </c>
      <c r="J12" t="e">
        <f ca="1"/>
        <v>#NAME?</v>
      </c>
      <c r="L12" t="s">
        <v>160</v>
      </c>
      <c r="M12">
        <f ca="1">COUNT(G4:H4)</f>
        <v>0</v>
      </c>
      <c r="N12" t="e">
        <f ca="1">DEVSQ(MMULT(DEsign(G4:H22),M17:M19))</f>
        <v>#NAME?</v>
      </c>
      <c r="O12" t="e">
        <f ca="1">N12/M12</f>
        <v>#NAME?</v>
      </c>
      <c r="P12" t="e">
        <f ca="1">O12/O13</f>
        <v>#NAME?</v>
      </c>
      <c r="Q12" t="e">
        <f ca="1">_xlfn.F.DIST.RT(P12,M12,M13)</f>
        <v>#NAME?</v>
      </c>
      <c r="R12" s="137" t="e">
        <f ca="1">IF(Q12&lt;Q10,"yes","no")</f>
        <v>#NAME?</v>
      </c>
      <c r="U12" s="137">
        <f t="shared" si="3"/>
        <v>8</v>
      </c>
      <c r="V12" t="e">
        <f t="shared" ca="1" si="4"/>
        <v>#NAME?</v>
      </c>
      <c r="W12" t="e">
        <f t="shared" ca="1" si="5"/>
        <v>#NAME?</v>
      </c>
      <c r="Z12" t="s">
        <v>364</v>
      </c>
      <c r="AA12" s="107" t="e">
        <f ca="1">AVERAGE(W5:W23)</f>
        <v>#NAME?</v>
      </c>
      <c r="AC12" s="45" t="s">
        <v>356</v>
      </c>
      <c r="AD12" s="45" t="s">
        <v>378</v>
      </c>
      <c r="AM12">
        <f t="shared" si="1"/>
        <v>8</v>
      </c>
      <c r="AN12" t="e">
        <f t="shared" ca="1" si="1"/>
        <v>#NAME?</v>
      </c>
      <c r="AO12" t="e">
        <f t="shared" ca="1" si="1"/>
        <v>#NAME?</v>
      </c>
      <c r="AP12" t="e">
        <f t="shared" ca="1" si="6"/>
        <v>#NAME?</v>
      </c>
      <c r="AQ12" t="e">
        <f t="shared" ca="1" si="7"/>
        <v>#NAME?</v>
      </c>
      <c r="AR12" t="e">
        <f t="shared" ca="1" si="8"/>
        <v>#NAME?</v>
      </c>
      <c r="AS12" t="e">
        <f t="shared" ca="1" si="9"/>
        <v>#NAME?</v>
      </c>
      <c r="AU12">
        <f t="shared" si="10"/>
        <v>9</v>
      </c>
      <c r="AV12" t="e">
        <f t="shared" ca="1" si="11"/>
        <v>#NAME?</v>
      </c>
    </row>
    <row r="13" spans="1:48" x14ac:dyDescent="0.35">
      <c r="A13">
        <f t="shared" si="0"/>
        <v>10</v>
      </c>
      <c r="B13" s="240">
        <v>11</v>
      </c>
      <c r="C13" s="241">
        <v>19.579999999999998</v>
      </c>
      <c r="D13">
        <v>11.045196349004179</v>
      </c>
      <c r="F13">
        <f t="shared" si="2"/>
        <v>10</v>
      </c>
      <c r="G13" t="e">
        <f ca="1"/>
        <v>#NAME?</v>
      </c>
      <c r="H13" t="e">
        <f ca="1"/>
        <v>#NAME?</v>
      </c>
      <c r="I13" t="e">
        <f ca="1"/>
        <v>#NAME?</v>
      </c>
      <c r="J13" t="e">
        <f ca="1"/>
        <v>#NAME?</v>
      </c>
      <c r="L13" t="s">
        <v>107</v>
      </c>
      <c r="M13">
        <f ca="1">M14-M12</f>
        <v>-1</v>
      </c>
      <c r="N13" t="e">
        <f ca="1">N14-N12</f>
        <v>#NAME?</v>
      </c>
      <c r="O13" t="e">
        <f ca="1">N13/M13</f>
        <v>#NAME?</v>
      </c>
      <c r="U13" s="137">
        <f t="shared" si="3"/>
        <v>9</v>
      </c>
      <c r="V13" t="e">
        <f t="shared" ca="1" si="4"/>
        <v>#NAME?</v>
      </c>
      <c r="W13" t="e">
        <f t="shared" ca="1" si="5"/>
        <v>#NAME?</v>
      </c>
      <c r="Z13" t="s">
        <v>365</v>
      </c>
      <c r="AA13" s="107" t="e">
        <f ca="1">_xlfn.STDEV.S(W5:W23)</f>
        <v>#NAME?</v>
      </c>
      <c r="AC13" s="242">
        <v>0</v>
      </c>
      <c r="AD13" s="242" t="e">
        <f t="array" aca="1" ref="AD13:AD15" ca="1">PSICoeff(,AA4)</f>
        <v>#NAME?</v>
      </c>
      <c r="AM13">
        <f t="shared" si="1"/>
        <v>9</v>
      </c>
      <c r="AN13" t="e">
        <f t="shared" ca="1" si="1"/>
        <v>#NAME?</v>
      </c>
      <c r="AO13" t="e">
        <f t="shared" ca="1" si="1"/>
        <v>#NAME?</v>
      </c>
      <c r="AP13" t="e">
        <f t="shared" ca="1" si="6"/>
        <v>#NAME?</v>
      </c>
      <c r="AQ13" t="e">
        <f t="shared" ca="1" si="7"/>
        <v>#NAME?</v>
      </c>
      <c r="AR13" t="e">
        <f t="shared" ca="1" si="8"/>
        <v>#NAME?</v>
      </c>
      <c r="AS13" t="e">
        <f t="shared" ca="1" si="9"/>
        <v>#NAME?</v>
      </c>
      <c r="AU13">
        <f t="shared" si="10"/>
        <v>10</v>
      </c>
      <c r="AV13" t="e">
        <f t="shared" ca="1" si="11"/>
        <v>#NAME?</v>
      </c>
    </row>
    <row r="14" spans="1:48" x14ac:dyDescent="0.35">
      <c r="A14">
        <f t="shared" si="0"/>
        <v>11</v>
      </c>
      <c r="B14" s="240">
        <v>7</v>
      </c>
      <c r="C14" s="241">
        <v>20.475000000000001</v>
      </c>
      <c r="D14">
        <f>10.122578080183-0.0001</f>
        <v>10.122478080183001</v>
      </c>
      <c r="F14">
        <f t="shared" si="2"/>
        <v>11</v>
      </c>
      <c r="G14" t="e">
        <f ca="1"/>
        <v>#NAME?</v>
      </c>
      <c r="H14" t="e">
        <f ca="1"/>
        <v>#NAME?</v>
      </c>
      <c r="I14" t="e">
        <f ca="1"/>
        <v>#NAME?</v>
      </c>
      <c r="J14" t="e">
        <f ca="1"/>
        <v>#NAME?</v>
      </c>
      <c r="L14" s="4" t="s">
        <v>161</v>
      </c>
      <c r="M14" s="4">
        <f ca="1">M8-1</f>
        <v>-1</v>
      </c>
      <c r="N14" s="4" t="e">
        <f ca="1">DEVSQ(I4:I22)</f>
        <v>#NAME?</v>
      </c>
      <c r="O14" s="4"/>
      <c r="P14" s="4"/>
      <c r="Q14" s="4"/>
      <c r="R14" s="4"/>
      <c r="U14" s="137">
        <f t="shared" si="3"/>
        <v>10</v>
      </c>
      <c r="V14" t="e">
        <f t="shared" ca="1" si="4"/>
        <v>#NAME?</v>
      </c>
      <c r="W14" t="e">
        <f t="shared" ca="1" si="5"/>
        <v>#NAME?</v>
      </c>
      <c r="Z14" t="s">
        <v>366</v>
      </c>
      <c r="AA14" s="107" t="e">
        <f ca="1">SQRT(AA7/AA17)</f>
        <v>#NAME?</v>
      </c>
      <c r="AC14" s="13">
        <f>AC13+1</f>
        <v>1</v>
      </c>
      <c r="AD14" s="13" t="e">
        <f ca="1"/>
        <v>#NAME?</v>
      </c>
      <c r="AM14">
        <f t="shared" si="1"/>
        <v>10</v>
      </c>
      <c r="AN14" t="e">
        <f t="shared" ca="1" si="1"/>
        <v>#NAME?</v>
      </c>
      <c r="AO14" t="e">
        <f t="shared" ca="1" si="1"/>
        <v>#NAME?</v>
      </c>
      <c r="AP14" t="e">
        <f t="shared" ca="1" si="6"/>
        <v>#NAME?</v>
      </c>
      <c r="AQ14" t="e">
        <f t="shared" ca="1" si="7"/>
        <v>#NAME?</v>
      </c>
      <c r="AR14" t="e">
        <f t="shared" ca="1" si="8"/>
        <v>#NAME?</v>
      </c>
      <c r="AS14" t="e">
        <f t="shared" ca="1" si="9"/>
        <v>#NAME?</v>
      </c>
      <c r="AU14">
        <f t="shared" si="10"/>
        <v>11</v>
      </c>
      <c r="AV14" t="e">
        <f t="shared" ca="1" si="11"/>
        <v>#NAME?</v>
      </c>
    </row>
    <row r="15" spans="1:48" ht="15" thickBot="1" x14ac:dyDescent="0.4">
      <c r="A15">
        <f t="shared" si="0"/>
        <v>12</v>
      </c>
      <c r="B15" s="240">
        <v>6.5</v>
      </c>
      <c r="C15" s="241">
        <v>21.37</v>
      </c>
      <c r="D15">
        <f>10.173602244452-0.2</f>
        <v>9.9736022444520014</v>
      </c>
      <c r="F15">
        <f t="shared" si="2"/>
        <v>12</v>
      </c>
      <c r="G15" t="e">
        <f ca="1"/>
        <v>#NAME?</v>
      </c>
      <c r="H15" t="e">
        <f ca="1"/>
        <v>#NAME?</v>
      </c>
      <c r="I15" t="e">
        <f ca="1"/>
        <v>#NAME?</v>
      </c>
      <c r="J15" t="e">
        <f ca="1"/>
        <v>#NAME?</v>
      </c>
      <c r="U15" s="137">
        <f t="shared" si="3"/>
        <v>11</v>
      </c>
      <c r="V15" t="e">
        <f t="shared" ca="1" si="4"/>
        <v>#NAME?</v>
      </c>
      <c r="W15" t="e">
        <f t="shared" ca="1" si="5"/>
        <v>#NAME?</v>
      </c>
      <c r="Z15" t="s">
        <v>367</v>
      </c>
      <c r="AA15" s="107" t="e">
        <f ca="1">AVERAGE(V5:V23)</f>
        <v>#NAME?</v>
      </c>
      <c r="AC15" s="4">
        <f>AC14+1</f>
        <v>2</v>
      </c>
      <c r="AD15" s="4" t="e">
        <f ca="1"/>
        <v>#NAME?</v>
      </c>
      <c r="AM15">
        <f t="shared" si="1"/>
        <v>11</v>
      </c>
      <c r="AN15" t="e">
        <f t="shared" ca="1" si="1"/>
        <v>#NAME?</v>
      </c>
      <c r="AO15" t="e">
        <f t="shared" ca="1" si="1"/>
        <v>#NAME?</v>
      </c>
      <c r="AP15" t="e">
        <f t="shared" ca="1" si="6"/>
        <v>#NAME?</v>
      </c>
      <c r="AQ15" t="e">
        <f t="shared" ca="1" si="7"/>
        <v>#NAME?</v>
      </c>
      <c r="AR15" t="e">
        <f t="shared" ca="1" si="8"/>
        <v>#NAME?</v>
      </c>
      <c r="AS15" t="e">
        <f t="shared" ca="1" si="9"/>
        <v>#NAME?</v>
      </c>
      <c r="AU15">
        <f t="shared" si="10"/>
        <v>12</v>
      </c>
      <c r="AV15" t="e">
        <f t="shared" ca="1" si="11"/>
        <v>#NAME?</v>
      </c>
    </row>
    <row r="16" spans="1:48" ht="15" thickTop="1" x14ac:dyDescent="0.35">
      <c r="A16">
        <f t="shared" si="0"/>
        <v>13</v>
      </c>
      <c r="B16" s="240">
        <v>8.5</v>
      </c>
      <c r="C16" s="241">
        <v>22.79</v>
      </c>
      <c r="D16">
        <f>10.8213098008928-0.2</f>
        <v>10.621309800892801</v>
      </c>
      <c r="F16">
        <f t="shared" si="2"/>
        <v>13</v>
      </c>
      <c r="G16" t="e">
        <f ca="1"/>
        <v>#NAME?</v>
      </c>
      <c r="H16" t="e">
        <f ca="1"/>
        <v>#NAME?</v>
      </c>
      <c r="I16" t="e">
        <f ca="1"/>
        <v>#NAME?</v>
      </c>
      <c r="J16" t="e">
        <f ca="1"/>
        <v>#NAME?</v>
      </c>
      <c r="L16" s="45"/>
      <c r="M16" s="45" t="s">
        <v>162</v>
      </c>
      <c r="N16" s="45" t="s">
        <v>163</v>
      </c>
      <c r="O16" s="45" t="s">
        <v>164</v>
      </c>
      <c r="P16" s="45" t="s">
        <v>92</v>
      </c>
      <c r="Q16" s="45" t="s">
        <v>127</v>
      </c>
      <c r="R16" s="45" t="s">
        <v>128</v>
      </c>
      <c r="S16" s="45" t="s">
        <v>165</v>
      </c>
      <c r="U16" s="137">
        <f t="shared" si="3"/>
        <v>12</v>
      </c>
      <c r="V16" t="e">
        <f t="shared" ca="1" si="4"/>
        <v>#NAME?</v>
      </c>
      <c r="W16" t="e">
        <f t="shared" ca="1" si="5"/>
        <v>#NAME?</v>
      </c>
      <c r="Z16" t="s">
        <v>368</v>
      </c>
      <c r="AA16" s="107" t="e">
        <f ca="1">_xlfn.STDEV.S(V5:V23)</f>
        <v>#NAME?</v>
      </c>
      <c r="AM16">
        <f t="shared" si="1"/>
        <v>12</v>
      </c>
      <c r="AN16" t="e">
        <f t="shared" ca="1" si="1"/>
        <v>#NAME?</v>
      </c>
      <c r="AO16" t="e">
        <f t="shared" ca="1" si="1"/>
        <v>#NAME?</v>
      </c>
      <c r="AP16" t="e">
        <f t="shared" ca="1" si="6"/>
        <v>#NAME?</v>
      </c>
      <c r="AQ16" t="e">
        <f t="shared" ca="1" si="7"/>
        <v>#NAME?</v>
      </c>
      <c r="AR16" t="e">
        <f t="shared" ca="1" si="8"/>
        <v>#NAME?</v>
      </c>
      <c r="AS16" t="e">
        <f t="shared" ca="1" si="9"/>
        <v>#NAME?</v>
      </c>
      <c r="AU16">
        <f t="shared" si="10"/>
        <v>13</v>
      </c>
      <c r="AV16" t="e">
        <f t="shared" ca="1" si="11"/>
        <v>#NAME?</v>
      </c>
    </row>
    <row r="17" spans="1:48" x14ac:dyDescent="0.35">
      <c r="A17">
        <f t="shared" si="0"/>
        <v>14</v>
      </c>
      <c r="B17" s="240">
        <v>9.5</v>
      </c>
      <c r="C17" s="241">
        <v>23.475000000000001</v>
      </c>
      <c r="D17">
        <v>10.084063249573957</v>
      </c>
      <c r="F17">
        <f t="shared" si="2"/>
        <v>14</v>
      </c>
      <c r="G17" t="e">
        <f ca="1"/>
        <v>#NAME?</v>
      </c>
      <c r="H17" t="e">
        <f ca="1"/>
        <v>#NAME?</v>
      </c>
      <c r="I17" t="e">
        <f ca="1"/>
        <v>#NAME?</v>
      </c>
      <c r="J17" t="e">
        <f ca="1"/>
        <v>#NAME?</v>
      </c>
      <c r="L17" t="s">
        <v>166</v>
      </c>
      <c r="M17" t="e">
        <f t="array" aca="1" ref="M17:N19" ca="1">RegCoeff(G4:H22,I4:I22)</f>
        <v>#NAME?</v>
      </c>
      <c r="N17" t="e">
        <f ca="1"/>
        <v>#NAME?</v>
      </c>
      <c r="O17" t="e">
        <f ca="1">M17/N17</f>
        <v>#NAME?</v>
      </c>
      <c r="P17" t="e">
        <f ca="1">_xlfn.T.DIST.2T(ABS(O17),$M$13)</f>
        <v>#NAME?</v>
      </c>
      <c r="Q17" t="e">
        <f ca="1">M17-_xlfn.T.INV.2T(Q$10,$M$13)*N17</f>
        <v>#NAME?</v>
      </c>
      <c r="R17" t="e">
        <f ca="1">M17+_xlfn.T.INV.2T(Q$10,$M$13)*N17</f>
        <v>#NAME?</v>
      </c>
      <c r="U17" s="137">
        <f t="shared" si="3"/>
        <v>13</v>
      </c>
      <c r="V17" t="e">
        <f t="shared" ca="1" si="4"/>
        <v>#NAME?</v>
      </c>
      <c r="W17" t="e">
        <f t="shared" ca="1" si="5"/>
        <v>#NAME?</v>
      </c>
      <c r="Z17" t="s">
        <v>369</v>
      </c>
      <c r="AA17" s="108">
        <f ca="1">COUNT(V5:V23)</f>
        <v>0</v>
      </c>
      <c r="AM17">
        <f t="shared" si="1"/>
        <v>13</v>
      </c>
      <c r="AN17" t="e">
        <f t="shared" ca="1" si="1"/>
        <v>#NAME?</v>
      </c>
      <c r="AO17" t="e">
        <f t="shared" ca="1" si="1"/>
        <v>#NAME?</v>
      </c>
      <c r="AP17" t="e">
        <f t="shared" ca="1" si="6"/>
        <v>#NAME?</v>
      </c>
      <c r="AQ17" t="e">
        <f t="shared" ca="1" si="7"/>
        <v>#NAME?</v>
      </c>
      <c r="AR17" t="e">
        <f t="shared" ca="1" si="8"/>
        <v>#NAME?</v>
      </c>
      <c r="AS17" t="e">
        <f t="shared" ca="1" si="9"/>
        <v>#NAME?</v>
      </c>
      <c r="AU17">
        <f t="shared" si="10"/>
        <v>14</v>
      </c>
      <c r="AV17" t="e">
        <f t="shared" ca="1" si="11"/>
        <v>#NAME?</v>
      </c>
    </row>
    <row r="18" spans="1:48" x14ac:dyDescent="0.35">
      <c r="A18">
        <f t="shared" si="0"/>
        <v>15</v>
      </c>
      <c r="B18" s="240">
        <v>15</v>
      </c>
      <c r="C18" s="241">
        <v>23.844999999999999</v>
      </c>
      <c r="D18">
        <v>10.346054055555477</v>
      </c>
      <c r="F18">
        <f t="shared" si="2"/>
        <v>15</v>
      </c>
      <c r="G18" t="e">
        <f ca="1"/>
        <v>#NAME?</v>
      </c>
      <c r="H18" t="e">
        <f ca="1"/>
        <v>#NAME?</v>
      </c>
      <c r="I18" t="e">
        <f ca="1"/>
        <v>#NAME?</v>
      </c>
      <c r="J18" t="e">
        <f ca="1"/>
        <v>#NAME?</v>
      </c>
      <c r="L18" t="str">
        <f t="array" ref="L18:L19">TRANSPOSE(G3:H3)</f>
        <v>X1</v>
      </c>
      <c r="M18" t="e">
        <f ca="1"/>
        <v>#NAME?</v>
      </c>
      <c r="N18" t="e">
        <f ca="1"/>
        <v>#NAME?</v>
      </c>
      <c r="O18" t="e">
        <f t="shared" ref="O18:O19" ca="1" si="12">M18/N18</f>
        <v>#NAME?</v>
      </c>
      <c r="P18" t="e">
        <f t="shared" ref="P18:P19" ca="1" si="13">_xlfn.T.DIST.2T(ABS(O18),$M$13)</f>
        <v>#NAME?</v>
      </c>
      <c r="Q18" t="e">
        <f t="shared" ref="Q18:Q19" ca="1" si="14">M18-_xlfn.T.INV.2T(Q$10,$M$13)*N18</f>
        <v>#NAME?</v>
      </c>
      <c r="R18" t="e">
        <f t="shared" ref="R18:R19" ca="1" si="15">M18+_xlfn.T.INV.2T(Q$10,$M$13)*N18</f>
        <v>#NAME?</v>
      </c>
      <c r="S18" t="e" cm="1">
        <f t="array" aca="1" ref="S18" ca="1">VIF(G4:H22,1)</f>
        <v>#NAME?</v>
      </c>
      <c r="U18" s="137">
        <f t="shared" si="3"/>
        <v>14</v>
      </c>
      <c r="V18" t="e">
        <f t="shared" ca="1" si="4"/>
        <v>#NAME?</v>
      </c>
      <c r="W18" t="e">
        <f t="shared" ca="1" si="5"/>
        <v>#NAME?</v>
      </c>
      <c r="AM18">
        <f t="shared" si="1"/>
        <v>14</v>
      </c>
      <c r="AN18" t="e">
        <f t="shared" ca="1" si="1"/>
        <v>#NAME?</v>
      </c>
      <c r="AO18" t="e">
        <f t="shared" ca="1" si="1"/>
        <v>#NAME?</v>
      </c>
      <c r="AP18" t="e">
        <f t="shared" ca="1" si="6"/>
        <v>#NAME?</v>
      </c>
      <c r="AQ18" t="e">
        <f t="shared" ca="1" si="7"/>
        <v>#NAME?</v>
      </c>
      <c r="AR18" t="e">
        <f t="shared" ca="1" si="8"/>
        <v>#NAME?</v>
      </c>
      <c r="AS18" t="e">
        <f t="shared" ca="1" si="9"/>
        <v>#NAME?</v>
      </c>
      <c r="AU18">
        <f t="shared" si="10"/>
        <v>15</v>
      </c>
      <c r="AV18" t="e">
        <f t="shared" ca="1" si="11"/>
        <v>#NAME?</v>
      </c>
    </row>
    <row r="19" spans="1:48" x14ac:dyDescent="0.35">
      <c r="A19">
        <f t="shared" si="0"/>
        <v>16</v>
      </c>
      <c r="B19" s="240">
        <v>14</v>
      </c>
      <c r="C19" s="241">
        <v>23.12</v>
      </c>
      <c r="D19">
        <f>9.69220293930259-1.8</f>
        <v>7.8922029393025896</v>
      </c>
      <c r="F19">
        <f t="shared" si="2"/>
        <v>16</v>
      </c>
      <c r="G19" t="e">
        <f ca="1"/>
        <v>#NAME?</v>
      </c>
      <c r="H19" t="e">
        <f ca="1"/>
        <v>#NAME?</v>
      </c>
      <c r="I19" t="e">
        <f ca="1"/>
        <v>#NAME?</v>
      </c>
      <c r="J19" t="e">
        <f ca="1"/>
        <v>#NAME?</v>
      </c>
      <c r="L19" s="4" t="str">
        <v>X2</v>
      </c>
      <c r="M19" s="4" t="e">
        <f ca="1"/>
        <v>#NAME?</v>
      </c>
      <c r="N19" s="4" t="e">
        <f ca="1"/>
        <v>#NAME?</v>
      </c>
      <c r="O19" s="4" t="e">
        <f t="shared" ca="1" si="12"/>
        <v>#NAME?</v>
      </c>
      <c r="P19" s="4" t="e">
        <f t="shared" ca="1" si="13"/>
        <v>#NAME?</v>
      </c>
      <c r="Q19" s="4" t="e">
        <f t="shared" ca="1" si="14"/>
        <v>#NAME?</v>
      </c>
      <c r="R19" s="4" t="e">
        <f t="shared" ca="1" si="15"/>
        <v>#NAME?</v>
      </c>
      <c r="S19" s="4" t="e" cm="1">
        <f t="array" aca="1" ref="S19" ca="1">VIF(G4:H22,2)</f>
        <v>#NAME?</v>
      </c>
      <c r="U19" s="137">
        <f t="shared" si="3"/>
        <v>15</v>
      </c>
      <c r="V19" t="e">
        <f t="shared" ca="1" si="4"/>
        <v>#NAME?</v>
      </c>
      <c r="W19" t="e">
        <f t="shared" ca="1" si="5"/>
        <v>#NAME?</v>
      </c>
      <c r="Z19" t="s">
        <v>370</v>
      </c>
      <c r="AA19" s="151" t="e">
        <f ca="1">-(AA22-2*(AA9+AA10))/2</f>
        <v>#NAME?</v>
      </c>
      <c r="AM19">
        <f t="shared" si="1"/>
        <v>15</v>
      </c>
      <c r="AN19" t="e">
        <f t="shared" ca="1" si="1"/>
        <v>#NAME?</v>
      </c>
      <c r="AO19" t="e">
        <f t="shared" ca="1" si="1"/>
        <v>#NAME?</v>
      </c>
      <c r="AP19" t="e">
        <f t="shared" ca="1" si="6"/>
        <v>#NAME?</v>
      </c>
      <c r="AQ19" t="e">
        <f t="shared" ca="1" si="7"/>
        <v>#NAME?</v>
      </c>
      <c r="AR19" t="e">
        <f t="shared" ca="1" si="8"/>
        <v>#NAME?</v>
      </c>
      <c r="AS19" t="e">
        <f t="shared" ca="1" si="9"/>
        <v>#NAME?</v>
      </c>
      <c r="AU19">
        <f t="shared" si="10"/>
        <v>16</v>
      </c>
      <c r="AV19" t="e">
        <f t="shared" ca="1" si="11"/>
        <v>#NAME?</v>
      </c>
    </row>
    <row r="20" spans="1:48" x14ac:dyDescent="0.35">
      <c r="A20">
        <f t="shared" si="0"/>
        <v>17</v>
      </c>
      <c r="B20" s="240">
        <v>12</v>
      </c>
      <c r="C20" s="241">
        <v>25.32</v>
      </c>
      <c r="D20">
        <v>11.205574770625867</v>
      </c>
      <c r="F20">
        <f t="shared" si="2"/>
        <v>17</v>
      </c>
      <c r="G20" t="e">
        <f ca="1"/>
        <v>#NAME?</v>
      </c>
      <c r="H20" t="e">
        <f ca="1"/>
        <v>#NAME?</v>
      </c>
      <c r="I20" t="e">
        <f ca="1"/>
        <v>#NAME?</v>
      </c>
      <c r="J20" t="e">
        <f ca="1"/>
        <v>#NAME?</v>
      </c>
      <c r="U20" s="137">
        <f t="shared" si="3"/>
        <v>16</v>
      </c>
      <c r="V20" t="e">
        <f t="shared" ca="1" si="4"/>
        <v>#NAME?</v>
      </c>
      <c r="W20" t="e">
        <f t="shared" ca="1" si="5"/>
        <v>#NAME?</v>
      </c>
      <c r="Z20" t="s">
        <v>145</v>
      </c>
      <c r="AA20" s="107" t="e">
        <f ca="1">AA17*LN(AA7/AA17)+2*(AA9+AA10)</f>
        <v>#NAME?</v>
      </c>
      <c r="AM20">
        <f t="shared" si="1"/>
        <v>16</v>
      </c>
      <c r="AN20" t="e">
        <f t="shared" ca="1" si="1"/>
        <v>#NAME?</v>
      </c>
      <c r="AO20" t="e">
        <f t="shared" ca="1" si="1"/>
        <v>#NAME?</v>
      </c>
      <c r="AP20" t="e">
        <f t="shared" ca="1" si="6"/>
        <v>#NAME?</v>
      </c>
      <c r="AQ20" t="e">
        <f t="shared" ca="1" si="7"/>
        <v>#NAME?</v>
      </c>
      <c r="AR20" t="e">
        <f t="shared" ca="1" si="8"/>
        <v>#NAME?</v>
      </c>
      <c r="AS20" t="e">
        <f t="shared" ca="1" si="9"/>
        <v>#NAME?</v>
      </c>
      <c r="AU20">
        <f t="shared" si="10"/>
        <v>17</v>
      </c>
      <c r="AV20" t="e">
        <f t="shared" ca="1" si="11"/>
        <v>#NAME?</v>
      </c>
    </row>
    <row r="21" spans="1:48" x14ac:dyDescent="0.35">
      <c r="A21">
        <f t="shared" si="0"/>
        <v>18</v>
      </c>
      <c r="B21" s="240">
        <v>13.5</v>
      </c>
      <c r="C21" s="241">
        <v>27.895</v>
      </c>
      <c r="D21">
        <f>12.6521164165148-0.2</f>
        <v>12.452116416514802</v>
      </c>
      <c r="F21">
        <f t="shared" si="2"/>
        <v>18</v>
      </c>
      <c r="G21" t="e">
        <f ca="1"/>
        <v>#NAME?</v>
      </c>
      <c r="H21" t="e">
        <f ca="1"/>
        <v>#NAME?</v>
      </c>
      <c r="I21" t="e">
        <f ca="1"/>
        <v>#NAME?</v>
      </c>
      <c r="J21" t="e">
        <f ca="1"/>
        <v>#NAME?</v>
      </c>
      <c r="U21" s="137">
        <f t="shared" si="3"/>
        <v>17</v>
      </c>
      <c r="V21" t="e">
        <f t="shared" ca="1" si="4"/>
        <v>#NAME?</v>
      </c>
      <c r="W21" t="e">
        <f t="shared" ca="1" si="5"/>
        <v>#NAME?</v>
      </c>
      <c r="Z21" t="s">
        <v>371</v>
      </c>
      <c r="AA21" s="107" t="e">
        <f ca="1">AA17*LN(AA7/AA17)+LN(AA17)*(AA9+AA10)</f>
        <v>#NAME?</v>
      </c>
      <c r="AM21">
        <f t="shared" si="1"/>
        <v>17</v>
      </c>
      <c r="AN21" t="e">
        <f t="shared" ca="1" si="1"/>
        <v>#NAME?</v>
      </c>
      <c r="AO21" t="e">
        <f t="shared" ca="1" si="1"/>
        <v>#NAME?</v>
      </c>
      <c r="AP21" t="e">
        <f t="shared" ca="1" si="6"/>
        <v>#NAME?</v>
      </c>
      <c r="AQ21" t="e">
        <f t="shared" ca="1" si="7"/>
        <v>#NAME?</v>
      </c>
      <c r="AR21" t="e">
        <f t="shared" ca="1" si="8"/>
        <v>#NAME?</v>
      </c>
      <c r="AS21" t="e">
        <f t="shared" ca="1" si="9"/>
        <v>#NAME?</v>
      </c>
      <c r="AU21">
        <f t="shared" si="10"/>
        <v>18</v>
      </c>
      <c r="AV21" t="e">
        <f t="shared" ca="1" si="11"/>
        <v>#NAME?</v>
      </c>
    </row>
    <row r="22" spans="1:48" x14ac:dyDescent="0.35">
      <c r="A22">
        <f t="shared" si="0"/>
        <v>19</v>
      </c>
      <c r="B22" s="240">
        <v>16.5</v>
      </c>
      <c r="C22" s="241">
        <v>28.265000000000001</v>
      </c>
      <c r="D22">
        <f>13.4063291686354+0.1</f>
        <v>13.5063291686354</v>
      </c>
      <c r="F22" s="4">
        <f t="shared" si="2"/>
        <v>19</v>
      </c>
      <c r="G22" s="4" t="e">
        <f ca="1"/>
        <v>#NAME?</v>
      </c>
      <c r="H22" s="4" t="e">
        <f ca="1"/>
        <v>#NAME?</v>
      </c>
      <c r="I22" s="4" t="e">
        <f ca="1"/>
        <v>#NAME?</v>
      </c>
      <c r="J22" s="4" t="e">
        <f ca="1"/>
        <v>#NAME?</v>
      </c>
      <c r="U22" s="137">
        <f t="shared" si="3"/>
        <v>18</v>
      </c>
      <c r="V22" t="e">
        <f t="shared" ca="1" si="4"/>
        <v>#NAME?</v>
      </c>
      <c r="W22" t="e">
        <f t="shared" ca="1" si="5"/>
        <v>#NAME?</v>
      </c>
      <c r="Z22" t="s">
        <v>372</v>
      </c>
      <c r="AA22" s="107" t="e">
        <f ca="1">AA17*(1+LN(2*PI()))+AA20</f>
        <v>#NAME?</v>
      </c>
      <c r="AM22">
        <f t="shared" si="1"/>
        <v>18</v>
      </c>
      <c r="AN22" t="e">
        <f t="shared" ca="1" si="1"/>
        <v>#NAME?</v>
      </c>
      <c r="AO22" t="e">
        <f t="shared" ca="1" si="1"/>
        <v>#NAME?</v>
      </c>
      <c r="AP22" t="e">
        <f t="shared" ca="1" si="6"/>
        <v>#NAME?</v>
      </c>
      <c r="AQ22" t="e">
        <f t="shared" ca="1" si="7"/>
        <v>#NAME?</v>
      </c>
      <c r="AR22" t="e">
        <f t="shared" ca="1" si="8"/>
        <v>#NAME?</v>
      </c>
      <c r="AS22" t="e">
        <f t="shared" ca="1" si="9"/>
        <v>#NAME?</v>
      </c>
      <c r="AU22" s="4">
        <f t="shared" si="10"/>
        <v>19</v>
      </c>
      <c r="AV22" s="4" t="e">
        <f t="shared" ca="1" si="11"/>
        <v>#NAME?</v>
      </c>
    </row>
    <row r="23" spans="1:48" x14ac:dyDescent="0.35">
      <c r="A23">
        <f t="shared" si="0"/>
        <v>20</v>
      </c>
      <c r="B23" s="243">
        <v>10</v>
      </c>
      <c r="C23" s="202">
        <v>29.684999999999999</v>
      </c>
      <c r="D23" s="4">
        <f>12.231217930184-0.5</f>
        <v>11.731217930184</v>
      </c>
      <c r="F23">
        <v>20</v>
      </c>
      <c r="G23" s="249">
        <f>B24-B23</f>
        <v>2</v>
      </c>
      <c r="H23" s="249">
        <f t="shared" ref="H23" si="16">C24-C23</f>
        <v>0.31500000000000128</v>
      </c>
      <c r="I23" s="245" t="e">
        <f t="array" aca="1" ref="I23:I25" ca="1">TREND(I4:I22,G4:H22,G23:H25)+J23:J25</f>
        <v>#VALUE!</v>
      </c>
      <c r="J23" s="247" t="e">
        <f ca="1">AV23</f>
        <v>#NAME?</v>
      </c>
      <c r="U23" s="10">
        <f t="shared" si="3"/>
        <v>19</v>
      </c>
      <c r="V23" s="4" t="e">
        <f t="shared" ca="1" si="4"/>
        <v>#NAME?</v>
      </c>
      <c r="W23" s="4" t="e">
        <f t="shared" ca="1" si="5"/>
        <v>#NAME?</v>
      </c>
      <c r="Z23" t="s">
        <v>373</v>
      </c>
      <c r="AA23" s="108" t="e">
        <f ca="1">AA17*(1+LN(2*PI()))+AA21</f>
        <v>#NAME?</v>
      </c>
      <c r="AM23">
        <f t="shared" si="1"/>
        <v>19</v>
      </c>
      <c r="AN23" t="e">
        <f t="shared" ca="1" si="1"/>
        <v>#NAME?</v>
      </c>
      <c r="AO23" t="e">
        <f t="shared" ca="1" si="1"/>
        <v>#NAME?</v>
      </c>
      <c r="AP23" t="e">
        <f t="shared" ca="1" si="6"/>
        <v>#NAME?</v>
      </c>
      <c r="AQ23" t="e">
        <f t="shared" ca="1" si="7"/>
        <v>#NAME?</v>
      </c>
      <c r="AR23" t="e">
        <f t="shared" ca="1" si="8"/>
        <v>#NAME?</v>
      </c>
      <c r="AS23" t="e">
        <f t="shared" ca="1" si="9"/>
        <v>#NAME?</v>
      </c>
      <c r="AU23">
        <f t="shared" si="10"/>
        <v>20</v>
      </c>
      <c r="AV23" t="e">
        <f ca="1">AP24</f>
        <v>#NAME?</v>
      </c>
    </row>
    <row r="24" spans="1:48" x14ac:dyDescent="0.35">
      <c r="A24">
        <v>21</v>
      </c>
      <c r="B24" s="251">
        <v>12</v>
      </c>
      <c r="C24" s="252">
        <v>30</v>
      </c>
      <c r="D24" s="245" t="e">
        <f ca="1">D23+I23</f>
        <v>#VALUE!</v>
      </c>
      <c r="F24">
        <v>21</v>
      </c>
      <c r="G24" s="249">
        <f t="shared" ref="G24:G25" si="17">B25-B24</f>
        <v>2</v>
      </c>
      <c r="H24" s="249">
        <f t="shared" ref="H24:H25" si="18">C25-C24</f>
        <v>0.5</v>
      </c>
      <c r="I24" s="245" t="e">
        <f ca="1"/>
        <v>#VALUE!</v>
      </c>
      <c r="J24" s="247">
        <f t="shared" ref="J24:J25" si="19">AV24</f>
        <v>0</v>
      </c>
      <c r="AM24">
        <f>AM23+1</f>
        <v>20</v>
      </c>
      <c r="AP24" t="e">
        <f ca="1">SUMPRODUCT(AO23,AA4)</f>
        <v>#NAME?</v>
      </c>
      <c r="AQ24" t="e">
        <f ca="1">AA$14*SQRT(SUMSQ(AD$13:AD13))</f>
        <v>#NAME?</v>
      </c>
      <c r="AR24" t="e">
        <f ca="1">AP24-_xlfn.NORM.S.INV(1-AQ$2/2)*AQ24</f>
        <v>#NAME?</v>
      </c>
      <c r="AS24" t="e">
        <f ca="1">AP24+_xlfn.NORM.S.INV(1-AQ$2/2)*AQ24</f>
        <v>#NAME?</v>
      </c>
      <c r="AU24">
        <f t="shared" si="10"/>
        <v>21</v>
      </c>
      <c r="AV24">
        <f t="shared" ref="AV24:AV25" si="20">AP25</f>
        <v>0</v>
      </c>
    </row>
    <row r="25" spans="1:48" x14ac:dyDescent="0.35">
      <c r="A25">
        <v>22</v>
      </c>
      <c r="B25" s="251">
        <v>14</v>
      </c>
      <c r="C25" s="252">
        <v>30.5</v>
      </c>
      <c r="D25" s="245" t="e">
        <f ca="1">D24+I24</f>
        <v>#VALUE!</v>
      </c>
      <c r="F25" s="4">
        <v>22</v>
      </c>
      <c r="G25" s="250">
        <f t="shared" si="17"/>
        <v>1</v>
      </c>
      <c r="H25" s="250">
        <f t="shared" si="18"/>
        <v>1</v>
      </c>
      <c r="I25" s="246" t="e">
        <f ca="1"/>
        <v>#VALUE!</v>
      </c>
      <c r="J25" s="248">
        <f t="shared" si="19"/>
        <v>0</v>
      </c>
      <c r="AM25">
        <f t="shared" ref="AM25:AM26" si="21">AM24+1</f>
        <v>21</v>
      </c>
      <c r="AP25">
        <v>0</v>
      </c>
      <c r="AQ25" t="e">
        <f ca="1">AA$14*SQRT(SUMSQ(AD$13:AD14))</f>
        <v>#NAME?</v>
      </c>
      <c r="AR25" t="e">
        <f t="shared" ref="AR25:AR26" ca="1" si="22">AP25-_xlfn.NORM.S.INV(1-AQ$2/2)*AQ25</f>
        <v>#NAME?</v>
      </c>
      <c r="AS25" t="e">
        <f t="shared" ref="AS25:AS26" ca="1" si="23">AP25+_xlfn.NORM.S.INV(1-AQ$2/2)*AQ25</f>
        <v>#NAME?</v>
      </c>
      <c r="AU25" s="4">
        <f t="shared" si="10"/>
        <v>22</v>
      </c>
      <c r="AV25" s="4">
        <f t="shared" si="20"/>
        <v>0</v>
      </c>
    </row>
    <row r="26" spans="1:48" x14ac:dyDescent="0.35">
      <c r="A26">
        <v>23</v>
      </c>
      <c r="B26" s="253">
        <v>15</v>
      </c>
      <c r="C26" s="254">
        <v>31.5</v>
      </c>
      <c r="D26" s="246" t="e">
        <f ca="1">D25+I25</f>
        <v>#VALUE!</v>
      </c>
      <c r="AM26" s="4">
        <f t="shared" si="21"/>
        <v>22</v>
      </c>
      <c r="AN26" s="4"/>
      <c r="AO26" s="4"/>
      <c r="AP26" s="4">
        <v>0</v>
      </c>
      <c r="AQ26" s="4" t="e">
        <f ca="1">AA$14*SQRT(SUMSQ(AD$13:AD15))</f>
        <v>#NAME?</v>
      </c>
      <c r="AR26" s="4" t="e">
        <f t="shared" ca="1" si="22"/>
        <v>#NAME?</v>
      </c>
      <c r="AS26" s="4" t="e">
        <f t="shared" ca="1" si="23"/>
        <v>#NAME?</v>
      </c>
    </row>
  </sheetData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2"/>
  <dimension ref="A1:AY26"/>
  <sheetViews>
    <sheetView topLeftCell="A10" workbookViewId="0">
      <selection activeCell="I23" sqref="I23"/>
    </sheetView>
  </sheetViews>
  <sheetFormatPr defaultRowHeight="14.5" x14ac:dyDescent="0.35"/>
  <cols>
    <col min="1" max="1" width="4.81640625" customWidth="1"/>
    <col min="2" max="2" width="6.453125" customWidth="1"/>
    <col min="3" max="3" width="7.7265625" customWidth="1"/>
  </cols>
  <sheetData>
    <row r="1" spans="1:51" x14ac:dyDescent="0.35">
      <c r="A1" s="7"/>
      <c r="B1" s="7"/>
      <c r="C1" s="7"/>
      <c r="F1" t="s">
        <v>636</v>
      </c>
      <c r="L1" t="s">
        <v>141</v>
      </c>
      <c r="U1" t="s">
        <v>353</v>
      </c>
      <c r="Y1" t="s">
        <v>355</v>
      </c>
      <c r="AC1" t="s">
        <v>374</v>
      </c>
      <c r="AG1" t="s">
        <v>379</v>
      </c>
      <c r="AM1" t="s">
        <v>383</v>
      </c>
      <c r="AU1" t="s">
        <v>384</v>
      </c>
      <c r="AX1" t="s">
        <v>647</v>
      </c>
    </row>
    <row r="2" spans="1:51" ht="15" thickBot="1" x14ac:dyDescent="0.4">
      <c r="A2" s="72"/>
      <c r="B2" s="72"/>
      <c r="C2" s="72"/>
      <c r="D2" s="72"/>
      <c r="AP2" t="s">
        <v>156</v>
      </c>
      <c r="AQ2">
        <f>0.05</f>
        <v>0.05</v>
      </c>
    </row>
    <row r="3" spans="1:51" ht="15.5" thickTop="1" thickBot="1" x14ac:dyDescent="0.4">
      <c r="B3" s="244" t="s">
        <v>307</v>
      </c>
      <c r="C3" s="244" t="s">
        <v>308</v>
      </c>
      <c r="D3" s="244" t="s">
        <v>110</v>
      </c>
      <c r="F3" s="45" t="s">
        <v>291</v>
      </c>
      <c r="G3" s="45" t="str">
        <f t="array" ref="G3:H3">B3:C3</f>
        <v>X1</v>
      </c>
      <c r="H3" s="45" t="str">
        <v>X2</v>
      </c>
      <c r="I3" s="45" t="str">
        <f>D3</f>
        <v>Y</v>
      </c>
      <c r="J3" s="45" t="s">
        <v>354</v>
      </c>
      <c r="L3" s="44" t="s">
        <v>142</v>
      </c>
      <c r="M3" s="44"/>
      <c r="O3" s="44"/>
      <c r="P3" s="44"/>
      <c r="U3" s="45" t="s">
        <v>291</v>
      </c>
      <c r="V3" s="45" t="s">
        <v>194</v>
      </c>
      <c r="W3" s="45" t="s">
        <v>354</v>
      </c>
      <c r="Y3" s="45" t="s">
        <v>356</v>
      </c>
      <c r="Z3" s="45" t="s">
        <v>357</v>
      </c>
      <c r="AA3" s="45" t="s">
        <v>358</v>
      </c>
      <c r="AC3" s="45" t="s">
        <v>173</v>
      </c>
      <c r="AD3" s="45" t="s">
        <v>174</v>
      </c>
      <c r="AE3" s="45" t="s">
        <v>375</v>
      </c>
      <c r="AG3" s="45" t="s">
        <v>380</v>
      </c>
      <c r="AH3" s="45" t="s">
        <v>162</v>
      </c>
      <c r="AI3" s="45" t="s">
        <v>81</v>
      </c>
      <c r="AJ3" s="45" t="s">
        <v>392</v>
      </c>
      <c r="AK3" s="45" t="s">
        <v>92</v>
      </c>
      <c r="AM3" s="45" t="s">
        <v>291</v>
      </c>
      <c r="AN3" s="45" t="s">
        <v>194</v>
      </c>
      <c r="AO3" s="45" t="s">
        <v>354</v>
      </c>
      <c r="AP3" s="45" t="s">
        <v>138</v>
      </c>
      <c r="AQ3" s="45" t="s">
        <v>81</v>
      </c>
      <c r="AR3" s="45" t="s">
        <v>127</v>
      </c>
      <c r="AS3" s="45" t="s">
        <v>128</v>
      </c>
      <c r="AU3" s="45" t="s">
        <v>291</v>
      </c>
      <c r="AV3" s="45" t="s">
        <v>179</v>
      </c>
      <c r="AX3" s="45" t="s">
        <v>291</v>
      </c>
      <c r="AY3" s="45" t="s">
        <v>179</v>
      </c>
    </row>
    <row r="4" spans="1:51" ht="15" thickTop="1" x14ac:dyDescent="0.35">
      <c r="A4">
        <v>1</v>
      </c>
      <c r="B4" s="240">
        <v>1</v>
      </c>
      <c r="C4" s="241">
        <v>10.895</v>
      </c>
      <c r="D4">
        <f>3.11767564756553+0.7</f>
        <v>3.8176756475655296</v>
      </c>
      <c r="F4">
        <v>1</v>
      </c>
      <c r="G4" s="161" t="e">
        <f t="array" aca="1" ref="G4:G22" ca="1">ADIFF(B4:B23,1)</f>
        <v>#NAME?</v>
      </c>
      <c r="H4" s="161" t="e">
        <f t="array" aca="1" ref="H4:H22" ca="1">ADIFF(C4:C23,1)</f>
        <v>#NAME?</v>
      </c>
      <c r="I4" s="161" t="e">
        <f t="array" aca="1" ref="I4:I22" ca="1">ADIFF(D4:D23,1)</f>
        <v>#NAME?</v>
      </c>
      <c r="J4" s="161" t="e">
        <f t="array" aca="1" ref="J4:J22" ca="1">I4:I22-TREND(I4:I22,G4:H22,,TRUE)</f>
        <v>#NAME?</v>
      </c>
      <c r="L4" t="s">
        <v>144</v>
      </c>
      <c r="M4" t="e">
        <f ca="1">SQRT(M5)</f>
        <v>#NAME?</v>
      </c>
      <c r="O4" t="s">
        <v>145</v>
      </c>
      <c r="P4" t="e">
        <f ca="1">M8*LN(N13/M8)+2*(M12+1)</f>
        <v>#NAME?</v>
      </c>
      <c r="U4">
        <v>0</v>
      </c>
      <c r="V4">
        <v>0</v>
      </c>
      <c r="W4">
        <v>0</v>
      </c>
      <c r="Y4" s="137">
        <v>1</v>
      </c>
      <c r="Z4">
        <v>0</v>
      </c>
      <c r="AA4" t="e">
        <f ca="1">AH5</f>
        <v>#NAME?</v>
      </c>
      <c r="AG4" t="s">
        <v>359</v>
      </c>
      <c r="AH4" t="e">
        <f t="array" aca="1" ref="AH4:AI5" ca="1">ARIMA_Coeff(J4:J22,0,1,0,FALSE)</f>
        <v>#NAME?</v>
      </c>
      <c r="AI4" t="e">
        <f ca="1"/>
        <v>#NAME?</v>
      </c>
      <c r="AJ4" t="e">
        <f ca="1">AH4/AI4</f>
        <v>#NAME?</v>
      </c>
      <c r="AK4" t="e">
        <f ca="1">_xlfn.T.DIST.2T(ABS(AJ4),AA$17-AA$9-AA$10-1)</f>
        <v>#NAME?</v>
      </c>
      <c r="AM4">
        <f>U4</f>
        <v>0</v>
      </c>
      <c r="AN4">
        <f>V4</f>
        <v>0</v>
      </c>
      <c r="AO4">
        <f>W4</f>
        <v>0</v>
      </c>
      <c r="AU4">
        <v>1</v>
      </c>
      <c r="AV4" t="e">
        <f ca="1">J4</f>
        <v>#NAME?</v>
      </c>
      <c r="AX4" s="161">
        <v>1</v>
      </c>
      <c r="AY4" s="161">
        <f>D4</f>
        <v>3.8176756475655296</v>
      </c>
    </row>
    <row r="5" spans="1:51" x14ac:dyDescent="0.35">
      <c r="A5">
        <f t="shared" ref="A5:A23" si="0">A4+1</f>
        <v>2</v>
      </c>
      <c r="B5" s="240">
        <v>2</v>
      </c>
      <c r="C5" s="241">
        <v>11.895</v>
      </c>
      <c r="D5">
        <v>6.5100100000000003</v>
      </c>
      <c r="F5">
        <f>F4+1</f>
        <v>2</v>
      </c>
      <c r="G5" s="13" t="e">
        <f ca="1"/>
        <v>#NAME?</v>
      </c>
      <c r="H5" s="13" t="e">
        <f ca="1"/>
        <v>#NAME?</v>
      </c>
      <c r="I5" s="13" t="e">
        <f ca="1"/>
        <v>#NAME?</v>
      </c>
      <c r="J5" s="13" t="e">
        <f ca="1"/>
        <v>#NAME?</v>
      </c>
      <c r="L5" t="s">
        <v>148</v>
      </c>
      <c r="M5" t="e">
        <f ca="1">N12/N14</f>
        <v>#NAME?</v>
      </c>
      <c r="O5" t="s">
        <v>149</v>
      </c>
      <c r="P5" t="e">
        <f ca="1">P4+2*(M12+2)*(M12+3)/(M8-M12-3)</f>
        <v>#NAME?</v>
      </c>
      <c r="U5">
        <f>U4+1</f>
        <v>1</v>
      </c>
      <c r="V5" t="e">
        <f ca="1">J4</f>
        <v>#NAME?</v>
      </c>
      <c r="W5" t="e">
        <f ca="1">V5-SUMPRODUCT(W4,AA$4)</f>
        <v>#NAME?</v>
      </c>
      <c r="Y5" s="10" t="s">
        <v>359</v>
      </c>
      <c r="Z5" s="4" t="e">
        <f ca="1">AH4</f>
        <v>#NAME?</v>
      </c>
      <c r="AA5" s="4" t="e">
        <f ca="1">Z5</f>
        <v>#NAME?</v>
      </c>
      <c r="AC5" t="s">
        <v>376</v>
      </c>
      <c r="AG5" s="4" t="s">
        <v>382</v>
      </c>
      <c r="AH5" s="4" t="e">
        <f ca="1"/>
        <v>#NAME?</v>
      </c>
      <c r="AI5" s="4" t="e">
        <f ca="1"/>
        <v>#NAME?</v>
      </c>
      <c r="AJ5" s="4" t="e">
        <f ca="1">AH5/AI5</f>
        <v>#NAME?</v>
      </c>
      <c r="AK5" s="4" t="e">
        <f ca="1">_xlfn.T.DIST.2T(ABS(AJ5),AA$17-AA$9-AA$10-1)</f>
        <v>#NAME?</v>
      </c>
      <c r="AM5">
        <f t="shared" ref="AM5:AO23" si="1">U5</f>
        <v>1</v>
      </c>
      <c r="AN5" t="e">
        <f t="shared" ca="1" si="1"/>
        <v>#NAME?</v>
      </c>
      <c r="AO5" t="e">
        <f t="shared" ca="1" si="1"/>
        <v>#NAME?</v>
      </c>
      <c r="AP5" t="e">
        <f ca="1">AN5-AO5</f>
        <v>#NAME?</v>
      </c>
      <c r="AQ5" t="e">
        <f ca="1">AA$14</f>
        <v>#NAME?</v>
      </c>
      <c r="AR5" t="e">
        <f ca="1">AP5-_xlfn.NORM.S.INV(1-AQ$2/2)*AQ5</f>
        <v>#NAME?</v>
      </c>
      <c r="AS5" t="e">
        <f ca="1">AP5+_xlfn.NORM.S.INV(1-AQ$2/2)*AQ5</f>
        <v>#NAME?</v>
      </c>
      <c r="AU5">
        <f>AU4+1</f>
        <v>2</v>
      </c>
      <c r="AV5" t="e">
        <f ca="1">J5</f>
        <v>#NAME?</v>
      </c>
      <c r="AX5" s="13">
        <f>AX4+1</f>
        <v>2</v>
      </c>
      <c r="AY5" s="13">
        <f t="shared" ref="AY5:AY23" si="2">D5</f>
        <v>6.5100100000000003</v>
      </c>
    </row>
    <row r="6" spans="1:51" ht="15" thickBot="1" x14ac:dyDescent="0.4">
      <c r="A6">
        <f t="shared" si="0"/>
        <v>3</v>
      </c>
      <c r="B6" s="240">
        <v>3.5</v>
      </c>
      <c r="C6" s="241">
        <v>12.685</v>
      </c>
      <c r="D6">
        <f>4.90676859838178-0.5</f>
        <v>4.4067685983817801</v>
      </c>
      <c r="F6">
        <f t="shared" ref="F6:F22" si="3">F5+1</f>
        <v>3</v>
      </c>
      <c r="G6" s="13" t="e">
        <f ca="1"/>
        <v>#NAME?</v>
      </c>
      <c r="H6" s="13" t="e">
        <f ca="1"/>
        <v>#NAME?</v>
      </c>
      <c r="I6" s="13" t="e">
        <f ca="1"/>
        <v>#NAME?</v>
      </c>
      <c r="J6" s="13" t="e">
        <f ca="1"/>
        <v>#NAME?</v>
      </c>
      <c r="L6" t="s">
        <v>150</v>
      </c>
      <c r="M6" t="e">
        <f ca="1">1-(1-M5)*(M8-1)/(M8-M12-1)</f>
        <v>#NAME?</v>
      </c>
      <c r="O6" s="4" t="s">
        <v>151</v>
      </c>
      <c r="P6" s="4" t="e">
        <f ca="1">M8*LN(N13/M8)+(M12+1)*LN(M8)</f>
        <v>#NAME?</v>
      </c>
      <c r="U6">
        <f t="shared" ref="U6:U23" si="4">U5+1</f>
        <v>2</v>
      </c>
      <c r="V6" t="e">
        <f t="shared" ref="V6:V23" ca="1" si="5">J5</f>
        <v>#NAME?</v>
      </c>
      <c r="W6" t="e">
        <f t="shared" ref="W6:W23" ca="1" si="6">V6-SUMPRODUCT(W5,AA$4)</f>
        <v>#NAME?</v>
      </c>
      <c r="AM6">
        <f t="shared" si="1"/>
        <v>2</v>
      </c>
      <c r="AN6" t="e">
        <f t="shared" ca="1" si="1"/>
        <v>#NAME?</v>
      </c>
      <c r="AO6" t="e">
        <f t="shared" ca="1" si="1"/>
        <v>#NAME?</v>
      </c>
      <c r="AP6" t="e">
        <f t="shared" ref="AP6:AP23" ca="1" si="7">AN6-AO6</f>
        <v>#NAME?</v>
      </c>
      <c r="AQ6" t="e">
        <f t="shared" ref="AQ6:AQ23" ca="1" si="8">AA$14</f>
        <v>#NAME?</v>
      </c>
      <c r="AR6" t="e">
        <f t="shared" ref="AR6:AR23" ca="1" si="9">AP6-_xlfn.NORM.S.INV(1-AQ$2/2)*AQ6</f>
        <v>#NAME?</v>
      </c>
      <c r="AS6" t="e">
        <f t="shared" ref="AS6:AS23" ca="1" si="10">AP6+_xlfn.NORM.S.INV(1-AQ$2/2)*AQ6</f>
        <v>#NAME?</v>
      </c>
      <c r="AU6">
        <f t="shared" ref="AU6:AU25" si="11">AU5+1</f>
        <v>3</v>
      </c>
      <c r="AV6" t="e">
        <f t="shared" ref="AV6:AV22" ca="1" si="12">J6</f>
        <v>#NAME?</v>
      </c>
      <c r="AX6" s="13">
        <f t="shared" ref="AX6:AX26" si="13">AX5+1</f>
        <v>3</v>
      </c>
      <c r="AY6" s="13">
        <f t="shared" si="2"/>
        <v>4.4067685983817801</v>
      </c>
    </row>
    <row r="7" spans="1:51" ht="15" thickTop="1" x14ac:dyDescent="0.35">
      <c r="A7">
        <f t="shared" si="0"/>
        <v>4</v>
      </c>
      <c r="B7" s="240">
        <v>3.5</v>
      </c>
      <c r="C7" s="241">
        <v>13.58</v>
      </c>
      <c r="D7">
        <f>6.11947448226024+0.0001</f>
        <v>6.1195744822602398</v>
      </c>
      <c r="F7">
        <f t="shared" si="3"/>
        <v>4</v>
      </c>
      <c r="G7" s="13" t="e">
        <f ca="1"/>
        <v>#NAME?</v>
      </c>
      <c r="H7" s="13" t="e">
        <f ca="1"/>
        <v>#NAME?</v>
      </c>
      <c r="I7" s="13" t="e">
        <f ca="1"/>
        <v>#NAME?</v>
      </c>
      <c r="J7" s="13" t="e">
        <f ca="1"/>
        <v>#NAME?</v>
      </c>
      <c r="L7" t="s">
        <v>146</v>
      </c>
      <c r="M7" t="e">
        <f ca="1">SQRT(O13)</f>
        <v>#NAME?</v>
      </c>
      <c r="U7">
        <f t="shared" si="4"/>
        <v>3</v>
      </c>
      <c r="V7" t="e">
        <f t="shared" ca="1" si="5"/>
        <v>#NAME?</v>
      </c>
      <c r="W7" t="e">
        <f t="shared" ca="1" si="6"/>
        <v>#NAME?</v>
      </c>
      <c r="Z7" t="s">
        <v>121</v>
      </c>
      <c r="AA7" s="119" t="e">
        <f ca="1">SUMSQ(W5:W23)</f>
        <v>#NAME?</v>
      </c>
      <c r="AC7" s="45" t="s">
        <v>173</v>
      </c>
      <c r="AD7" s="45" t="s">
        <v>174</v>
      </c>
      <c r="AE7" s="45" t="s">
        <v>375</v>
      </c>
      <c r="AM7">
        <f t="shared" si="1"/>
        <v>3</v>
      </c>
      <c r="AN7" t="e">
        <f t="shared" ca="1" si="1"/>
        <v>#NAME?</v>
      </c>
      <c r="AO7" t="e">
        <f t="shared" ca="1" si="1"/>
        <v>#NAME?</v>
      </c>
      <c r="AP7" t="e">
        <f t="shared" ca="1" si="7"/>
        <v>#NAME?</v>
      </c>
      <c r="AQ7" t="e">
        <f t="shared" ca="1" si="8"/>
        <v>#NAME?</v>
      </c>
      <c r="AR7" t="e">
        <f t="shared" ca="1" si="9"/>
        <v>#NAME?</v>
      </c>
      <c r="AS7" t="e">
        <f t="shared" ca="1" si="10"/>
        <v>#NAME?</v>
      </c>
      <c r="AU7">
        <f t="shared" si="11"/>
        <v>4</v>
      </c>
      <c r="AV7" t="e">
        <f t="shared" ca="1" si="12"/>
        <v>#NAME?</v>
      </c>
      <c r="AX7" s="13">
        <f t="shared" si="13"/>
        <v>4</v>
      </c>
      <c r="AY7" s="13">
        <f t="shared" si="2"/>
        <v>6.1195744822602398</v>
      </c>
    </row>
    <row r="8" spans="1:51" x14ac:dyDescent="0.35">
      <c r="A8">
        <f t="shared" si="0"/>
        <v>5</v>
      </c>
      <c r="B8" s="240">
        <v>3</v>
      </c>
      <c r="C8" s="241">
        <v>14.895</v>
      </c>
      <c r="D8">
        <v>8.1353263117657075</v>
      </c>
      <c r="F8">
        <f t="shared" si="3"/>
        <v>5</v>
      </c>
      <c r="G8" s="13" t="e">
        <f ca="1"/>
        <v>#NAME?</v>
      </c>
      <c r="H8" s="13" t="e">
        <f ca="1"/>
        <v>#NAME?</v>
      </c>
      <c r="I8" s="13" t="e">
        <f ca="1"/>
        <v>#NAME?</v>
      </c>
      <c r="J8" s="13" t="e">
        <f ca="1"/>
        <v>#NAME?</v>
      </c>
      <c r="L8" s="4" t="s">
        <v>153</v>
      </c>
      <c r="M8" s="4">
        <f ca="1">COUNT(I4:I22)</f>
        <v>0</v>
      </c>
      <c r="U8">
        <f t="shared" si="4"/>
        <v>4</v>
      </c>
      <c r="V8" t="e">
        <f t="shared" ca="1" si="5"/>
        <v>#NAME?</v>
      </c>
      <c r="W8" t="e">
        <f t="shared" ca="1" si="6"/>
        <v>#NAME?</v>
      </c>
      <c r="AC8" s="160" t="e">
        <f t="array" aca="1" ref="AC8:AE8" ca="1">MARoots(AA4)</f>
        <v>#NAME?</v>
      </c>
      <c r="AD8" s="160" t="e">
        <f ca="1"/>
        <v>#NAME?</v>
      </c>
      <c r="AE8" s="160" t="e">
        <f ca="1"/>
        <v>#NAME?</v>
      </c>
      <c r="AM8">
        <f t="shared" si="1"/>
        <v>4</v>
      </c>
      <c r="AN8" t="e">
        <f t="shared" ca="1" si="1"/>
        <v>#NAME?</v>
      </c>
      <c r="AO8" t="e">
        <f t="shared" ca="1" si="1"/>
        <v>#NAME?</v>
      </c>
      <c r="AP8" t="e">
        <f t="shared" ca="1" si="7"/>
        <v>#NAME?</v>
      </c>
      <c r="AQ8" t="e">
        <f t="shared" ca="1" si="8"/>
        <v>#NAME?</v>
      </c>
      <c r="AR8" t="e">
        <f t="shared" ca="1" si="9"/>
        <v>#NAME?</v>
      </c>
      <c r="AS8" t="e">
        <f t="shared" ca="1" si="10"/>
        <v>#NAME?</v>
      </c>
      <c r="AU8">
        <f t="shared" si="11"/>
        <v>5</v>
      </c>
      <c r="AV8" t="e">
        <f t="shared" ca="1" si="12"/>
        <v>#NAME?</v>
      </c>
      <c r="AX8" s="13">
        <f t="shared" si="13"/>
        <v>5</v>
      </c>
      <c r="AY8" s="13">
        <f t="shared" si="2"/>
        <v>8.1353263117657075</v>
      </c>
    </row>
    <row r="9" spans="1:51" x14ac:dyDescent="0.35">
      <c r="A9">
        <f t="shared" si="0"/>
        <v>6</v>
      </c>
      <c r="B9" s="240">
        <v>4.5</v>
      </c>
      <c r="C9" s="241">
        <v>15.7</v>
      </c>
      <c r="D9">
        <v>9.3448674266459744</v>
      </c>
      <c r="F9">
        <f t="shared" si="3"/>
        <v>6</v>
      </c>
      <c r="G9" s="13" t="e">
        <f ca="1"/>
        <v>#NAME?</v>
      </c>
      <c r="H9" s="13" t="e">
        <f ca="1"/>
        <v>#NAME?</v>
      </c>
      <c r="I9" s="13" t="e">
        <f ca="1"/>
        <v>#NAME?</v>
      </c>
      <c r="J9" s="13" t="e">
        <f ca="1"/>
        <v>#NAME?</v>
      </c>
      <c r="U9">
        <f t="shared" si="4"/>
        <v>5</v>
      </c>
      <c r="V9" t="e">
        <f t="shared" ca="1" si="5"/>
        <v>#NAME?</v>
      </c>
      <c r="W9" t="e">
        <f t="shared" ca="1" si="6"/>
        <v>#NAME?</v>
      </c>
      <c r="Z9" t="s">
        <v>361</v>
      </c>
      <c r="AA9" s="121">
        <v>0</v>
      </c>
      <c r="AM9">
        <f t="shared" si="1"/>
        <v>5</v>
      </c>
      <c r="AN9" t="e">
        <f t="shared" ca="1" si="1"/>
        <v>#NAME?</v>
      </c>
      <c r="AO9" t="e">
        <f t="shared" ca="1" si="1"/>
        <v>#NAME?</v>
      </c>
      <c r="AP9" t="e">
        <f t="shared" ca="1" si="7"/>
        <v>#NAME?</v>
      </c>
      <c r="AQ9" t="e">
        <f t="shared" ca="1" si="8"/>
        <v>#NAME?</v>
      </c>
      <c r="AR9" t="e">
        <f t="shared" ca="1" si="9"/>
        <v>#NAME?</v>
      </c>
      <c r="AS9" t="e">
        <f t="shared" ca="1" si="10"/>
        <v>#NAME?</v>
      </c>
      <c r="AU9">
        <f t="shared" si="11"/>
        <v>6</v>
      </c>
      <c r="AV9" t="e">
        <f t="shared" ca="1" si="12"/>
        <v>#NAME?</v>
      </c>
      <c r="AX9" s="13">
        <f t="shared" si="13"/>
        <v>6</v>
      </c>
      <c r="AY9" s="13">
        <f t="shared" si="2"/>
        <v>9.3448674266459744</v>
      </c>
    </row>
    <row r="10" spans="1:51" ht="15" thickBot="1" x14ac:dyDescent="0.4">
      <c r="A10">
        <f t="shared" si="0"/>
        <v>7</v>
      </c>
      <c r="B10" s="240">
        <v>5</v>
      </c>
      <c r="C10" s="241">
        <v>16.79</v>
      </c>
      <c r="D10">
        <v>9.1476506838871607</v>
      </c>
      <c r="F10">
        <f t="shared" si="3"/>
        <v>7</v>
      </c>
      <c r="G10" s="13" t="e">
        <f ca="1"/>
        <v>#NAME?</v>
      </c>
      <c r="H10" s="13" t="e">
        <f ca="1"/>
        <v>#NAME?</v>
      </c>
      <c r="I10" s="13" t="e">
        <f ca="1"/>
        <v>#NAME?</v>
      </c>
      <c r="J10" s="13" t="e">
        <f ca="1"/>
        <v>#NAME?</v>
      </c>
      <c r="L10" t="s">
        <v>155</v>
      </c>
      <c r="P10" s="137" t="s">
        <v>156</v>
      </c>
      <c r="Q10" s="137">
        <v>0.05</v>
      </c>
      <c r="U10">
        <f t="shared" si="4"/>
        <v>6</v>
      </c>
      <c r="V10" t="e">
        <f t="shared" ca="1" si="5"/>
        <v>#NAME?</v>
      </c>
      <c r="W10" t="e">
        <f t="shared" ca="1" si="6"/>
        <v>#NAME?</v>
      </c>
      <c r="Z10" t="s">
        <v>362</v>
      </c>
      <c r="AA10" s="107">
        <v>1</v>
      </c>
      <c r="AC10" t="s">
        <v>377</v>
      </c>
      <c r="AM10">
        <f t="shared" si="1"/>
        <v>6</v>
      </c>
      <c r="AN10" t="e">
        <f t="shared" ca="1" si="1"/>
        <v>#NAME?</v>
      </c>
      <c r="AO10" t="e">
        <f t="shared" ca="1" si="1"/>
        <v>#NAME?</v>
      </c>
      <c r="AP10" t="e">
        <f t="shared" ca="1" si="7"/>
        <v>#NAME?</v>
      </c>
      <c r="AQ10" t="e">
        <f t="shared" ca="1" si="8"/>
        <v>#NAME?</v>
      </c>
      <c r="AR10" t="e">
        <f t="shared" ca="1" si="9"/>
        <v>#NAME?</v>
      </c>
      <c r="AS10" t="e">
        <f t="shared" ca="1" si="10"/>
        <v>#NAME?</v>
      </c>
      <c r="AU10">
        <f t="shared" si="11"/>
        <v>7</v>
      </c>
      <c r="AV10" t="e">
        <f t="shared" ca="1" si="12"/>
        <v>#NAME?</v>
      </c>
      <c r="AX10" s="13">
        <f t="shared" si="13"/>
        <v>7</v>
      </c>
      <c r="AY10" s="13">
        <f t="shared" si="2"/>
        <v>9.1476506838871607</v>
      </c>
    </row>
    <row r="11" spans="1:51" ht="15.5" thickTop="1" thickBot="1" x14ac:dyDescent="0.4">
      <c r="A11">
        <f t="shared" si="0"/>
        <v>8</v>
      </c>
      <c r="B11" s="240">
        <v>4.5</v>
      </c>
      <c r="C11" s="241">
        <v>17.475000000000001</v>
      </c>
      <c r="D11">
        <f>8.10149328130298</f>
        <v>8.1014932813029805</v>
      </c>
      <c r="F11">
        <f t="shared" si="3"/>
        <v>8</v>
      </c>
      <c r="G11" s="13" t="e">
        <f ca="1"/>
        <v>#NAME?</v>
      </c>
      <c r="H11" s="13" t="e">
        <f ca="1"/>
        <v>#NAME?</v>
      </c>
      <c r="I11" s="13" t="e">
        <f ca="1"/>
        <v>#NAME?</v>
      </c>
      <c r="J11" s="13" t="e">
        <f ca="1"/>
        <v>#NAME?</v>
      </c>
      <c r="L11" s="45"/>
      <c r="M11" s="45" t="s">
        <v>88</v>
      </c>
      <c r="N11" s="45" t="s">
        <v>157</v>
      </c>
      <c r="O11" s="45" t="s">
        <v>158</v>
      </c>
      <c r="P11" s="45" t="s">
        <v>159</v>
      </c>
      <c r="Q11" s="45" t="s">
        <v>92</v>
      </c>
      <c r="R11" s="45" t="s">
        <v>84</v>
      </c>
      <c r="U11">
        <f t="shared" si="4"/>
        <v>7</v>
      </c>
      <c r="V11" t="e">
        <f t="shared" ca="1" si="5"/>
        <v>#NAME?</v>
      </c>
      <c r="W11" t="e">
        <f t="shared" ca="1" si="6"/>
        <v>#NAME?</v>
      </c>
      <c r="Z11" t="s">
        <v>363</v>
      </c>
      <c r="AA11" s="107">
        <v>0</v>
      </c>
      <c r="AM11">
        <f t="shared" si="1"/>
        <v>7</v>
      </c>
      <c r="AN11" t="e">
        <f t="shared" ca="1" si="1"/>
        <v>#NAME?</v>
      </c>
      <c r="AO11" t="e">
        <f t="shared" ca="1" si="1"/>
        <v>#NAME?</v>
      </c>
      <c r="AP11" t="e">
        <f t="shared" ca="1" si="7"/>
        <v>#NAME?</v>
      </c>
      <c r="AQ11" t="e">
        <f t="shared" ca="1" si="8"/>
        <v>#NAME?</v>
      </c>
      <c r="AR11" t="e">
        <f t="shared" ca="1" si="9"/>
        <v>#NAME?</v>
      </c>
      <c r="AS11" t="e">
        <f t="shared" ca="1" si="10"/>
        <v>#NAME?</v>
      </c>
      <c r="AU11">
        <f t="shared" si="11"/>
        <v>8</v>
      </c>
      <c r="AV11" t="e">
        <f t="shared" ca="1" si="12"/>
        <v>#NAME?</v>
      </c>
      <c r="AX11" s="13">
        <f t="shared" si="13"/>
        <v>8</v>
      </c>
      <c r="AY11" s="13">
        <f t="shared" si="2"/>
        <v>8.1014932813029805</v>
      </c>
    </row>
    <row r="12" spans="1:51" ht="15" thickTop="1" x14ac:dyDescent="0.35">
      <c r="A12">
        <f t="shared" si="0"/>
        <v>9</v>
      </c>
      <c r="B12" s="240">
        <v>8</v>
      </c>
      <c r="C12" s="241">
        <v>18.475000000000001</v>
      </c>
      <c r="D12">
        <v>10.146419029172929</v>
      </c>
      <c r="F12">
        <f t="shared" si="3"/>
        <v>9</v>
      </c>
      <c r="G12" s="13" t="e">
        <f ca="1"/>
        <v>#NAME?</v>
      </c>
      <c r="H12" s="13" t="e">
        <f ca="1"/>
        <v>#NAME?</v>
      </c>
      <c r="I12" s="13" t="e">
        <f ca="1"/>
        <v>#NAME?</v>
      </c>
      <c r="J12" s="13" t="e">
        <f ca="1"/>
        <v>#NAME?</v>
      </c>
      <c r="L12" t="s">
        <v>160</v>
      </c>
      <c r="M12">
        <f ca="1">COUNT(G4:H4)</f>
        <v>0</v>
      </c>
      <c r="N12" t="e">
        <f ca="1">DEVSQ(MMULT(DEsign(G4:H22),M17:M19))</f>
        <v>#NAME?</v>
      </c>
      <c r="O12" t="e">
        <f ca="1">N12/M12</f>
        <v>#NAME?</v>
      </c>
      <c r="P12" t="e">
        <f ca="1">O12/O13</f>
        <v>#NAME?</v>
      </c>
      <c r="Q12" t="e">
        <f ca="1">_xlfn.F.DIST.RT(P12,M12,M13)</f>
        <v>#NAME?</v>
      </c>
      <c r="R12" s="137" t="e">
        <f ca="1">IF(Q12&lt;Q10,"yes","no")</f>
        <v>#NAME?</v>
      </c>
      <c r="U12">
        <f t="shared" si="4"/>
        <v>8</v>
      </c>
      <c r="V12" t="e">
        <f t="shared" ca="1" si="5"/>
        <v>#NAME?</v>
      </c>
      <c r="W12" t="e">
        <f t="shared" ca="1" si="6"/>
        <v>#NAME?</v>
      </c>
      <c r="Z12" t="s">
        <v>364</v>
      </c>
      <c r="AA12" s="107" t="e">
        <f ca="1">AVERAGE(W5:W23)</f>
        <v>#NAME?</v>
      </c>
      <c r="AC12" s="45" t="s">
        <v>356</v>
      </c>
      <c r="AD12" s="45" t="s">
        <v>378</v>
      </c>
      <c r="AM12">
        <f t="shared" si="1"/>
        <v>8</v>
      </c>
      <c r="AN12" t="e">
        <f t="shared" ca="1" si="1"/>
        <v>#NAME?</v>
      </c>
      <c r="AO12" t="e">
        <f t="shared" ca="1" si="1"/>
        <v>#NAME?</v>
      </c>
      <c r="AP12" t="e">
        <f t="shared" ca="1" si="7"/>
        <v>#NAME?</v>
      </c>
      <c r="AQ12" t="e">
        <f t="shared" ca="1" si="8"/>
        <v>#NAME?</v>
      </c>
      <c r="AR12" t="e">
        <f t="shared" ca="1" si="9"/>
        <v>#NAME?</v>
      </c>
      <c r="AS12" t="e">
        <f t="shared" ca="1" si="10"/>
        <v>#NAME?</v>
      </c>
      <c r="AU12">
        <f t="shared" si="11"/>
        <v>9</v>
      </c>
      <c r="AV12" t="e">
        <f t="shared" ca="1" si="12"/>
        <v>#NAME?</v>
      </c>
      <c r="AX12" s="13">
        <f t="shared" si="13"/>
        <v>9</v>
      </c>
      <c r="AY12" s="13">
        <f t="shared" si="2"/>
        <v>10.146419029172929</v>
      </c>
    </row>
    <row r="13" spans="1:51" x14ac:dyDescent="0.35">
      <c r="A13">
        <f t="shared" si="0"/>
        <v>10</v>
      </c>
      <c r="B13" s="240">
        <v>11</v>
      </c>
      <c r="C13" s="241">
        <v>19.579999999999998</v>
      </c>
      <c r="D13">
        <v>11.045196349004179</v>
      </c>
      <c r="F13">
        <f t="shared" si="3"/>
        <v>10</v>
      </c>
      <c r="G13" s="13" t="e">
        <f ca="1"/>
        <v>#NAME?</v>
      </c>
      <c r="H13" s="13" t="e">
        <f ca="1"/>
        <v>#NAME?</v>
      </c>
      <c r="I13" s="13" t="e">
        <f ca="1"/>
        <v>#NAME?</v>
      </c>
      <c r="J13" s="13" t="e">
        <f ca="1"/>
        <v>#NAME?</v>
      </c>
      <c r="L13" t="s">
        <v>107</v>
      </c>
      <c r="M13">
        <f ca="1">M14-M12</f>
        <v>-1</v>
      </c>
      <c r="N13" t="e">
        <f ca="1">N14-N12</f>
        <v>#NAME?</v>
      </c>
      <c r="O13" t="e">
        <f ca="1">N13/M13</f>
        <v>#NAME?</v>
      </c>
      <c r="U13">
        <f t="shared" si="4"/>
        <v>9</v>
      </c>
      <c r="V13" t="e">
        <f t="shared" ca="1" si="5"/>
        <v>#NAME?</v>
      </c>
      <c r="W13" t="e">
        <f t="shared" ca="1" si="6"/>
        <v>#NAME?</v>
      </c>
      <c r="Z13" t="s">
        <v>365</v>
      </c>
      <c r="AA13" s="107" t="e">
        <f ca="1">_xlfn.STDEV.S(W5:W23)</f>
        <v>#NAME?</v>
      </c>
      <c r="AC13" s="161">
        <v>0</v>
      </c>
      <c r="AD13" s="161" t="e">
        <f t="array" aca="1" ref="AD13:AD15" ca="1">PSICoeff(,AA4)</f>
        <v>#NAME?</v>
      </c>
      <c r="AM13">
        <f t="shared" si="1"/>
        <v>9</v>
      </c>
      <c r="AN13" t="e">
        <f t="shared" ca="1" si="1"/>
        <v>#NAME?</v>
      </c>
      <c r="AO13" t="e">
        <f t="shared" ca="1" si="1"/>
        <v>#NAME?</v>
      </c>
      <c r="AP13" t="e">
        <f t="shared" ca="1" si="7"/>
        <v>#NAME?</v>
      </c>
      <c r="AQ13" t="e">
        <f t="shared" ca="1" si="8"/>
        <v>#NAME?</v>
      </c>
      <c r="AR13" t="e">
        <f t="shared" ca="1" si="9"/>
        <v>#NAME?</v>
      </c>
      <c r="AS13" t="e">
        <f t="shared" ca="1" si="10"/>
        <v>#NAME?</v>
      </c>
      <c r="AU13">
        <f t="shared" si="11"/>
        <v>10</v>
      </c>
      <c r="AV13" t="e">
        <f t="shared" ca="1" si="12"/>
        <v>#NAME?</v>
      </c>
      <c r="AX13" s="13">
        <f t="shared" si="13"/>
        <v>10</v>
      </c>
      <c r="AY13" s="13">
        <f t="shared" si="2"/>
        <v>11.045196349004179</v>
      </c>
    </row>
    <row r="14" spans="1:51" x14ac:dyDescent="0.35">
      <c r="A14">
        <f t="shared" si="0"/>
        <v>11</v>
      </c>
      <c r="B14" s="240">
        <v>7</v>
      </c>
      <c r="C14" s="241">
        <v>20.475000000000001</v>
      </c>
      <c r="D14">
        <f>10.122578080183-0.0001</f>
        <v>10.122478080183001</v>
      </c>
      <c r="F14">
        <f t="shared" si="3"/>
        <v>11</v>
      </c>
      <c r="G14" s="13" t="e">
        <f ca="1"/>
        <v>#NAME?</v>
      </c>
      <c r="H14" s="13" t="e">
        <f ca="1"/>
        <v>#NAME?</v>
      </c>
      <c r="I14" s="13" t="e">
        <f ca="1"/>
        <v>#NAME?</v>
      </c>
      <c r="J14" s="13" t="e">
        <f ca="1"/>
        <v>#NAME?</v>
      </c>
      <c r="L14" s="4" t="s">
        <v>161</v>
      </c>
      <c r="M14" s="4">
        <f ca="1">M8-1</f>
        <v>-1</v>
      </c>
      <c r="N14" s="4" t="e">
        <f ca="1">DEVSQ(I4:I22)</f>
        <v>#NAME?</v>
      </c>
      <c r="O14" s="4"/>
      <c r="P14" s="4"/>
      <c r="Q14" s="4"/>
      <c r="R14" s="4"/>
      <c r="U14">
        <f t="shared" si="4"/>
        <v>10</v>
      </c>
      <c r="V14" t="e">
        <f t="shared" ca="1" si="5"/>
        <v>#NAME?</v>
      </c>
      <c r="W14" t="e">
        <f t="shared" ca="1" si="6"/>
        <v>#NAME?</v>
      </c>
      <c r="Z14" t="s">
        <v>366</v>
      </c>
      <c r="AA14" s="107" t="e">
        <f ca="1">SQRT(AA7/AA17)</f>
        <v>#NAME?</v>
      </c>
      <c r="AC14" s="13">
        <f>AC13+1</f>
        <v>1</v>
      </c>
      <c r="AD14" s="13" t="e">
        <f ca="1"/>
        <v>#NAME?</v>
      </c>
      <c r="AM14">
        <f t="shared" si="1"/>
        <v>10</v>
      </c>
      <c r="AN14" t="e">
        <f t="shared" ca="1" si="1"/>
        <v>#NAME?</v>
      </c>
      <c r="AO14" t="e">
        <f t="shared" ca="1" si="1"/>
        <v>#NAME?</v>
      </c>
      <c r="AP14" t="e">
        <f t="shared" ca="1" si="7"/>
        <v>#NAME?</v>
      </c>
      <c r="AQ14" t="e">
        <f t="shared" ca="1" si="8"/>
        <v>#NAME?</v>
      </c>
      <c r="AR14" t="e">
        <f t="shared" ca="1" si="9"/>
        <v>#NAME?</v>
      </c>
      <c r="AS14" t="e">
        <f t="shared" ca="1" si="10"/>
        <v>#NAME?</v>
      </c>
      <c r="AU14">
        <f t="shared" si="11"/>
        <v>11</v>
      </c>
      <c r="AV14" t="e">
        <f t="shared" ca="1" si="12"/>
        <v>#NAME?</v>
      </c>
      <c r="AX14" s="13">
        <f t="shared" si="13"/>
        <v>11</v>
      </c>
      <c r="AY14" s="13">
        <f t="shared" si="2"/>
        <v>10.122478080183001</v>
      </c>
    </row>
    <row r="15" spans="1:51" ht="15" thickBot="1" x14ac:dyDescent="0.4">
      <c r="A15">
        <f t="shared" si="0"/>
        <v>12</v>
      </c>
      <c r="B15" s="240">
        <v>6.5</v>
      </c>
      <c r="C15" s="241">
        <v>21.37</v>
      </c>
      <c r="D15">
        <f>10.173602244452-0.2</f>
        <v>9.9736022444520014</v>
      </c>
      <c r="F15">
        <f t="shared" si="3"/>
        <v>12</v>
      </c>
      <c r="G15" s="13" t="e">
        <f ca="1"/>
        <v>#NAME?</v>
      </c>
      <c r="H15" s="13" t="e">
        <f ca="1"/>
        <v>#NAME?</v>
      </c>
      <c r="I15" s="13" t="e">
        <f ca="1"/>
        <v>#NAME?</v>
      </c>
      <c r="J15" s="13" t="e">
        <f ca="1"/>
        <v>#NAME?</v>
      </c>
      <c r="U15">
        <f t="shared" si="4"/>
        <v>11</v>
      </c>
      <c r="V15" t="e">
        <f t="shared" ca="1" si="5"/>
        <v>#NAME?</v>
      </c>
      <c r="W15" t="e">
        <f t="shared" ca="1" si="6"/>
        <v>#NAME?</v>
      </c>
      <c r="Z15" t="s">
        <v>367</v>
      </c>
      <c r="AA15" s="107" t="e">
        <f ca="1">AVERAGE(V5:V23)</f>
        <v>#NAME?</v>
      </c>
      <c r="AC15" s="4">
        <f>AC14+1</f>
        <v>2</v>
      </c>
      <c r="AD15" s="4" t="e">
        <f ca="1"/>
        <v>#NAME?</v>
      </c>
      <c r="AM15">
        <f t="shared" si="1"/>
        <v>11</v>
      </c>
      <c r="AN15" t="e">
        <f t="shared" ca="1" si="1"/>
        <v>#NAME?</v>
      </c>
      <c r="AO15" t="e">
        <f t="shared" ca="1" si="1"/>
        <v>#NAME?</v>
      </c>
      <c r="AP15" t="e">
        <f t="shared" ca="1" si="7"/>
        <v>#NAME?</v>
      </c>
      <c r="AQ15" t="e">
        <f t="shared" ca="1" si="8"/>
        <v>#NAME?</v>
      </c>
      <c r="AR15" t="e">
        <f t="shared" ca="1" si="9"/>
        <v>#NAME?</v>
      </c>
      <c r="AS15" t="e">
        <f t="shared" ca="1" si="10"/>
        <v>#NAME?</v>
      </c>
      <c r="AU15">
        <f t="shared" si="11"/>
        <v>12</v>
      </c>
      <c r="AV15" t="e">
        <f t="shared" ca="1" si="12"/>
        <v>#NAME?</v>
      </c>
      <c r="AX15" s="13">
        <f t="shared" si="13"/>
        <v>12</v>
      </c>
      <c r="AY15" s="13">
        <f t="shared" si="2"/>
        <v>9.9736022444520014</v>
      </c>
    </row>
    <row r="16" spans="1:51" ht="15" thickTop="1" x14ac:dyDescent="0.35">
      <c r="A16">
        <f t="shared" si="0"/>
        <v>13</v>
      </c>
      <c r="B16" s="240">
        <v>8.5</v>
      </c>
      <c r="C16" s="241">
        <v>22.79</v>
      </c>
      <c r="D16">
        <f>10.8213098008928-0.2</f>
        <v>10.621309800892801</v>
      </c>
      <c r="F16">
        <f t="shared" si="3"/>
        <v>13</v>
      </c>
      <c r="G16" s="13" t="e">
        <f ca="1"/>
        <v>#NAME?</v>
      </c>
      <c r="H16" s="13" t="e">
        <f ca="1"/>
        <v>#NAME?</v>
      </c>
      <c r="I16" s="13" t="e">
        <f ca="1"/>
        <v>#NAME?</v>
      </c>
      <c r="J16" s="13" t="e">
        <f ca="1"/>
        <v>#NAME?</v>
      </c>
      <c r="L16" s="45"/>
      <c r="M16" s="45" t="s">
        <v>162</v>
      </c>
      <c r="N16" s="45" t="s">
        <v>163</v>
      </c>
      <c r="O16" s="45" t="s">
        <v>164</v>
      </c>
      <c r="P16" s="45" t="s">
        <v>92</v>
      </c>
      <c r="Q16" s="45" t="s">
        <v>127</v>
      </c>
      <c r="R16" s="45" t="s">
        <v>128</v>
      </c>
      <c r="S16" s="45" t="s">
        <v>165</v>
      </c>
      <c r="U16">
        <f t="shared" si="4"/>
        <v>12</v>
      </c>
      <c r="V16" t="e">
        <f t="shared" ca="1" si="5"/>
        <v>#NAME?</v>
      </c>
      <c r="W16" t="e">
        <f t="shared" ca="1" si="6"/>
        <v>#NAME?</v>
      </c>
      <c r="Z16" t="s">
        <v>368</v>
      </c>
      <c r="AA16" s="107" t="e">
        <f ca="1">_xlfn.STDEV.S(V5:V23)</f>
        <v>#NAME?</v>
      </c>
      <c r="AM16">
        <f t="shared" si="1"/>
        <v>12</v>
      </c>
      <c r="AN16" t="e">
        <f t="shared" ca="1" si="1"/>
        <v>#NAME?</v>
      </c>
      <c r="AO16" t="e">
        <f t="shared" ca="1" si="1"/>
        <v>#NAME?</v>
      </c>
      <c r="AP16" t="e">
        <f t="shared" ca="1" si="7"/>
        <v>#NAME?</v>
      </c>
      <c r="AQ16" t="e">
        <f t="shared" ca="1" si="8"/>
        <v>#NAME?</v>
      </c>
      <c r="AR16" t="e">
        <f t="shared" ca="1" si="9"/>
        <v>#NAME?</v>
      </c>
      <c r="AS16" t="e">
        <f t="shared" ca="1" si="10"/>
        <v>#NAME?</v>
      </c>
      <c r="AU16">
        <f t="shared" si="11"/>
        <v>13</v>
      </c>
      <c r="AV16" t="e">
        <f t="shared" ca="1" si="12"/>
        <v>#NAME?</v>
      </c>
      <c r="AX16" s="13">
        <f t="shared" si="13"/>
        <v>13</v>
      </c>
      <c r="AY16" s="13">
        <f t="shared" si="2"/>
        <v>10.621309800892801</v>
      </c>
    </row>
    <row r="17" spans="1:51" x14ac:dyDescent="0.35">
      <c r="A17">
        <f t="shared" si="0"/>
        <v>14</v>
      </c>
      <c r="B17" s="240">
        <v>9.5</v>
      </c>
      <c r="C17" s="241">
        <v>23.475000000000001</v>
      </c>
      <c r="D17">
        <v>10.084063249573957</v>
      </c>
      <c r="F17">
        <f t="shared" si="3"/>
        <v>14</v>
      </c>
      <c r="G17" s="13" t="e">
        <f ca="1"/>
        <v>#NAME?</v>
      </c>
      <c r="H17" s="13" t="e">
        <f ca="1"/>
        <v>#NAME?</v>
      </c>
      <c r="I17" s="13" t="e">
        <f ca="1"/>
        <v>#NAME?</v>
      </c>
      <c r="J17" s="13" t="e">
        <f ca="1"/>
        <v>#NAME?</v>
      </c>
      <c r="L17" t="s">
        <v>166</v>
      </c>
      <c r="M17" t="e">
        <f t="array" aca="1" ref="M17:N19" ca="1">RegCoeff(G4:H22,I4:I22)</f>
        <v>#NAME?</v>
      </c>
      <c r="N17" t="e">
        <f ca="1"/>
        <v>#NAME?</v>
      </c>
      <c r="O17" t="e">
        <f ca="1">M17/N17</f>
        <v>#NAME?</v>
      </c>
      <c r="P17" t="e">
        <f ca="1">_xlfn.T.DIST.2T(ABS(O17),$M$13)</f>
        <v>#NAME?</v>
      </c>
      <c r="Q17" t="e">
        <f ca="1">M17-_xlfn.T.INV.2T(Q$10,$M$13)*N17</f>
        <v>#NAME?</v>
      </c>
      <c r="R17" t="e">
        <f ca="1">M17+_xlfn.T.INV.2T(Q$10,$M$13)*N17</f>
        <v>#NAME?</v>
      </c>
      <c r="U17">
        <f t="shared" si="4"/>
        <v>13</v>
      </c>
      <c r="V17" t="e">
        <f t="shared" ca="1" si="5"/>
        <v>#NAME?</v>
      </c>
      <c r="W17" t="e">
        <f t="shared" ca="1" si="6"/>
        <v>#NAME?</v>
      </c>
      <c r="Z17" t="s">
        <v>369</v>
      </c>
      <c r="AA17" s="108">
        <f ca="1">COUNT(V5:V23)</f>
        <v>0</v>
      </c>
      <c r="AM17">
        <f t="shared" si="1"/>
        <v>13</v>
      </c>
      <c r="AN17" t="e">
        <f t="shared" ca="1" si="1"/>
        <v>#NAME?</v>
      </c>
      <c r="AO17" t="e">
        <f t="shared" ca="1" si="1"/>
        <v>#NAME?</v>
      </c>
      <c r="AP17" t="e">
        <f t="shared" ca="1" si="7"/>
        <v>#NAME?</v>
      </c>
      <c r="AQ17" t="e">
        <f t="shared" ca="1" si="8"/>
        <v>#NAME?</v>
      </c>
      <c r="AR17" t="e">
        <f t="shared" ca="1" si="9"/>
        <v>#NAME?</v>
      </c>
      <c r="AS17" t="e">
        <f t="shared" ca="1" si="10"/>
        <v>#NAME?</v>
      </c>
      <c r="AU17">
        <f t="shared" si="11"/>
        <v>14</v>
      </c>
      <c r="AV17" t="e">
        <f t="shared" ca="1" si="12"/>
        <v>#NAME?</v>
      </c>
      <c r="AX17" s="13">
        <f t="shared" si="13"/>
        <v>14</v>
      </c>
      <c r="AY17" s="13">
        <f t="shared" si="2"/>
        <v>10.084063249573957</v>
      </c>
    </row>
    <row r="18" spans="1:51" x14ac:dyDescent="0.35">
      <c r="A18">
        <f t="shared" si="0"/>
        <v>15</v>
      </c>
      <c r="B18" s="240">
        <v>15</v>
      </c>
      <c r="C18" s="241">
        <v>23.844999999999999</v>
      </c>
      <c r="D18">
        <v>10.346054055555477</v>
      </c>
      <c r="F18">
        <f t="shared" si="3"/>
        <v>15</v>
      </c>
      <c r="G18" s="13" t="e">
        <f ca="1"/>
        <v>#NAME?</v>
      </c>
      <c r="H18" s="13" t="e">
        <f ca="1"/>
        <v>#NAME?</v>
      </c>
      <c r="I18" s="13" t="e">
        <f ca="1"/>
        <v>#NAME?</v>
      </c>
      <c r="J18" s="13" t="e">
        <f ca="1"/>
        <v>#NAME?</v>
      </c>
      <c r="L18" t="str">
        <f t="array" ref="L18:L19">TRANSPOSE(G3:H3)</f>
        <v>X1</v>
      </c>
      <c r="M18" t="e">
        <f ca="1"/>
        <v>#NAME?</v>
      </c>
      <c r="N18" t="e">
        <f ca="1"/>
        <v>#NAME?</v>
      </c>
      <c r="O18" t="e">
        <f t="shared" ref="O18:O19" ca="1" si="14">M18/N18</f>
        <v>#NAME?</v>
      </c>
      <c r="P18" t="e">
        <f t="shared" ref="P18:P19" ca="1" si="15">_xlfn.T.DIST.2T(ABS(O18),$M$13)</f>
        <v>#NAME?</v>
      </c>
      <c r="Q18" t="e">
        <f t="shared" ref="Q18:Q19" ca="1" si="16">M18-_xlfn.T.INV.2T(Q$10,$M$13)*N18</f>
        <v>#NAME?</v>
      </c>
      <c r="R18" t="e">
        <f t="shared" ref="R18:R19" ca="1" si="17">M18+_xlfn.T.INV.2T(Q$10,$M$13)*N18</f>
        <v>#NAME?</v>
      </c>
      <c r="S18" t="e" cm="1">
        <f t="array" aca="1" ref="S18" ca="1">VIF(G4:H22,1)</f>
        <v>#NAME?</v>
      </c>
      <c r="U18">
        <f t="shared" si="4"/>
        <v>14</v>
      </c>
      <c r="V18" t="e">
        <f t="shared" ca="1" si="5"/>
        <v>#NAME?</v>
      </c>
      <c r="W18" t="e">
        <f t="shared" ca="1" si="6"/>
        <v>#NAME?</v>
      </c>
      <c r="AM18">
        <f t="shared" si="1"/>
        <v>14</v>
      </c>
      <c r="AN18" t="e">
        <f t="shared" ca="1" si="1"/>
        <v>#NAME?</v>
      </c>
      <c r="AO18" t="e">
        <f t="shared" ca="1" si="1"/>
        <v>#NAME?</v>
      </c>
      <c r="AP18" t="e">
        <f t="shared" ca="1" si="7"/>
        <v>#NAME?</v>
      </c>
      <c r="AQ18" t="e">
        <f t="shared" ca="1" si="8"/>
        <v>#NAME?</v>
      </c>
      <c r="AR18" t="e">
        <f t="shared" ca="1" si="9"/>
        <v>#NAME?</v>
      </c>
      <c r="AS18" t="e">
        <f t="shared" ca="1" si="10"/>
        <v>#NAME?</v>
      </c>
      <c r="AU18">
        <f t="shared" si="11"/>
        <v>15</v>
      </c>
      <c r="AV18" t="e">
        <f t="shared" ca="1" si="12"/>
        <v>#NAME?</v>
      </c>
      <c r="AX18" s="13">
        <f t="shared" si="13"/>
        <v>15</v>
      </c>
      <c r="AY18" s="13">
        <f t="shared" si="2"/>
        <v>10.346054055555477</v>
      </c>
    </row>
    <row r="19" spans="1:51" x14ac:dyDescent="0.35">
      <c r="A19">
        <f t="shared" si="0"/>
        <v>16</v>
      </c>
      <c r="B19" s="240">
        <v>14</v>
      </c>
      <c r="C19" s="241">
        <v>23.12</v>
      </c>
      <c r="D19">
        <f>9.69220293930259-1.8</f>
        <v>7.8922029393025896</v>
      </c>
      <c r="F19">
        <f t="shared" si="3"/>
        <v>16</v>
      </c>
      <c r="G19" s="13" t="e">
        <f ca="1"/>
        <v>#NAME?</v>
      </c>
      <c r="H19" s="13" t="e">
        <f ca="1"/>
        <v>#NAME?</v>
      </c>
      <c r="I19" s="13" t="e">
        <f ca="1"/>
        <v>#NAME?</v>
      </c>
      <c r="J19" s="13" t="e">
        <f ca="1"/>
        <v>#NAME?</v>
      </c>
      <c r="L19" s="4" t="str">
        <v>X2</v>
      </c>
      <c r="M19" s="4" t="e">
        <f ca="1"/>
        <v>#NAME?</v>
      </c>
      <c r="N19" s="4" t="e">
        <f ca="1"/>
        <v>#NAME?</v>
      </c>
      <c r="O19" s="4" t="e">
        <f t="shared" ca="1" si="14"/>
        <v>#NAME?</v>
      </c>
      <c r="P19" s="4" t="e">
        <f t="shared" ca="1" si="15"/>
        <v>#NAME?</v>
      </c>
      <c r="Q19" s="4" t="e">
        <f t="shared" ca="1" si="16"/>
        <v>#NAME?</v>
      </c>
      <c r="R19" s="4" t="e">
        <f t="shared" ca="1" si="17"/>
        <v>#NAME?</v>
      </c>
      <c r="S19" s="4" t="e" cm="1">
        <f t="array" aca="1" ref="S19" ca="1">VIF(G4:H22,2)</f>
        <v>#NAME?</v>
      </c>
      <c r="U19">
        <f t="shared" si="4"/>
        <v>15</v>
      </c>
      <c r="V19" t="e">
        <f t="shared" ca="1" si="5"/>
        <v>#NAME?</v>
      </c>
      <c r="W19" t="e">
        <f t="shared" ca="1" si="6"/>
        <v>#NAME?</v>
      </c>
      <c r="Z19" t="s">
        <v>370</v>
      </c>
      <c r="AA19" s="121" t="e">
        <f ca="1">-(AA22-2*(AA9+AA10))/2</f>
        <v>#NAME?</v>
      </c>
      <c r="AM19">
        <f t="shared" si="1"/>
        <v>15</v>
      </c>
      <c r="AN19" t="e">
        <f t="shared" ca="1" si="1"/>
        <v>#NAME?</v>
      </c>
      <c r="AO19" t="e">
        <f t="shared" ca="1" si="1"/>
        <v>#NAME?</v>
      </c>
      <c r="AP19" t="e">
        <f t="shared" ca="1" si="7"/>
        <v>#NAME?</v>
      </c>
      <c r="AQ19" t="e">
        <f t="shared" ca="1" si="8"/>
        <v>#NAME?</v>
      </c>
      <c r="AR19" t="e">
        <f t="shared" ca="1" si="9"/>
        <v>#NAME?</v>
      </c>
      <c r="AS19" t="e">
        <f t="shared" ca="1" si="10"/>
        <v>#NAME?</v>
      </c>
      <c r="AU19">
        <f t="shared" si="11"/>
        <v>16</v>
      </c>
      <c r="AV19" t="e">
        <f t="shared" ca="1" si="12"/>
        <v>#NAME?</v>
      </c>
      <c r="AX19" s="13">
        <f t="shared" si="13"/>
        <v>16</v>
      </c>
      <c r="AY19" s="13">
        <f t="shared" si="2"/>
        <v>7.8922029393025896</v>
      </c>
    </row>
    <row r="20" spans="1:51" x14ac:dyDescent="0.35">
      <c r="A20">
        <f t="shared" si="0"/>
        <v>17</v>
      </c>
      <c r="B20" s="240">
        <v>12</v>
      </c>
      <c r="C20" s="241">
        <v>25.32</v>
      </c>
      <c r="D20">
        <v>11.205574770625867</v>
      </c>
      <c r="F20">
        <f t="shared" si="3"/>
        <v>17</v>
      </c>
      <c r="G20" s="13" t="e">
        <f ca="1"/>
        <v>#NAME?</v>
      </c>
      <c r="H20" s="13" t="e">
        <f ca="1"/>
        <v>#NAME?</v>
      </c>
      <c r="I20" s="13" t="e">
        <f ca="1"/>
        <v>#NAME?</v>
      </c>
      <c r="J20" s="13" t="e">
        <f ca="1"/>
        <v>#NAME?</v>
      </c>
      <c r="U20">
        <f t="shared" si="4"/>
        <v>16</v>
      </c>
      <c r="V20" t="e">
        <f t="shared" ca="1" si="5"/>
        <v>#NAME?</v>
      </c>
      <c r="W20" t="e">
        <f t="shared" ca="1" si="6"/>
        <v>#NAME?</v>
      </c>
      <c r="Z20" t="s">
        <v>145</v>
      </c>
      <c r="AA20" s="107" t="e">
        <f ca="1">AA17*LN(AA7/AA17)+2*(AA9+AA10)</f>
        <v>#NAME?</v>
      </c>
      <c r="AM20">
        <f t="shared" si="1"/>
        <v>16</v>
      </c>
      <c r="AN20" t="e">
        <f t="shared" ca="1" si="1"/>
        <v>#NAME?</v>
      </c>
      <c r="AO20" t="e">
        <f t="shared" ca="1" si="1"/>
        <v>#NAME?</v>
      </c>
      <c r="AP20" t="e">
        <f t="shared" ca="1" si="7"/>
        <v>#NAME?</v>
      </c>
      <c r="AQ20" t="e">
        <f t="shared" ca="1" si="8"/>
        <v>#NAME?</v>
      </c>
      <c r="AR20" t="e">
        <f t="shared" ca="1" si="9"/>
        <v>#NAME?</v>
      </c>
      <c r="AS20" t="e">
        <f t="shared" ca="1" si="10"/>
        <v>#NAME?</v>
      </c>
      <c r="AU20">
        <f t="shared" si="11"/>
        <v>17</v>
      </c>
      <c r="AV20" t="e">
        <f t="shared" ca="1" si="12"/>
        <v>#NAME?</v>
      </c>
      <c r="AX20" s="13">
        <f t="shared" si="13"/>
        <v>17</v>
      </c>
      <c r="AY20" s="13">
        <f t="shared" si="2"/>
        <v>11.205574770625867</v>
      </c>
    </row>
    <row r="21" spans="1:51" x14ac:dyDescent="0.35">
      <c r="A21">
        <f t="shared" si="0"/>
        <v>18</v>
      </c>
      <c r="B21" s="240">
        <v>13.5</v>
      </c>
      <c r="C21" s="241">
        <v>27.895</v>
      </c>
      <c r="D21">
        <f>12.6521164165148-0.2</f>
        <v>12.452116416514802</v>
      </c>
      <c r="F21">
        <f t="shared" si="3"/>
        <v>18</v>
      </c>
      <c r="G21" s="13" t="e">
        <f ca="1"/>
        <v>#NAME?</v>
      </c>
      <c r="H21" s="13" t="e">
        <f ca="1"/>
        <v>#NAME?</v>
      </c>
      <c r="I21" s="13" t="e">
        <f ca="1"/>
        <v>#NAME?</v>
      </c>
      <c r="J21" s="13" t="e">
        <f ca="1"/>
        <v>#NAME?</v>
      </c>
      <c r="U21">
        <f t="shared" si="4"/>
        <v>17</v>
      </c>
      <c r="V21" t="e">
        <f t="shared" ca="1" si="5"/>
        <v>#NAME?</v>
      </c>
      <c r="W21" t="e">
        <f t="shared" ca="1" si="6"/>
        <v>#NAME?</v>
      </c>
      <c r="Z21" t="s">
        <v>371</v>
      </c>
      <c r="AA21" s="107" t="e">
        <f ca="1">AA17*LN(AA7/AA17)+LN(AA17)*(AA9+AA10)</f>
        <v>#NAME?</v>
      </c>
      <c r="AM21">
        <f t="shared" si="1"/>
        <v>17</v>
      </c>
      <c r="AN21" t="e">
        <f t="shared" ca="1" si="1"/>
        <v>#NAME?</v>
      </c>
      <c r="AO21" t="e">
        <f t="shared" ca="1" si="1"/>
        <v>#NAME?</v>
      </c>
      <c r="AP21" t="e">
        <f t="shared" ca="1" si="7"/>
        <v>#NAME?</v>
      </c>
      <c r="AQ21" t="e">
        <f t="shared" ca="1" si="8"/>
        <v>#NAME?</v>
      </c>
      <c r="AR21" t="e">
        <f t="shared" ca="1" si="9"/>
        <v>#NAME?</v>
      </c>
      <c r="AS21" t="e">
        <f t="shared" ca="1" si="10"/>
        <v>#NAME?</v>
      </c>
      <c r="AU21">
        <f t="shared" si="11"/>
        <v>18</v>
      </c>
      <c r="AV21" t="e">
        <f t="shared" ca="1" si="12"/>
        <v>#NAME?</v>
      </c>
      <c r="AX21" s="13">
        <f t="shared" si="13"/>
        <v>18</v>
      </c>
      <c r="AY21" s="13">
        <f t="shared" si="2"/>
        <v>12.452116416514802</v>
      </c>
    </row>
    <row r="22" spans="1:51" x14ac:dyDescent="0.35">
      <c r="A22">
        <f t="shared" si="0"/>
        <v>19</v>
      </c>
      <c r="B22" s="240">
        <v>16.5</v>
      </c>
      <c r="C22" s="241">
        <v>28.265000000000001</v>
      </c>
      <c r="D22">
        <f>13.4063291686354+0.1</f>
        <v>13.5063291686354</v>
      </c>
      <c r="F22">
        <f t="shared" si="3"/>
        <v>19</v>
      </c>
      <c r="G22" s="4" t="e">
        <f ca="1"/>
        <v>#NAME?</v>
      </c>
      <c r="H22" s="4" t="e">
        <f ca="1"/>
        <v>#NAME?</v>
      </c>
      <c r="I22" s="4" t="e">
        <f ca="1"/>
        <v>#NAME?</v>
      </c>
      <c r="J22" s="4" t="e">
        <f ca="1"/>
        <v>#NAME?</v>
      </c>
      <c r="U22">
        <f t="shared" si="4"/>
        <v>18</v>
      </c>
      <c r="V22" t="e">
        <f t="shared" ca="1" si="5"/>
        <v>#NAME?</v>
      </c>
      <c r="W22" t="e">
        <f t="shared" ca="1" si="6"/>
        <v>#NAME?</v>
      </c>
      <c r="Z22" t="s">
        <v>372</v>
      </c>
      <c r="AA22" s="107" t="e">
        <f ca="1">AA17*(1+LN(2*PI()))+AA20</f>
        <v>#NAME?</v>
      </c>
      <c r="AM22">
        <f t="shared" si="1"/>
        <v>18</v>
      </c>
      <c r="AN22" t="e">
        <f t="shared" ca="1" si="1"/>
        <v>#NAME?</v>
      </c>
      <c r="AO22" t="e">
        <f t="shared" ca="1" si="1"/>
        <v>#NAME?</v>
      </c>
      <c r="AP22" t="e">
        <f t="shared" ca="1" si="7"/>
        <v>#NAME?</v>
      </c>
      <c r="AQ22" t="e">
        <f t="shared" ca="1" si="8"/>
        <v>#NAME?</v>
      </c>
      <c r="AR22" t="e">
        <f t="shared" ca="1" si="9"/>
        <v>#NAME?</v>
      </c>
      <c r="AS22" t="e">
        <f t="shared" ca="1" si="10"/>
        <v>#NAME?</v>
      </c>
      <c r="AU22" s="4">
        <f t="shared" si="11"/>
        <v>19</v>
      </c>
      <c r="AV22" s="4" t="e">
        <f t="shared" ca="1" si="12"/>
        <v>#NAME?</v>
      </c>
      <c r="AX22" s="13">
        <f t="shared" si="13"/>
        <v>19</v>
      </c>
      <c r="AY22" s="13">
        <f t="shared" si="2"/>
        <v>13.5063291686354</v>
      </c>
    </row>
    <row r="23" spans="1:51" x14ac:dyDescent="0.35">
      <c r="A23">
        <f t="shared" si="0"/>
        <v>20</v>
      </c>
      <c r="B23" s="243">
        <v>10</v>
      </c>
      <c r="C23" s="202">
        <v>29.684999999999999</v>
      </c>
      <c r="D23" s="4">
        <f>12.231217930184-0.5</f>
        <v>11.731217930184</v>
      </c>
      <c r="G23" s="161" t="e">
        <f t="array" aca="1" ref="G23:G25" ca="1">ADIFF(B23:B26,1)</f>
        <v>#NAME?</v>
      </c>
      <c r="H23" s="161" t="e">
        <f t="array" aca="1" ref="H23:H25" ca="1">ADIFF(C23:C26,1)</f>
        <v>#NAME?</v>
      </c>
      <c r="I23" s="161" t="e">
        <f t="array" aca="1" ref="I23:I25" ca="1">TREND(I4:I22,G4:H22,G23:H25)+J23:J25</f>
        <v>#VALUE!</v>
      </c>
      <c r="J23" s="161" t="e">
        <f ca="1">AP24</f>
        <v>#NAME?</v>
      </c>
      <c r="U23" s="4">
        <f t="shared" si="4"/>
        <v>19</v>
      </c>
      <c r="V23" s="4" t="e">
        <f t="shared" ca="1" si="5"/>
        <v>#NAME?</v>
      </c>
      <c r="W23" s="4" t="e">
        <f t="shared" ca="1" si="6"/>
        <v>#NAME?</v>
      </c>
      <c r="Z23" t="s">
        <v>373</v>
      </c>
      <c r="AA23" s="108" t="e">
        <f ca="1">AA17*(1+LN(2*PI()))+AA21</f>
        <v>#NAME?</v>
      </c>
      <c r="AM23">
        <f t="shared" si="1"/>
        <v>19</v>
      </c>
      <c r="AN23" t="e">
        <f t="shared" ca="1" si="1"/>
        <v>#NAME?</v>
      </c>
      <c r="AO23" t="e">
        <f t="shared" ca="1" si="1"/>
        <v>#NAME?</v>
      </c>
      <c r="AP23" t="e">
        <f t="shared" ca="1" si="7"/>
        <v>#NAME?</v>
      </c>
      <c r="AQ23" t="e">
        <f t="shared" ca="1" si="8"/>
        <v>#NAME?</v>
      </c>
      <c r="AR23" t="e">
        <f t="shared" ca="1" si="9"/>
        <v>#NAME?</v>
      </c>
      <c r="AS23" t="e">
        <f t="shared" ca="1" si="10"/>
        <v>#NAME?</v>
      </c>
      <c r="AU23">
        <f t="shared" si="11"/>
        <v>20</v>
      </c>
      <c r="AV23" t="e">
        <f ca="1">AP24</f>
        <v>#NAME?</v>
      </c>
      <c r="AX23" s="4">
        <f t="shared" si="13"/>
        <v>20</v>
      </c>
      <c r="AY23" s="4">
        <f t="shared" si="2"/>
        <v>11.731217930184</v>
      </c>
    </row>
    <row r="24" spans="1:51" x14ac:dyDescent="0.35">
      <c r="A24">
        <v>21</v>
      </c>
      <c r="B24" s="255">
        <v>12</v>
      </c>
      <c r="C24" s="256">
        <v>30</v>
      </c>
      <c r="D24" s="257"/>
      <c r="G24" s="13" t="e">
        <f ca="1"/>
        <v>#NAME?</v>
      </c>
      <c r="H24" s="13" t="e">
        <f ca="1"/>
        <v>#NAME?</v>
      </c>
      <c r="I24" s="13" t="e">
        <f ca="1"/>
        <v>#VALUE!</v>
      </c>
      <c r="J24" s="13">
        <f t="shared" ref="J24:J25" si="18">AP25</f>
        <v>0</v>
      </c>
      <c r="AM24">
        <f>AM23+1</f>
        <v>20</v>
      </c>
      <c r="AP24" t="e">
        <f ca="1">SUMPRODUCT(AO23,AA4)</f>
        <v>#NAME?</v>
      </c>
      <c r="AQ24" t="e">
        <f ca="1">AA$14*SQRT(SUMSQ(AD$13:AD13))</f>
        <v>#NAME?</v>
      </c>
      <c r="AR24" t="e">
        <f ca="1">AP24-_xlfn.NORM.S.INV(1-AQ$2/2)*AQ24</f>
        <v>#NAME?</v>
      </c>
      <c r="AS24" t="e">
        <f ca="1">AP24+_xlfn.NORM.S.INV(1-AQ$2/2)*AQ24</f>
        <v>#NAME?</v>
      </c>
      <c r="AU24">
        <f t="shared" si="11"/>
        <v>21</v>
      </c>
      <c r="AV24">
        <f t="shared" ref="AV24:AV25" si="19">AP25</f>
        <v>0</v>
      </c>
      <c r="AX24" s="161">
        <f t="shared" si="13"/>
        <v>21</v>
      </c>
      <c r="AY24" s="161" t="e">
        <f t="array" aca="1" ref="AY24:AY26" ca="1">SARIMA_PRED(I23:I25,AY4:AY23,1,0)</f>
        <v>#NAME?</v>
      </c>
    </row>
    <row r="25" spans="1:51" x14ac:dyDescent="0.35">
      <c r="A25">
        <v>22</v>
      </c>
      <c r="B25" s="255">
        <v>14</v>
      </c>
      <c r="C25" s="256">
        <v>30.5</v>
      </c>
      <c r="D25" s="257"/>
      <c r="G25" s="4" t="e">
        <f ca="1"/>
        <v>#NAME?</v>
      </c>
      <c r="H25" s="4" t="e">
        <f ca="1"/>
        <v>#NAME?</v>
      </c>
      <c r="I25" s="4" t="e">
        <f ca="1"/>
        <v>#VALUE!</v>
      </c>
      <c r="J25" s="4">
        <f t="shared" si="18"/>
        <v>0</v>
      </c>
      <c r="AM25">
        <f t="shared" ref="AM25:AM26" si="20">AM24+1</f>
        <v>21</v>
      </c>
      <c r="AP25">
        <v>0</v>
      </c>
      <c r="AQ25" t="e">
        <f ca="1">AA$14*SQRT(SUMSQ(AD$13:AD14))</f>
        <v>#NAME?</v>
      </c>
      <c r="AR25" t="e">
        <f t="shared" ref="AR25:AR26" ca="1" si="21">AP25-_xlfn.NORM.S.INV(1-AQ$2/2)*AQ25</f>
        <v>#NAME?</v>
      </c>
      <c r="AS25" t="e">
        <f t="shared" ref="AS25:AS26" ca="1" si="22">AP25+_xlfn.NORM.S.INV(1-AQ$2/2)*AQ25</f>
        <v>#NAME?</v>
      </c>
      <c r="AU25" s="4">
        <f t="shared" si="11"/>
        <v>22</v>
      </c>
      <c r="AV25" s="4">
        <f t="shared" si="19"/>
        <v>0</v>
      </c>
      <c r="AX25" s="13">
        <f t="shared" si="13"/>
        <v>22</v>
      </c>
      <c r="AY25" s="13" t="e">
        <f ca="1"/>
        <v>#NAME?</v>
      </c>
    </row>
    <row r="26" spans="1:51" x14ac:dyDescent="0.35">
      <c r="A26">
        <v>23</v>
      </c>
      <c r="B26" s="258">
        <v>15</v>
      </c>
      <c r="C26" s="259">
        <v>31.5</v>
      </c>
      <c r="D26" s="260"/>
      <c r="AM26" s="4">
        <f t="shared" si="20"/>
        <v>22</v>
      </c>
      <c r="AN26" s="4"/>
      <c r="AO26" s="4"/>
      <c r="AP26" s="4">
        <v>0</v>
      </c>
      <c r="AQ26" s="4" t="e">
        <f ca="1">AA$14*SQRT(SUMSQ(AD$13:AD15))</f>
        <v>#NAME?</v>
      </c>
      <c r="AR26" s="4" t="e">
        <f t="shared" ca="1" si="21"/>
        <v>#NAME?</v>
      </c>
      <c r="AS26" s="4" t="e">
        <f t="shared" ca="1" si="22"/>
        <v>#NAME?</v>
      </c>
      <c r="AX26" s="4">
        <f t="shared" si="13"/>
        <v>23</v>
      </c>
      <c r="AY26" s="4" t="e">
        <f ca="1"/>
        <v>#NAME?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BAF1B-BCBB-40E5-A9C7-CC2C76DA6CB3}">
  <sheetPr codeName="Sheet23"/>
  <dimension ref="A1:Y18"/>
  <sheetViews>
    <sheetView workbookViewId="0">
      <selection activeCell="S1" sqref="S1"/>
    </sheetView>
  </sheetViews>
  <sheetFormatPr defaultRowHeight="14.5" x14ac:dyDescent="0.35"/>
  <cols>
    <col min="1" max="3" width="6.1796875" customWidth="1"/>
    <col min="4" max="4" width="6.1796875" style="240" customWidth="1"/>
    <col min="5" max="5" width="9.36328125" style="271" bestFit="1" customWidth="1"/>
    <col min="11" max="11" width="17.1796875" bestFit="1" customWidth="1"/>
    <col min="19" max="19" width="15.7265625" customWidth="1"/>
  </cols>
  <sheetData>
    <row r="1" spans="1:25" x14ac:dyDescent="0.35">
      <c r="A1" s="2" t="s">
        <v>676</v>
      </c>
      <c r="B1" s="2" t="s">
        <v>540</v>
      </c>
      <c r="C1" s="2" t="s">
        <v>256</v>
      </c>
      <c r="D1" s="269" t="s">
        <v>677</v>
      </c>
      <c r="E1" s="270" t="s">
        <v>678</v>
      </c>
      <c r="G1" s="4" t="e">
        <f t="array" aca="1" ref="G1:I9" ca="1">PANEL_DIFF(C1:E17,2,TRUE)</f>
        <v>#NAME?</v>
      </c>
      <c r="H1" s="4" t="e">
        <f ca="1"/>
        <v>#NAME?</v>
      </c>
      <c r="I1" s="4" t="e">
        <f ca="1"/>
        <v>#NAME?</v>
      </c>
      <c r="K1" t="s">
        <v>141</v>
      </c>
      <c r="S1" t="s">
        <v>141</v>
      </c>
    </row>
    <row r="2" spans="1:25" x14ac:dyDescent="0.35">
      <c r="A2">
        <v>1</v>
      </c>
      <c r="B2">
        <v>92</v>
      </c>
      <c r="C2">
        <v>85.1</v>
      </c>
      <c r="D2" s="240">
        <v>7.8</v>
      </c>
      <c r="E2" s="271">
        <v>75.426479999999998</v>
      </c>
      <c r="G2" t="e">
        <f ca="1"/>
        <v>#NAME?</v>
      </c>
      <c r="H2" t="e">
        <f ca="1"/>
        <v>#NAME?</v>
      </c>
      <c r="I2" t="e">
        <f ca="1"/>
        <v>#NAME?</v>
      </c>
    </row>
    <row r="3" spans="1:25" ht="15" thickBot="1" x14ac:dyDescent="0.4">
      <c r="A3">
        <v>1</v>
      </c>
      <c r="B3">
        <v>98</v>
      </c>
      <c r="C3">
        <v>85.1</v>
      </c>
      <c r="D3" s="240">
        <v>3.1</v>
      </c>
      <c r="E3" s="271">
        <v>70.01455</v>
      </c>
      <c r="G3" t="e">
        <f ca="1"/>
        <v>#NAME?</v>
      </c>
      <c r="H3" t="e">
        <f ca="1"/>
        <v>#NAME?</v>
      </c>
      <c r="I3" t="e">
        <f ca="1"/>
        <v>#NAME?</v>
      </c>
      <c r="K3" s="44" t="s">
        <v>142</v>
      </c>
      <c r="L3" s="44"/>
      <c r="N3" s="44"/>
      <c r="O3" s="44"/>
      <c r="S3" s="44" t="s">
        <v>142</v>
      </c>
      <c r="T3" s="44"/>
      <c r="V3" s="44"/>
      <c r="W3" s="44"/>
    </row>
    <row r="4" spans="1:25" ht="15" thickTop="1" x14ac:dyDescent="0.35">
      <c r="A4">
        <v>2</v>
      </c>
      <c r="B4">
        <v>92</v>
      </c>
      <c r="C4">
        <v>42.6</v>
      </c>
      <c r="D4" s="240">
        <v>7.6</v>
      </c>
      <c r="E4" s="271">
        <v>93.616690000000006</v>
      </c>
      <c r="G4" t="e">
        <f ca="1"/>
        <v>#NAME?</v>
      </c>
      <c r="H4" t="e">
        <f ca="1"/>
        <v>#NAME?</v>
      </c>
      <c r="I4" t="e">
        <f ca="1"/>
        <v>#NAME?</v>
      </c>
      <c r="K4" t="s">
        <v>144</v>
      </c>
      <c r="L4" t="e">
        <f ca="1">SQRT(L5)</f>
        <v>#NAME?</v>
      </c>
      <c r="N4" t="s">
        <v>145</v>
      </c>
      <c r="O4" t="e">
        <f ca="1">L8*LN(M13/L8)+2*(L12+1)</f>
        <v>#NAME?</v>
      </c>
      <c r="S4" t="s">
        <v>144</v>
      </c>
      <c r="T4" t="e">
        <f ca="1">SQRT(T5)</f>
        <v>#NAME?</v>
      </c>
      <c r="V4" t="s">
        <v>145</v>
      </c>
      <c r="W4" t="e">
        <f ca="1">T8*LN(U13/T8)+2*(T12+1)</f>
        <v>#NAME?</v>
      </c>
    </row>
    <row r="5" spans="1:25" x14ac:dyDescent="0.35">
      <c r="A5">
        <v>2</v>
      </c>
      <c r="B5">
        <v>98</v>
      </c>
      <c r="C5">
        <v>42.6</v>
      </c>
      <c r="D5" s="240">
        <v>5.5</v>
      </c>
      <c r="E5" s="271">
        <v>90.348960000000005</v>
      </c>
      <c r="G5" t="e">
        <f ca="1"/>
        <v>#NAME?</v>
      </c>
      <c r="H5" t="e">
        <f ca="1"/>
        <v>#NAME?</v>
      </c>
      <c r="I5" t="e">
        <f ca="1"/>
        <v>#NAME?</v>
      </c>
      <c r="K5" t="s">
        <v>148</v>
      </c>
      <c r="L5" t="e">
        <f ca="1">M12/M14</f>
        <v>#NAME?</v>
      </c>
      <c r="N5" t="s">
        <v>149</v>
      </c>
      <c r="O5" t="e">
        <f ca="1">O4+2*(L12+2)*(L12+3)/(L8-L12-3)</f>
        <v>#NAME?</v>
      </c>
      <c r="S5" t="s">
        <v>148</v>
      </c>
      <c r="T5" t="e">
        <f ca="1">U12/U14</f>
        <v>#NAME?</v>
      </c>
      <c r="V5" t="s">
        <v>149</v>
      </c>
      <c r="W5" t="e">
        <f ca="1">W4+2*(T12+2)*(T12+3)/(T8-T12-3)</f>
        <v>#NAME?</v>
      </c>
    </row>
    <row r="6" spans="1:25" x14ac:dyDescent="0.35">
      <c r="A6">
        <v>3</v>
      </c>
      <c r="B6">
        <v>92</v>
      </c>
      <c r="C6">
        <v>134.5</v>
      </c>
      <c r="D6" s="240">
        <v>8.3000000000000007</v>
      </c>
      <c r="E6" s="271">
        <v>85.180890000000005</v>
      </c>
      <c r="G6" t="e">
        <f ca="1"/>
        <v>#NAME?</v>
      </c>
      <c r="H6" t="e">
        <f ca="1"/>
        <v>#NAME?</v>
      </c>
      <c r="I6" t="e">
        <f ca="1"/>
        <v>#NAME?</v>
      </c>
      <c r="K6" t="s">
        <v>150</v>
      </c>
      <c r="L6" t="e">
        <f ca="1">1-(1-L5)*(L8-1)/(L8-L12-1)</f>
        <v>#NAME?</v>
      </c>
      <c r="N6" s="4" t="s">
        <v>151</v>
      </c>
      <c r="O6" s="4" t="e">
        <f ca="1">L8*LN(M13/L8)+(L12+1)*LN(L8)</f>
        <v>#NAME?</v>
      </c>
      <c r="S6" t="s">
        <v>150</v>
      </c>
      <c r="T6" t="e">
        <f ca="1">1-(1-T5)*(T8-1)/(T8-T12-1)</f>
        <v>#NAME?</v>
      </c>
      <c r="V6" s="4" t="s">
        <v>151</v>
      </c>
      <c r="W6" s="4" t="e">
        <f ca="1">T8*LN(U13/T8)+(T12+1)*LN(T8)</f>
        <v>#NAME?</v>
      </c>
    </row>
    <row r="7" spans="1:25" x14ac:dyDescent="0.35">
      <c r="A7">
        <v>3</v>
      </c>
      <c r="B7">
        <v>98</v>
      </c>
      <c r="C7">
        <v>134.5</v>
      </c>
      <c r="D7" s="240">
        <v>7.7</v>
      </c>
      <c r="E7" s="271">
        <v>76.950699999999998</v>
      </c>
      <c r="G7" t="e">
        <f ca="1"/>
        <v>#NAME?</v>
      </c>
      <c r="H7" t="e">
        <f ca="1"/>
        <v>#NAME?</v>
      </c>
      <c r="I7" t="e">
        <f ca="1"/>
        <v>#NAME?</v>
      </c>
      <c r="K7" t="s">
        <v>146</v>
      </c>
      <c r="L7" t="e">
        <f ca="1">SQRT(N13)</f>
        <v>#NAME?</v>
      </c>
      <c r="S7" t="s">
        <v>146</v>
      </c>
      <c r="T7" t="e">
        <f ca="1">SQRT(V13)</f>
        <v>#NAME?</v>
      </c>
    </row>
    <row r="8" spans="1:25" x14ac:dyDescent="0.35">
      <c r="A8">
        <v>4</v>
      </c>
      <c r="B8">
        <v>92</v>
      </c>
      <c r="C8">
        <v>168.2</v>
      </c>
      <c r="D8" s="240">
        <v>11.6</v>
      </c>
      <c r="E8" s="271">
        <v>89.431079999999994</v>
      </c>
      <c r="G8" t="e">
        <f ca="1"/>
        <v>#NAME?</v>
      </c>
      <c r="H8" t="e">
        <f ca="1"/>
        <v>#NAME?</v>
      </c>
      <c r="I8" t="e">
        <f ca="1"/>
        <v>#NAME?</v>
      </c>
      <c r="K8" s="4" t="s">
        <v>153</v>
      </c>
      <c r="L8" s="4">
        <f ca="1">COUNT(I2:I9)</f>
        <v>0</v>
      </c>
      <c r="S8" s="4" t="s">
        <v>153</v>
      </c>
      <c r="T8" s="4">
        <f>COUNT(E2:E17)</f>
        <v>16</v>
      </c>
    </row>
    <row r="9" spans="1:25" x14ac:dyDescent="0.35">
      <c r="A9">
        <v>4</v>
      </c>
      <c r="B9">
        <v>98</v>
      </c>
      <c r="C9">
        <v>168.2</v>
      </c>
      <c r="D9" s="240">
        <v>5.2</v>
      </c>
      <c r="E9" s="271">
        <v>83.969269999999995</v>
      </c>
      <c r="G9" s="4" t="e">
        <f ca="1"/>
        <v>#NAME?</v>
      </c>
      <c r="H9" s="4" t="e">
        <f ca="1"/>
        <v>#NAME?</v>
      </c>
      <c r="I9" s="4" t="e">
        <f ca="1"/>
        <v>#NAME?</v>
      </c>
    </row>
    <row r="10" spans="1:25" ht="15" thickBot="1" x14ac:dyDescent="0.4">
      <c r="A10">
        <v>5</v>
      </c>
      <c r="B10">
        <v>92</v>
      </c>
      <c r="C10">
        <v>34.700000000000003</v>
      </c>
      <c r="D10" s="240">
        <v>12.9</v>
      </c>
      <c r="E10" s="271">
        <v>107.90584</v>
      </c>
      <c r="K10" t="s">
        <v>155</v>
      </c>
      <c r="O10" s="137" t="s">
        <v>156</v>
      </c>
      <c r="P10" s="137">
        <v>0.05</v>
      </c>
      <c r="S10" t="s">
        <v>155</v>
      </c>
      <c r="W10" s="137" t="s">
        <v>156</v>
      </c>
      <c r="X10" s="137">
        <v>0.05</v>
      </c>
    </row>
    <row r="11" spans="1:25" ht="15" thickTop="1" x14ac:dyDescent="0.35">
      <c r="A11">
        <v>5</v>
      </c>
      <c r="B11">
        <v>98</v>
      </c>
      <c r="C11">
        <v>34.700000000000003</v>
      </c>
      <c r="D11" s="240">
        <v>7.7</v>
      </c>
      <c r="E11" s="271">
        <v>104.56469</v>
      </c>
      <c r="K11" s="45"/>
      <c r="L11" s="45" t="s">
        <v>88</v>
      </c>
      <c r="M11" s="45" t="s">
        <v>157</v>
      </c>
      <c r="N11" s="45" t="s">
        <v>158</v>
      </c>
      <c r="O11" s="45" t="s">
        <v>159</v>
      </c>
      <c r="P11" s="45" t="s">
        <v>92</v>
      </c>
      <c r="Q11" s="45" t="s">
        <v>84</v>
      </c>
      <c r="S11" s="45"/>
      <c r="T11" s="45" t="s">
        <v>88</v>
      </c>
      <c r="U11" s="45" t="s">
        <v>157</v>
      </c>
      <c r="V11" s="45" t="s">
        <v>158</v>
      </c>
      <c r="W11" s="45" t="s">
        <v>159</v>
      </c>
      <c r="X11" s="45" t="s">
        <v>92</v>
      </c>
      <c r="Y11" s="45" t="s">
        <v>84</v>
      </c>
    </row>
    <row r="12" spans="1:25" x14ac:dyDescent="0.35">
      <c r="A12">
        <v>6</v>
      </c>
      <c r="B12">
        <v>92</v>
      </c>
      <c r="C12">
        <v>59.8</v>
      </c>
      <c r="D12" s="240">
        <v>14</v>
      </c>
      <c r="E12" s="271">
        <v>137.31122999999999</v>
      </c>
      <c r="K12" t="s">
        <v>160</v>
      </c>
      <c r="L12">
        <f ca="1">COUNT(H2)</f>
        <v>0</v>
      </c>
      <c r="M12" t="e">
        <f ca="1">DEVSQ(MMULT(DEsign(H2:H9),L17:L18))</f>
        <v>#NAME?</v>
      </c>
      <c r="N12" t="e">
        <f ca="1">M12/L12</f>
        <v>#NAME?</v>
      </c>
      <c r="O12" t="e">
        <f ca="1">N12/N13</f>
        <v>#NAME?</v>
      </c>
      <c r="P12" t="e">
        <f ca="1">_xlfn.F.DIST.RT(O12,L12,L13)</f>
        <v>#NAME?</v>
      </c>
      <c r="Q12" s="137" t="e">
        <f ca="1">IF(P12&lt;P10,"yes","no")</f>
        <v>#NAME?</v>
      </c>
      <c r="S12" t="s">
        <v>160</v>
      </c>
      <c r="T12">
        <f>COUNT(D2)</f>
        <v>1</v>
      </c>
      <c r="U12" t="e">
        <f ca="1">DEVSQ(MMULT(DEsign(D2:D17),T17:T18))</f>
        <v>#NAME?</v>
      </c>
      <c r="V12" t="e">
        <f ca="1">U12/T12</f>
        <v>#NAME?</v>
      </c>
      <c r="W12" t="e">
        <f ca="1">V12/V13</f>
        <v>#NAME?</v>
      </c>
      <c r="X12" t="e">
        <f ca="1">_xlfn.F.DIST.RT(W12,T12,T13)</f>
        <v>#NAME?</v>
      </c>
      <c r="Y12" s="137" t="e">
        <f ca="1">IF(X12&lt;X10,"yes","no")</f>
        <v>#NAME?</v>
      </c>
    </row>
    <row r="13" spans="1:25" x14ac:dyDescent="0.35">
      <c r="A13">
        <v>6</v>
      </c>
      <c r="B13">
        <v>98</v>
      </c>
      <c r="C13">
        <v>59.8</v>
      </c>
      <c r="D13" s="240">
        <v>4.8</v>
      </c>
      <c r="E13" s="271">
        <v>112.26517</v>
      </c>
      <c r="K13" t="s">
        <v>107</v>
      </c>
      <c r="L13">
        <f ca="1">L14-L12</f>
        <v>-1</v>
      </c>
      <c r="M13" t="e">
        <f ca="1">M14-M12</f>
        <v>#NAME?</v>
      </c>
      <c r="N13" t="e">
        <f ca="1">M13/L13</f>
        <v>#NAME?</v>
      </c>
      <c r="S13" t="s">
        <v>107</v>
      </c>
      <c r="T13">
        <f>T14-T12</f>
        <v>14</v>
      </c>
      <c r="U13" t="e">
        <f ca="1">U14-U12</f>
        <v>#NAME?</v>
      </c>
      <c r="V13" t="e">
        <f ca="1">U13/T13</f>
        <v>#NAME?</v>
      </c>
    </row>
    <row r="14" spans="1:25" x14ac:dyDescent="0.35">
      <c r="A14">
        <v>7</v>
      </c>
      <c r="B14">
        <v>92</v>
      </c>
      <c r="C14">
        <v>18.600000000000001</v>
      </c>
      <c r="D14" s="240">
        <v>9.3000000000000007</v>
      </c>
      <c r="E14" s="271">
        <v>71.970619999999997</v>
      </c>
      <c r="K14" s="4" t="s">
        <v>161</v>
      </c>
      <c r="L14" s="4">
        <f ca="1">L8-1</f>
        <v>-1</v>
      </c>
      <c r="M14" s="4" t="e">
        <f ca="1">DEVSQ(I2:I9)</f>
        <v>#NAME?</v>
      </c>
      <c r="N14" s="4"/>
      <c r="O14" s="4"/>
      <c r="P14" s="4"/>
      <c r="Q14" s="4"/>
      <c r="S14" s="4" t="s">
        <v>161</v>
      </c>
      <c r="T14" s="4">
        <f>T8-1</f>
        <v>15</v>
      </c>
      <c r="U14" s="4">
        <f>DEVSQ(E2:E17)</f>
        <v>4675.0608462528999</v>
      </c>
      <c r="V14" s="4"/>
      <c r="W14" s="4"/>
      <c r="X14" s="4"/>
      <c r="Y14" s="4"/>
    </row>
    <row r="15" spans="1:25" ht="15" thickBot="1" x14ac:dyDescent="0.4">
      <c r="A15">
        <v>7</v>
      </c>
      <c r="B15">
        <v>98</v>
      </c>
      <c r="C15">
        <v>18.600000000000001</v>
      </c>
      <c r="D15" s="240">
        <v>5.8</v>
      </c>
      <c r="E15" s="271">
        <v>86.286169999999998</v>
      </c>
    </row>
    <row r="16" spans="1:25" ht="15" thickTop="1" x14ac:dyDescent="0.35">
      <c r="A16">
        <v>8</v>
      </c>
      <c r="B16">
        <v>92</v>
      </c>
      <c r="C16">
        <v>95.3</v>
      </c>
      <c r="D16" s="240">
        <v>8</v>
      </c>
      <c r="E16" s="271">
        <v>97.526210000000006</v>
      </c>
      <c r="K16" s="45"/>
      <c r="L16" s="45" t="s">
        <v>162</v>
      </c>
      <c r="M16" s="45" t="s">
        <v>163</v>
      </c>
      <c r="N16" s="45" t="s">
        <v>164</v>
      </c>
      <c r="O16" s="45" t="s">
        <v>92</v>
      </c>
      <c r="P16" s="45" t="s">
        <v>127</v>
      </c>
      <c r="Q16" s="45" t="s">
        <v>128</v>
      </c>
      <c r="S16" s="45"/>
      <c r="T16" s="45" t="s">
        <v>162</v>
      </c>
      <c r="U16" s="45" t="s">
        <v>163</v>
      </c>
      <c r="V16" s="45" t="s">
        <v>164</v>
      </c>
      <c r="W16" s="45" t="s">
        <v>92</v>
      </c>
      <c r="X16" s="45" t="s">
        <v>127</v>
      </c>
      <c r="Y16" s="45" t="s">
        <v>128</v>
      </c>
    </row>
    <row r="17" spans="1:25" x14ac:dyDescent="0.35">
      <c r="A17" s="4">
        <v>8</v>
      </c>
      <c r="B17" s="4">
        <v>98</v>
      </c>
      <c r="C17" s="4">
        <v>95.3</v>
      </c>
      <c r="D17" s="243">
        <v>4.5999999999999996</v>
      </c>
      <c r="E17" s="272">
        <v>76.552049999999994</v>
      </c>
      <c r="K17" t="s">
        <v>166</v>
      </c>
      <c r="L17" t="e">
        <f t="array" aca="1" ref="L17:M18" ca="1">RegCoeff(H2:H9,I2:I9)</f>
        <v>#NAME?</v>
      </c>
      <c r="M17" t="e">
        <f ca="1"/>
        <v>#NAME?</v>
      </c>
      <c r="N17" t="e">
        <f ca="1">L17/M17</f>
        <v>#NAME?</v>
      </c>
      <c r="O17" t="e">
        <f ca="1">_xlfn.T.DIST.2T(ABS(N17),$L$13)</f>
        <v>#NAME?</v>
      </c>
      <c r="P17" t="e">
        <f ca="1">L17-_xlfn.T.INV.2T(P$10,$L$13)*M17</f>
        <v>#NAME?</v>
      </c>
      <c r="Q17" t="e">
        <f ca="1">L17+_xlfn.T.INV.2T(P$10,$L$13)*M17</f>
        <v>#NAME?</v>
      </c>
      <c r="S17" t="s">
        <v>166</v>
      </c>
      <c r="T17" t="e">
        <f t="array" aca="1" ref="T17:U18" ca="1">RegCoeff(D2:D17,E2:E17)</f>
        <v>#NAME?</v>
      </c>
      <c r="U17" t="e">
        <f ca="1"/>
        <v>#NAME?</v>
      </c>
      <c r="V17" t="e">
        <f ca="1">T17/U17</f>
        <v>#NAME?</v>
      </c>
      <c r="W17" t="e">
        <f ca="1">_xlfn.T.DIST.2T(ABS(V17),$T$13)</f>
        <v>#NAME?</v>
      </c>
      <c r="X17" t="e">
        <f ca="1">T17-_xlfn.T.INV.2T(X$10,$T$13)*U17</f>
        <v>#NAME?</v>
      </c>
      <c r="Y17" t="e">
        <f ca="1">T17+_xlfn.T.INV.2T(X$10,$T$13)*U17</f>
        <v>#NAME?</v>
      </c>
    </row>
    <row r="18" spans="1:25" x14ac:dyDescent="0.35">
      <c r="K18" s="4" t="e">
        <f t="array" aca="1" ref="K18" ca="1">TRANSPOSE(H1)</f>
        <v>#NAME?</v>
      </c>
      <c r="L18" s="4" t="e">
        <f ca="1"/>
        <v>#NAME?</v>
      </c>
      <c r="M18" s="4" t="e">
        <f ca="1"/>
        <v>#NAME?</v>
      </c>
      <c r="N18" s="4" t="e">
        <f ca="1">L18/M18</f>
        <v>#NAME?</v>
      </c>
      <c r="O18" s="4" t="e">
        <f ca="1">_xlfn.T.DIST.2T(ABS(N18),$L$13)</f>
        <v>#NAME?</v>
      </c>
      <c r="P18" s="4" t="e">
        <f ca="1">L18-_xlfn.T.INV.2T(P$10,$L$13)*M18</f>
        <v>#NAME?</v>
      </c>
      <c r="Q18" s="4" t="e">
        <f ca="1">L18+_xlfn.T.INV.2T(P$10,$L$13)*M18</f>
        <v>#NAME?</v>
      </c>
      <c r="S18" s="4" t="str">
        <f t="array" ref="S18">TRANSPOSE(D1)</f>
        <v>unem</v>
      </c>
      <c r="T18" s="4" t="e">
        <f ca="1"/>
        <v>#NAME?</v>
      </c>
      <c r="U18" s="4" t="e">
        <f ca="1"/>
        <v>#NAME?</v>
      </c>
      <c r="V18" s="4" t="e">
        <f ca="1">T18/U18</f>
        <v>#NAME?</v>
      </c>
      <c r="W18" s="4" t="e">
        <f ca="1">_xlfn.T.DIST.2T(ABS(V18),$T$13)</f>
        <v>#NAME?</v>
      </c>
      <c r="X18" s="4" t="e">
        <f ca="1">T18-_xlfn.T.INV.2T(X$10,$T$13)*U18</f>
        <v>#NAME?</v>
      </c>
      <c r="Y18" s="4" t="e">
        <f ca="1">T18+_xlfn.T.INV.2T(X$10,$T$13)*U18</f>
        <v>#NAME?</v>
      </c>
    </row>
  </sheetData>
  <pageMargins left="0.7" right="0.7" top="0.75" bottom="0.75" header="0.3" footer="0.3"/>
  <pageSetup paperSize="9" orientation="portrait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4DBC9-21C5-40B5-B5CD-C8E87417ACAA}">
  <sheetPr codeName="Sheet35"/>
  <dimension ref="A1:AE19"/>
  <sheetViews>
    <sheetView workbookViewId="0">
      <selection activeCell="S1" sqref="S1"/>
    </sheetView>
  </sheetViews>
  <sheetFormatPr defaultRowHeight="14.5" x14ac:dyDescent="0.35"/>
  <cols>
    <col min="1" max="2" width="5.453125" customWidth="1"/>
    <col min="3" max="5" width="8.7265625" style="271"/>
    <col min="6" max="6" width="6.36328125" customWidth="1"/>
    <col min="7" max="7" width="16.08984375" customWidth="1"/>
    <col min="19" max="19" width="4.6328125" customWidth="1"/>
    <col min="23" max="23" width="4.6328125" customWidth="1"/>
    <col min="24" max="24" width="15.6328125" customWidth="1"/>
  </cols>
  <sheetData>
    <row r="1" spans="1:31" x14ac:dyDescent="0.35">
      <c r="A1" s="2" t="s">
        <v>679</v>
      </c>
      <c r="B1" s="2" t="s">
        <v>540</v>
      </c>
      <c r="C1" s="270" t="s">
        <v>680</v>
      </c>
      <c r="D1" s="270" t="s">
        <v>681</v>
      </c>
      <c r="E1" s="270" t="s">
        <v>682</v>
      </c>
      <c r="G1" t="s">
        <v>141</v>
      </c>
      <c r="P1" s="270" t="s">
        <v>680</v>
      </c>
      <c r="Q1" s="270" t="s">
        <v>681</v>
      </c>
      <c r="R1" s="270" t="s">
        <v>682</v>
      </c>
      <c r="T1" s="2" t="e">
        <f t="array" aca="1" ref="T1:V9" ca="1">PANEL_DIFF(C1:E17,2,TRUE)</f>
        <v>#NAME?</v>
      </c>
      <c r="U1" s="2" t="e">
        <f ca="1"/>
        <v>#NAME?</v>
      </c>
      <c r="V1" s="2" t="e">
        <f ca="1"/>
        <v>#NAME?</v>
      </c>
      <c r="X1" t="s">
        <v>683</v>
      </c>
    </row>
    <row r="2" spans="1:31" x14ac:dyDescent="0.35">
      <c r="A2">
        <v>1</v>
      </c>
      <c r="B2">
        <v>2010</v>
      </c>
      <c r="C2" s="271">
        <v>8.9305000000000003</v>
      </c>
      <c r="D2" s="271">
        <v>3.4831300000000001</v>
      </c>
      <c r="E2" s="271">
        <v>9.7047600000000003</v>
      </c>
      <c r="P2">
        <f>IF($B2=2012,"",C2-C3)</f>
        <v>-8.4600000000000009E-2</v>
      </c>
      <c r="Q2">
        <f t="shared" ref="Q2:R17" si="0">IF($B2=2012,"",D2-D3)</f>
        <v>-0.35193999999999992</v>
      </c>
      <c r="R2">
        <f t="shared" si="0"/>
        <v>-0.13838999999999935</v>
      </c>
      <c r="T2" t="e">
        <f ca="1"/>
        <v>#NAME?</v>
      </c>
      <c r="U2" t="e">
        <f ca="1"/>
        <v>#NAME?</v>
      </c>
      <c r="V2" t="e">
        <f ca="1"/>
        <v>#NAME?</v>
      </c>
    </row>
    <row r="3" spans="1:31" ht="15" thickBot="1" x14ac:dyDescent="0.4">
      <c r="A3">
        <v>1</v>
      </c>
      <c r="B3">
        <v>2012</v>
      </c>
      <c r="C3" s="271">
        <v>9.0151000000000003</v>
      </c>
      <c r="D3" s="271">
        <v>3.83507</v>
      </c>
      <c r="E3" s="271">
        <v>9.8431499999999996</v>
      </c>
      <c r="G3" s="44" t="s">
        <v>142</v>
      </c>
      <c r="H3" s="44"/>
      <c r="J3" s="44"/>
      <c r="K3" s="44"/>
      <c r="P3" t="str">
        <f t="shared" ref="P3:P17" si="1">IF($B3=2012,"",C3-C4)</f>
        <v/>
      </c>
      <c r="Q3" t="str">
        <f t="shared" si="0"/>
        <v/>
      </c>
      <c r="R3" t="str">
        <f t="shared" si="0"/>
        <v/>
      </c>
      <c r="T3" t="e">
        <f ca="1"/>
        <v>#NAME?</v>
      </c>
      <c r="U3" t="e">
        <f ca="1"/>
        <v>#NAME?</v>
      </c>
      <c r="V3" t="e">
        <f ca="1"/>
        <v>#NAME?</v>
      </c>
      <c r="X3" s="44" t="s">
        <v>142</v>
      </c>
      <c r="Y3" s="44"/>
      <c r="AA3" s="44"/>
      <c r="AB3" s="44"/>
    </row>
    <row r="4" spans="1:31" ht="15" thickTop="1" x14ac:dyDescent="0.35">
      <c r="A4">
        <v>2</v>
      </c>
      <c r="B4">
        <v>2010</v>
      </c>
      <c r="C4" s="271">
        <v>7.2570899999999998</v>
      </c>
      <c r="D4" s="271">
        <v>4.43757</v>
      </c>
      <c r="E4" s="271">
        <v>8.5477600000000002</v>
      </c>
      <c r="G4" t="s">
        <v>144</v>
      </c>
      <c r="H4" t="e">
        <f ca="1">SQRT(H5)</f>
        <v>#NAME?</v>
      </c>
      <c r="J4" t="s">
        <v>145</v>
      </c>
      <c r="K4" t="e">
        <f ca="1">H8*LN(I13/H8)+2*(H12+1)</f>
        <v>#NAME?</v>
      </c>
      <c r="P4">
        <f t="shared" si="1"/>
        <v>-2.0546699999999998</v>
      </c>
      <c r="Q4">
        <f t="shared" si="0"/>
        <v>4.4010000000000105E-2</v>
      </c>
      <c r="R4">
        <f t="shared" si="0"/>
        <v>0.75017000000000067</v>
      </c>
      <c r="T4" t="e">
        <f ca="1"/>
        <v>#NAME?</v>
      </c>
      <c r="U4" t="e">
        <f ca="1"/>
        <v>#NAME?</v>
      </c>
      <c r="V4" t="e">
        <f ca="1"/>
        <v>#NAME?</v>
      </c>
      <c r="X4" t="s">
        <v>144</v>
      </c>
      <c r="Y4" t="e">
        <f ca="1">SQRT(Y5)</f>
        <v>#NAME?</v>
      </c>
      <c r="AA4" t="s">
        <v>145</v>
      </c>
      <c r="AB4" t="e">
        <f ca="1">Y8*LN(Z13/Y8)+2*Y12</f>
        <v>#NAME?</v>
      </c>
    </row>
    <row r="5" spans="1:31" x14ac:dyDescent="0.35">
      <c r="A5">
        <v>2</v>
      </c>
      <c r="B5">
        <v>2012</v>
      </c>
      <c r="C5" s="271">
        <v>9.3117599999999996</v>
      </c>
      <c r="D5" s="271">
        <v>4.3935599999999999</v>
      </c>
      <c r="E5" s="271">
        <v>7.7975899999999996</v>
      </c>
      <c r="G5" t="s">
        <v>148</v>
      </c>
      <c r="H5" t="e">
        <f ca="1">I12/I14</f>
        <v>#NAME?</v>
      </c>
      <c r="J5" t="s">
        <v>149</v>
      </c>
      <c r="K5" t="e">
        <f ca="1">K4+2*(H12+2)*(H12+3)/(H8-H12-3)</f>
        <v>#NAME?</v>
      </c>
      <c r="P5" t="str">
        <f t="shared" si="1"/>
        <v/>
      </c>
      <c r="Q5" t="str">
        <f t="shared" si="0"/>
        <v/>
      </c>
      <c r="R5" t="str">
        <f t="shared" si="0"/>
        <v/>
      </c>
      <c r="T5" t="e">
        <f ca="1"/>
        <v>#NAME?</v>
      </c>
      <c r="U5" t="e">
        <f ca="1"/>
        <v>#NAME?</v>
      </c>
      <c r="V5" t="e">
        <f ca="1"/>
        <v>#NAME?</v>
      </c>
      <c r="X5" t="s">
        <v>148</v>
      </c>
      <c r="Y5" t="e">
        <f ca="1">Z12/Z14</f>
        <v>#NAME?</v>
      </c>
      <c r="AA5" t="s">
        <v>149</v>
      </c>
      <c r="AB5" t="e">
        <f ca="1">AB4+2*(Y12+1)*(Y12+2)/(Y8-Y12-2)</f>
        <v>#NAME?</v>
      </c>
    </row>
    <row r="6" spans="1:31" x14ac:dyDescent="0.35">
      <c r="A6">
        <v>3</v>
      </c>
      <c r="B6">
        <v>2010</v>
      </c>
      <c r="C6" s="271">
        <v>6.5219699999999996</v>
      </c>
      <c r="D6" s="271">
        <v>4.1636499999999996</v>
      </c>
      <c r="E6" s="271">
        <v>7.4622799999999998</v>
      </c>
      <c r="G6" t="s">
        <v>150</v>
      </c>
      <c r="H6" t="e">
        <f ca="1">1-(1-H5)*(H8-1)/(H8-H12-1)</f>
        <v>#NAME?</v>
      </c>
      <c r="J6" s="4" t="s">
        <v>151</v>
      </c>
      <c r="K6" s="4" t="e">
        <f ca="1">H8*LN(I13/H8)+(H12+1)*LN(H8)</f>
        <v>#NAME?</v>
      </c>
      <c r="P6">
        <f t="shared" si="1"/>
        <v>-1.2929300000000001</v>
      </c>
      <c r="Q6">
        <f t="shared" si="0"/>
        <v>0.20338999999999974</v>
      </c>
      <c r="R6">
        <f t="shared" si="0"/>
        <v>3.54999999999972E-3</v>
      </c>
      <c r="T6" t="e">
        <f ca="1"/>
        <v>#NAME?</v>
      </c>
      <c r="U6" t="e">
        <f ca="1"/>
        <v>#NAME?</v>
      </c>
      <c r="V6" t="e">
        <f ca="1"/>
        <v>#NAME?</v>
      </c>
      <c r="X6" t="s">
        <v>150</v>
      </c>
      <c r="Y6" t="e">
        <f ca="1">1-(1-Y5)*Y8/(Y8-Y12)</f>
        <v>#NAME?</v>
      </c>
      <c r="AA6" s="4" t="s">
        <v>411</v>
      </c>
      <c r="AB6" s="4" t="e">
        <f ca="1">Y8*LN(Z13/Y8)+Y12*LN(Y8)</f>
        <v>#NAME?</v>
      </c>
    </row>
    <row r="7" spans="1:31" x14ac:dyDescent="0.35">
      <c r="A7">
        <v>3</v>
      </c>
      <c r="B7">
        <v>2012</v>
      </c>
      <c r="C7" s="271">
        <v>7.8148999999999997</v>
      </c>
      <c r="D7" s="271">
        <v>3.9602599999999999</v>
      </c>
      <c r="E7" s="271">
        <v>7.4587300000000001</v>
      </c>
      <c r="G7" t="s">
        <v>146</v>
      </c>
      <c r="H7" t="e">
        <f ca="1">SQRT(J13)</f>
        <v>#NAME?</v>
      </c>
      <c r="P7" t="str">
        <f t="shared" si="1"/>
        <v/>
      </c>
      <c r="Q7" t="str">
        <f t="shared" si="0"/>
        <v/>
      </c>
      <c r="R7" t="str">
        <f t="shared" si="0"/>
        <v/>
      </c>
      <c r="T7" t="e">
        <f ca="1"/>
        <v>#NAME?</v>
      </c>
      <c r="U7" t="e">
        <f ca="1"/>
        <v>#NAME?</v>
      </c>
      <c r="V7" t="e">
        <f ca="1"/>
        <v>#NAME?</v>
      </c>
      <c r="X7" t="s">
        <v>146</v>
      </c>
      <c r="Y7" t="e">
        <f ca="1">SQRT(AA13)</f>
        <v>#NAME?</v>
      </c>
    </row>
    <row r="8" spans="1:31" x14ac:dyDescent="0.35">
      <c r="A8">
        <v>4</v>
      </c>
      <c r="B8">
        <v>2010</v>
      </c>
      <c r="C8" s="271">
        <v>9.2680000000000007</v>
      </c>
      <c r="D8" s="271">
        <v>4.5826599999999997</v>
      </c>
      <c r="E8" s="271">
        <v>8.7930200000000003</v>
      </c>
      <c r="G8" s="4" t="s">
        <v>153</v>
      </c>
      <c r="H8" s="4">
        <f>COUNT(E2:E17)</f>
        <v>16</v>
      </c>
      <c r="P8">
        <f t="shared" si="1"/>
        <v>0.92856000000000094</v>
      </c>
      <c r="Q8">
        <f t="shared" si="0"/>
        <v>0.26000999999999941</v>
      </c>
      <c r="R8">
        <f t="shared" si="0"/>
        <v>-0.24000999999999983</v>
      </c>
      <c r="T8" t="e">
        <f ca="1"/>
        <v>#NAME?</v>
      </c>
      <c r="U8" t="e">
        <f ca="1"/>
        <v>#NAME?</v>
      </c>
      <c r="V8" t="e">
        <f ca="1"/>
        <v>#NAME?</v>
      </c>
      <c r="X8" s="4" t="s">
        <v>153</v>
      </c>
      <c r="Y8" s="4">
        <f ca="1">COUNT(V2:V9)</f>
        <v>0</v>
      </c>
    </row>
    <row r="9" spans="1:31" x14ac:dyDescent="0.35">
      <c r="A9">
        <v>4</v>
      </c>
      <c r="B9">
        <v>2012</v>
      </c>
      <c r="C9" s="271">
        <v>8.3394399999999997</v>
      </c>
      <c r="D9" s="271">
        <v>4.3226500000000003</v>
      </c>
      <c r="E9" s="271">
        <v>9.0330300000000001</v>
      </c>
      <c r="P9" t="str">
        <f t="shared" si="1"/>
        <v/>
      </c>
      <c r="Q9" t="str">
        <f t="shared" si="0"/>
        <v/>
      </c>
      <c r="R9" t="str">
        <f t="shared" si="0"/>
        <v/>
      </c>
      <c r="T9" s="4" t="e">
        <f ca="1"/>
        <v>#NAME?</v>
      </c>
      <c r="U9" s="4" t="e">
        <f ca="1"/>
        <v>#NAME?</v>
      </c>
      <c r="V9" s="4" t="e">
        <f ca="1"/>
        <v>#NAME?</v>
      </c>
    </row>
    <row r="10" spans="1:31" ht="15" thickBot="1" x14ac:dyDescent="0.4">
      <c r="A10">
        <v>5</v>
      </c>
      <c r="B10">
        <v>2010</v>
      </c>
      <c r="C10" s="271">
        <v>8.0331600000000005</v>
      </c>
      <c r="D10" s="271">
        <v>5.3003099999999996</v>
      </c>
      <c r="E10" s="271">
        <v>3.9876100000000001</v>
      </c>
      <c r="G10" t="s">
        <v>155</v>
      </c>
      <c r="K10" s="137" t="s">
        <v>156</v>
      </c>
      <c r="L10" s="137">
        <v>0.05</v>
      </c>
      <c r="P10">
        <f t="shared" si="1"/>
        <v>-0.16077999999999903</v>
      </c>
      <c r="Q10">
        <f t="shared" si="0"/>
        <v>-0.13963000000000036</v>
      </c>
      <c r="R10">
        <f t="shared" si="0"/>
        <v>2.621999999999991E-2</v>
      </c>
      <c r="X10" t="s">
        <v>155</v>
      </c>
      <c r="AB10" s="137" t="s">
        <v>156</v>
      </c>
      <c r="AC10" s="137">
        <v>0.05</v>
      </c>
    </row>
    <row r="11" spans="1:31" ht="15" thickTop="1" x14ac:dyDescent="0.35">
      <c r="A11">
        <v>5</v>
      </c>
      <c r="B11">
        <v>2012</v>
      </c>
      <c r="C11" s="271">
        <v>8.1939399999999996</v>
      </c>
      <c r="D11" s="271">
        <v>5.43994</v>
      </c>
      <c r="E11" s="271">
        <v>3.9613900000000002</v>
      </c>
      <c r="G11" s="45"/>
      <c r="H11" s="45" t="s">
        <v>88</v>
      </c>
      <c r="I11" s="45" t="s">
        <v>157</v>
      </c>
      <c r="J11" s="45" t="s">
        <v>158</v>
      </c>
      <c r="K11" s="45" t="s">
        <v>159</v>
      </c>
      <c r="L11" s="45" t="s">
        <v>92</v>
      </c>
      <c r="M11" s="45" t="s">
        <v>84</v>
      </c>
      <c r="P11" t="str">
        <f t="shared" si="1"/>
        <v/>
      </c>
      <c r="Q11" t="str">
        <f t="shared" si="0"/>
        <v/>
      </c>
      <c r="R11" t="str">
        <f t="shared" si="0"/>
        <v/>
      </c>
      <c r="T11" s="2" t="e" cm="1">
        <f t="array" aca="1" ref="T11" ca="1">DELROWS(P1:R16,TRUE)</f>
        <v>#NAME?</v>
      </c>
      <c r="U11" s="2"/>
      <c r="V11" s="2"/>
      <c r="X11" s="45"/>
      <c r="Y11" s="45" t="s">
        <v>88</v>
      </c>
      <c r="Z11" s="45" t="s">
        <v>157</v>
      </c>
      <c r="AA11" s="45" t="s">
        <v>158</v>
      </c>
      <c r="AB11" s="45" t="s">
        <v>159</v>
      </c>
      <c r="AC11" s="45" t="s">
        <v>92</v>
      </c>
      <c r="AD11" s="45" t="s">
        <v>84</v>
      </c>
    </row>
    <row r="12" spans="1:31" x14ac:dyDescent="0.35">
      <c r="A12">
        <v>6</v>
      </c>
      <c r="B12">
        <v>2010</v>
      </c>
      <c r="C12" s="271">
        <v>10.10445</v>
      </c>
      <c r="D12" s="271">
        <v>10.0128</v>
      </c>
      <c r="E12" s="271">
        <v>4.1316800000000002</v>
      </c>
      <c r="G12" t="s">
        <v>160</v>
      </c>
      <c r="H12">
        <f>COUNT(C2:D2)</f>
        <v>2</v>
      </c>
      <c r="I12" t="e">
        <f ca="1">DEVSQ(MMULT(DEsign(C2:D17),H17:H19))</f>
        <v>#NAME?</v>
      </c>
      <c r="J12" t="e">
        <f ca="1">I12/H12</f>
        <v>#NAME?</v>
      </c>
      <c r="K12" t="e">
        <f ca="1">J12/J13</f>
        <v>#NAME?</v>
      </c>
      <c r="L12" t="e">
        <f ca="1">_xlfn.F.DIST.RT(K12,H12,H13)</f>
        <v>#NAME?</v>
      </c>
      <c r="M12" s="137" t="e">
        <f ca="1">IF(L12&lt;L10,"yes","no")</f>
        <v>#NAME?</v>
      </c>
      <c r="P12">
        <f t="shared" si="1"/>
        <v>5.0979999999999137E-2</v>
      </c>
      <c r="Q12">
        <f t="shared" si="0"/>
        <v>-1.1169999999999902E-2</v>
      </c>
      <c r="R12">
        <f t="shared" si="0"/>
        <v>0.25773000000000046</v>
      </c>
      <c r="X12" t="s">
        <v>160</v>
      </c>
      <c r="Y12">
        <f ca="1">COUNT(T2:U2)</f>
        <v>0</v>
      </c>
      <c r="Z12" t="e">
        <f ca="1">SUMSQ(MMULT(T2:U9,Y17:Y18))</f>
        <v>#NAME?</v>
      </c>
      <c r="AA12" t="e">
        <f ca="1">Z12/Y12</f>
        <v>#NAME?</v>
      </c>
      <c r="AB12" t="e">
        <f ca="1">AA12/AA13</f>
        <v>#NAME?</v>
      </c>
      <c r="AC12" t="e">
        <f ca="1">_xlfn.F.DIST.RT(AB12,Y12,Y13)</f>
        <v>#NAME?</v>
      </c>
      <c r="AD12" s="137" t="e">
        <f ca="1">IF(AC12&lt;AC10,"yes","no")</f>
        <v>#NAME?</v>
      </c>
    </row>
    <row r="13" spans="1:31" x14ac:dyDescent="0.35">
      <c r="A13">
        <v>6</v>
      </c>
      <c r="B13">
        <v>2012</v>
      </c>
      <c r="C13" s="271">
        <v>10.053470000000001</v>
      </c>
      <c r="D13" s="271">
        <v>10.02397</v>
      </c>
      <c r="E13" s="271">
        <v>3.8739499999999998</v>
      </c>
      <c r="G13" t="s">
        <v>107</v>
      </c>
      <c r="H13">
        <f>H14-H12</f>
        <v>13</v>
      </c>
      <c r="I13" t="e">
        <f ca="1">I14-I12</f>
        <v>#NAME?</v>
      </c>
      <c r="J13" t="e">
        <f ca="1">I13/H13</f>
        <v>#NAME?</v>
      </c>
      <c r="P13" t="str">
        <f t="shared" si="1"/>
        <v/>
      </c>
      <c r="Q13" t="str">
        <f t="shared" si="0"/>
        <v/>
      </c>
      <c r="R13" t="str">
        <f t="shared" si="0"/>
        <v/>
      </c>
      <c r="X13" t="s">
        <v>107</v>
      </c>
      <c r="Y13">
        <f ca="1">Y14-Y12</f>
        <v>0</v>
      </c>
      <c r="Z13" t="e">
        <f ca="1">Z14-Z12</f>
        <v>#NAME?</v>
      </c>
      <c r="AA13" t="e">
        <f ca="1">Z13/Y13</f>
        <v>#NAME?</v>
      </c>
    </row>
    <row r="14" spans="1:31" x14ac:dyDescent="0.35">
      <c r="A14">
        <v>7</v>
      </c>
      <c r="B14">
        <v>2010</v>
      </c>
      <c r="C14" s="271">
        <v>10.74991</v>
      </c>
      <c r="D14" s="271">
        <v>5.1787400000000003</v>
      </c>
      <c r="E14" s="271">
        <v>11.54217</v>
      </c>
      <c r="G14" s="4" t="s">
        <v>161</v>
      </c>
      <c r="H14" s="4">
        <f>H8-1</f>
        <v>15</v>
      </c>
      <c r="I14" s="4">
        <f>DEVSQ(E2:E17)</f>
        <v>99.944646719800005</v>
      </c>
      <c r="J14" s="4"/>
      <c r="K14" s="4"/>
      <c r="L14" s="4"/>
      <c r="M14" s="4"/>
      <c r="P14">
        <f t="shared" si="1"/>
        <v>-0.59356999999999971</v>
      </c>
      <c r="Q14">
        <f t="shared" si="0"/>
        <v>-0.2432799999999995</v>
      </c>
      <c r="R14">
        <f t="shared" si="0"/>
        <v>-4.4279999999998765E-2</v>
      </c>
      <c r="X14" s="4" t="s">
        <v>161</v>
      </c>
      <c r="Y14" s="4">
        <f ca="1">Y8</f>
        <v>0</v>
      </c>
      <c r="Z14" s="4" t="e">
        <f ca="1">SUMSQ(V2:V9)</f>
        <v>#NAME?</v>
      </c>
      <c r="AA14" s="4"/>
      <c r="AB14" s="4"/>
      <c r="AC14" s="4"/>
      <c r="AD14" s="4"/>
    </row>
    <row r="15" spans="1:31" ht="15" thickBot="1" x14ac:dyDescent="0.4">
      <c r="A15">
        <v>7</v>
      </c>
      <c r="B15">
        <v>2012</v>
      </c>
      <c r="C15" s="271">
        <v>11.34348</v>
      </c>
      <c r="D15" s="271">
        <v>5.4220199999999998</v>
      </c>
      <c r="E15" s="271">
        <v>11.586449999999999</v>
      </c>
      <c r="P15" t="str">
        <f t="shared" si="1"/>
        <v/>
      </c>
      <c r="Q15" t="str">
        <f t="shared" si="0"/>
        <v/>
      </c>
      <c r="R15" t="str">
        <f t="shared" si="0"/>
        <v/>
      </c>
    </row>
    <row r="16" spans="1:31" ht="15" thickTop="1" x14ac:dyDescent="0.35">
      <c r="A16">
        <v>8</v>
      </c>
      <c r="B16">
        <v>2010</v>
      </c>
      <c r="C16" s="271">
        <v>8.2970400000000009</v>
      </c>
      <c r="D16" s="271">
        <v>3.8803399999999999</v>
      </c>
      <c r="E16" s="271">
        <v>8.8770299999999995</v>
      </c>
      <c r="G16" s="45"/>
      <c r="H16" s="45" t="s">
        <v>162</v>
      </c>
      <c r="I16" s="45" t="s">
        <v>163</v>
      </c>
      <c r="J16" s="45" t="s">
        <v>164</v>
      </c>
      <c r="K16" s="45" t="s">
        <v>92</v>
      </c>
      <c r="L16" s="45" t="s">
        <v>127</v>
      </c>
      <c r="M16" s="45" t="s">
        <v>128</v>
      </c>
      <c r="N16" s="45" t="s">
        <v>165</v>
      </c>
      <c r="O16" s="265"/>
      <c r="P16" s="4">
        <f t="shared" si="1"/>
        <v>-3.384999999999927E-2</v>
      </c>
      <c r="Q16" s="4">
        <f t="shared" si="0"/>
        <v>7.1689999999999809E-2</v>
      </c>
      <c r="R16" s="4">
        <f t="shared" si="0"/>
        <v>-3.5170000000000812E-2</v>
      </c>
      <c r="S16" s="265"/>
      <c r="X16" s="45"/>
      <c r="Y16" s="45" t="s">
        <v>162</v>
      </c>
      <c r="Z16" s="45" t="s">
        <v>163</v>
      </c>
      <c r="AA16" s="45" t="s">
        <v>164</v>
      </c>
      <c r="AB16" s="45" t="s">
        <v>92</v>
      </c>
      <c r="AC16" s="45" t="s">
        <v>127</v>
      </c>
      <c r="AD16" s="45" t="s">
        <v>128</v>
      </c>
      <c r="AE16" s="45" t="s">
        <v>165</v>
      </c>
    </row>
    <row r="17" spans="1:31" x14ac:dyDescent="0.35">
      <c r="A17" s="4">
        <v>8</v>
      </c>
      <c r="B17" s="4">
        <v>2012</v>
      </c>
      <c r="C17" s="272">
        <v>8.3308900000000001</v>
      </c>
      <c r="D17" s="272">
        <v>3.8086500000000001</v>
      </c>
      <c r="E17" s="272">
        <v>8.9122000000000003</v>
      </c>
      <c r="G17" t="s">
        <v>166</v>
      </c>
      <c r="H17" t="e">
        <f t="array" aca="1" ref="H17:I19" ca="1">RegCoeff(C2:D17,E2:E17)</f>
        <v>#NAME?</v>
      </c>
      <c r="I17" t="e">
        <f ca="1"/>
        <v>#NAME?</v>
      </c>
      <c r="J17" t="e">
        <f ca="1">H17/I17</f>
        <v>#NAME?</v>
      </c>
      <c r="K17" t="e">
        <f ca="1">_xlfn.T.DIST.2T(ABS(J17),$H$13)</f>
        <v>#NAME?</v>
      </c>
      <c r="L17" t="e">
        <f ca="1">H17-_xlfn.T.INV.2T(L$10,$H$13)*I17</f>
        <v>#NAME?</v>
      </c>
      <c r="M17" t="e">
        <f ca="1">H17+_xlfn.T.INV.2T(L$10,$H$13)*I17</f>
        <v>#NAME?</v>
      </c>
      <c r="P17" t="str">
        <f t="shared" si="1"/>
        <v/>
      </c>
      <c r="Q17" t="str">
        <f t="shared" si="0"/>
        <v/>
      </c>
      <c r="R17" t="str">
        <f t="shared" si="0"/>
        <v/>
      </c>
      <c r="X17" t="e">
        <f t="array" aca="1" ref="X17:X18" ca="1">TRANSPOSE(T1:U1)</f>
        <v>#NAME?</v>
      </c>
      <c r="Y17" t="e">
        <f t="array" aca="1" ref="Y17:Z18" ca="1">RegCoeff(T2:U9,V2:V9,FALSE)</f>
        <v>#NAME?</v>
      </c>
      <c r="Z17" t="e">
        <f ca="1"/>
        <v>#NAME?</v>
      </c>
      <c r="AA17" t="e">
        <f ca="1">Y17/Z17</f>
        <v>#NAME?</v>
      </c>
      <c r="AB17" t="e">
        <f ca="1">_xlfn.T.DIST.2T(ABS(AA17),$Y$13)</f>
        <v>#NAME?</v>
      </c>
      <c r="AC17" t="e">
        <f ca="1">Y17-_xlfn.T.INV.2T(AC$10,$Y$13)*Z17</f>
        <v>#NAME?</v>
      </c>
      <c r="AD17" t="e">
        <f ca="1">Y17+_xlfn.T.INV.2T(AC$10,$Y$13)*Z17</f>
        <v>#NAME?</v>
      </c>
      <c r="AE17" t="e" cm="1">
        <f t="array" aca="1" ref="AE17" ca="1">VIF(T2:U9,1)</f>
        <v>#NAME?</v>
      </c>
    </row>
    <row r="18" spans="1:31" x14ac:dyDescent="0.35">
      <c r="G18" t="str">
        <f t="array" ref="G18:G19">TRANSPOSE(C1:D1)</f>
        <v>lcapital</v>
      </c>
      <c r="H18" t="e">
        <f ca="1"/>
        <v>#NAME?</v>
      </c>
      <c r="I18" t="e">
        <f ca="1"/>
        <v>#NAME?</v>
      </c>
      <c r="J18" t="e">
        <f t="shared" ref="J18:J19" ca="1" si="2">H18/I18</f>
        <v>#NAME?</v>
      </c>
      <c r="K18" t="e">
        <f t="shared" ref="K18:K19" ca="1" si="3">_xlfn.T.DIST.2T(ABS(J18),$H$13)</f>
        <v>#NAME?</v>
      </c>
      <c r="L18" t="e">
        <f t="shared" ref="L18:L19" ca="1" si="4">H18-_xlfn.T.INV.2T(L$10,$H$13)*I18</f>
        <v>#NAME?</v>
      </c>
      <c r="M18" t="e">
        <f t="shared" ref="M18:M19" ca="1" si="5">H18+_xlfn.T.INV.2T(L$10,$H$13)*I18</f>
        <v>#NAME?</v>
      </c>
      <c r="N18" t="e" cm="1">
        <f t="array" aca="1" ref="N18" ca="1">VIF(C2:D17,1)</f>
        <v>#NAME?</v>
      </c>
      <c r="X18" s="4" t="e">
        <f ca="1"/>
        <v>#NAME?</v>
      </c>
      <c r="Y18" s="4" t="e">
        <f ca="1"/>
        <v>#NAME?</v>
      </c>
      <c r="Z18" s="4" t="e">
        <f ca="1"/>
        <v>#NAME?</v>
      </c>
      <c r="AA18" s="4" t="e">
        <f ca="1">Y18/Z18</f>
        <v>#NAME?</v>
      </c>
      <c r="AB18" s="4" t="e">
        <f ca="1">_xlfn.T.DIST.2T(ABS(AA18),$Y$13)</f>
        <v>#NAME?</v>
      </c>
      <c r="AC18" s="4" t="e">
        <f ca="1">Y18-_xlfn.T.INV.2T(AC$10,$Y$13)*Z18</f>
        <v>#NAME?</v>
      </c>
      <c r="AD18" s="4" t="e">
        <f ca="1">Y18+_xlfn.T.INV.2T(AC$10,$Y$13)*Z18</f>
        <v>#NAME?</v>
      </c>
      <c r="AE18" s="4" t="e" cm="1">
        <f t="array" aca="1" ref="AE18" ca="1">VIF(T2:U9,2)</f>
        <v>#NAME?</v>
      </c>
    </row>
    <row r="19" spans="1:31" x14ac:dyDescent="0.35">
      <c r="G19" s="4" t="str">
        <v>llabor</v>
      </c>
      <c r="H19" s="4" t="e">
        <f ca="1"/>
        <v>#NAME?</v>
      </c>
      <c r="I19" s="4" t="e">
        <f ca="1"/>
        <v>#NAME?</v>
      </c>
      <c r="J19" s="4" t="e">
        <f t="shared" ca="1" si="2"/>
        <v>#NAME?</v>
      </c>
      <c r="K19" s="4" t="e">
        <f t="shared" ca="1" si="3"/>
        <v>#NAME?</v>
      </c>
      <c r="L19" s="4" t="e">
        <f t="shared" ca="1" si="4"/>
        <v>#NAME?</v>
      </c>
      <c r="M19" s="4" t="e">
        <f t="shared" ca="1" si="5"/>
        <v>#NAME?</v>
      </c>
      <c r="N19" s="4" t="e" cm="1">
        <f t="array" aca="1" ref="N19" ca="1">VIF(C2:D17,2)</f>
        <v>#NAME?</v>
      </c>
      <c r="T19" s="4"/>
      <c r="U19" s="4"/>
      <c r="V19" s="4"/>
    </row>
  </sheetData>
  <pageMargins left="0.7" right="0.7" top="0.75" bottom="0.75" header="0.3" footer="0.3"/>
  <pageSetup paperSize="9" orientation="portrait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0A56-FE21-4A64-A398-E2BD91753A4C}">
  <sheetPr codeName="Sheet36"/>
  <dimension ref="A1:BB27"/>
  <sheetViews>
    <sheetView topLeftCell="M1" workbookViewId="0">
      <selection activeCell="T1" sqref="T1"/>
    </sheetView>
  </sheetViews>
  <sheetFormatPr defaultRowHeight="14.5" x14ac:dyDescent="0.35"/>
  <cols>
    <col min="25" max="25" width="17" customWidth="1"/>
    <col min="34" max="34" width="16.7265625" customWidth="1"/>
    <col min="47" max="47" width="15.90625" customWidth="1"/>
  </cols>
  <sheetData>
    <row r="1" spans="1:54" x14ac:dyDescent="0.35">
      <c r="A1" s="2" t="s">
        <v>679</v>
      </c>
      <c r="B1" s="2" t="s">
        <v>540</v>
      </c>
      <c r="C1" s="2" t="s">
        <v>680</v>
      </c>
      <c r="D1" s="2" t="s">
        <v>681</v>
      </c>
      <c r="E1" s="2" t="s">
        <v>682</v>
      </c>
      <c r="G1" t="s">
        <v>141</v>
      </c>
      <c r="P1" s="4" t="s">
        <v>679</v>
      </c>
      <c r="Q1" s="2" t="s">
        <v>680</v>
      </c>
      <c r="R1" s="2" t="s">
        <v>681</v>
      </c>
      <c r="S1" s="2" t="s">
        <v>682</v>
      </c>
      <c r="T1" s="1"/>
      <c r="U1" s="2" t="e">
        <f t="array" aca="1" ref="U1:W17" ca="1">PANEL_DEMEAN(C1:E17,2,TRUE)</f>
        <v>#NAME?</v>
      </c>
      <c r="V1" s="2" t="e">
        <f ca="1"/>
        <v>#NAME?</v>
      </c>
      <c r="W1" s="2" t="e">
        <f ca="1"/>
        <v>#NAME?</v>
      </c>
      <c r="Y1" t="s">
        <v>684</v>
      </c>
      <c r="AH1" t="s">
        <v>141</v>
      </c>
      <c r="AQ1" s="2" t="e" cm="1">
        <f t="array" aca="1" ref="AQ1" ca="1">QSORTRows(U1:W17,1,,TRUE)</f>
        <v>#NAME?</v>
      </c>
      <c r="AR1" s="2"/>
      <c r="AS1" s="2"/>
      <c r="AU1" t="s">
        <v>141</v>
      </c>
    </row>
    <row r="2" spans="1:54" x14ac:dyDescent="0.35">
      <c r="A2">
        <v>1</v>
      </c>
      <c r="B2">
        <f>2010</f>
        <v>2010</v>
      </c>
      <c r="C2" s="271">
        <v>8.9305000000000003</v>
      </c>
      <c r="D2" s="271">
        <v>3.4831300000000001</v>
      </c>
      <c r="E2" s="271">
        <v>9.7047600000000003</v>
      </c>
      <c r="P2">
        <f>IF(B2=2010,A2,"")</f>
        <v>1</v>
      </c>
      <c r="Q2">
        <f>IF($B2=2010,AVERAGE(C2:C3),"")</f>
        <v>8.9727999999999994</v>
      </c>
      <c r="R2">
        <f t="shared" ref="R2:S17" si="0">IF($B2=2010,AVERAGE(D2:D3),"")</f>
        <v>3.6591</v>
      </c>
      <c r="S2">
        <f t="shared" si="0"/>
        <v>9.7739550000000008</v>
      </c>
      <c r="U2" t="e">
        <f ca="1"/>
        <v>#NAME?</v>
      </c>
      <c r="V2" t="e">
        <f ca="1"/>
        <v>#NAME?</v>
      </c>
      <c r="W2" t="e">
        <f ca="1"/>
        <v>#NAME?</v>
      </c>
    </row>
    <row r="3" spans="1:54" ht="15" thickBot="1" x14ac:dyDescent="0.4">
      <c r="A3">
        <v>1</v>
      </c>
      <c r="B3">
        <v>2012</v>
      </c>
      <c r="C3" s="271">
        <v>9.0151000000000003</v>
      </c>
      <c r="D3" s="271">
        <v>3.83507</v>
      </c>
      <c r="E3" s="271">
        <v>9.8431499999999996</v>
      </c>
      <c r="G3" s="44" t="s">
        <v>142</v>
      </c>
      <c r="H3" s="44"/>
      <c r="J3" s="44"/>
      <c r="K3" s="44"/>
      <c r="P3" t="str">
        <f t="shared" ref="P3:P17" si="1">IF(B3=2010,A3,"")</f>
        <v/>
      </c>
      <c r="Q3" t="str">
        <f t="shared" ref="Q3:Q17" si="2">IF($B3=2010,AVERAGE(C3:C4),"")</f>
        <v/>
      </c>
      <c r="R3" t="str">
        <f t="shared" si="0"/>
        <v/>
      </c>
      <c r="S3" t="str">
        <f t="shared" si="0"/>
        <v/>
      </c>
      <c r="U3" t="e">
        <f ca="1"/>
        <v>#NAME?</v>
      </c>
      <c r="V3" t="e">
        <f ca="1"/>
        <v>#NAME?</v>
      </c>
      <c r="W3" t="e">
        <f ca="1"/>
        <v>#NAME?</v>
      </c>
      <c r="Y3" s="44" t="s">
        <v>142</v>
      </c>
      <c r="Z3" s="44"/>
      <c r="AB3" s="44"/>
      <c r="AC3" s="44"/>
      <c r="AH3" s="44" t="s">
        <v>142</v>
      </c>
      <c r="AI3" s="44"/>
      <c r="AK3" s="44"/>
      <c r="AL3" s="44"/>
      <c r="AU3" s="44" t="s">
        <v>142</v>
      </c>
      <c r="AV3" s="44"/>
      <c r="AX3" s="44"/>
      <c r="AY3" s="44"/>
    </row>
    <row r="4" spans="1:54" ht="15" thickTop="1" x14ac:dyDescent="0.35">
      <c r="A4">
        <v>2</v>
      </c>
      <c r="B4">
        <v>2010</v>
      </c>
      <c r="C4" s="271">
        <v>7.2570899999999998</v>
      </c>
      <c r="D4" s="271">
        <v>4.43757</v>
      </c>
      <c r="E4" s="271">
        <v>8.5477600000000002</v>
      </c>
      <c r="G4" t="s">
        <v>144</v>
      </c>
      <c r="H4" t="e">
        <f ca="1">SQRT(H5)</f>
        <v>#NAME?</v>
      </c>
      <c r="J4" t="s">
        <v>145</v>
      </c>
      <c r="K4" t="e">
        <f ca="1">H8*LN(I13/H8)+2*(H12+1)</f>
        <v>#NAME?</v>
      </c>
      <c r="P4">
        <f t="shared" si="1"/>
        <v>2</v>
      </c>
      <c r="Q4">
        <f t="shared" si="2"/>
        <v>8.2844249999999988</v>
      </c>
      <c r="R4">
        <f t="shared" si="0"/>
        <v>4.415565</v>
      </c>
      <c r="S4">
        <f t="shared" si="0"/>
        <v>8.1726749999999999</v>
      </c>
      <c r="U4" t="e">
        <f ca="1"/>
        <v>#NAME?</v>
      </c>
      <c r="V4" t="e">
        <f ca="1"/>
        <v>#NAME?</v>
      </c>
      <c r="W4" t="e">
        <f ca="1"/>
        <v>#NAME?</v>
      </c>
      <c r="Y4" t="s">
        <v>144</v>
      </c>
      <c r="Z4" t="e">
        <f ca="1">SQRT(Z5)</f>
        <v>#NAME?</v>
      </c>
      <c r="AB4" t="s">
        <v>145</v>
      </c>
      <c r="AC4" t="e">
        <f ca="1">Z8*LN(AA13/Z8)+2*Z12</f>
        <v>#NAME?</v>
      </c>
      <c r="AH4" t="s">
        <v>144</v>
      </c>
      <c r="AI4" t="e">
        <f ca="1">SQRT(AI5)</f>
        <v>#NAME?</v>
      </c>
      <c r="AK4" t="s">
        <v>145</v>
      </c>
      <c r="AL4" t="e">
        <f ca="1">AI8*LN(AJ13/AI8)+2*AI12</f>
        <v>#NAME?</v>
      </c>
      <c r="AU4" t="s">
        <v>144</v>
      </c>
      <c r="AV4" t="e">
        <f>SQRT(AV5)</f>
        <v>#VALUE!</v>
      </c>
      <c r="AX4" t="s">
        <v>145</v>
      </c>
      <c r="AY4" t="e">
        <f>AV8*LN(AW13/AV8)+2*AV12</f>
        <v>#VALUE!</v>
      </c>
    </row>
    <row r="5" spans="1:54" x14ac:dyDescent="0.35">
      <c r="A5">
        <v>2</v>
      </c>
      <c r="B5">
        <v>2012</v>
      </c>
      <c r="C5" s="271">
        <v>9.3117599999999996</v>
      </c>
      <c r="D5" s="271">
        <v>4.3935599999999999</v>
      </c>
      <c r="E5" s="271">
        <v>7.7975899999999996</v>
      </c>
      <c r="G5" t="s">
        <v>148</v>
      </c>
      <c r="H5" t="e">
        <f ca="1">I12/I14</f>
        <v>#NAME?</v>
      </c>
      <c r="J5" t="s">
        <v>149</v>
      </c>
      <c r="K5" t="e">
        <f ca="1">K4+2*(H12+2)*(H12+3)/(H8-H12-3)</f>
        <v>#NAME?</v>
      </c>
      <c r="P5" t="str">
        <f t="shared" si="1"/>
        <v/>
      </c>
      <c r="Q5" t="str">
        <f t="shared" si="2"/>
        <v/>
      </c>
      <c r="R5" t="str">
        <f t="shared" si="0"/>
        <v/>
      </c>
      <c r="S5" t="str">
        <f t="shared" si="0"/>
        <v/>
      </c>
      <c r="U5" t="e">
        <f ca="1"/>
        <v>#NAME?</v>
      </c>
      <c r="V5" t="e">
        <f ca="1"/>
        <v>#NAME?</v>
      </c>
      <c r="W5" t="e">
        <f ca="1"/>
        <v>#NAME?</v>
      </c>
      <c r="Y5" t="s">
        <v>148</v>
      </c>
      <c r="Z5" t="e">
        <f ca="1">AA12/AA14</f>
        <v>#NAME?</v>
      </c>
      <c r="AB5" t="s">
        <v>149</v>
      </c>
      <c r="AC5" t="e">
        <f ca="1">AC4+2*(Z12+1)*(Z12+2)/(Z8-Z12-2)</f>
        <v>#NAME?</v>
      </c>
      <c r="AH5" t="s">
        <v>148</v>
      </c>
      <c r="AI5" t="e">
        <f ca="1">AJ12/AJ14</f>
        <v>#NAME?</v>
      </c>
      <c r="AK5" t="s">
        <v>149</v>
      </c>
      <c r="AL5" t="e">
        <f ca="1">AL4+2*(AI12+1)*(AI12+2)/(AI8-AI12-2)</f>
        <v>#NAME?</v>
      </c>
      <c r="AU5" t="s">
        <v>148</v>
      </c>
      <c r="AV5" t="e">
        <f>AW12/AW14</f>
        <v>#VALUE!</v>
      </c>
      <c r="AX5" t="s">
        <v>149</v>
      </c>
      <c r="AY5" t="e">
        <f>AY4+2*(AV12+1)*(AV12+2)/(AV8-AV12-2)</f>
        <v>#VALUE!</v>
      </c>
    </row>
    <row r="6" spans="1:54" x14ac:dyDescent="0.35">
      <c r="A6">
        <v>3</v>
      </c>
      <c r="B6">
        <v>2010</v>
      </c>
      <c r="C6" s="271">
        <v>6.5219699999999996</v>
      </c>
      <c r="D6" s="271">
        <v>4.1636499999999996</v>
      </c>
      <c r="E6" s="271">
        <v>7.4622799999999998</v>
      </c>
      <c r="G6" t="s">
        <v>150</v>
      </c>
      <c r="H6" t="e">
        <f ca="1">1-(1-H5)*(H8-1)/(H8-H12-1)</f>
        <v>#NAME?</v>
      </c>
      <c r="J6" s="4" t="s">
        <v>151</v>
      </c>
      <c r="K6" s="4" t="e">
        <f ca="1">H8*LN(I13/H8)+(H12+1)*LN(H8)</f>
        <v>#NAME?</v>
      </c>
      <c r="P6">
        <f t="shared" si="1"/>
        <v>3</v>
      </c>
      <c r="Q6">
        <f t="shared" si="2"/>
        <v>7.1684349999999997</v>
      </c>
      <c r="R6">
        <f t="shared" si="0"/>
        <v>4.0619549999999993</v>
      </c>
      <c r="S6">
        <f t="shared" si="0"/>
        <v>7.4605049999999995</v>
      </c>
      <c r="U6" t="e">
        <f ca="1"/>
        <v>#NAME?</v>
      </c>
      <c r="V6" t="e">
        <f ca="1"/>
        <v>#NAME?</v>
      </c>
      <c r="W6" t="e">
        <f ca="1"/>
        <v>#NAME?</v>
      </c>
      <c r="Y6" t="s">
        <v>150</v>
      </c>
      <c r="Z6" t="e">
        <f ca="1">1-(1-Z5)*Z8/(Z8-Z12)</f>
        <v>#NAME?</v>
      </c>
      <c r="AB6" s="4" t="s">
        <v>411</v>
      </c>
      <c r="AC6" s="4" t="e">
        <f ca="1">Z8*LN(AA13/Z8)+Z12*LN(Z8)</f>
        <v>#NAME?</v>
      </c>
      <c r="AH6" t="s">
        <v>150</v>
      </c>
      <c r="AI6" t="e">
        <f ca="1">1-(1-AI5)*AI8/(AI8-AI12)</f>
        <v>#NAME?</v>
      </c>
      <c r="AK6" s="4" t="s">
        <v>411</v>
      </c>
      <c r="AL6" s="4" t="e">
        <f ca="1">AI8*LN(AJ13/AI8)+AI12*LN(AI8)</f>
        <v>#NAME?</v>
      </c>
      <c r="AU6" t="s">
        <v>150</v>
      </c>
      <c r="AV6" t="e">
        <f>1-(1-AV5)*AV8/(AV8-AV12)</f>
        <v>#VALUE!</v>
      </c>
      <c r="AX6" s="4" t="s">
        <v>411</v>
      </c>
      <c r="AY6" s="4" t="e">
        <f>AV8*LN(AW13/AV8)+AV12*LN(AV8)</f>
        <v>#VALUE!</v>
      </c>
    </row>
    <row r="7" spans="1:54" x14ac:dyDescent="0.35">
      <c r="A7">
        <v>3</v>
      </c>
      <c r="B7">
        <v>2012</v>
      </c>
      <c r="C7" s="271">
        <v>7.8148999999999997</v>
      </c>
      <c r="D7" s="271">
        <v>3.9602599999999999</v>
      </c>
      <c r="E7" s="271">
        <v>7.4587300000000001</v>
      </c>
      <c r="G7" t="s">
        <v>146</v>
      </c>
      <c r="H7" t="e">
        <f ca="1">SQRT(J13)</f>
        <v>#NAME?</v>
      </c>
      <c r="P7" t="str">
        <f t="shared" si="1"/>
        <v/>
      </c>
      <c r="Q7" t="str">
        <f t="shared" si="2"/>
        <v/>
      </c>
      <c r="R7" t="str">
        <f t="shared" si="0"/>
        <v/>
      </c>
      <c r="S7" t="str">
        <f t="shared" si="0"/>
        <v/>
      </c>
      <c r="U7" t="e">
        <f ca="1"/>
        <v>#NAME?</v>
      </c>
      <c r="V7" t="e">
        <f ca="1"/>
        <v>#NAME?</v>
      </c>
      <c r="W7" t="e">
        <f ca="1"/>
        <v>#NAME?</v>
      </c>
      <c r="Y7" t="s">
        <v>146</v>
      </c>
      <c r="Z7" t="e">
        <f ca="1">SQRT(AB13)</f>
        <v>#NAME?</v>
      </c>
      <c r="AH7" t="s">
        <v>146</v>
      </c>
      <c r="AI7" t="e">
        <f ca="1">SQRT(AK13)</f>
        <v>#NAME?</v>
      </c>
      <c r="AU7" t="s">
        <v>146</v>
      </c>
      <c r="AV7" t="e">
        <f>SQRT(AX13)</f>
        <v>#VALUE!</v>
      </c>
    </row>
    <row r="8" spans="1:54" x14ac:dyDescent="0.35">
      <c r="A8">
        <v>4</v>
      </c>
      <c r="B8">
        <v>2010</v>
      </c>
      <c r="C8" s="271">
        <v>9.2680000000000007</v>
      </c>
      <c r="D8" s="271">
        <v>4.5826599999999997</v>
      </c>
      <c r="E8" s="271">
        <v>8.7930200000000003</v>
      </c>
      <c r="G8" s="4" t="s">
        <v>153</v>
      </c>
      <c r="H8" s="4">
        <f>COUNT(E2:E17)</f>
        <v>16</v>
      </c>
      <c r="P8">
        <f t="shared" si="1"/>
        <v>4</v>
      </c>
      <c r="Q8">
        <f t="shared" si="2"/>
        <v>8.8037200000000002</v>
      </c>
      <c r="R8">
        <f t="shared" si="0"/>
        <v>4.452655</v>
      </c>
      <c r="S8">
        <f t="shared" si="0"/>
        <v>8.9130250000000011</v>
      </c>
      <c r="U8" t="e">
        <f ca="1"/>
        <v>#NAME?</v>
      </c>
      <c r="V8" t="e">
        <f ca="1"/>
        <v>#NAME?</v>
      </c>
      <c r="W8" t="e">
        <f ca="1"/>
        <v>#NAME?</v>
      </c>
      <c r="Y8" s="4" t="s">
        <v>153</v>
      </c>
      <c r="Z8" s="4">
        <f ca="1">COUNT(W2:W17)-AC8</f>
        <v>-8</v>
      </c>
      <c r="AB8" s="15" t="s">
        <v>685</v>
      </c>
      <c r="AC8" s="15">
        <v>8</v>
      </c>
      <c r="AH8" s="4" t="s">
        <v>153</v>
      </c>
      <c r="AI8" s="4">
        <f ca="1">COUNT(W2:W17)</f>
        <v>0</v>
      </c>
      <c r="AU8" s="4" t="s">
        <v>153</v>
      </c>
      <c r="AV8" s="4">
        <f>COUNT(AS2:AS9)</f>
        <v>0</v>
      </c>
    </row>
    <row r="9" spans="1:54" x14ac:dyDescent="0.35">
      <c r="A9">
        <v>4</v>
      </c>
      <c r="B9">
        <v>2012</v>
      </c>
      <c r="C9" s="271">
        <v>8.3394399999999997</v>
      </c>
      <c r="D9" s="271">
        <v>4.3226500000000003</v>
      </c>
      <c r="E9" s="271">
        <v>9.0330300000000001</v>
      </c>
      <c r="P9" t="str">
        <f t="shared" si="1"/>
        <v/>
      </c>
      <c r="Q9" t="str">
        <f t="shared" si="2"/>
        <v/>
      </c>
      <c r="R9" t="str">
        <f t="shared" si="0"/>
        <v/>
      </c>
      <c r="S9" t="str">
        <f t="shared" si="0"/>
        <v/>
      </c>
      <c r="U9" t="e">
        <f ca="1"/>
        <v>#NAME?</v>
      </c>
      <c r="V9" t="e">
        <f ca="1"/>
        <v>#NAME?</v>
      </c>
      <c r="W9" t="e">
        <f ca="1"/>
        <v>#NAME?</v>
      </c>
      <c r="AQ9" s="4"/>
      <c r="AR9" s="4"/>
      <c r="AS9" s="4"/>
    </row>
    <row r="10" spans="1:54" ht="15" thickBot="1" x14ac:dyDescent="0.4">
      <c r="A10">
        <v>5</v>
      </c>
      <c r="B10">
        <v>2010</v>
      </c>
      <c r="C10" s="271">
        <v>8.0331600000000005</v>
      </c>
      <c r="D10" s="271">
        <v>5.3003099999999996</v>
      </c>
      <c r="E10" s="271">
        <v>3.9876100000000001</v>
      </c>
      <c r="G10" t="s">
        <v>155</v>
      </c>
      <c r="K10" s="137" t="s">
        <v>156</v>
      </c>
      <c r="L10" s="137">
        <v>0.05</v>
      </c>
      <c r="P10">
        <f t="shared" si="1"/>
        <v>5</v>
      </c>
      <c r="Q10">
        <f t="shared" si="2"/>
        <v>8.11355</v>
      </c>
      <c r="R10">
        <f t="shared" si="0"/>
        <v>5.3701249999999998</v>
      </c>
      <c r="S10">
        <f t="shared" si="0"/>
        <v>3.9744999999999999</v>
      </c>
      <c r="U10" t="e">
        <f ca="1"/>
        <v>#NAME?</v>
      </c>
      <c r="V10" t="e">
        <f ca="1"/>
        <v>#NAME?</v>
      </c>
      <c r="W10" t="e">
        <f ca="1"/>
        <v>#NAME?</v>
      </c>
      <c r="Y10" t="s">
        <v>155</v>
      </c>
      <c r="AC10" s="137" t="s">
        <v>156</v>
      </c>
      <c r="AD10" s="137">
        <v>0.05</v>
      </c>
      <c r="AH10" t="s">
        <v>155</v>
      </c>
      <c r="AL10" s="137" t="s">
        <v>156</v>
      </c>
      <c r="AM10" s="137">
        <v>0.05</v>
      </c>
      <c r="AU10" t="s">
        <v>155</v>
      </c>
      <c r="AY10" s="137" t="s">
        <v>156</v>
      </c>
      <c r="AZ10" s="137">
        <v>0.05</v>
      </c>
    </row>
    <row r="11" spans="1:54" ht="15" thickTop="1" x14ac:dyDescent="0.35">
      <c r="A11">
        <v>5</v>
      </c>
      <c r="B11">
        <v>2012</v>
      </c>
      <c r="C11" s="271">
        <v>8.1939399999999996</v>
      </c>
      <c r="D11" s="271">
        <v>5.43994</v>
      </c>
      <c r="E11" s="271">
        <v>3.9613900000000002</v>
      </c>
      <c r="G11" s="45"/>
      <c r="H11" s="45" t="s">
        <v>88</v>
      </c>
      <c r="I11" s="45" t="s">
        <v>157</v>
      </c>
      <c r="J11" s="45" t="s">
        <v>158</v>
      </c>
      <c r="K11" s="45" t="s">
        <v>159</v>
      </c>
      <c r="L11" s="45" t="s">
        <v>92</v>
      </c>
      <c r="M11" s="45" t="s">
        <v>84</v>
      </c>
      <c r="P11" t="str">
        <f t="shared" si="1"/>
        <v/>
      </c>
      <c r="Q11" t="str">
        <f t="shared" si="2"/>
        <v/>
      </c>
      <c r="R11" t="str">
        <f t="shared" si="0"/>
        <v/>
      </c>
      <c r="S11" t="str">
        <f t="shared" si="0"/>
        <v/>
      </c>
      <c r="U11" t="e">
        <f ca="1"/>
        <v>#NAME?</v>
      </c>
      <c r="V11" t="e">
        <f ca="1"/>
        <v>#NAME?</v>
      </c>
      <c r="W11" t="e">
        <f ca="1"/>
        <v>#NAME?</v>
      </c>
      <c r="Y11" s="45"/>
      <c r="Z11" s="45" t="s">
        <v>88</v>
      </c>
      <c r="AA11" s="45" t="s">
        <v>157</v>
      </c>
      <c r="AB11" s="45" t="s">
        <v>158</v>
      </c>
      <c r="AC11" s="45" t="s">
        <v>159</v>
      </c>
      <c r="AD11" s="45" t="s">
        <v>92</v>
      </c>
      <c r="AE11" s="45" t="s">
        <v>84</v>
      </c>
      <c r="AH11" s="45"/>
      <c r="AI11" s="45" t="s">
        <v>88</v>
      </c>
      <c r="AJ11" s="45" t="s">
        <v>157</v>
      </c>
      <c r="AK11" s="45" t="s">
        <v>158</v>
      </c>
      <c r="AL11" s="45" t="s">
        <v>159</v>
      </c>
      <c r="AM11" s="45" t="s">
        <v>92</v>
      </c>
      <c r="AN11" s="45" t="s">
        <v>84</v>
      </c>
      <c r="AU11" s="45"/>
      <c r="AV11" s="45" t="s">
        <v>88</v>
      </c>
      <c r="AW11" s="45" t="s">
        <v>157</v>
      </c>
      <c r="AX11" s="45" t="s">
        <v>158</v>
      </c>
      <c r="AY11" s="45" t="s">
        <v>159</v>
      </c>
      <c r="AZ11" s="45" t="s">
        <v>92</v>
      </c>
      <c r="BA11" s="45" t="s">
        <v>84</v>
      </c>
    </row>
    <row r="12" spans="1:54" x14ac:dyDescent="0.35">
      <c r="A12">
        <v>6</v>
      </c>
      <c r="B12">
        <v>2010</v>
      </c>
      <c r="C12" s="271">
        <v>10.10445</v>
      </c>
      <c r="D12" s="271">
        <v>10.0128</v>
      </c>
      <c r="E12" s="271">
        <v>4.1316800000000002</v>
      </c>
      <c r="G12" t="s">
        <v>160</v>
      </c>
      <c r="H12">
        <f>COUNT(C2:D2)</f>
        <v>2</v>
      </c>
      <c r="I12" t="e">
        <f ca="1">DEVSQ(MMULT(DEsign(C2:D17),H17:H19))</f>
        <v>#NAME?</v>
      </c>
      <c r="J12" t="e">
        <f ca="1">I12/H12</f>
        <v>#NAME?</v>
      </c>
      <c r="K12" t="e">
        <f ca="1">J12/J13</f>
        <v>#NAME?</v>
      </c>
      <c r="L12" t="e">
        <f ca="1">_xlfn.F.DIST.RT(K12,H12,H13)</f>
        <v>#NAME?</v>
      </c>
      <c r="M12" s="137" t="e">
        <f ca="1">IF(L12&lt;L10,"yes","no")</f>
        <v>#NAME?</v>
      </c>
      <c r="P12">
        <f t="shared" si="1"/>
        <v>6</v>
      </c>
      <c r="Q12">
        <f t="shared" si="2"/>
        <v>10.07896</v>
      </c>
      <c r="R12">
        <f t="shared" si="0"/>
        <v>10.018385</v>
      </c>
      <c r="S12">
        <f t="shared" si="0"/>
        <v>4.002815</v>
      </c>
      <c r="U12" t="e">
        <f ca="1"/>
        <v>#NAME?</v>
      </c>
      <c r="V12" t="e">
        <f ca="1"/>
        <v>#NAME?</v>
      </c>
      <c r="W12" t="e">
        <f ca="1"/>
        <v>#NAME?</v>
      </c>
      <c r="Y12" t="s">
        <v>160</v>
      </c>
      <c r="Z12">
        <f ca="1">COUNT(U2:V2)</f>
        <v>0</v>
      </c>
      <c r="AA12" t="e">
        <f ca="1">SUMSQ(MMULT(U2:V17,Z17:Z18))</f>
        <v>#NAME?</v>
      </c>
      <c r="AB12" t="e">
        <f ca="1">AA12/Z12</f>
        <v>#NAME?</v>
      </c>
      <c r="AC12" t="e">
        <f ca="1">AB12/AB13</f>
        <v>#NAME?</v>
      </c>
      <c r="AD12" t="e">
        <f ca="1">_xlfn.F.DIST.RT(AC12,Z12,Z13)</f>
        <v>#NAME?</v>
      </c>
      <c r="AE12" s="137" t="e">
        <f ca="1">IF(AD12&lt;AD10,"yes","no")</f>
        <v>#NAME?</v>
      </c>
      <c r="AH12" t="s">
        <v>160</v>
      </c>
      <c r="AI12">
        <f ca="1">COUNT(U2:V2)</f>
        <v>0</v>
      </c>
      <c r="AJ12" t="e">
        <f ca="1">SUMSQ(MMULT(U2:V17,AI17:AI18))</f>
        <v>#NAME?</v>
      </c>
      <c r="AK12" t="e">
        <f ca="1">AJ12/AI12</f>
        <v>#NAME?</v>
      </c>
      <c r="AL12" t="e">
        <f ca="1">AK12/AK13</f>
        <v>#NAME?</v>
      </c>
      <c r="AM12" t="e">
        <f ca="1">_xlfn.F.DIST.RT(AL12,AI12,AI13)</f>
        <v>#NAME?</v>
      </c>
      <c r="AN12" s="137" t="e">
        <f ca="1">IF(AM12&lt;AM10,"yes","no")</f>
        <v>#NAME?</v>
      </c>
      <c r="AU12" t="s">
        <v>160</v>
      </c>
      <c r="AV12">
        <f>COUNT(AQ2:AR2)</f>
        <v>0</v>
      </c>
      <c r="AW12" t="e">
        <f>SUMSQ(MMULT(AQ2:AR9,AV17:AV18))</f>
        <v>#VALUE!</v>
      </c>
      <c r="AX12" t="e">
        <f>AW12/AV12</f>
        <v>#VALUE!</v>
      </c>
      <c r="AY12" t="e">
        <f>AX12/AX13</f>
        <v>#VALUE!</v>
      </c>
      <c r="AZ12" t="e">
        <f>_xlfn.F.DIST.RT(AY12,AV12,AV13)</f>
        <v>#VALUE!</v>
      </c>
      <c r="BA12" s="137" t="e">
        <f>IF(AZ12&lt;AZ10,"yes","no")</f>
        <v>#VALUE!</v>
      </c>
    </row>
    <row r="13" spans="1:54" x14ac:dyDescent="0.35">
      <c r="A13">
        <v>6</v>
      </c>
      <c r="B13">
        <v>2012</v>
      </c>
      <c r="C13" s="271">
        <v>10.053470000000001</v>
      </c>
      <c r="D13" s="271">
        <v>10.02397</v>
      </c>
      <c r="E13" s="271">
        <v>3.8739499999999998</v>
      </c>
      <c r="G13" t="s">
        <v>107</v>
      </c>
      <c r="H13">
        <f>H14-H12</f>
        <v>13</v>
      </c>
      <c r="I13" t="e">
        <f ca="1">I14-I12</f>
        <v>#NAME?</v>
      </c>
      <c r="J13" t="e">
        <f ca="1">I13/H13</f>
        <v>#NAME?</v>
      </c>
      <c r="P13" t="str">
        <f t="shared" si="1"/>
        <v/>
      </c>
      <c r="Q13" t="str">
        <f t="shared" si="2"/>
        <v/>
      </c>
      <c r="R13" t="str">
        <f t="shared" si="0"/>
        <v/>
      </c>
      <c r="S13" t="str">
        <f t="shared" si="0"/>
        <v/>
      </c>
      <c r="U13" t="e">
        <f ca="1"/>
        <v>#NAME?</v>
      </c>
      <c r="V13" t="e">
        <f ca="1"/>
        <v>#NAME?</v>
      </c>
      <c r="W13" t="e">
        <f ca="1"/>
        <v>#NAME?</v>
      </c>
      <c r="Y13" t="s">
        <v>107</v>
      </c>
      <c r="Z13">
        <f ca="1">Z14-Z12</f>
        <v>-8</v>
      </c>
      <c r="AA13" t="e">
        <f ca="1">AA14-AA12</f>
        <v>#NAME?</v>
      </c>
      <c r="AB13" t="e">
        <f ca="1">AA13/Z13</f>
        <v>#NAME?</v>
      </c>
      <c r="AH13" t="s">
        <v>107</v>
      </c>
      <c r="AI13">
        <f ca="1">AI14-AI12</f>
        <v>0</v>
      </c>
      <c r="AJ13" t="e">
        <f ca="1">AJ14-AJ12</f>
        <v>#NAME?</v>
      </c>
      <c r="AK13" t="e">
        <f ca="1">AJ13/AI13</f>
        <v>#NAME?</v>
      </c>
      <c r="AU13" t="s">
        <v>107</v>
      </c>
      <c r="AV13">
        <f>AV14-AV12</f>
        <v>0</v>
      </c>
      <c r="AW13" t="e">
        <f>AW14-AW12</f>
        <v>#VALUE!</v>
      </c>
      <c r="AX13" t="e">
        <f>AW13/AV13</f>
        <v>#VALUE!</v>
      </c>
    </row>
    <row r="14" spans="1:54" x14ac:dyDescent="0.35">
      <c r="A14">
        <v>7</v>
      </c>
      <c r="B14">
        <v>2010</v>
      </c>
      <c r="C14" s="271">
        <v>10.74991</v>
      </c>
      <c r="D14" s="271">
        <v>5.1787400000000003</v>
      </c>
      <c r="E14" s="271">
        <v>11.54217</v>
      </c>
      <c r="G14" s="4" t="s">
        <v>161</v>
      </c>
      <c r="H14" s="4">
        <f>H8-1</f>
        <v>15</v>
      </c>
      <c r="I14" s="4">
        <f>DEVSQ(E2:E17)</f>
        <v>99.944646719800005</v>
      </c>
      <c r="J14" s="4"/>
      <c r="K14" s="4"/>
      <c r="L14" s="4"/>
      <c r="M14" s="4"/>
      <c r="P14">
        <f t="shared" si="1"/>
        <v>7</v>
      </c>
      <c r="Q14">
        <f t="shared" si="2"/>
        <v>11.046695</v>
      </c>
      <c r="R14">
        <f t="shared" si="0"/>
        <v>5.3003800000000005</v>
      </c>
      <c r="S14">
        <f t="shared" si="0"/>
        <v>11.564309999999999</v>
      </c>
      <c r="U14" t="e">
        <f ca="1"/>
        <v>#NAME?</v>
      </c>
      <c r="V14" t="e">
        <f ca="1"/>
        <v>#NAME?</v>
      </c>
      <c r="W14" t="e">
        <f ca="1"/>
        <v>#NAME?</v>
      </c>
      <c r="Y14" s="4" t="s">
        <v>161</v>
      </c>
      <c r="Z14" s="4">
        <f ca="1">Z8</f>
        <v>-8</v>
      </c>
      <c r="AA14" s="4" t="e">
        <f ca="1">SUMSQ(W2:W17)</f>
        <v>#NAME?</v>
      </c>
      <c r="AB14" s="4"/>
      <c r="AC14" s="4"/>
      <c r="AD14" s="4"/>
      <c r="AE14" s="4"/>
      <c r="AH14" s="4" t="s">
        <v>161</v>
      </c>
      <c r="AI14" s="4">
        <f ca="1">AI8</f>
        <v>0</v>
      </c>
      <c r="AJ14" s="4" t="e">
        <f ca="1">SUMSQ(W2:W17)</f>
        <v>#NAME?</v>
      </c>
      <c r="AK14" s="4"/>
      <c r="AL14" s="4"/>
      <c r="AM14" s="4"/>
      <c r="AN14" s="4"/>
      <c r="AU14" s="4" t="s">
        <v>161</v>
      </c>
      <c r="AV14" s="4">
        <f>AV8</f>
        <v>0</v>
      </c>
      <c r="AW14" s="4">
        <f>SUMSQ(AS2:AS9)</f>
        <v>0</v>
      </c>
      <c r="AX14" s="4"/>
      <c r="AY14" s="4"/>
      <c r="AZ14" s="4"/>
      <c r="BA14" s="4"/>
    </row>
    <row r="15" spans="1:54" ht="15" thickBot="1" x14ac:dyDescent="0.4">
      <c r="A15">
        <v>7</v>
      </c>
      <c r="B15">
        <v>2012</v>
      </c>
      <c r="C15" s="271">
        <v>11.34348</v>
      </c>
      <c r="D15" s="271">
        <v>5.4220199999999998</v>
      </c>
      <c r="E15" s="271">
        <v>11.586449999999999</v>
      </c>
      <c r="P15" t="str">
        <f t="shared" si="1"/>
        <v/>
      </c>
      <c r="Q15" t="str">
        <f t="shared" si="2"/>
        <v/>
      </c>
      <c r="R15" t="str">
        <f t="shared" si="0"/>
        <v/>
      </c>
      <c r="S15" t="str">
        <f t="shared" si="0"/>
        <v/>
      </c>
      <c r="U15" t="e">
        <f ca="1"/>
        <v>#NAME?</v>
      </c>
      <c r="V15" t="e">
        <f ca="1"/>
        <v>#NAME?</v>
      </c>
      <c r="W15" t="e">
        <f ca="1"/>
        <v>#NAME?</v>
      </c>
      <c r="AC15" t="s">
        <v>686</v>
      </c>
      <c r="AD15">
        <v>1</v>
      </c>
      <c r="AE15">
        <f ca="1">SQRT(1+AC8/Z13)</f>
        <v>0</v>
      </c>
    </row>
    <row r="16" spans="1:54" ht="15" thickTop="1" x14ac:dyDescent="0.35">
      <c r="A16">
        <v>8</v>
      </c>
      <c r="B16">
        <v>2010</v>
      </c>
      <c r="C16" s="271">
        <v>8.2970400000000009</v>
      </c>
      <c r="D16" s="271">
        <v>3.8803399999999999</v>
      </c>
      <c r="E16" s="271">
        <v>8.8770299999999995</v>
      </c>
      <c r="G16" s="45"/>
      <c r="H16" s="45" t="s">
        <v>162</v>
      </c>
      <c r="I16" s="45" t="s">
        <v>163</v>
      </c>
      <c r="J16" s="45" t="s">
        <v>164</v>
      </c>
      <c r="K16" s="45" t="s">
        <v>92</v>
      </c>
      <c r="L16" s="45" t="s">
        <v>127</v>
      </c>
      <c r="M16" s="45" t="s">
        <v>128</v>
      </c>
      <c r="N16" s="45" t="s">
        <v>165</v>
      </c>
      <c r="O16" s="265"/>
      <c r="P16">
        <f t="shared" si="1"/>
        <v>8</v>
      </c>
      <c r="Q16">
        <f t="shared" si="2"/>
        <v>8.3139649999999996</v>
      </c>
      <c r="R16">
        <f t="shared" si="0"/>
        <v>3.8444950000000002</v>
      </c>
      <c r="S16">
        <f t="shared" si="0"/>
        <v>8.8946149999999999</v>
      </c>
      <c r="U16" t="e">
        <f ca="1"/>
        <v>#NAME?</v>
      </c>
      <c r="V16" t="e">
        <f ca="1"/>
        <v>#NAME?</v>
      </c>
      <c r="W16" t="e">
        <f ca="1"/>
        <v>#NAME?</v>
      </c>
      <c r="Y16" s="45"/>
      <c r="Z16" s="45" t="s">
        <v>162</v>
      </c>
      <c r="AA16" s="45" t="s">
        <v>163</v>
      </c>
      <c r="AB16" s="45" t="s">
        <v>164</v>
      </c>
      <c r="AC16" s="45" t="s">
        <v>92</v>
      </c>
      <c r="AD16" s="45" t="s">
        <v>127</v>
      </c>
      <c r="AE16" s="45" t="s">
        <v>128</v>
      </c>
      <c r="AF16" s="45" t="s">
        <v>165</v>
      </c>
      <c r="AH16" s="45"/>
      <c r="AI16" s="45" t="s">
        <v>162</v>
      </c>
      <c r="AJ16" s="45" t="s">
        <v>163</v>
      </c>
      <c r="AK16" s="45" t="s">
        <v>164</v>
      </c>
      <c r="AL16" s="45" t="s">
        <v>92</v>
      </c>
      <c r="AM16" s="45" t="s">
        <v>127</v>
      </c>
      <c r="AN16" s="45" t="s">
        <v>128</v>
      </c>
      <c r="AO16" s="45" t="s">
        <v>165</v>
      </c>
      <c r="AU16" s="45"/>
      <c r="AV16" s="45" t="s">
        <v>162</v>
      </c>
      <c r="AW16" s="45" t="s">
        <v>163</v>
      </c>
      <c r="AX16" s="45" t="s">
        <v>164</v>
      </c>
      <c r="AY16" s="45" t="s">
        <v>92</v>
      </c>
      <c r="AZ16" s="45" t="s">
        <v>127</v>
      </c>
      <c r="BA16" s="45" t="s">
        <v>128</v>
      </c>
      <c r="BB16" s="45" t="s">
        <v>165</v>
      </c>
    </row>
    <row r="17" spans="1:54" x14ac:dyDescent="0.35">
      <c r="A17" s="4">
        <v>8</v>
      </c>
      <c r="B17" s="4">
        <v>2012</v>
      </c>
      <c r="C17" s="272">
        <v>8.3308900000000001</v>
      </c>
      <c r="D17" s="272">
        <v>3.8086500000000001</v>
      </c>
      <c r="E17" s="272">
        <v>8.9122000000000003</v>
      </c>
      <c r="G17" t="s">
        <v>166</v>
      </c>
      <c r="H17" t="e">
        <f t="array" aca="1" ref="H17:I19" ca="1">RegCoeff(C2:D17,E2:E17)</f>
        <v>#NAME?</v>
      </c>
      <c r="I17" t="e">
        <f ca="1"/>
        <v>#NAME?</v>
      </c>
      <c r="J17" t="e">
        <f ca="1">H17/I17</f>
        <v>#NAME?</v>
      </c>
      <c r="K17" t="e">
        <f ca="1">_xlfn.T.DIST.2T(ABS(J17),$H$13)</f>
        <v>#NAME?</v>
      </c>
      <c r="L17" t="e">
        <f ca="1">H17-_xlfn.T.INV.2T(L$10,$H$13)*I17</f>
        <v>#NAME?</v>
      </c>
      <c r="M17" t="e">
        <f ca="1">H17+_xlfn.T.INV.2T(L$10,$H$13)*I17</f>
        <v>#NAME?</v>
      </c>
      <c r="P17" t="str">
        <f t="shared" si="1"/>
        <v/>
      </c>
      <c r="Q17" t="str">
        <f t="shared" si="2"/>
        <v/>
      </c>
      <c r="R17" t="str">
        <f t="shared" si="0"/>
        <v/>
      </c>
      <c r="S17" t="str">
        <f t="shared" si="0"/>
        <v/>
      </c>
      <c r="U17" s="4" t="e">
        <f ca="1"/>
        <v>#NAME?</v>
      </c>
      <c r="V17" s="4" t="e">
        <f ca="1"/>
        <v>#NAME?</v>
      </c>
      <c r="W17" s="4" t="e">
        <f ca="1"/>
        <v>#NAME?</v>
      </c>
      <c r="Y17" t="e">
        <f t="array" aca="1" ref="Y17:Y18" ca="1">TRANSPOSE(U1:V1)</f>
        <v>#NAME?</v>
      </c>
      <c r="Z17" t="e">
        <f t="array" aca="1" ref="Z17:AA18" ca="1">RegCoeff(U2:V17,W2:W17,FALSE)*AD15:AE15</f>
        <v>#NAME?</v>
      </c>
      <c r="AA17" t="e">
        <f ca="1"/>
        <v>#NAME?</v>
      </c>
      <c r="AB17" t="e">
        <f ca="1">Z17/AA17</f>
        <v>#NAME?</v>
      </c>
      <c r="AC17" t="e">
        <f ca="1">_xlfn.T.DIST.2T(ABS(AB17),$Z$13)</f>
        <v>#NAME?</v>
      </c>
      <c r="AD17" t="e">
        <f ca="1">Z17-_xlfn.T.INV.2T(AD$10,$Z$13)*AA17</f>
        <v>#NAME?</v>
      </c>
      <c r="AE17" t="e">
        <f ca="1">Z17+_xlfn.T.INV.2T(AD$10,$Z$13)*AA17</f>
        <v>#NAME?</v>
      </c>
      <c r="AF17" t="e" cm="1">
        <f t="array" aca="1" ref="AF17" ca="1">VIF(U2:V17,1)</f>
        <v>#NAME?</v>
      </c>
      <c r="AH17" t="e">
        <f t="array" aca="1" ref="AH17:AH18" ca="1">TRANSPOSE(U1:V1)</f>
        <v>#NAME?</v>
      </c>
      <c r="AI17" t="e">
        <f t="array" aca="1" ref="AI17:AJ18" ca="1">RegCoeff(U2:V17,W2:W17,FALSE)</f>
        <v>#NAME?</v>
      </c>
      <c r="AJ17" t="e">
        <f ca="1"/>
        <v>#NAME?</v>
      </c>
      <c r="AK17" t="e">
        <f ca="1">AI17/AJ17</f>
        <v>#NAME?</v>
      </c>
      <c r="AL17" t="e">
        <f ca="1">_xlfn.T.DIST.2T(ABS(AK17),$AI$13)</f>
        <v>#NAME?</v>
      </c>
      <c r="AM17" t="e">
        <f ca="1">AI17-_xlfn.T.INV.2T(AM$10,$AI$13)*AJ17</f>
        <v>#NAME?</v>
      </c>
      <c r="AN17" t="e">
        <f ca="1">AI17+_xlfn.T.INV.2T(AM$10,$AI$13)*AJ17</f>
        <v>#NAME?</v>
      </c>
      <c r="AO17" t="e" cm="1">
        <f t="array" aca="1" ref="AO17" ca="1">VIF(U2:V17,1)</f>
        <v>#NAME?</v>
      </c>
      <c r="AQ17" s="4"/>
      <c r="AR17" s="4"/>
      <c r="AS17" s="4"/>
      <c r="AU17" t="e">
        <f t="array" ref="AU17:AU18" ca="1">TRANSPOSE(AQ1:AR1)</f>
        <v>#NAME?</v>
      </c>
      <c r="AV17" t="e">
        <f t="array" aca="1" ref="AV17:AW18" ca="1">RegCoeff(AQ2:AR9,AS2:AS9,FALSE)</f>
        <v>#NAME?</v>
      </c>
      <c r="AW17" t="e">
        <f ca="1"/>
        <v>#NAME?</v>
      </c>
      <c r="AX17" t="e">
        <f ca="1">AV17/AW17</f>
        <v>#NAME?</v>
      </c>
      <c r="AY17" t="e">
        <f ca="1">_xlfn.T.DIST.2T(ABS(AX17),$AV$13)</f>
        <v>#NAME?</v>
      </c>
      <c r="AZ17" t="e">
        <f ca="1">AV17-_xlfn.T.INV.2T(AZ$10,$AV$13)*AW17</f>
        <v>#NAME?</v>
      </c>
      <c r="BA17" t="e">
        <f ca="1">AV17+_xlfn.T.INV.2T(AZ$10,$AV$13)*AW17</f>
        <v>#NAME?</v>
      </c>
      <c r="BB17" t="e" cm="1">
        <f t="array" aca="1" ref="BB17" ca="1">VIF(AQ2:AR9,1)</f>
        <v>#NAME?</v>
      </c>
    </row>
    <row r="18" spans="1:54" x14ac:dyDescent="0.35">
      <c r="G18" t="str">
        <f t="array" ref="G18:G19">TRANSPOSE(C1:D1)</f>
        <v>lcapital</v>
      </c>
      <c r="H18" t="e">
        <f ca="1"/>
        <v>#NAME?</v>
      </c>
      <c r="I18" t="e">
        <f ca="1"/>
        <v>#NAME?</v>
      </c>
      <c r="J18" t="e">
        <f t="shared" ref="J18:J19" ca="1" si="3">H18/I18</f>
        <v>#NAME?</v>
      </c>
      <c r="K18" t="e">
        <f t="shared" ref="K18:K19" ca="1" si="4">_xlfn.T.DIST.2T(ABS(J18),$H$13)</f>
        <v>#NAME?</v>
      </c>
      <c r="L18" t="e">
        <f t="shared" ref="L18:L19" ca="1" si="5">H18-_xlfn.T.INV.2T(L$10,$H$13)*I18</f>
        <v>#NAME?</v>
      </c>
      <c r="M18" t="e">
        <f t="shared" ref="M18:M19" ca="1" si="6">H18+_xlfn.T.INV.2T(L$10,$H$13)*I18</f>
        <v>#NAME?</v>
      </c>
      <c r="N18" t="e" cm="1">
        <f t="array" aca="1" ref="N18" ca="1">VIF(C2:D17,1)</f>
        <v>#NAME?</v>
      </c>
      <c r="Y18" s="4" t="e">
        <f ca="1"/>
        <v>#NAME?</v>
      </c>
      <c r="Z18" s="4" t="e">
        <f ca="1"/>
        <v>#NAME?</v>
      </c>
      <c r="AA18" s="4" t="e">
        <f ca="1"/>
        <v>#NAME?</v>
      </c>
      <c r="AB18" s="4" t="e">
        <f ca="1">Z18/AA18</f>
        <v>#NAME?</v>
      </c>
      <c r="AC18" s="4" t="e">
        <f ca="1">_xlfn.T.DIST.2T(ABS(AB18),$Z$13)</f>
        <v>#NAME?</v>
      </c>
      <c r="AD18" s="4" t="e">
        <f ca="1">Z18-_xlfn.T.INV.2T(AD$10,$Z$13)*AA18</f>
        <v>#NAME?</v>
      </c>
      <c r="AE18" s="4" t="e">
        <f ca="1">Z18+_xlfn.T.INV.2T(AD$10,$Z$13)*AA18</f>
        <v>#NAME?</v>
      </c>
      <c r="AF18" s="4" t="e" cm="1">
        <f t="array" aca="1" ref="AF18" ca="1">VIF(U2:V17,2)</f>
        <v>#NAME?</v>
      </c>
      <c r="AH18" s="4" t="e">
        <f ca="1"/>
        <v>#NAME?</v>
      </c>
      <c r="AI18" s="4" t="e">
        <f ca="1"/>
        <v>#NAME?</v>
      </c>
      <c r="AJ18" s="4" t="e">
        <f ca="1"/>
        <v>#NAME?</v>
      </c>
      <c r="AK18" s="4" t="e">
        <f ca="1">AI18/AJ18</f>
        <v>#NAME?</v>
      </c>
      <c r="AL18" s="4" t="e">
        <f ca="1">_xlfn.T.DIST.2T(ABS(AK18),$AI$13)</f>
        <v>#NAME?</v>
      </c>
      <c r="AM18" s="4" t="e">
        <f ca="1">AI18-_xlfn.T.INV.2T(AM$10,$AI$13)*AJ18</f>
        <v>#NAME?</v>
      </c>
      <c r="AN18" s="4" t="e">
        <f ca="1">AI18+_xlfn.T.INV.2T(AM$10,$AI$13)*AJ18</f>
        <v>#NAME?</v>
      </c>
      <c r="AO18" s="4" t="e" cm="1">
        <f t="array" aca="1" ref="AO18" ca="1">VIF(U2:V17,2)</f>
        <v>#NAME?</v>
      </c>
      <c r="AU18" s="4">
        <v>0</v>
      </c>
      <c r="AV18" s="4" t="e">
        <f ca="1"/>
        <v>#NAME?</v>
      </c>
      <c r="AW18" s="4" t="e">
        <f ca="1"/>
        <v>#NAME?</v>
      </c>
      <c r="AX18" s="4" t="e">
        <f ca="1">AV18/AW18</f>
        <v>#NAME?</v>
      </c>
      <c r="AY18" s="4" t="e">
        <f ca="1">_xlfn.T.DIST.2T(ABS(AX18),$AV$13)</f>
        <v>#NAME?</v>
      </c>
      <c r="AZ18" s="4" t="e">
        <f ca="1">AV18-_xlfn.T.INV.2T(AZ$10,$AV$13)*AW18</f>
        <v>#NAME?</v>
      </c>
      <c r="BA18" s="4" t="e">
        <f ca="1">AV18+_xlfn.T.INV.2T(AZ$10,$AV$13)*AW18</f>
        <v>#NAME?</v>
      </c>
      <c r="BB18" s="4" t="e" cm="1">
        <f t="array" aca="1" ref="BB18" ca="1">VIF(AQ2:AR9,2)</f>
        <v>#NAME?</v>
      </c>
    </row>
    <row r="19" spans="1:54" x14ac:dyDescent="0.35">
      <c r="G19" s="4" t="str">
        <v>llabor</v>
      </c>
      <c r="H19" s="4" t="e">
        <f ca="1"/>
        <v>#NAME?</v>
      </c>
      <c r="I19" s="4" t="e">
        <f ca="1"/>
        <v>#NAME?</v>
      </c>
      <c r="J19" s="4" t="e">
        <f t="shared" ca="1" si="3"/>
        <v>#NAME?</v>
      </c>
      <c r="K19" s="4" t="e">
        <f t="shared" ca="1" si="4"/>
        <v>#NAME?</v>
      </c>
      <c r="L19" s="4" t="e">
        <f t="shared" ca="1" si="5"/>
        <v>#NAME?</v>
      </c>
      <c r="M19" s="4" t="e">
        <f t="shared" ca="1" si="6"/>
        <v>#NAME?</v>
      </c>
      <c r="N19" s="4" t="e" cm="1">
        <f t="array" aca="1" ref="N19" ca="1">VIF(C2:D17,2)</f>
        <v>#NAME?</v>
      </c>
      <c r="Q19" s="4" t="e" cm="1">
        <f t="array" aca="1" ref="Q19" ca="1">PANEL_MEANS(C1:E17,2,TRUE)</f>
        <v>#NAME?</v>
      </c>
      <c r="R19" s="4"/>
      <c r="S19" s="4"/>
    </row>
    <row r="27" spans="1:54" x14ac:dyDescent="0.35">
      <c r="Q27" s="4"/>
      <c r="R27" s="4"/>
      <c r="S27" s="4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24437-A2EC-409F-A520-D7804698C4B1}">
  <sheetPr codeName="Sheet37"/>
  <dimension ref="A1:BA25"/>
  <sheetViews>
    <sheetView zoomScale="90" zoomScaleNormal="90" workbookViewId="0">
      <selection activeCell="S1" sqref="S1"/>
    </sheetView>
  </sheetViews>
  <sheetFormatPr defaultRowHeight="14.5" x14ac:dyDescent="0.35"/>
  <cols>
    <col min="1" max="2" width="6.08984375" customWidth="1"/>
    <col min="3" max="5" width="8.7265625" style="271"/>
    <col min="6" max="6" width="4.6328125" hidden="1" customWidth="1"/>
    <col min="7" max="7" width="15.7265625" hidden="1" customWidth="1"/>
    <col min="8" max="14" width="0" hidden="1" customWidth="1"/>
    <col min="15" max="15" width="4.6328125" customWidth="1"/>
    <col min="19" max="19" width="4.6328125" customWidth="1"/>
    <col min="23" max="23" width="4.6328125" customWidth="1"/>
    <col min="24" max="24" width="15.7265625" customWidth="1"/>
  </cols>
  <sheetData>
    <row r="1" spans="1:53" x14ac:dyDescent="0.35">
      <c r="A1" s="2" t="s">
        <v>679</v>
      </c>
      <c r="B1" s="2" t="s">
        <v>540</v>
      </c>
      <c r="C1" s="270" t="s">
        <v>680</v>
      </c>
      <c r="D1" s="270" t="s">
        <v>681</v>
      </c>
      <c r="E1" s="270" t="s">
        <v>682</v>
      </c>
      <c r="G1" t="s">
        <v>141</v>
      </c>
      <c r="P1" s="2" t="s">
        <v>680</v>
      </c>
      <c r="Q1" s="2" t="s">
        <v>681</v>
      </c>
      <c r="R1" s="2" t="s">
        <v>682</v>
      </c>
      <c r="T1" s="2" t="e">
        <f t="array" aca="1" ref="T1:V17" ca="1">PANEL_DIFF(C1:E25,3,TRUE)</f>
        <v>#NAME?</v>
      </c>
      <c r="U1" s="2" t="e">
        <f ca="1"/>
        <v>#NAME?</v>
      </c>
      <c r="V1" s="2" t="e">
        <f ca="1"/>
        <v>#NAME?</v>
      </c>
      <c r="X1" t="s">
        <v>683</v>
      </c>
      <c r="AG1" s="4" t="e">
        <f t="array" aca="1" ref="AG1:AI25" ca="1">PANEL_DEMEAN(C1:E25,3,TRUE)</f>
        <v>#NAME?</v>
      </c>
      <c r="AH1" s="4" t="e">
        <f ca="1"/>
        <v>#NAME?</v>
      </c>
      <c r="AI1" s="4" t="e">
        <f ca="1"/>
        <v>#NAME?</v>
      </c>
      <c r="AK1" t="s">
        <v>684</v>
      </c>
      <c r="AT1" t="s">
        <v>141</v>
      </c>
    </row>
    <row r="2" spans="1:53" x14ac:dyDescent="0.35">
      <c r="A2" s="1">
        <v>1</v>
      </c>
      <c r="B2" s="1">
        <v>2008</v>
      </c>
      <c r="C2" s="273">
        <v>8.9138500000000001</v>
      </c>
      <c r="D2" s="273">
        <v>3.1783199999999998</v>
      </c>
      <c r="E2" s="273">
        <v>9.5985499999999995</v>
      </c>
      <c r="P2">
        <f>IF($B2&lt;&gt;2012,C2-C3,"")</f>
        <v>-1.6650000000000276E-2</v>
      </c>
      <c r="Q2">
        <f t="shared" ref="Q2:R17" si="0">IF($B2&lt;&gt;2012,D2-D3,"")</f>
        <v>-0.30481000000000025</v>
      </c>
      <c r="R2">
        <f t="shared" si="0"/>
        <v>-0.1062100000000008</v>
      </c>
      <c r="T2" t="e">
        <f ca="1"/>
        <v>#NAME?</v>
      </c>
      <c r="U2" t="e">
        <f ca="1"/>
        <v>#NAME?</v>
      </c>
      <c r="V2" t="e">
        <f ca="1"/>
        <v>#NAME?</v>
      </c>
      <c r="AG2" t="e">
        <f ca="1"/>
        <v>#NAME?</v>
      </c>
      <c r="AH2" t="e">
        <f ca="1"/>
        <v>#NAME?</v>
      </c>
      <c r="AI2" t="e">
        <f ca="1"/>
        <v>#NAME?</v>
      </c>
    </row>
    <row r="3" spans="1:53" ht="15" thickBot="1" x14ac:dyDescent="0.4">
      <c r="A3">
        <v>1</v>
      </c>
      <c r="B3">
        <v>2010</v>
      </c>
      <c r="C3" s="271">
        <v>8.9305000000000003</v>
      </c>
      <c r="D3" s="271">
        <v>3.4831300000000001</v>
      </c>
      <c r="E3" s="271">
        <v>9.7047600000000003</v>
      </c>
      <c r="G3" s="44" t="s">
        <v>142</v>
      </c>
      <c r="H3" s="44"/>
      <c r="J3" s="44"/>
      <c r="K3" s="44"/>
      <c r="P3">
        <f t="shared" ref="P3:R25" si="1">IF($B3&lt;&gt;2012,C3-C4,"")</f>
        <v>-8.4600000000000009E-2</v>
      </c>
      <c r="Q3">
        <f t="shared" si="0"/>
        <v>-0.35193999999999992</v>
      </c>
      <c r="R3">
        <f t="shared" si="0"/>
        <v>-0.13838999999999935</v>
      </c>
      <c r="T3" t="e">
        <f ca="1"/>
        <v>#NAME?</v>
      </c>
      <c r="U3" t="e">
        <f ca="1"/>
        <v>#NAME?</v>
      </c>
      <c r="V3" t="e">
        <f ca="1"/>
        <v>#NAME?</v>
      </c>
      <c r="X3" s="44" t="s">
        <v>142</v>
      </c>
      <c r="Y3" s="44"/>
      <c r="AA3" s="44"/>
      <c r="AB3" s="44"/>
      <c r="AG3" t="e">
        <f ca="1"/>
        <v>#NAME?</v>
      </c>
      <c r="AH3" t="e">
        <f ca="1"/>
        <v>#NAME?</v>
      </c>
      <c r="AI3" t="e">
        <f ca="1"/>
        <v>#NAME?</v>
      </c>
      <c r="AK3" s="44" t="s">
        <v>142</v>
      </c>
      <c r="AL3" s="44"/>
      <c r="AN3" s="44"/>
      <c r="AO3" s="44"/>
      <c r="AT3" s="44" t="s">
        <v>142</v>
      </c>
      <c r="AU3" s="44"/>
      <c r="AW3" s="44"/>
      <c r="AX3" s="44"/>
    </row>
    <row r="4" spans="1:53" ht="15" thickTop="1" x14ac:dyDescent="0.35">
      <c r="A4">
        <v>1</v>
      </c>
      <c r="B4">
        <v>2012</v>
      </c>
      <c r="C4" s="271">
        <v>9.0151000000000003</v>
      </c>
      <c r="D4" s="271">
        <v>3.83507</v>
      </c>
      <c r="E4" s="271">
        <v>9.8431499999999996</v>
      </c>
      <c r="G4" t="s">
        <v>144</v>
      </c>
      <c r="H4" t="e">
        <f ca="1">SQRT(H5)</f>
        <v>#NAME?</v>
      </c>
      <c r="J4" t="s">
        <v>145</v>
      </c>
      <c r="K4" t="e">
        <f ca="1">H8*LN(I13/H8)+2*(H12+1)</f>
        <v>#NAME?</v>
      </c>
      <c r="P4" t="str">
        <f t="shared" si="1"/>
        <v/>
      </c>
      <c r="Q4" t="str">
        <f t="shared" si="0"/>
        <v/>
      </c>
      <c r="R4" t="str">
        <f t="shared" si="0"/>
        <v/>
      </c>
      <c r="T4" t="e">
        <f ca="1"/>
        <v>#NAME?</v>
      </c>
      <c r="U4" t="e">
        <f ca="1"/>
        <v>#NAME?</v>
      </c>
      <c r="V4" t="e">
        <f ca="1"/>
        <v>#NAME?</v>
      </c>
      <c r="X4" t="s">
        <v>144</v>
      </c>
      <c r="Y4" t="e">
        <f ca="1">SQRT(Y5)</f>
        <v>#NAME?</v>
      </c>
      <c r="AA4" t="s">
        <v>145</v>
      </c>
      <c r="AB4" t="e">
        <f ca="1">Y8*LN(Z13/Y8)+2*Y12</f>
        <v>#NAME?</v>
      </c>
      <c r="AG4" t="e">
        <f ca="1"/>
        <v>#NAME?</v>
      </c>
      <c r="AH4" t="e">
        <f ca="1"/>
        <v>#NAME?</v>
      </c>
      <c r="AI4" t="e">
        <f ca="1"/>
        <v>#NAME?</v>
      </c>
      <c r="AK4" t="s">
        <v>144</v>
      </c>
      <c r="AL4" t="e">
        <f ca="1">SQRT(AL5)</f>
        <v>#NAME?</v>
      </c>
      <c r="AN4" t="s">
        <v>145</v>
      </c>
      <c r="AO4" t="e">
        <f ca="1">AL8*LN(AM13/AL8)+2*AL12</f>
        <v>#NAME?</v>
      </c>
      <c r="AT4" t="s">
        <v>144</v>
      </c>
      <c r="AU4" t="e">
        <f ca="1">SQRT(AU5)</f>
        <v>#NAME?</v>
      </c>
      <c r="AW4" t="s">
        <v>145</v>
      </c>
      <c r="AX4" t="e">
        <f ca="1">AU8*LN(AV13/AU8)+2*AU12</f>
        <v>#NAME?</v>
      </c>
    </row>
    <row r="5" spans="1:53" x14ac:dyDescent="0.35">
      <c r="A5">
        <v>2</v>
      </c>
      <c r="B5">
        <v>2008</v>
      </c>
      <c r="C5" s="271">
        <v>7.7774000000000001</v>
      </c>
      <c r="D5" s="271">
        <v>4.2269300000000003</v>
      </c>
      <c r="E5" s="271">
        <v>8.1265400000000003</v>
      </c>
      <c r="G5" t="s">
        <v>148</v>
      </c>
      <c r="H5" t="e">
        <f ca="1">I12/I14</f>
        <v>#NAME?</v>
      </c>
      <c r="J5" t="s">
        <v>149</v>
      </c>
      <c r="K5" t="e">
        <f ca="1">K4+2*(H12+2)*(H12+3)/(H8-H12-3)</f>
        <v>#NAME?</v>
      </c>
      <c r="P5">
        <f t="shared" si="1"/>
        <v>0.52031000000000027</v>
      </c>
      <c r="Q5">
        <f t="shared" si="0"/>
        <v>-0.21063999999999972</v>
      </c>
      <c r="R5">
        <f t="shared" si="0"/>
        <v>-0.42121999999999993</v>
      </c>
      <c r="T5" t="e">
        <f ca="1"/>
        <v>#NAME?</v>
      </c>
      <c r="U5" t="e">
        <f ca="1"/>
        <v>#NAME?</v>
      </c>
      <c r="V5" t="e">
        <f ca="1"/>
        <v>#NAME?</v>
      </c>
      <c r="X5" t="s">
        <v>148</v>
      </c>
      <c r="Y5" t="e">
        <f ca="1">Z12/Z14</f>
        <v>#NAME?</v>
      </c>
      <c r="AA5" t="s">
        <v>149</v>
      </c>
      <c r="AB5" t="e">
        <f ca="1">AB4+2*(Y12+1)*(Y12+2)/(Y8-Y12-2)</f>
        <v>#NAME?</v>
      </c>
      <c r="AG5" t="e">
        <f ca="1"/>
        <v>#NAME?</v>
      </c>
      <c r="AH5" t="e">
        <f ca="1"/>
        <v>#NAME?</v>
      </c>
      <c r="AI5" t="e">
        <f ca="1"/>
        <v>#NAME?</v>
      </c>
      <c r="AK5" t="s">
        <v>148</v>
      </c>
      <c r="AL5" t="e">
        <f ca="1">AM12/AM14</f>
        <v>#NAME?</v>
      </c>
      <c r="AN5" t="s">
        <v>149</v>
      </c>
      <c r="AO5" t="e">
        <f ca="1">AO4+2*(AL12+1)*(AL12+2)/(AL8-AL12-2)</f>
        <v>#NAME?</v>
      </c>
      <c r="AT5" t="s">
        <v>148</v>
      </c>
      <c r="AU5" t="e">
        <f ca="1">AV12/AV14</f>
        <v>#NAME?</v>
      </c>
      <c r="AW5" t="s">
        <v>149</v>
      </c>
      <c r="AX5" t="e">
        <f ca="1">AX4+2*(AU12+1)*(AU12+2)/(AU8-AU12-2)</f>
        <v>#NAME?</v>
      </c>
    </row>
    <row r="6" spans="1:53" x14ac:dyDescent="0.35">
      <c r="A6">
        <v>2</v>
      </c>
      <c r="B6">
        <v>2010</v>
      </c>
      <c r="C6" s="271">
        <v>7.2570899999999998</v>
      </c>
      <c r="D6" s="271">
        <v>4.43757</v>
      </c>
      <c r="E6" s="271">
        <v>8.5477600000000002</v>
      </c>
      <c r="G6" t="s">
        <v>150</v>
      </c>
      <c r="H6" t="e">
        <f ca="1">1-(1-H5)*(H8-1)/(H8-H12-1)</f>
        <v>#NAME?</v>
      </c>
      <c r="J6" s="4" t="s">
        <v>151</v>
      </c>
      <c r="K6" s="4" t="e">
        <f ca="1">H8*LN(I13/H8)+(H12+1)*LN(H8)</f>
        <v>#NAME?</v>
      </c>
      <c r="P6">
        <f t="shared" si="1"/>
        <v>-2.0546699999999998</v>
      </c>
      <c r="Q6">
        <f t="shared" si="0"/>
        <v>4.4010000000000105E-2</v>
      </c>
      <c r="R6">
        <f t="shared" si="0"/>
        <v>0.75017000000000067</v>
      </c>
      <c r="T6" t="e">
        <f ca="1"/>
        <v>#NAME?</v>
      </c>
      <c r="U6" t="e">
        <f ca="1"/>
        <v>#NAME?</v>
      </c>
      <c r="V6" t="e">
        <f ca="1"/>
        <v>#NAME?</v>
      </c>
      <c r="X6" t="s">
        <v>150</v>
      </c>
      <c r="Y6" t="e">
        <f ca="1">1-(1-Y5)*Y8/(Y8-Y12)</f>
        <v>#NAME?</v>
      </c>
      <c r="AA6" s="4" t="s">
        <v>411</v>
      </c>
      <c r="AB6" s="4" t="e">
        <f ca="1">Y8*LN(Z13/Y8)+Y12*LN(Y8)</f>
        <v>#NAME?</v>
      </c>
      <c r="AG6" t="e">
        <f ca="1"/>
        <v>#NAME?</v>
      </c>
      <c r="AH6" t="e">
        <f ca="1"/>
        <v>#NAME?</v>
      </c>
      <c r="AI6" t="e">
        <f ca="1"/>
        <v>#NAME?</v>
      </c>
      <c r="AK6" t="s">
        <v>150</v>
      </c>
      <c r="AL6" t="e">
        <f ca="1">1-(1-AL5)*AL8/(AL8-AL12)</f>
        <v>#NAME?</v>
      </c>
      <c r="AN6" s="4" t="s">
        <v>411</v>
      </c>
      <c r="AO6" s="4" t="e">
        <f ca="1">AL8*LN(AM13/AL8)+AL12*LN(AL8)</f>
        <v>#NAME?</v>
      </c>
      <c r="AT6" t="s">
        <v>150</v>
      </c>
      <c r="AU6" t="e">
        <f ca="1">1-(1-AU5)*AU8/(AU8-AU12)</f>
        <v>#NAME?</v>
      </c>
      <c r="AW6" s="4" t="s">
        <v>411</v>
      </c>
      <c r="AX6" s="4" t="e">
        <f ca="1">AU8*LN(AV13/AU8)+AU12*LN(AU8)</f>
        <v>#NAME?</v>
      </c>
    </row>
    <row r="7" spans="1:53" x14ac:dyDescent="0.35">
      <c r="A7">
        <v>2</v>
      </c>
      <c r="B7">
        <v>2012</v>
      </c>
      <c r="C7" s="271">
        <v>9.3117599999999996</v>
      </c>
      <c r="D7" s="271">
        <v>4.3935599999999999</v>
      </c>
      <c r="E7" s="271">
        <v>7.7975899999999996</v>
      </c>
      <c r="G7" t="s">
        <v>146</v>
      </c>
      <c r="H7" t="e">
        <f ca="1">SQRT(J13)</f>
        <v>#NAME?</v>
      </c>
      <c r="P7" t="str">
        <f t="shared" si="1"/>
        <v/>
      </c>
      <c r="Q7" t="str">
        <f t="shared" si="0"/>
        <v/>
      </c>
      <c r="R7" t="str">
        <f t="shared" si="0"/>
        <v/>
      </c>
      <c r="T7" t="e">
        <f ca="1"/>
        <v>#NAME?</v>
      </c>
      <c r="U7" t="e">
        <f ca="1"/>
        <v>#NAME?</v>
      </c>
      <c r="V7" t="e">
        <f ca="1"/>
        <v>#NAME?</v>
      </c>
      <c r="X7" t="s">
        <v>146</v>
      </c>
      <c r="Y7" t="e">
        <f ca="1">SQRT(AA13)</f>
        <v>#NAME?</v>
      </c>
      <c r="AG7" t="e">
        <f ca="1"/>
        <v>#NAME?</v>
      </c>
      <c r="AH7" t="e">
        <f ca="1"/>
        <v>#NAME?</v>
      </c>
      <c r="AI7" t="e">
        <f ca="1"/>
        <v>#NAME?</v>
      </c>
      <c r="AK7" t="s">
        <v>146</v>
      </c>
      <c r="AL7" t="e">
        <f ca="1">SQRT(AN13)</f>
        <v>#NAME?</v>
      </c>
      <c r="AT7" t="s">
        <v>146</v>
      </c>
      <c r="AU7" t="e">
        <f ca="1">SQRT(AW13)</f>
        <v>#NAME?</v>
      </c>
    </row>
    <row r="8" spans="1:53" x14ac:dyDescent="0.35">
      <c r="A8">
        <v>3</v>
      </c>
      <c r="B8">
        <v>2008</v>
      </c>
      <c r="C8" s="271">
        <v>5.54861</v>
      </c>
      <c r="D8" s="271">
        <v>4.8532000000000002</v>
      </c>
      <c r="E8" s="271">
        <v>7.3699300000000001</v>
      </c>
      <c r="G8" s="4" t="s">
        <v>153</v>
      </c>
      <c r="H8" s="4">
        <f>COUNT(E2:E25)</f>
        <v>24</v>
      </c>
      <c r="P8">
        <f t="shared" si="1"/>
        <v>-0.97335999999999956</v>
      </c>
      <c r="Q8">
        <f t="shared" si="0"/>
        <v>0.68955000000000055</v>
      </c>
      <c r="R8">
        <f t="shared" si="0"/>
        <v>-9.234999999999971E-2</v>
      </c>
      <c r="T8" t="e">
        <f ca="1"/>
        <v>#NAME?</v>
      </c>
      <c r="U8" t="e">
        <f ca="1"/>
        <v>#NAME?</v>
      </c>
      <c r="V8" t="e">
        <f ca="1"/>
        <v>#NAME?</v>
      </c>
      <c r="X8" s="4" t="s">
        <v>153</v>
      </c>
      <c r="Y8" s="4">
        <f ca="1">COUNT(V2:V17)</f>
        <v>0</v>
      </c>
      <c r="AG8" t="e">
        <f ca="1"/>
        <v>#NAME?</v>
      </c>
      <c r="AH8" t="e">
        <f ca="1"/>
        <v>#NAME?</v>
      </c>
      <c r="AI8" t="e">
        <f ca="1"/>
        <v>#NAME?</v>
      </c>
      <c r="AK8" s="4" t="s">
        <v>153</v>
      </c>
      <c r="AL8" s="4">
        <f ca="1">COUNT(AI2:AI25)-AO8</f>
        <v>-8</v>
      </c>
      <c r="AN8" s="15" t="s">
        <v>685</v>
      </c>
      <c r="AO8" s="15">
        <v>8</v>
      </c>
      <c r="AT8" s="4" t="s">
        <v>153</v>
      </c>
      <c r="AU8" s="4">
        <f ca="1">COUNT(AI2:AI25)</f>
        <v>0</v>
      </c>
    </row>
    <row r="9" spans="1:53" x14ac:dyDescent="0.35">
      <c r="A9">
        <v>3</v>
      </c>
      <c r="B9">
        <v>2010</v>
      </c>
      <c r="C9" s="271">
        <v>6.5219699999999996</v>
      </c>
      <c r="D9" s="271">
        <v>4.1636499999999996</v>
      </c>
      <c r="E9" s="271">
        <v>7.4622799999999998</v>
      </c>
      <c r="P9">
        <f t="shared" si="1"/>
        <v>-1.2929300000000001</v>
      </c>
      <c r="Q9">
        <f t="shared" si="0"/>
        <v>0.20338999999999974</v>
      </c>
      <c r="R9">
        <f t="shared" si="0"/>
        <v>3.54999999999972E-3</v>
      </c>
      <c r="T9" t="e">
        <f ca="1"/>
        <v>#NAME?</v>
      </c>
      <c r="U9" t="e">
        <f ca="1"/>
        <v>#NAME?</v>
      </c>
      <c r="V9" t="e">
        <f ca="1"/>
        <v>#NAME?</v>
      </c>
      <c r="AG9" t="e">
        <f ca="1"/>
        <v>#NAME?</v>
      </c>
      <c r="AH9" t="e">
        <f ca="1"/>
        <v>#NAME?</v>
      </c>
      <c r="AI9" t="e">
        <f ca="1"/>
        <v>#NAME?</v>
      </c>
    </row>
    <row r="10" spans="1:53" ht="15" thickBot="1" x14ac:dyDescent="0.4">
      <c r="A10">
        <v>3</v>
      </c>
      <c r="B10">
        <v>2012</v>
      </c>
      <c r="C10" s="271">
        <v>7.8148999999999997</v>
      </c>
      <c r="D10" s="271">
        <v>3.9602599999999999</v>
      </c>
      <c r="E10" s="271">
        <v>7.4587300000000001</v>
      </c>
      <c r="G10" t="s">
        <v>155</v>
      </c>
      <c r="K10" s="137" t="s">
        <v>156</v>
      </c>
      <c r="L10" s="137">
        <v>0.05</v>
      </c>
      <c r="P10" t="str">
        <f t="shared" si="1"/>
        <v/>
      </c>
      <c r="Q10" t="str">
        <f t="shared" si="0"/>
        <v/>
      </c>
      <c r="R10" t="str">
        <f t="shared" si="0"/>
        <v/>
      </c>
      <c r="T10" t="e">
        <f ca="1"/>
        <v>#NAME?</v>
      </c>
      <c r="U10" t="e">
        <f ca="1"/>
        <v>#NAME?</v>
      </c>
      <c r="V10" t="e">
        <f ca="1"/>
        <v>#NAME?</v>
      </c>
      <c r="X10" t="s">
        <v>155</v>
      </c>
      <c r="AB10" s="137" t="s">
        <v>156</v>
      </c>
      <c r="AC10" s="137">
        <v>0.05</v>
      </c>
      <c r="AG10" t="e">
        <f ca="1"/>
        <v>#NAME?</v>
      </c>
      <c r="AH10" t="e">
        <f ca="1"/>
        <v>#NAME?</v>
      </c>
      <c r="AI10" t="e">
        <f ca="1"/>
        <v>#NAME?</v>
      </c>
      <c r="AK10" t="s">
        <v>155</v>
      </c>
      <c r="AO10" s="137" t="s">
        <v>156</v>
      </c>
      <c r="AP10" s="137">
        <v>0.05</v>
      </c>
      <c r="AT10" t="s">
        <v>155</v>
      </c>
      <c r="AX10" s="137" t="s">
        <v>156</v>
      </c>
      <c r="AY10" s="137">
        <v>0.05</v>
      </c>
    </row>
    <row r="11" spans="1:53" ht="15" thickTop="1" x14ac:dyDescent="0.35">
      <c r="A11">
        <v>4</v>
      </c>
      <c r="B11">
        <v>2008</v>
      </c>
      <c r="C11" s="271">
        <v>9.3600399999999997</v>
      </c>
      <c r="D11" s="271">
        <v>4.67028</v>
      </c>
      <c r="E11" s="271">
        <v>8.25901</v>
      </c>
      <c r="G11" s="45"/>
      <c r="H11" s="45" t="s">
        <v>88</v>
      </c>
      <c r="I11" s="45" t="s">
        <v>157</v>
      </c>
      <c r="J11" s="45" t="s">
        <v>158</v>
      </c>
      <c r="K11" s="45" t="s">
        <v>159</v>
      </c>
      <c r="L11" s="45" t="s">
        <v>92</v>
      </c>
      <c r="M11" s="45" t="s">
        <v>84</v>
      </c>
      <c r="P11">
        <f t="shared" si="1"/>
        <v>9.2039999999999011E-2</v>
      </c>
      <c r="Q11">
        <f t="shared" si="0"/>
        <v>8.7620000000000253E-2</v>
      </c>
      <c r="R11">
        <f t="shared" si="0"/>
        <v>-0.53401000000000032</v>
      </c>
      <c r="T11" t="e">
        <f ca="1"/>
        <v>#NAME?</v>
      </c>
      <c r="U11" t="e">
        <f ca="1"/>
        <v>#NAME?</v>
      </c>
      <c r="V11" t="e">
        <f ca="1"/>
        <v>#NAME?</v>
      </c>
      <c r="X11" s="45"/>
      <c r="Y11" s="45" t="s">
        <v>88</v>
      </c>
      <c r="Z11" s="45" t="s">
        <v>157</v>
      </c>
      <c r="AA11" s="45" t="s">
        <v>158</v>
      </c>
      <c r="AB11" s="45" t="s">
        <v>159</v>
      </c>
      <c r="AC11" s="45" t="s">
        <v>92</v>
      </c>
      <c r="AD11" s="45" t="s">
        <v>84</v>
      </c>
      <c r="AG11" t="e">
        <f ca="1"/>
        <v>#NAME?</v>
      </c>
      <c r="AH11" t="e">
        <f ca="1"/>
        <v>#NAME?</v>
      </c>
      <c r="AI11" t="e">
        <f ca="1"/>
        <v>#NAME?</v>
      </c>
      <c r="AK11" s="45"/>
      <c r="AL11" s="45" t="s">
        <v>88</v>
      </c>
      <c r="AM11" s="45" t="s">
        <v>157</v>
      </c>
      <c r="AN11" s="45" t="s">
        <v>158</v>
      </c>
      <c r="AO11" s="45" t="s">
        <v>159</v>
      </c>
      <c r="AP11" s="45" t="s">
        <v>92</v>
      </c>
      <c r="AQ11" s="45" t="s">
        <v>84</v>
      </c>
      <c r="AT11" s="45"/>
      <c r="AU11" s="45" t="s">
        <v>88</v>
      </c>
      <c r="AV11" s="45" t="s">
        <v>157</v>
      </c>
      <c r="AW11" s="45" t="s">
        <v>158</v>
      </c>
      <c r="AX11" s="45" t="s">
        <v>159</v>
      </c>
      <c r="AY11" s="45" t="s">
        <v>92</v>
      </c>
      <c r="AZ11" s="45" t="s">
        <v>84</v>
      </c>
    </row>
    <row r="12" spans="1:53" x14ac:dyDescent="0.35">
      <c r="A12">
        <v>4</v>
      </c>
      <c r="B12">
        <v>2010</v>
      </c>
      <c r="C12" s="271">
        <v>9.2680000000000007</v>
      </c>
      <c r="D12" s="271">
        <v>4.5826599999999997</v>
      </c>
      <c r="E12" s="271">
        <v>8.7930200000000003</v>
      </c>
      <c r="G12" t="s">
        <v>160</v>
      </c>
      <c r="H12">
        <f>COUNT(C2:D2)</f>
        <v>2</v>
      </c>
      <c r="I12" t="e">
        <f ca="1">DEVSQ(MMULT(DEsign(C2:D25),H17:H19))</f>
        <v>#NAME?</v>
      </c>
      <c r="J12" t="e">
        <f ca="1">I12/H12</f>
        <v>#NAME?</v>
      </c>
      <c r="K12" t="e">
        <f ca="1">J12/J13</f>
        <v>#NAME?</v>
      </c>
      <c r="L12" t="e">
        <f ca="1">_xlfn.F.DIST.RT(K12,H12,H13)</f>
        <v>#NAME?</v>
      </c>
      <c r="M12" s="137" t="e">
        <f ca="1">IF(L12&lt;L10,"yes","no")</f>
        <v>#NAME?</v>
      </c>
      <c r="P12">
        <f t="shared" si="1"/>
        <v>0.92856000000000094</v>
      </c>
      <c r="Q12">
        <f t="shared" si="0"/>
        <v>0.26000999999999941</v>
      </c>
      <c r="R12">
        <f t="shared" si="0"/>
        <v>-0.24000999999999983</v>
      </c>
      <c r="T12" t="e">
        <f ca="1"/>
        <v>#NAME?</v>
      </c>
      <c r="U12" t="e">
        <f ca="1"/>
        <v>#NAME?</v>
      </c>
      <c r="V12" t="e">
        <f ca="1"/>
        <v>#NAME?</v>
      </c>
      <c r="X12" t="s">
        <v>160</v>
      </c>
      <c r="Y12">
        <f ca="1">COUNT(T2:U2)</f>
        <v>0</v>
      </c>
      <c r="Z12" t="e">
        <f ca="1">SUMSQ(MMULT(T2:U17,Y17:Y18))</f>
        <v>#NAME?</v>
      </c>
      <c r="AA12" t="e">
        <f ca="1">Z12/Y12</f>
        <v>#NAME?</v>
      </c>
      <c r="AB12" t="e">
        <f ca="1">AA12/AA13</f>
        <v>#NAME?</v>
      </c>
      <c r="AC12" t="e">
        <f ca="1">_xlfn.F.DIST.RT(AB12,Y12,Y13)</f>
        <v>#NAME?</v>
      </c>
      <c r="AD12" s="137" t="e">
        <f ca="1">IF(AC12&lt;AC10,"yes","no")</f>
        <v>#NAME?</v>
      </c>
      <c r="AG12" t="e">
        <f ca="1"/>
        <v>#NAME?</v>
      </c>
      <c r="AH12" t="e">
        <f ca="1"/>
        <v>#NAME?</v>
      </c>
      <c r="AI12" t="e">
        <f ca="1"/>
        <v>#NAME?</v>
      </c>
      <c r="AK12" t="s">
        <v>160</v>
      </c>
      <c r="AL12">
        <f ca="1">COUNT(AG2:AH2)</f>
        <v>0</v>
      </c>
      <c r="AM12" t="e">
        <f ca="1">SUMSQ(MMULT(AG2:AH25,AL17:AL18))</f>
        <v>#NAME?</v>
      </c>
      <c r="AN12" t="e">
        <f ca="1">AM12/AL12</f>
        <v>#NAME?</v>
      </c>
      <c r="AO12" t="e">
        <f ca="1">AN12/AN13</f>
        <v>#NAME?</v>
      </c>
      <c r="AP12" t="e">
        <f ca="1">_xlfn.F.DIST.RT(AO12,AL12,AL13)</f>
        <v>#NAME?</v>
      </c>
      <c r="AQ12" s="137" t="e">
        <f ca="1">IF(AP12&lt;AP10,"yes","no")</f>
        <v>#NAME?</v>
      </c>
      <c r="AT12" t="s">
        <v>160</v>
      </c>
      <c r="AU12">
        <f ca="1">COUNT(AG2:AH2)</f>
        <v>0</v>
      </c>
      <c r="AV12" t="e">
        <f ca="1">SUMSQ(MMULT(AG2:AH25,AU17:AU18))</f>
        <v>#NAME?</v>
      </c>
      <c r="AW12" t="e">
        <f ca="1">AV12/AU12</f>
        <v>#NAME?</v>
      </c>
      <c r="AX12" t="e">
        <f ca="1">AW12/AW13</f>
        <v>#NAME?</v>
      </c>
      <c r="AY12" t="e">
        <f ca="1">_xlfn.F.DIST.RT(AX12,AU12,AU13)</f>
        <v>#NAME?</v>
      </c>
      <c r="AZ12" s="137" t="e">
        <f ca="1">IF(AY12&lt;AY10,"yes","no")</f>
        <v>#NAME?</v>
      </c>
    </row>
    <row r="13" spans="1:53" x14ac:dyDescent="0.35">
      <c r="A13">
        <v>4</v>
      </c>
      <c r="B13">
        <v>2012</v>
      </c>
      <c r="C13" s="271">
        <v>8.3394399999999997</v>
      </c>
      <c r="D13" s="271">
        <v>4.3226500000000003</v>
      </c>
      <c r="E13" s="271">
        <v>9.0330300000000001</v>
      </c>
      <c r="G13" t="s">
        <v>107</v>
      </c>
      <c r="H13">
        <f>H14-H12</f>
        <v>21</v>
      </c>
      <c r="I13" t="e">
        <f ca="1">I14-I12</f>
        <v>#NAME?</v>
      </c>
      <c r="J13" t="e">
        <f ca="1">I13/H13</f>
        <v>#NAME?</v>
      </c>
      <c r="P13" t="str">
        <f t="shared" si="1"/>
        <v/>
      </c>
      <c r="Q13" t="str">
        <f t="shared" si="0"/>
        <v/>
      </c>
      <c r="R13" t="str">
        <f t="shared" si="0"/>
        <v/>
      </c>
      <c r="T13" t="e">
        <f ca="1"/>
        <v>#NAME?</v>
      </c>
      <c r="U13" t="e">
        <f ca="1"/>
        <v>#NAME?</v>
      </c>
      <c r="V13" t="e">
        <f ca="1"/>
        <v>#NAME?</v>
      </c>
      <c r="X13" t="s">
        <v>107</v>
      </c>
      <c r="Y13">
        <f ca="1">Y14-Y12</f>
        <v>0</v>
      </c>
      <c r="Z13" t="e">
        <f ca="1">Z14-Z12</f>
        <v>#NAME?</v>
      </c>
      <c r="AA13" t="e">
        <f ca="1">Z13/Y13</f>
        <v>#NAME?</v>
      </c>
      <c r="AG13" t="e">
        <f ca="1"/>
        <v>#NAME?</v>
      </c>
      <c r="AH13" t="e">
        <f ca="1"/>
        <v>#NAME?</v>
      </c>
      <c r="AI13" t="e">
        <f ca="1"/>
        <v>#NAME?</v>
      </c>
      <c r="AK13" t="s">
        <v>107</v>
      </c>
      <c r="AL13">
        <f ca="1">AL14-AL12</f>
        <v>-8</v>
      </c>
      <c r="AM13" t="e">
        <f ca="1">AM14-AM12</f>
        <v>#NAME?</v>
      </c>
      <c r="AN13" t="e">
        <f ca="1">AM13/AL13</f>
        <v>#NAME?</v>
      </c>
      <c r="AT13" t="s">
        <v>107</v>
      </c>
      <c r="AU13">
        <f ca="1">AU14-AU12</f>
        <v>0</v>
      </c>
      <c r="AV13" t="e">
        <f ca="1">AV14-AV12</f>
        <v>#NAME?</v>
      </c>
      <c r="AW13" t="e">
        <f ca="1">AV13/AU13</f>
        <v>#NAME?</v>
      </c>
    </row>
    <row r="14" spans="1:53" x14ac:dyDescent="0.35">
      <c r="A14">
        <v>5</v>
      </c>
      <c r="B14">
        <v>2008</v>
      </c>
      <c r="C14" s="271">
        <v>7.7452199999999998</v>
      </c>
      <c r="D14" s="271">
        <v>5.2744900000000001</v>
      </c>
      <c r="E14" s="271">
        <v>4.0256800000000004</v>
      </c>
      <c r="G14" s="4" t="s">
        <v>161</v>
      </c>
      <c r="H14" s="4">
        <f>H8-1</f>
        <v>23</v>
      </c>
      <c r="I14" s="4">
        <f>DEVSQ(E2:E25)</f>
        <v>144.77194581861596</v>
      </c>
      <c r="J14" s="4"/>
      <c r="K14" s="4"/>
      <c r="L14" s="4"/>
      <c r="M14" s="4"/>
      <c r="P14">
        <f t="shared" si="1"/>
        <v>-0.28794000000000075</v>
      </c>
      <c r="Q14">
        <f t="shared" si="0"/>
        <v>-2.581999999999951E-2</v>
      </c>
      <c r="R14">
        <f t="shared" si="0"/>
        <v>3.807000000000027E-2</v>
      </c>
      <c r="T14" t="e">
        <f ca="1"/>
        <v>#NAME?</v>
      </c>
      <c r="U14" t="e">
        <f ca="1"/>
        <v>#NAME?</v>
      </c>
      <c r="V14" t="e">
        <f ca="1"/>
        <v>#NAME?</v>
      </c>
      <c r="X14" s="4" t="s">
        <v>161</v>
      </c>
      <c r="Y14" s="4">
        <f ca="1">Y8</f>
        <v>0</v>
      </c>
      <c r="Z14" s="4" t="e">
        <f ca="1">SUMSQ(V2:V17)</f>
        <v>#NAME?</v>
      </c>
      <c r="AA14" s="4"/>
      <c r="AB14" s="4"/>
      <c r="AC14" s="4"/>
      <c r="AD14" s="4"/>
      <c r="AG14" t="e">
        <f ca="1"/>
        <v>#NAME?</v>
      </c>
      <c r="AH14" t="e">
        <f ca="1"/>
        <v>#NAME?</v>
      </c>
      <c r="AI14" t="e">
        <f ca="1"/>
        <v>#NAME?</v>
      </c>
      <c r="AK14" s="4" t="s">
        <v>161</v>
      </c>
      <c r="AL14" s="4">
        <f ca="1">AL8</f>
        <v>-8</v>
      </c>
      <c r="AM14" s="4" t="e">
        <f ca="1">SUMSQ(AI2:AI25)</f>
        <v>#NAME?</v>
      </c>
      <c r="AN14" s="4"/>
      <c r="AO14" s="4"/>
      <c r="AP14" s="4"/>
      <c r="AQ14" s="4"/>
      <c r="AT14" s="4" t="s">
        <v>161</v>
      </c>
      <c r="AU14" s="4">
        <f ca="1">AU8</f>
        <v>0</v>
      </c>
      <c r="AV14" s="4" t="e">
        <f ca="1">SUMSQ(AI2:AI25)</f>
        <v>#NAME?</v>
      </c>
      <c r="AW14" s="4"/>
      <c r="AX14" s="4"/>
      <c r="AY14" s="4"/>
      <c r="AZ14" s="4"/>
    </row>
    <row r="15" spans="1:53" ht="15" thickBot="1" x14ac:dyDescent="0.4">
      <c r="A15">
        <v>5</v>
      </c>
      <c r="B15">
        <v>2010</v>
      </c>
      <c r="C15" s="271">
        <v>8.0331600000000005</v>
      </c>
      <c r="D15" s="271">
        <v>5.3003099999999996</v>
      </c>
      <c r="E15" s="271">
        <v>3.9876100000000001</v>
      </c>
      <c r="P15">
        <f t="shared" si="1"/>
        <v>-0.16077999999999903</v>
      </c>
      <c r="Q15">
        <f t="shared" si="0"/>
        <v>-0.13963000000000036</v>
      </c>
      <c r="R15">
        <f t="shared" si="0"/>
        <v>2.621999999999991E-2</v>
      </c>
      <c r="T15" t="e">
        <f ca="1"/>
        <v>#NAME?</v>
      </c>
      <c r="U15" t="e">
        <f ca="1"/>
        <v>#NAME?</v>
      </c>
      <c r="V15" t="e">
        <f ca="1"/>
        <v>#NAME?</v>
      </c>
      <c r="AG15" t="e">
        <f ca="1"/>
        <v>#NAME?</v>
      </c>
      <c r="AH15" t="e">
        <f ca="1"/>
        <v>#NAME?</v>
      </c>
      <c r="AI15" t="e">
        <f ca="1"/>
        <v>#NAME?</v>
      </c>
      <c r="AO15" t="s">
        <v>686</v>
      </c>
      <c r="AP15">
        <v>1</v>
      </c>
      <c r="AQ15">
        <f ca="1">SQRT(1+AO8/AL13)</f>
        <v>0</v>
      </c>
    </row>
    <row r="16" spans="1:53" ht="15" thickTop="1" x14ac:dyDescent="0.35">
      <c r="A16">
        <v>5</v>
      </c>
      <c r="B16">
        <v>2012</v>
      </c>
      <c r="C16" s="271">
        <v>8.1939399999999996</v>
      </c>
      <c r="D16" s="271">
        <v>5.43994</v>
      </c>
      <c r="E16" s="271">
        <v>3.9613900000000002</v>
      </c>
      <c r="G16" s="45"/>
      <c r="H16" s="45" t="s">
        <v>162</v>
      </c>
      <c r="I16" s="45" t="s">
        <v>163</v>
      </c>
      <c r="J16" s="45" t="s">
        <v>164</v>
      </c>
      <c r="K16" s="45" t="s">
        <v>92</v>
      </c>
      <c r="L16" s="45" t="s">
        <v>127</v>
      </c>
      <c r="M16" s="45" t="s">
        <v>128</v>
      </c>
      <c r="N16" s="45" t="s">
        <v>165</v>
      </c>
      <c r="O16" s="265"/>
      <c r="P16" t="str">
        <f t="shared" si="1"/>
        <v/>
      </c>
      <c r="Q16" t="str">
        <f t="shared" si="0"/>
        <v/>
      </c>
      <c r="R16" t="str">
        <f t="shared" si="0"/>
        <v/>
      </c>
      <c r="T16" t="e">
        <f ca="1"/>
        <v>#NAME?</v>
      </c>
      <c r="U16" t="e">
        <f ca="1"/>
        <v>#NAME?</v>
      </c>
      <c r="V16" t="e">
        <f ca="1"/>
        <v>#NAME?</v>
      </c>
      <c r="X16" s="45"/>
      <c r="Y16" s="45" t="s">
        <v>162</v>
      </c>
      <c r="Z16" s="45" t="s">
        <v>163</v>
      </c>
      <c r="AA16" s="45" t="s">
        <v>164</v>
      </c>
      <c r="AB16" s="45" t="s">
        <v>92</v>
      </c>
      <c r="AC16" s="45" t="s">
        <v>127</v>
      </c>
      <c r="AD16" s="45" t="s">
        <v>128</v>
      </c>
      <c r="AE16" s="45" t="s">
        <v>165</v>
      </c>
      <c r="AG16" t="e">
        <f ca="1"/>
        <v>#NAME?</v>
      </c>
      <c r="AH16" t="e">
        <f ca="1"/>
        <v>#NAME?</v>
      </c>
      <c r="AI16" t="e">
        <f ca="1"/>
        <v>#NAME?</v>
      </c>
      <c r="AK16" s="45"/>
      <c r="AL16" s="45" t="s">
        <v>162</v>
      </c>
      <c r="AM16" s="45" t="s">
        <v>163</v>
      </c>
      <c r="AN16" s="45" t="s">
        <v>164</v>
      </c>
      <c r="AO16" s="45" t="s">
        <v>92</v>
      </c>
      <c r="AP16" s="45" t="s">
        <v>127</v>
      </c>
      <c r="AQ16" s="45" t="s">
        <v>128</v>
      </c>
      <c r="AR16" s="45" t="s">
        <v>165</v>
      </c>
      <c r="AT16" s="45"/>
      <c r="AU16" s="45" t="s">
        <v>162</v>
      </c>
      <c r="AV16" s="45" t="s">
        <v>163</v>
      </c>
      <c r="AW16" s="45" t="s">
        <v>164</v>
      </c>
      <c r="AX16" s="45" t="s">
        <v>92</v>
      </c>
      <c r="AY16" s="45" t="s">
        <v>127</v>
      </c>
      <c r="AZ16" s="45" t="s">
        <v>128</v>
      </c>
      <c r="BA16" s="45" t="s">
        <v>165</v>
      </c>
    </row>
    <row r="17" spans="1:53" x14ac:dyDescent="0.35">
      <c r="A17">
        <v>6</v>
      </c>
      <c r="B17">
        <v>2008</v>
      </c>
      <c r="C17" s="271">
        <v>9.9685299999999994</v>
      </c>
      <c r="D17" s="271">
        <v>9.5003200000000003</v>
      </c>
      <c r="E17" s="271">
        <v>4.317361</v>
      </c>
      <c r="G17" t="s">
        <v>166</v>
      </c>
      <c r="H17" t="e">
        <f t="array" aca="1" ref="H17:I19" ca="1">RegCoeff(C2:D25,E2:E25)</f>
        <v>#NAME?</v>
      </c>
      <c r="I17" t="e">
        <f ca="1"/>
        <v>#NAME?</v>
      </c>
      <c r="J17" t="e">
        <f ca="1">H17/I17</f>
        <v>#NAME?</v>
      </c>
      <c r="K17" t="e">
        <f ca="1">_xlfn.T.DIST.2T(ABS(J17),$H$13)</f>
        <v>#NAME?</v>
      </c>
      <c r="L17" t="e">
        <f ca="1">H17-_xlfn.T.INV.2T(L$10,$H$13)*I17</f>
        <v>#NAME?</v>
      </c>
      <c r="M17" t="e">
        <f ca="1">H17+_xlfn.T.INV.2T(L$10,$H$13)*I17</f>
        <v>#NAME?</v>
      </c>
      <c r="P17">
        <f t="shared" si="1"/>
        <v>-0.13592000000000048</v>
      </c>
      <c r="Q17">
        <f t="shared" si="0"/>
        <v>-0.51248000000000005</v>
      </c>
      <c r="R17">
        <f t="shared" si="0"/>
        <v>0.18568099999999976</v>
      </c>
      <c r="T17" s="4" t="e">
        <f ca="1"/>
        <v>#NAME?</v>
      </c>
      <c r="U17" s="4" t="e">
        <f ca="1"/>
        <v>#NAME?</v>
      </c>
      <c r="V17" s="4" t="e">
        <f ca="1"/>
        <v>#NAME?</v>
      </c>
      <c r="X17" t="e">
        <f t="array" aca="1" ref="X17:X18" ca="1">TRANSPOSE(T1:U1)</f>
        <v>#NAME?</v>
      </c>
      <c r="Y17" t="e">
        <f t="array" aca="1" ref="Y17:Z18" ca="1">RegCoeff(T2:U17,V2:V17,FALSE)</f>
        <v>#NAME?</v>
      </c>
      <c r="Z17" t="e">
        <f ca="1"/>
        <v>#NAME?</v>
      </c>
      <c r="AA17" t="e">
        <f ca="1">Y17/Z17</f>
        <v>#NAME?</v>
      </c>
      <c r="AB17" t="e">
        <f ca="1">_xlfn.T.DIST.2T(ABS(AA17),$Y$13)</f>
        <v>#NAME?</v>
      </c>
      <c r="AC17" t="e">
        <f ca="1">Y17-_xlfn.T.INV.2T(AC$10,$Y$13)*Z17</f>
        <v>#NAME?</v>
      </c>
      <c r="AD17" t="e">
        <f ca="1">Y17+_xlfn.T.INV.2T(AC$10,$Y$13)*Z17</f>
        <v>#NAME?</v>
      </c>
      <c r="AE17" t="e" cm="1">
        <f t="array" aca="1" ref="AE17" ca="1">VIF(T2:U17,1)</f>
        <v>#NAME?</v>
      </c>
      <c r="AG17" t="e">
        <f ca="1"/>
        <v>#NAME?</v>
      </c>
      <c r="AH17" t="e">
        <f ca="1"/>
        <v>#NAME?</v>
      </c>
      <c r="AI17" t="e">
        <f ca="1"/>
        <v>#NAME?</v>
      </c>
      <c r="AK17" t="e">
        <f t="array" aca="1" ref="AK17:AK18" ca="1">TRANSPOSE(AG1:AH1)</f>
        <v>#NAME?</v>
      </c>
      <c r="AL17" t="e">
        <f t="array" aca="1" ref="AL17:AM18" ca="1">RegCoeff(AG2:AH25,AI2:AI25,FALSE)*AP15:AQ15</f>
        <v>#NAME?</v>
      </c>
      <c r="AM17" t="e">
        <f ca="1"/>
        <v>#NAME?</v>
      </c>
      <c r="AN17" t="e">
        <f ca="1">AL17/AM17</f>
        <v>#NAME?</v>
      </c>
      <c r="AO17" t="e">
        <f ca="1">_xlfn.T.DIST.2T(ABS(AN17),$AL$13)</f>
        <v>#NAME?</v>
      </c>
      <c r="AP17" t="e">
        <f ca="1">AL17-_xlfn.T.INV.2T(AP$10,$AL$13)*AM17</f>
        <v>#NAME?</v>
      </c>
      <c r="AQ17" t="e">
        <f ca="1">AL17+_xlfn.T.INV.2T(AP$10,$AL$13)*AM17</f>
        <v>#NAME?</v>
      </c>
      <c r="AR17" t="e" cm="1">
        <f t="array" aca="1" ref="AR17" ca="1">VIF(AG2:AH25,1)</f>
        <v>#NAME?</v>
      </c>
      <c r="AT17" t="e">
        <f t="array" aca="1" ref="AT17:AT18" ca="1">TRANSPOSE(AG1:AH1)</f>
        <v>#NAME?</v>
      </c>
      <c r="AU17" t="e">
        <f t="array" aca="1" ref="AU17:AV18" ca="1">RegCoeff(AG2:AH25,AI2:AI25,FALSE)</f>
        <v>#NAME?</v>
      </c>
      <c r="AV17" t="e">
        <f ca="1"/>
        <v>#NAME?</v>
      </c>
      <c r="AW17" t="e">
        <f ca="1">AU17/AV17</f>
        <v>#NAME?</v>
      </c>
      <c r="AX17" t="e">
        <f ca="1">_xlfn.T.DIST.2T(ABS(AW17),$AU$13)</f>
        <v>#NAME?</v>
      </c>
      <c r="AY17" t="e">
        <f ca="1">AU17-_xlfn.T.INV.2T(AY$10,$AU$13)*AV17</f>
        <v>#NAME?</v>
      </c>
      <c r="AZ17" t="e">
        <f ca="1">AU17+_xlfn.T.INV.2T(AY$10,$AU$13)*AV17</f>
        <v>#NAME?</v>
      </c>
      <c r="BA17" t="e" cm="1">
        <f t="array" aca="1" ref="BA17" ca="1">VIF(AG2:AH25,1)</f>
        <v>#NAME?</v>
      </c>
    </row>
    <row r="18" spans="1:53" x14ac:dyDescent="0.35">
      <c r="A18">
        <v>6</v>
      </c>
      <c r="B18">
        <v>2010</v>
      </c>
      <c r="C18" s="271">
        <v>10.10445</v>
      </c>
      <c r="D18" s="271">
        <v>10.0128</v>
      </c>
      <c r="E18" s="271">
        <v>4.1316800000000002</v>
      </c>
      <c r="G18" t="str">
        <f t="array" ref="G18:G19">TRANSPOSE(C1:D1)</f>
        <v>lcapital</v>
      </c>
      <c r="H18" t="e">
        <f ca="1"/>
        <v>#NAME?</v>
      </c>
      <c r="I18" t="e">
        <f ca="1"/>
        <v>#NAME?</v>
      </c>
      <c r="J18" t="e">
        <f t="shared" ref="J18:J19" ca="1" si="2">H18/I18</f>
        <v>#NAME?</v>
      </c>
      <c r="K18" t="e">
        <f t="shared" ref="K18:K19" ca="1" si="3">_xlfn.T.DIST.2T(ABS(J18),$H$13)</f>
        <v>#NAME?</v>
      </c>
      <c r="L18" t="e">
        <f t="shared" ref="L18:L19" ca="1" si="4">H18-_xlfn.T.INV.2T(L$10,$H$13)*I18</f>
        <v>#NAME?</v>
      </c>
      <c r="M18" t="e">
        <f t="shared" ref="M18:M19" ca="1" si="5">H18+_xlfn.T.INV.2T(L$10,$H$13)*I18</f>
        <v>#NAME?</v>
      </c>
      <c r="N18" t="e" cm="1">
        <f t="array" aca="1" ref="N18" ca="1">VIF(C2:D25,1)</f>
        <v>#NAME?</v>
      </c>
      <c r="P18">
        <f t="shared" si="1"/>
        <v>5.0979999999999137E-2</v>
      </c>
      <c r="Q18">
        <f t="shared" si="1"/>
        <v>-1.1169999999999902E-2</v>
      </c>
      <c r="R18">
        <f t="shared" si="1"/>
        <v>0.25773000000000046</v>
      </c>
      <c r="X18" s="4" t="e">
        <f ca="1"/>
        <v>#NAME?</v>
      </c>
      <c r="Y18" s="4" t="e">
        <f ca="1"/>
        <v>#NAME?</v>
      </c>
      <c r="Z18" s="4" t="e">
        <f ca="1"/>
        <v>#NAME?</v>
      </c>
      <c r="AA18" s="4" t="e">
        <f ca="1">Y18/Z18</f>
        <v>#NAME?</v>
      </c>
      <c r="AB18" s="4" t="e">
        <f ca="1">_xlfn.T.DIST.2T(ABS(AA18),$Y$13)</f>
        <v>#NAME?</v>
      </c>
      <c r="AC18" s="4" t="e">
        <f ca="1">Y18-_xlfn.T.INV.2T(AC$10,$Y$13)*Z18</f>
        <v>#NAME?</v>
      </c>
      <c r="AD18" s="4" t="e">
        <f ca="1">Y18+_xlfn.T.INV.2T(AC$10,$Y$13)*Z18</f>
        <v>#NAME?</v>
      </c>
      <c r="AE18" s="4" t="e" cm="1">
        <f t="array" aca="1" ref="AE18" ca="1">VIF(T2:U17,2)</f>
        <v>#NAME?</v>
      </c>
      <c r="AG18" t="e">
        <f ca="1"/>
        <v>#NAME?</v>
      </c>
      <c r="AH18" t="e">
        <f ca="1"/>
        <v>#NAME?</v>
      </c>
      <c r="AI18" t="e">
        <f ca="1"/>
        <v>#NAME?</v>
      </c>
      <c r="AK18" s="4" t="e">
        <f ca="1"/>
        <v>#NAME?</v>
      </c>
      <c r="AL18" s="4" t="e">
        <f ca="1"/>
        <v>#NAME?</v>
      </c>
      <c r="AM18" s="4" t="e">
        <f ca="1"/>
        <v>#NAME?</v>
      </c>
      <c r="AN18" s="4" t="e">
        <f ca="1">AL18/AM18</f>
        <v>#NAME?</v>
      </c>
      <c r="AO18" s="4" t="e">
        <f ca="1">_xlfn.T.DIST.2T(ABS(AN18),$AL$13)</f>
        <v>#NAME?</v>
      </c>
      <c r="AP18" s="4" t="e">
        <f ca="1">AL18-_xlfn.T.INV.2T(AP$10,$AL$13)*AM18</f>
        <v>#NAME?</v>
      </c>
      <c r="AQ18" s="4" t="e">
        <f ca="1">AL18+_xlfn.T.INV.2T(AP$10,$AL$13)*AM18</f>
        <v>#NAME?</v>
      </c>
      <c r="AR18" s="4" t="e" cm="1">
        <f t="array" aca="1" ref="AR18" ca="1">VIF(AG2:AH25,2)</f>
        <v>#NAME?</v>
      </c>
      <c r="AT18" s="4" t="e">
        <f ca="1"/>
        <v>#NAME?</v>
      </c>
      <c r="AU18" s="4" t="e">
        <f ca="1"/>
        <v>#NAME?</v>
      </c>
      <c r="AV18" s="4" t="e">
        <f ca="1"/>
        <v>#NAME?</v>
      </c>
      <c r="AW18" s="4" t="e">
        <f ca="1">AU18/AV18</f>
        <v>#NAME?</v>
      </c>
      <c r="AX18" s="4" t="e">
        <f ca="1">_xlfn.T.DIST.2T(ABS(AW18),$AU$13)</f>
        <v>#NAME?</v>
      </c>
      <c r="AY18" s="4" t="e">
        <f ca="1">AU18-_xlfn.T.INV.2T(AY$10,$AU$13)*AV18</f>
        <v>#NAME?</v>
      </c>
      <c r="AZ18" s="4" t="e">
        <f ca="1">AU18+_xlfn.T.INV.2T(AY$10,$AU$13)*AV18</f>
        <v>#NAME?</v>
      </c>
      <c r="BA18" s="4" t="e" cm="1">
        <f t="array" aca="1" ref="BA18" ca="1">VIF(AG2:AH25,2)</f>
        <v>#NAME?</v>
      </c>
    </row>
    <row r="19" spans="1:53" x14ac:dyDescent="0.35">
      <c r="A19">
        <v>6</v>
      </c>
      <c r="B19">
        <v>2012</v>
      </c>
      <c r="C19" s="271">
        <v>10.053470000000001</v>
      </c>
      <c r="D19" s="271">
        <v>10.02397</v>
      </c>
      <c r="E19" s="271">
        <v>3.8739499999999998</v>
      </c>
      <c r="G19" s="4" t="str">
        <v>llabor</v>
      </c>
      <c r="H19" s="4" t="e">
        <f ca="1"/>
        <v>#NAME?</v>
      </c>
      <c r="I19" s="4" t="e">
        <f ca="1"/>
        <v>#NAME?</v>
      </c>
      <c r="J19" s="4" t="e">
        <f t="shared" ca="1" si="2"/>
        <v>#NAME?</v>
      </c>
      <c r="K19" s="4" t="e">
        <f t="shared" ca="1" si="3"/>
        <v>#NAME?</v>
      </c>
      <c r="L19" s="4" t="e">
        <f t="shared" ca="1" si="4"/>
        <v>#NAME?</v>
      </c>
      <c r="M19" s="4" t="e">
        <f t="shared" ca="1" si="5"/>
        <v>#NAME?</v>
      </c>
      <c r="N19" s="4" t="e" cm="1">
        <f t="array" aca="1" ref="N19" ca="1">VIF(C2:D25,2)</f>
        <v>#NAME?</v>
      </c>
      <c r="P19" t="str">
        <f t="shared" si="1"/>
        <v/>
      </c>
      <c r="Q19" t="str">
        <f t="shared" si="1"/>
        <v/>
      </c>
      <c r="R19" t="str">
        <f t="shared" si="1"/>
        <v/>
      </c>
      <c r="AG19" t="e">
        <f ca="1"/>
        <v>#NAME?</v>
      </c>
      <c r="AH19" t="e">
        <f ca="1"/>
        <v>#NAME?</v>
      </c>
      <c r="AI19" t="e">
        <f ca="1"/>
        <v>#NAME?</v>
      </c>
    </row>
    <row r="20" spans="1:53" x14ac:dyDescent="0.35">
      <c r="A20">
        <v>7</v>
      </c>
      <c r="B20">
        <v>2008</v>
      </c>
      <c r="C20" s="271">
        <v>10.55368</v>
      </c>
      <c r="D20" s="271">
        <v>5.0047100000000002</v>
      </c>
      <c r="E20" s="271">
        <v>11.523529999999999</v>
      </c>
      <c r="P20">
        <f t="shared" si="1"/>
        <v>-0.1962299999999999</v>
      </c>
      <c r="Q20">
        <f t="shared" si="1"/>
        <v>-0.17403000000000013</v>
      </c>
      <c r="R20">
        <f t="shared" si="1"/>
        <v>-1.8640000000001322E-2</v>
      </c>
      <c r="AG20" t="e">
        <f ca="1"/>
        <v>#NAME?</v>
      </c>
      <c r="AH20" t="e">
        <f ca="1"/>
        <v>#NAME?</v>
      </c>
      <c r="AI20" t="e">
        <f ca="1"/>
        <v>#NAME?</v>
      </c>
    </row>
    <row r="21" spans="1:53" x14ac:dyDescent="0.35">
      <c r="A21">
        <v>7</v>
      </c>
      <c r="B21">
        <v>2010</v>
      </c>
      <c r="C21" s="271">
        <v>10.74991</v>
      </c>
      <c r="D21" s="271">
        <v>5.1787400000000003</v>
      </c>
      <c r="E21" s="271">
        <v>11.54217</v>
      </c>
      <c r="P21">
        <f t="shared" si="1"/>
        <v>-0.59356999999999971</v>
      </c>
      <c r="Q21">
        <f t="shared" si="1"/>
        <v>-0.2432799999999995</v>
      </c>
      <c r="R21">
        <f t="shared" si="1"/>
        <v>-4.4279999999998765E-2</v>
      </c>
      <c r="AG21" t="e">
        <f ca="1"/>
        <v>#NAME?</v>
      </c>
      <c r="AH21" t="e">
        <f ca="1"/>
        <v>#NAME?</v>
      </c>
      <c r="AI21" t="e">
        <f ca="1"/>
        <v>#NAME?</v>
      </c>
    </row>
    <row r="22" spans="1:53" x14ac:dyDescent="0.35">
      <c r="A22">
        <v>7</v>
      </c>
      <c r="B22">
        <v>2012</v>
      </c>
      <c r="C22" s="271">
        <v>11.34348</v>
      </c>
      <c r="D22" s="271">
        <v>5.4220199999999998</v>
      </c>
      <c r="E22" s="271">
        <v>11.586449999999999</v>
      </c>
      <c r="P22" t="str">
        <f t="shared" si="1"/>
        <v/>
      </c>
      <c r="Q22" t="str">
        <f t="shared" si="1"/>
        <v/>
      </c>
      <c r="R22" t="str">
        <f t="shared" si="1"/>
        <v/>
      </c>
      <c r="AG22" t="e">
        <f ca="1"/>
        <v>#NAME?</v>
      </c>
      <c r="AH22" t="e">
        <f ca="1"/>
        <v>#NAME?</v>
      </c>
      <c r="AI22" t="e">
        <f ca="1"/>
        <v>#NAME?</v>
      </c>
    </row>
    <row r="23" spans="1:53" x14ac:dyDescent="0.35">
      <c r="A23">
        <v>8</v>
      </c>
      <c r="B23">
        <v>2008</v>
      </c>
      <c r="C23" s="271">
        <v>7.9739199999999997</v>
      </c>
      <c r="D23" s="271">
        <v>4.01145</v>
      </c>
      <c r="E23" s="271">
        <v>8.7066099999999995</v>
      </c>
      <c r="P23">
        <f t="shared" si="1"/>
        <v>-0.32312000000000118</v>
      </c>
      <c r="Q23">
        <f t="shared" si="1"/>
        <v>0.13111000000000006</v>
      </c>
      <c r="R23">
        <f t="shared" si="1"/>
        <v>-0.17042000000000002</v>
      </c>
      <c r="AG23" t="e">
        <f ca="1"/>
        <v>#NAME?</v>
      </c>
      <c r="AH23" t="e">
        <f ca="1"/>
        <v>#NAME?</v>
      </c>
      <c r="AI23" t="e">
        <f ca="1"/>
        <v>#NAME?</v>
      </c>
    </row>
    <row r="24" spans="1:53" x14ac:dyDescent="0.35">
      <c r="A24">
        <v>8</v>
      </c>
      <c r="B24">
        <v>2010</v>
      </c>
      <c r="C24" s="271">
        <v>8.2970400000000009</v>
      </c>
      <c r="D24" s="271">
        <v>3.8803399999999999</v>
      </c>
      <c r="E24" s="271">
        <v>8.8770299999999995</v>
      </c>
      <c r="P24">
        <f t="shared" si="1"/>
        <v>-3.384999999999927E-2</v>
      </c>
      <c r="Q24">
        <f t="shared" si="1"/>
        <v>7.1689999999999809E-2</v>
      </c>
      <c r="R24">
        <f t="shared" si="1"/>
        <v>-3.5170000000000812E-2</v>
      </c>
      <c r="AG24" t="e">
        <f ca="1"/>
        <v>#NAME?</v>
      </c>
      <c r="AH24" t="e">
        <f ca="1"/>
        <v>#NAME?</v>
      </c>
      <c r="AI24" t="e">
        <f ca="1"/>
        <v>#NAME?</v>
      </c>
    </row>
    <row r="25" spans="1:53" x14ac:dyDescent="0.35">
      <c r="A25" s="4">
        <v>8</v>
      </c>
      <c r="B25" s="4">
        <v>2012</v>
      </c>
      <c r="C25" s="272">
        <v>8.3308900000000001</v>
      </c>
      <c r="D25" s="272">
        <v>3.8086500000000001</v>
      </c>
      <c r="E25" s="272">
        <v>8.9122000000000003</v>
      </c>
      <c r="P25" s="4" t="str">
        <f t="shared" si="1"/>
        <v/>
      </c>
      <c r="Q25" s="4" t="str">
        <f t="shared" si="1"/>
        <v/>
      </c>
      <c r="R25" s="4" t="str">
        <f t="shared" si="1"/>
        <v/>
      </c>
      <c r="AG25" s="4" t="e">
        <f ca="1"/>
        <v>#NAME?</v>
      </c>
      <c r="AH25" s="4" t="e">
        <f ca="1"/>
        <v>#NAME?</v>
      </c>
      <c r="AI25" s="4" t="e">
        <f ca="1"/>
        <v>#NAME?</v>
      </c>
    </row>
  </sheetData>
  <pageMargins left="0.7" right="0.7" top="0.75" bottom="0.75" header="0.3" footer="0.3"/>
  <pageSetup paperSize="9" orientation="portrait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BA574-EBB0-4D67-A747-0275703B3910}">
  <sheetPr codeName="Sheet46"/>
  <dimension ref="A1:AP51"/>
  <sheetViews>
    <sheetView topLeftCell="C1" zoomScaleNormal="100" workbookViewId="0">
      <selection activeCell="S1" sqref="S1"/>
    </sheetView>
  </sheetViews>
  <sheetFormatPr defaultRowHeight="14.5" x14ac:dyDescent="0.35"/>
  <cols>
    <col min="1" max="2" width="5.08984375" customWidth="1"/>
    <col min="3" max="5" width="8.7265625" style="271"/>
    <col min="6" max="6" width="4.6328125" customWidth="1"/>
    <col min="10" max="11" width="4.6328125" customWidth="1"/>
    <col min="15" max="15" width="4.6328125" customWidth="1"/>
    <col min="16" max="17" width="5.08984375" customWidth="1"/>
    <col min="21" max="21" width="4.6328125" customWidth="1"/>
    <col min="22" max="22" width="16.36328125" customWidth="1"/>
    <col min="35" max="35" width="16" customWidth="1"/>
  </cols>
  <sheetData>
    <row r="1" spans="1:42" x14ac:dyDescent="0.35">
      <c r="A1" s="10" t="s">
        <v>679</v>
      </c>
      <c r="B1" s="10" t="s">
        <v>540</v>
      </c>
      <c r="C1" s="274" t="s">
        <v>680</v>
      </c>
      <c r="D1" s="274" t="s">
        <v>681</v>
      </c>
      <c r="E1" s="274" t="s">
        <v>682</v>
      </c>
      <c r="G1" s="274" t="s">
        <v>680</v>
      </c>
      <c r="H1" s="274" t="s">
        <v>681</v>
      </c>
      <c r="I1" s="274" t="s">
        <v>682</v>
      </c>
      <c r="J1" s="137"/>
      <c r="K1" s="274" t="s">
        <v>679</v>
      </c>
      <c r="L1" s="274" t="s">
        <v>680</v>
      </c>
      <c r="M1" s="274" t="s">
        <v>681</v>
      </c>
      <c r="N1" s="274" t="s">
        <v>682</v>
      </c>
      <c r="P1" s="10" t="s">
        <v>679</v>
      </c>
      <c r="Q1" s="10" t="s">
        <v>540</v>
      </c>
      <c r="R1" s="274" t="s">
        <v>680</v>
      </c>
      <c r="S1" s="274" t="s">
        <v>681</v>
      </c>
      <c r="T1" s="274" t="s">
        <v>682</v>
      </c>
      <c r="V1" t="s">
        <v>141</v>
      </c>
      <c r="AE1" s="4" t="e">
        <f t="array" aca="1" ref="AE1:AG25" ca="1">PANEL_DEMEAN(C1:E25,3,TRUE)</f>
        <v>#NAME?</v>
      </c>
      <c r="AF1" s="4" t="e">
        <f ca="1"/>
        <v>#NAME?</v>
      </c>
      <c r="AG1" s="4" t="e">
        <f ca="1"/>
        <v>#NAME?</v>
      </c>
      <c r="AI1" t="s">
        <v>684</v>
      </c>
    </row>
    <row r="2" spans="1:42" x14ac:dyDescent="0.35">
      <c r="A2" s="137">
        <v>1</v>
      </c>
      <c r="B2" s="1">
        <v>2008</v>
      </c>
      <c r="C2" s="273">
        <v>8.9138500000000001</v>
      </c>
      <c r="D2" s="273">
        <v>3.1783199999999998</v>
      </c>
      <c r="E2" s="273">
        <v>9.5985499999999995</v>
      </c>
      <c r="G2">
        <f>IF($B2=2008,AVERAGE(C2:C4),"")</f>
        <v>8.9531499999999991</v>
      </c>
      <c r="H2">
        <f t="shared" ref="H2:I17" si="0">IF($B2=2008,AVERAGE(D2:D4),"")</f>
        <v>3.49884</v>
      </c>
      <c r="I2">
        <f t="shared" si="0"/>
        <v>9.7154866666666653</v>
      </c>
      <c r="K2" s="137">
        <v>1</v>
      </c>
      <c r="L2" t="e" cm="1">
        <f t="array" aca="1" ref="L2" ca="1">DELROWS(G2:I25,TRUE)</f>
        <v>#NAME?</v>
      </c>
      <c r="P2" s="137">
        <v>1</v>
      </c>
      <c r="Q2" s="1">
        <v>2008</v>
      </c>
      <c r="R2" s="273" t="e" cm="1">
        <f t="array" aca="1" ref="R2" ca="1">C2-INDEX(L$2:L$9,$P2,1)</f>
        <v>#NAME?</v>
      </c>
      <c r="S2" s="273" cm="1">
        <f t="array" ref="S2">D2-INDEX(M$2:M$9,$P2,1)</f>
        <v>3.1783199999999998</v>
      </c>
      <c r="T2" s="273" cm="1">
        <f t="array" ref="T2">E2-INDEX(N$2:N$9,$P2,1)</f>
        <v>9.5985499999999995</v>
      </c>
      <c r="AE2" t="e">
        <f ca="1"/>
        <v>#NAME?</v>
      </c>
      <c r="AF2" t="e">
        <f ca="1"/>
        <v>#NAME?</v>
      </c>
      <c r="AG2" t="e">
        <f ca="1"/>
        <v>#NAME?</v>
      </c>
    </row>
    <row r="3" spans="1:42" ht="15" thickBot="1" x14ac:dyDescent="0.4">
      <c r="A3" s="137">
        <v>1</v>
      </c>
      <c r="B3">
        <v>2010</v>
      </c>
      <c r="C3" s="271">
        <v>8.9305000000000003</v>
      </c>
      <c r="D3" s="271">
        <v>3.4831300000000001</v>
      </c>
      <c r="E3" s="271">
        <v>9.7047600000000003</v>
      </c>
      <c r="G3" t="str">
        <f t="shared" ref="G3:I18" si="1">IF($B3=2008,AVERAGE(C3:C5),"")</f>
        <v/>
      </c>
      <c r="H3" t="str">
        <f t="shared" si="0"/>
        <v/>
      </c>
      <c r="I3" t="str">
        <f t="shared" si="0"/>
        <v/>
      </c>
      <c r="K3" s="137">
        <f>K2+1</f>
        <v>2</v>
      </c>
      <c r="P3" s="137">
        <v>1</v>
      </c>
      <c r="Q3">
        <v>2010</v>
      </c>
      <c r="R3" s="273" t="e" cm="1">
        <f t="array" aca="1" ref="R3" ca="1">C3-INDEX(L$2:L$9,$P3,1)</f>
        <v>#NAME?</v>
      </c>
      <c r="S3" s="273" cm="1">
        <f t="array" ref="S3">D3-INDEX(M$2:M$9,$P3,1)</f>
        <v>3.4831300000000001</v>
      </c>
      <c r="T3" s="273" cm="1">
        <f t="array" ref="T3">E3-INDEX(N$2:N$9,$P3,1)</f>
        <v>9.7047600000000003</v>
      </c>
      <c r="V3" s="44" t="s">
        <v>142</v>
      </c>
      <c r="W3" s="44"/>
      <c r="Y3" s="44"/>
      <c r="Z3" s="44"/>
      <c r="AE3" t="e">
        <f ca="1"/>
        <v>#NAME?</v>
      </c>
      <c r="AF3" t="e">
        <f ca="1"/>
        <v>#NAME?</v>
      </c>
      <c r="AG3" t="e">
        <f ca="1"/>
        <v>#NAME?</v>
      </c>
      <c r="AI3" s="44" t="s">
        <v>142</v>
      </c>
      <c r="AJ3" s="44"/>
      <c r="AL3" s="44"/>
      <c r="AM3" s="44"/>
    </row>
    <row r="4" spans="1:42" ht="15" thickTop="1" x14ac:dyDescent="0.35">
      <c r="A4" s="137">
        <v>1</v>
      </c>
      <c r="B4">
        <v>2012</v>
      </c>
      <c r="C4" s="271">
        <v>9.0151000000000003</v>
      </c>
      <c r="D4" s="271">
        <v>3.83507</v>
      </c>
      <c r="E4" s="271">
        <v>9.8431499999999996</v>
      </c>
      <c r="G4" t="str">
        <f t="shared" si="1"/>
        <v/>
      </c>
      <c r="H4" t="str">
        <f t="shared" si="0"/>
        <v/>
      </c>
      <c r="I4" t="str">
        <f t="shared" si="0"/>
        <v/>
      </c>
      <c r="K4" s="137">
        <f t="shared" ref="K4:K9" si="2">K3+1</f>
        <v>3</v>
      </c>
      <c r="P4" s="137">
        <v>1</v>
      </c>
      <c r="Q4">
        <v>2012</v>
      </c>
      <c r="R4" s="273" t="e" cm="1">
        <f t="array" aca="1" ref="R4" ca="1">C4-INDEX(L$2:L$9,$P4,1)</f>
        <v>#NAME?</v>
      </c>
      <c r="S4" s="273" cm="1">
        <f t="array" ref="S4">D4-INDEX(M$2:M$9,$P4,1)</f>
        <v>3.83507</v>
      </c>
      <c r="T4" s="273" cm="1">
        <f t="array" ref="T4">E4-INDEX(N$2:N$9,$P4,1)</f>
        <v>9.8431499999999996</v>
      </c>
      <c r="V4" t="s">
        <v>144</v>
      </c>
      <c r="W4" t="e">
        <f ca="1">SQRT(W5)</f>
        <v>#NAME?</v>
      </c>
      <c r="Y4" t="s">
        <v>145</v>
      </c>
      <c r="Z4" t="e">
        <f ca="1">W8*LN(X13/W8)+2*W12</f>
        <v>#NAME?</v>
      </c>
      <c r="AE4" t="e">
        <f ca="1"/>
        <v>#NAME?</v>
      </c>
      <c r="AF4" t="e">
        <f ca="1"/>
        <v>#NAME?</v>
      </c>
      <c r="AG4" t="e">
        <f ca="1"/>
        <v>#NAME?</v>
      </c>
      <c r="AI4" t="s">
        <v>144</v>
      </c>
      <c r="AJ4" t="e">
        <f ca="1">SQRT(AJ5)</f>
        <v>#NAME?</v>
      </c>
      <c r="AL4" t="s">
        <v>145</v>
      </c>
      <c r="AM4" t="e">
        <f ca="1">AJ8*LN(AK13/AJ8)+2*AJ12</f>
        <v>#NAME?</v>
      </c>
    </row>
    <row r="5" spans="1:42" x14ac:dyDescent="0.35">
      <c r="A5" s="137">
        <v>2</v>
      </c>
      <c r="B5">
        <v>2008</v>
      </c>
      <c r="C5" s="271">
        <v>7.7774000000000001</v>
      </c>
      <c r="D5" s="271">
        <v>4.2269300000000003</v>
      </c>
      <c r="E5" s="271">
        <v>8.1265400000000003</v>
      </c>
      <c r="G5">
        <f t="shared" si="1"/>
        <v>8.1154166666666665</v>
      </c>
      <c r="H5">
        <f t="shared" si="0"/>
        <v>4.352686666666667</v>
      </c>
      <c r="I5">
        <f t="shared" si="0"/>
        <v>8.1572966666666673</v>
      </c>
      <c r="K5" s="137">
        <f t="shared" si="2"/>
        <v>4</v>
      </c>
      <c r="P5" s="137">
        <v>2</v>
      </c>
      <c r="Q5">
        <v>2008</v>
      </c>
      <c r="R5" s="273" cm="1">
        <f t="array" ref="R5">C5-INDEX(L$2:L$9,$P5,1)</f>
        <v>7.7774000000000001</v>
      </c>
      <c r="S5" s="273" cm="1">
        <f t="array" ref="S5">D5-INDEX(M$2:M$9,$P5,1)</f>
        <v>4.2269300000000003</v>
      </c>
      <c r="T5" s="273" cm="1">
        <f t="array" ref="T5">E5-INDEX(N$2:N$9,$P5,1)</f>
        <v>8.1265400000000003</v>
      </c>
      <c r="V5" t="s">
        <v>148</v>
      </c>
      <c r="W5" t="e">
        <f ca="1">X12/X14</f>
        <v>#NAME?</v>
      </c>
      <c r="Y5" t="s">
        <v>149</v>
      </c>
      <c r="Z5" t="e">
        <f ca="1">Z4+2*(W12+1)*(W12+2)/(W8-W12-2)</f>
        <v>#NAME?</v>
      </c>
      <c r="AE5" t="e">
        <f ca="1"/>
        <v>#NAME?</v>
      </c>
      <c r="AF5" t="e">
        <f ca="1"/>
        <v>#NAME?</v>
      </c>
      <c r="AG5" t="e">
        <f ca="1"/>
        <v>#NAME?</v>
      </c>
      <c r="AI5" t="s">
        <v>148</v>
      </c>
      <c r="AJ5" t="e">
        <f ca="1">AK12/AK14</f>
        <v>#NAME?</v>
      </c>
      <c r="AL5" t="s">
        <v>149</v>
      </c>
      <c r="AM5" t="e">
        <f ca="1">AM4+2*(AJ12+1)*(AJ12+2)/(AJ8-AJ12-2)</f>
        <v>#NAME?</v>
      </c>
    </row>
    <row r="6" spans="1:42" x14ac:dyDescent="0.35">
      <c r="A6" s="137">
        <v>2</v>
      </c>
      <c r="B6">
        <v>2010</v>
      </c>
      <c r="C6" s="271">
        <v>7.2570899999999998</v>
      </c>
      <c r="D6" s="271">
        <v>4.43757</v>
      </c>
      <c r="E6" s="271">
        <v>8.5477600000000002</v>
      </c>
      <c r="G6" t="str">
        <f t="shared" si="1"/>
        <v/>
      </c>
      <c r="H6" t="str">
        <f t="shared" si="0"/>
        <v/>
      </c>
      <c r="I6" t="str">
        <f t="shared" si="0"/>
        <v/>
      </c>
      <c r="K6" s="137">
        <f t="shared" si="2"/>
        <v>5</v>
      </c>
      <c r="P6" s="137">
        <v>2</v>
      </c>
      <c r="Q6">
        <v>2010</v>
      </c>
      <c r="R6" s="273" cm="1">
        <f t="array" ref="R6">C6-INDEX(L$2:L$9,$P6,1)</f>
        <v>7.2570899999999998</v>
      </c>
      <c r="S6" s="273" cm="1">
        <f t="array" ref="S6">D6-INDEX(M$2:M$9,$P6,1)</f>
        <v>4.43757</v>
      </c>
      <c r="T6" s="273" cm="1">
        <f t="array" ref="T6">E6-INDEX(N$2:N$9,$P6,1)</f>
        <v>8.5477600000000002</v>
      </c>
      <c r="V6" t="s">
        <v>150</v>
      </c>
      <c r="W6" t="e">
        <f ca="1">1-(1-W5)*W8/(W8-W12)</f>
        <v>#NAME?</v>
      </c>
      <c r="Y6" s="4" t="s">
        <v>411</v>
      </c>
      <c r="Z6" s="4" t="e">
        <f ca="1">W8*LN(X13/W8)+W12*LN(W8)</f>
        <v>#NAME?</v>
      </c>
      <c r="AE6" t="e">
        <f ca="1"/>
        <v>#NAME?</v>
      </c>
      <c r="AF6" t="e">
        <f ca="1"/>
        <v>#NAME?</v>
      </c>
      <c r="AG6" t="e">
        <f ca="1"/>
        <v>#NAME?</v>
      </c>
      <c r="AI6" t="s">
        <v>150</v>
      </c>
      <c r="AJ6" t="e">
        <f ca="1">1-(1-AJ5)*AJ8/(AJ8-AJ12)</f>
        <v>#NAME?</v>
      </c>
      <c r="AL6" s="4" t="s">
        <v>411</v>
      </c>
      <c r="AM6" s="4" t="e">
        <f ca="1">AJ8*LN(AK13/AJ8)+AJ12*LN(AJ8)</f>
        <v>#NAME?</v>
      </c>
    </row>
    <row r="7" spans="1:42" x14ac:dyDescent="0.35">
      <c r="A7" s="137">
        <v>2</v>
      </c>
      <c r="B7">
        <v>2012</v>
      </c>
      <c r="C7" s="271">
        <v>9.3117599999999996</v>
      </c>
      <c r="D7" s="271">
        <v>4.3935599999999999</v>
      </c>
      <c r="E7" s="271">
        <v>7.7975899999999996</v>
      </c>
      <c r="G7" t="str">
        <f t="shared" si="1"/>
        <v/>
      </c>
      <c r="H7" t="str">
        <f t="shared" si="0"/>
        <v/>
      </c>
      <c r="I7" t="str">
        <f t="shared" si="0"/>
        <v/>
      </c>
      <c r="K7" s="137">
        <f t="shared" si="2"/>
        <v>6</v>
      </c>
      <c r="P7" s="137">
        <v>2</v>
      </c>
      <c r="Q7">
        <v>2012</v>
      </c>
      <c r="R7" s="273" cm="1">
        <f t="array" ref="R7">C7-INDEX(L$2:L$9,$P7,1)</f>
        <v>9.3117599999999996</v>
      </c>
      <c r="S7" s="273" cm="1">
        <f t="array" ref="S7">D7-INDEX(M$2:M$9,$P7,1)</f>
        <v>4.3935599999999999</v>
      </c>
      <c r="T7" s="273" cm="1">
        <f t="array" ref="T7">E7-INDEX(N$2:N$9,$P7,1)</f>
        <v>7.7975899999999996</v>
      </c>
      <c r="V7" t="s">
        <v>146</v>
      </c>
      <c r="W7" t="e">
        <f ca="1">SQRT(Y13)</f>
        <v>#NAME?</v>
      </c>
      <c r="AE7" t="e">
        <f ca="1"/>
        <v>#NAME?</v>
      </c>
      <c r="AF7" t="e">
        <f ca="1"/>
        <v>#NAME?</v>
      </c>
      <c r="AG7" t="e">
        <f ca="1"/>
        <v>#NAME?</v>
      </c>
      <c r="AI7" t="s">
        <v>146</v>
      </c>
      <c r="AJ7" t="e">
        <f ca="1">SQRT(AL13)</f>
        <v>#NAME?</v>
      </c>
    </row>
    <row r="8" spans="1:42" x14ac:dyDescent="0.35">
      <c r="A8" s="137">
        <v>3</v>
      </c>
      <c r="B8">
        <v>2008</v>
      </c>
      <c r="C8" s="271">
        <v>5.54861</v>
      </c>
      <c r="D8" s="271">
        <v>4.8532000000000002</v>
      </c>
      <c r="E8" s="271">
        <v>7.3699300000000001</v>
      </c>
      <c r="G8">
        <f t="shared" si="1"/>
        <v>6.628493333333334</v>
      </c>
      <c r="H8">
        <f t="shared" si="0"/>
        <v>4.3257033333333332</v>
      </c>
      <c r="I8">
        <f t="shared" si="0"/>
        <v>7.4303133333333333</v>
      </c>
      <c r="K8" s="137">
        <f t="shared" si="2"/>
        <v>7</v>
      </c>
      <c r="P8" s="137">
        <v>3</v>
      </c>
      <c r="Q8">
        <v>2008</v>
      </c>
      <c r="R8" s="273" cm="1">
        <f t="array" ref="R8">C8-INDEX(L$2:L$9,$P8,1)</f>
        <v>5.54861</v>
      </c>
      <c r="S8" s="273" cm="1">
        <f t="array" ref="S8">D8-INDEX(M$2:M$9,$P8,1)</f>
        <v>4.8532000000000002</v>
      </c>
      <c r="T8" s="273" cm="1">
        <f t="array" ref="T8">E8-INDEX(N$2:N$9,$P8,1)</f>
        <v>7.3699300000000001</v>
      </c>
      <c r="V8" s="4" t="s">
        <v>153</v>
      </c>
      <c r="W8" s="4">
        <f>COUNT(T2:T25)</f>
        <v>24</v>
      </c>
      <c r="AE8" t="e">
        <f ca="1"/>
        <v>#NAME?</v>
      </c>
      <c r="AF8" t="e">
        <f ca="1"/>
        <v>#NAME?</v>
      </c>
      <c r="AG8" t="e">
        <f ca="1"/>
        <v>#NAME?</v>
      </c>
      <c r="AI8" s="4" t="s">
        <v>153</v>
      </c>
      <c r="AJ8" s="4">
        <f ca="1">COUNT(AG2:AG25)-AM8</f>
        <v>-8</v>
      </c>
      <c r="AL8" s="15" t="s">
        <v>685</v>
      </c>
      <c r="AM8" s="15">
        <v>8</v>
      </c>
    </row>
    <row r="9" spans="1:42" x14ac:dyDescent="0.35">
      <c r="A9" s="137">
        <v>3</v>
      </c>
      <c r="B9">
        <v>2010</v>
      </c>
      <c r="C9" s="271">
        <v>6.5219699999999996</v>
      </c>
      <c r="D9" s="271">
        <v>4.1636499999999996</v>
      </c>
      <c r="E9" s="271">
        <v>7.4622799999999998</v>
      </c>
      <c r="G9" t="str">
        <f t="shared" si="1"/>
        <v/>
      </c>
      <c r="H9" t="str">
        <f t="shared" si="0"/>
        <v/>
      </c>
      <c r="I9" t="str">
        <f t="shared" si="0"/>
        <v/>
      </c>
      <c r="K9" s="10">
        <f t="shared" si="2"/>
        <v>8</v>
      </c>
      <c r="L9" s="4"/>
      <c r="M9" s="4"/>
      <c r="N9" s="4"/>
      <c r="P9" s="137">
        <v>3</v>
      </c>
      <c r="Q9">
        <v>2010</v>
      </c>
      <c r="R9" s="273" cm="1">
        <f t="array" ref="R9">C9-INDEX(L$2:L$9,$P9,1)</f>
        <v>6.5219699999999996</v>
      </c>
      <c r="S9" s="273" cm="1">
        <f t="array" ref="S9">D9-INDEX(M$2:M$9,$P9,1)</f>
        <v>4.1636499999999996</v>
      </c>
      <c r="T9" s="273" cm="1">
        <f t="array" ref="T9">E9-INDEX(N$2:N$9,$P9,1)</f>
        <v>7.4622799999999998</v>
      </c>
      <c r="AE9" t="e">
        <f ca="1"/>
        <v>#NAME?</v>
      </c>
      <c r="AF9" t="e">
        <f ca="1"/>
        <v>#NAME?</v>
      </c>
      <c r="AG9" t="e">
        <f ca="1"/>
        <v>#NAME?</v>
      </c>
    </row>
    <row r="10" spans="1:42" ht="15" thickBot="1" x14ac:dyDescent="0.4">
      <c r="A10" s="137">
        <v>3</v>
      </c>
      <c r="B10">
        <v>2012</v>
      </c>
      <c r="C10" s="271">
        <v>7.8148999999999997</v>
      </c>
      <c r="D10" s="271">
        <v>3.9602599999999999</v>
      </c>
      <c r="E10" s="271">
        <v>7.4587300000000001</v>
      </c>
      <c r="G10" t="str">
        <f t="shared" si="1"/>
        <v/>
      </c>
      <c r="H10" t="str">
        <f t="shared" si="0"/>
        <v/>
      </c>
      <c r="I10" t="str">
        <f t="shared" si="0"/>
        <v/>
      </c>
      <c r="P10" s="137">
        <v>3</v>
      </c>
      <c r="Q10">
        <v>2012</v>
      </c>
      <c r="R10" s="273" cm="1">
        <f t="array" ref="R10">C10-INDEX(L$2:L$9,$P10,1)</f>
        <v>7.8148999999999997</v>
      </c>
      <c r="S10" s="273" cm="1">
        <f t="array" ref="S10">D10-INDEX(M$2:M$9,$P10,1)</f>
        <v>3.9602599999999999</v>
      </c>
      <c r="T10" s="273" cm="1">
        <f t="array" ref="T10">E10-INDEX(N$2:N$9,$P10,1)</f>
        <v>7.4587300000000001</v>
      </c>
      <c r="V10" t="s">
        <v>155</v>
      </c>
      <c r="Z10" s="137" t="s">
        <v>156</v>
      </c>
      <c r="AA10" s="137">
        <v>0.05</v>
      </c>
      <c r="AE10" t="e">
        <f ca="1"/>
        <v>#NAME?</v>
      </c>
      <c r="AF10" t="e">
        <f ca="1"/>
        <v>#NAME?</v>
      </c>
      <c r="AG10" t="e">
        <f ca="1"/>
        <v>#NAME?</v>
      </c>
      <c r="AI10" t="s">
        <v>155</v>
      </c>
      <c r="AM10" s="137" t="s">
        <v>156</v>
      </c>
      <c r="AN10" s="137">
        <v>0.05</v>
      </c>
    </row>
    <row r="11" spans="1:42" ht="15" thickTop="1" x14ac:dyDescent="0.35">
      <c r="A11" s="137">
        <v>4</v>
      </c>
      <c r="B11">
        <v>2008</v>
      </c>
      <c r="C11" s="271">
        <v>9.3600399999999997</v>
      </c>
      <c r="D11" s="271">
        <v>4.67028</v>
      </c>
      <c r="E11" s="271">
        <v>8.25901</v>
      </c>
      <c r="G11">
        <f t="shared" si="1"/>
        <v>8.98916</v>
      </c>
      <c r="H11">
        <f t="shared" si="0"/>
        <v>4.5251966666666661</v>
      </c>
      <c r="I11">
        <f t="shared" si="0"/>
        <v>8.6950200000000013</v>
      </c>
      <c r="L11" s="2" t="e" cm="1">
        <f t="array" aca="1" ref="L11" ca="1">PANEL_MEANS(C1:E25,3,TRUE)</f>
        <v>#NAME?</v>
      </c>
      <c r="M11" s="2"/>
      <c r="N11" s="2"/>
      <c r="P11" s="137">
        <v>4</v>
      </c>
      <c r="Q11">
        <v>2008</v>
      </c>
      <c r="R11" s="273" cm="1">
        <f t="array" ref="R11">C11-INDEX(L$2:L$9,$P11,1)</f>
        <v>9.3600399999999997</v>
      </c>
      <c r="S11" s="273" cm="1">
        <f t="array" ref="S11">D11-INDEX(M$2:M$9,$P11,1)</f>
        <v>4.67028</v>
      </c>
      <c r="T11" s="273" cm="1">
        <f t="array" ref="T11">E11-INDEX(N$2:N$9,$P11,1)</f>
        <v>8.25901</v>
      </c>
      <c r="V11" s="45"/>
      <c r="W11" s="45" t="s">
        <v>88</v>
      </c>
      <c r="X11" s="45" t="s">
        <v>157</v>
      </c>
      <c r="Y11" s="45" t="s">
        <v>158</v>
      </c>
      <c r="Z11" s="45" t="s">
        <v>159</v>
      </c>
      <c r="AA11" s="45" t="s">
        <v>92</v>
      </c>
      <c r="AB11" s="45" t="s">
        <v>84</v>
      </c>
      <c r="AE11" t="e">
        <f ca="1"/>
        <v>#NAME?</v>
      </c>
      <c r="AF11" t="e">
        <f ca="1"/>
        <v>#NAME?</v>
      </c>
      <c r="AG11" t="e">
        <f ca="1"/>
        <v>#NAME?</v>
      </c>
      <c r="AI11" s="45"/>
      <c r="AJ11" s="45" t="s">
        <v>88</v>
      </c>
      <c r="AK11" s="45" t="s">
        <v>157</v>
      </c>
      <c r="AL11" s="45" t="s">
        <v>158</v>
      </c>
      <c r="AM11" s="45" t="s">
        <v>159</v>
      </c>
      <c r="AN11" s="45" t="s">
        <v>92</v>
      </c>
      <c r="AO11" s="45" t="s">
        <v>84</v>
      </c>
    </row>
    <row r="12" spans="1:42" x14ac:dyDescent="0.35">
      <c r="A12" s="137">
        <v>4</v>
      </c>
      <c r="B12">
        <v>2010</v>
      </c>
      <c r="C12" s="271">
        <v>9.2680000000000007</v>
      </c>
      <c r="D12" s="271">
        <v>4.5826599999999997</v>
      </c>
      <c r="E12" s="271">
        <v>8.7930200000000003</v>
      </c>
      <c r="G12" t="str">
        <f t="shared" si="1"/>
        <v/>
      </c>
      <c r="H12" t="str">
        <f t="shared" si="0"/>
        <v/>
      </c>
      <c r="I12" t="str">
        <f t="shared" si="0"/>
        <v/>
      </c>
      <c r="P12" s="137">
        <v>4</v>
      </c>
      <c r="Q12">
        <v>2010</v>
      </c>
      <c r="R12" s="273" cm="1">
        <f t="array" ref="R12">C12-INDEX(L$2:L$9,$P12,1)</f>
        <v>9.2680000000000007</v>
      </c>
      <c r="S12" s="273" cm="1">
        <f t="array" ref="S12">D12-INDEX(M$2:M$9,$P12,1)</f>
        <v>4.5826599999999997</v>
      </c>
      <c r="T12" s="273" cm="1">
        <f t="array" ref="T12">E12-INDEX(N$2:N$9,$P12,1)</f>
        <v>8.7930200000000003</v>
      </c>
      <c r="V12" t="s">
        <v>160</v>
      </c>
      <c r="W12">
        <f ca="1">COUNT(R2:S2)</f>
        <v>1</v>
      </c>
      <c r="X12" t="e">
        <f ca="1">SUMSQ(MMULT(R2:S25,W17:W18))</f>
        <v>#NAME?</v>
      </c>
      <c r="Y12" t="e">
        <f ca="1">X12/W12</f>
        <v>#NAME?</v>
      </c>
      <c r="Z12" t="e">
        <f ca="1">Y12/Y13</f>
        <v>#NAME?</v>
      </c>
      <c r="AA12" t="e">
        <f ca="1">_xlfn.F.DIST.RT(Z12,W12,W13)</f>
        <v>#NAME?</v>
      </c>
      <c r="AB12" s="137" t="e">
        <f ca="1">IF(AA12&lt;AA10,"yes","no")</f>
        <v>#NAME?</v>
      </c>
      <c r="AE12" t="e">
        <f ca="1"/>
        <v>#NAME?</v>
      </c>
      <c r="AF12" t="e">
        <f ca="1"/>
        <v>#NAME?</v>
      </c>
      <c r="AG12" t="e">
        <f ca="1"/>
        <v>#NAME?</v>
      </c>
      <c r="AI12" t="s">
        <v>160</v>
      </c>
      <c r="AJ12">
        <f ca="1">COUNT(AE2:AF2)</f>
        <v>0</v>
      </c>
      <c r="AK12" t="e">
        <f ca="1">SUMSQ(MMULT(AE2:AF25,AJ17:AJ18))</f>
        <v>#NAME?</v>
      </c>
      <c r="AL12" t="e">
        <f ca="1">AK12/AJ12</f>
        <v>#NAME?</v>
      </c>
      <c r="AM12" t="e">
        <f ca="1">AL12/AL13</f>
        <v>#NAME?</v>
      </c>
      <c r="AN12" t="e">
        <f ca="1">_xlfn.F.DIST.RT(AM12,AJ12,AJ13)</f>
        <v>#NAME?</v>
      </c>
      <c r="AO12" s="137" t="e">
        <f ca="1">IF(AN12&lt;AN10,"yes","no")</f>
        <v>#NAME?</v>
      </c>
    </row>
    <row r="13" spans="1:42" x14ac:dyDescent="0.35">
      <c r="A13" s="137">
        <v>4</v>
      </c>
      <c r="B13">
        <v>2012</v>
      </c>
      <c r="C13" s="271">
        <v>8.3394399999999997</v>
      </c>
      <c r="D13" s="271">
        <v>4.3226500000000003</v>
      </c>
      <c r="E13" s="271">
        <v>9.0330300000000001</v>
      </c>
      <c r="G13" t="str">
        <f t="shared" si="1"/>
        <v/>
      </c>
      <c r="H13" t="str">
        <f t="shared" si="0"/>
        <v/>
      </c>
      <c r="I13" t="str">
        <f t="shared" si="0"/>
        <v/>
      </c>
      <c r="P13" s="137">
        <v>4</v>
      </c>
      <c r="Q13">
        <v>2012</v>
      </c>
      <c r="R13" s="273" cm="1">
        <f t="array" ref="R13">C13-INDEX(L$2:L$9,$P13,1)</f>
        <v>8.3394399999999997</v>
      </c>
      <c r="S13" s="273" cm="1">
        <f t="array" ref="S13">D13-INDEX(M$2:M$9,$P13,1)</f>
        <v>4.3226500000000003</v>
      </c>
      <c r="T13" s="273" cm="1">
        <f t="array" ref="T13">E13-INDEX(N$2:N$9,$P13,1)</f>
        <v>9.0330300000000001</v>
      </c>
      <c r="V13" t="s">
        <v>107</v>
      </c>
      <c r="W13">
        <f ca="1">W14-W12</f>
        <v>23</v>
      </c>
      <c r="X13" t="e">
        <f ca="1">X14-X12</f>
        <v>#NAME?</v>
      </c>
      <c r="Y13" t="e">
        <f ca="1">X13/W13</f>
        <v>#NAME?</v>
      </c>
      <c r="AE13" t="e">
        <f ca="1"/>
        <v>#NAME?</v>
      </c>
      <c r="AF13" t="e">
        <f ca="1"/>
        <v>#NAME?</v>
      </c>
      <c r="AG13" t="e">
        <f ca="1"/>
        <v>#NAME?</v>
      </c>
      <c r="AI13" t="s">
        <v>107</v>
      </c>
      <c r="AJ13">
        <f ca="1">AJ14-AJ12</f>
        <v>-8</v>
      </c>
      <c r="AK13" t="e">
        <f ca="1">AK14-AK12</f>
        <v>#NAME?</v>
      </c>
      <c r="AL13" t="e">
        <f ca="1">AK13/AJ13</f>
        <v>#NAME?</v>
      </c>
    </row>
    <row r="14" spans="1:42" x14ac:dyDescent="0.35">
      <c r="A14" s="137">
        <v>5</v>
      </c>
      <c r="B14">
        <v>2008</v>
      </c>
      <c r="C14" s="271">
        <v>7.7452199999999998</v>
      </c>
      <c r="D14" s="271">
        <v>5.2744900000000001</v>
      </c>
      <c r="E14" s="271">
        <v>4.0256800000000004</v>
      </c>
      <c r="G14">
        <f t="shared" si="1"/>
        <v>7.9907733333333333</v>
      </c>
      <c r="H14">
        <f t="shared" si="0"/>
        <v>5.3382466666666666</v>
      </c>
      <c r="I14">
        <f t="shared" si="0"/>
        <v>3.9915600000000002</v>
      </c>
      <c r="P14" s="137">
        <v>5</v>
      </c>
      <c r="Q14">
        <v>2008</v>
      </c>
      <c r="R14" s="273" cm="1">
        <f t="array" ref="R14">C14-INDEX(L$2:L$9,$P14,1)</f>
        <v>7.7452199999999998</v>
      </c>
      <c r="S14" s="273" cm="1">
        <f t="array" ref="S14">D14-INDEX(M$2:M$9,$P14,1)</f>
        <v>5.2744900000000001</v>
      </c>
      <c r="T14" s="273" cm="1">
        <f t="array" ref="T14">E14-INDEX(N$2:N$9,$P14,1)</f>
        <v>4.0256800000000004</v>
      </c>
      <c r="V14" s="4" t="s">
        <v>161</v>
      </c>
      <c r="W14" s="4">
        <f>W8</f>
        <v>24</v>
      </c>
      <c r="X14" s="4">
        <f>SUMSQ(T2:T25)</f>
        <v>1608.6785176386209</v>
      </c>
      <c r="Y14" s="4"/>
      <c r="Z14" s="4"/>
      <c r="AA14" s="4"/>
      <c r="AB14" s="4"/>
      <c r="AE14" t="e">
        <f ca="1"/>
        <v>#NAME?</v>
      </c>
      <c r="AF14" t="e">
        <f ca="1"/>
        <v>#NAME?</v>
      </c>
      <c r="AG14" t="e">
        <f ca="1"/>
        <v>#NAME?</v>
      </c>
      <c r="AI14" s="4" t="s">
        <v>161</v>
      </c>
      <c r="AJ14" s="4">
        <f ca="1">AJ8</f>
        <v>-8</v>
      </c>
      <c r="AK14" s="4" t="e">
        <f ca="1">SUMSQ(AG2:AG25)</f>
        <v>#NAME?</v>
      </c>
      <c r="AL14" s="4"/>
      <c r="AM14" s="4"/>
      <c r="AN14" s="4"/>
      <c r="AO14" s="4"/>
    </row>
    <row r="15" spans="1:42" ht="15" thickBot="1" x14ac:dyDescent="0.4">
      <c r="A15" s="137">
        <v>5</v>
      </c>
      <c r="B15">
        <v>2010</v>
      </c>
      <c r="C15" s="271">
        <v>8.0331600000000005</v>
      </c>
      <c r="D15" s="271">
        <v>5.3003099999999996</v>
      </c>
      <c r="E15" s="271">
        <v>3.9876100000000001</v>
      </c>
      <c r="G15" t="str">
        <f t="shared" si="1"/>
        <v/>
      </c>
      <c r="H15" t="str">
        <f t="shared" si="0"/>
        <v/>
      </c>
      <c r="I15" t="str">
        <f t="shared" si="0"/>
        <v/>
      </c>
      <c r="P15" s="137">
        <v>5</v>
      </c>
      <c r="Q15">
        <v>2010</v>
      </c>
      <c r="R15" s="273" cm="1">
        <f t="array" ref="R15">C15-INDEX(L$2:L$9,$P15,1)</f>
        <v>8.0331600000000005</v>
      </c>
      <c r="S15" s="273" cm="1">
        <f t="array" ref="S15">D15-INDEX(M$2:M$9,$P15,1)</f>
        <v>5.3003099999999996</v>
      </c>
      <c r="T15" s="273" cm="1">
        <f t="array" ref="T15">E15-INDEX(N$2:N$9,$P15,1)</f>
        <v>3.9876100000000001</v>
      </c>
      <c r="AE15" t="e">
        <f ca="1"/>
        <v>#NAME?</v>
      </c>
      <c r="AF15" t="e">
        <f ca="1"/>
        <v>#NAME?</v>
      </c>
      <c r="AG15" t="e">
        <f ca="1"/>
        <v>#NAME?</v>
      </c>
      <c r="AM15" t="s">
        <v>686</v>
      </c>
      <c r="AO15">
        <f ca="1">SQRT(1+AM8/AJ13)</f>
        <v>0</v>
      </c>
    </row>
    <row r="16" spans="1:42" ht="15" thickTop="1" x14ac:dyDescent="0.35">
      <c r="A16" s="137">
        <v>5</v>
      </c>
      <c r="B16">
        <v>2012</v>
      </c>
      <c r="C16" s="271">
        <v>8.1939399999999996</v>
      </c>
      <c r="D16" s="271">
        <v>5.43994</v>
      </c>
      <c r="E16" s="271">
        <v>3.9613900000000002</v>
      </c>
      <c r="G16" t="str">
        <f t="shared" si="1"/>
        <v/>
      </c>
      <c r="H16" t="str">
        <f t="shared" si="0"/>
        <v/>
      </c>
      <c r="I16" t="str">
        <f t="shared" si="0"/>
        <v/>
      </c>
      <c r="P16" s="137">
        <v>5</v>
      </c>
      <c r="Q16">
        <v>2012</v>
      </c>
      <c r="R16" s="273" cm="1">
        <f t="array" ref="R16">C16-INDEX(L$2:L$9,$P16,1)</f>
        <v>8.1939399999999996</v>
      </c>
      <c r="S16" s="273" cm="1">
        <f t="array" ref="S16">D16-INDEX(M$2:M$9,$P16,1)</f>
        <v>5.43994</v>
      </c>
      <c r="T16" s="273" cm="1">
        <f t="array" ref="T16">E16-INDEX(N$2:N$9,$P16,1)</f>
        <v>3.9613900000000002</v>
      </c>
      <c r="V16" s="45"/>
      <c r="W16" s="45" t="s">
        <v>162</v>
      </c>
      <c r="X16" s="45" t="s">
        <v>163</v>
      </c>
      <c r="Y16" s="45" t="s">
        <v>164</v>
      </c>
      <c r="Z16" s="45" t="s">
        <v>92</v>
      </c>
      <c r="AA16" s="45" t="s">
        <v>127</v>
      </c>
      <c r="AB16" s="45" t="s">
        <v>128</v>
      </c>
      <c r="AC16" s="45" t="s">
        <v>165</v>
      </c>
      <c r="AE16" t="e">
        <f ca="1"/>
        <v>#NAME?</v>
      </c>
      <c r="AF16" t="e">
        <f ca="1"/>
        <v>#NAME?</v>
      </c>
      <c r="AG16" t="e">
        <f ca="1"/>
        <v>#NAME?</v>
      </c>
      <c r="AI16" s="45"/>
      <c r="AJ16" s="45" t="s">
        <v>162</v>
      </c>
      <c r="AK16" s="45" t="s">
        <v>163</v>
      </c>
      <c r="AL16" s="45" t="s">
        <v>164</v>
      </c>
      <c r="AM16" s="45" t="s">
        <v>92</v>
      </c>
      <c r="AN16" s="45" t="s">
        <v>127</v>
      </c>
      <c r="AO16" s="45" t="s">
        <v>128</v>
      </c>
      <c r="AP16" s="45" t="s">
        <v>165</v>
      </c>
    </row>
    <row r="17" spans="1:42" x14ac:dyDescent="0.35">
      <c r="A17" s="137">
        <v>6</v>
      </c>
      <c r="B17">
        <v>2008</v>
      </c>
      <c r="C17" s="271">
        <v>9.9685299999999994</v>
      </c>
      <c r="D17" s="271">
        <v>9.5003200000000003</v>
      </c>
      <c r="E17" s="271">
        <v>4.317361</v>
      </c>
      <c r="G17">
        <f t="shared" si="1"/>
        <v>10.042150000000001</v>
      </c>
      <c r="H17">
        <f t="shared" si="0"/>
        <v>9.845696666666667</v>
      </c>
      <c r="I17">
        <f t="shared" si="0"/>
        <v>4.1076636666666673</v>
      </c>
      <c r="P17" s="137">
        <v>6</v>
      </c>
      <c r="Q17">
        <v>2008</v>
      </c>
      <c r="R17" s="273" cm="1">
        <f t="array" ref="R17">C17-INDEX(L$2:L$9,$P17,1)</f>
        <v>9.9685299999999994</v>
      </c>
      <c r="S17" s="273" cm="1">
        <f t="array" ref="S17">D17-INDEX(M$2:M$9,$P17,1)</f>
        <v>9.5003200000000003</v>
      </c>
      <c r="T17" s="273" cm="1">
        <f t="array" ref="T17">E17-INDEX(N$2:N$9,$P17,1)</f>
        <v>4.317361</v>
      </c>
      <c r="V17" t="str">
        <f t="array" ref="V17:V18">TRANSPOSE(R1:S1)</f>
        <v>lcapital</v>
      </c>
      <c r="W17" t="e">
        <f t="array" aca="1" ref="W17:X18" ca="1">RegCoeff(R2:S25,T2:T25,FALSE)</f>
        <v>#NAME?</v>
      </c>
      <c r="X17" t="e">
        <f ca="1"/>
        <v>#NAME?</v>
      </c>
      <c r="Y17" t="e">
        <f ca="1">W17/X17</f>
        <v>#NAME?</v>
      </c>
      <c r="Z17" t="e">
        <f ca="1">_xlfn.T.DIST.2T(ABS(Y17),$W$13)</f>
        <v>#NAME?</v>
      </c>
      <c r="AA17" t="e">
        <f ca="1">W17-_xlfn.T.INV.2T(AA$10,$W$13)*X17</f>
        <v>#NAME?</v>
      </c>
      <c r="AB17" t="e">
        <f ca="1">W17+_xlfn.T.INV.2T(AA$10,$W$13)*X17</f>
        <v>#NAME?</v>
      </c>
      <c r="AC17" t="e" cm="1">
        <f t="array" aca="1" ref="AC17" ca="1">VIF(R2:S25,1)</f>
        <v>#NAME?</v>
      </c>
      <c r="AE17" t="e">
        <f ca="1"/>
        <v>#NAME?</v>
      </c>
      <c r="AF17" t="e">
        <f ca="1"/>
        <v>#NAME?</v>
      </c>
      <c r="AG17" t="e">
        <f ca="1"/>
        <v>#NAME?</v>
      </c>
      <c r="AI17" t="e">
        <f t="array" aca="1" ref="AI17:AI18" ca="1">TRANSPOSE(AE1:AF1)</f>
        <v>#NAME?</v>
      </c>
      <c r="AJ17" t="e">
        <f ca="1">W17</f>
        <v>#NAME?</v>
      </c>
      <c r="AK17" t="e">
        <f ca="1">X17*AO15</f>
        <v>#NAME?</v>
      </c>
      <c r="AL17" t="e">
        <f ca="1">AJ17/AK17</f>
        <v>#NAME?</v>
      </c>
      <c r="AM17" t="e">
        <f ca="1">_xlfn.T.DIST.2T(ABS(AL17),$AJ$13)</f>
        <v>#NAME?</v>
      </c>
      <c r="AN17" t="e">
        <f ca="1">AJ17-_xlfn.T.INV.2T(AN$10,$AJ$13)*AK17</f>
        <v>#NAME?</v>
      </c>
      <c r="AO17" t="e">
        <f ca="1">AJ17+_xlfn.T.INV.2T(AN$10,$AJ$13)*AK17</f>
        <v>#NAME?</v>
      </c>
      <c r="AP17" t="e" cm="1">
        <f t="array" aca="1" ref="AP17" ca="1">VIF(AE2:AF25,1)</f>
        <v>#NAME?</v>
      </c>
    </row>
    <row r="18" spans="1:42" x14ac:dyDescent="0.35">
      <c r="A18" s="137">
        <v>6</v>
      </c>
      <c r="B18">
        <v>2010</v>
      </c>
      <c r="C18" s="271">
        <v>10.10445</v>
      </c>
      <c r="D18" s="271">
        <v>10.0128</v>
      </c>
      <c r="E18" s="271">
        <v>4.1316800000000002</v>
      </c>
      <c r="G18" t="str">
        <f t="shared" si="1"/>
        <v/>
      </c>
      <c r="H18" t="str">
        <f t="shared" si="1"/>
        <v/>
      </c>
      <c r="I18" t="str">
        <f t="shared" si="1"/>
        <v/>
      </c>
      <c r="P18" s="137">
        <v>6</v>
      </c>
      <c r="Q18">
        <v>2010</v>
      </c>
      <c r="R18" s="273" cm="1">
        <f t="array" ref="R18">C18-INDEX(L$2:L$9,$P18,1)</f>
        <v>10.10445</v>
      </c>
      <c r="S18" s="273" cm="1">
        <f t="array" ref="S18">D18-INDEX(M$2:M$9,$P18,1)</f>
        <v>10.0128</v>
      </c>
      <c r="T18" s="273" cm="1">
        <f t="array" ref="T18">E18-INDEX(N$2:N$9,$P18,1)</f>
        <v>4.1316800000000002</v>
      </c>
      <c r="V18" s="4" t="str">
        <v>llabor</v>
      </c>
      <c r="W18" s="4" t="e">
        <f ca="1"/>
        <v>#NAME?</v>
      </c>
      <c r="X18" s="4" t="e">
        <f ca="1"/>
        <v>#NAME?</v>
      </c>
      <c r="Y18" s="4" t="e">
        <f ca="1">W18/X18</f>
        <v>#NAME?</v>
      </c>
      <c r="Z18" s="4" t="e">
        <f ca="1">_xlfn.T.DIST.2T(ABS(Y18),$W$13)</f>
        <v>#NAME?</v>
      </c>
      <c r="AA18" s="4" t="e">
        <f ca="1">W18-_xlfn.T.INV.2T(AA$10,$W$13)*X18</f>
        <v>#NAME?</v>
      </c>
      <c r="AB18" s="4" t="e">
        <f ca="1">W18+_xlfn.T.INV.2T(AA$10,$W$13)*X18</f>
        <v>#NAME?</v>
      </c>
      <c r="AC18" s="4" t="e" cm="1">
        <f t="array" aca="1" ref="AC18" ca="1">VIF(R2:S25,2)</f>
        <v>#NAME?</v>
      </c>
      <c r="AE18" t="e">
        <f ca="1"/>
        <v>#NAME?</v>
      </c>
      <c r="AF18" t="e">
        <f ca="1"/>
        <v>#NAME?</v>
      </c>
      <c r="AG18" t="e">
        <f ca="1"/>
        <v>#NAME?</v>
      </c>
      <c r="AI18" s="4" t="e">
        <f ca="1"/>
        <v>#NAME?</v>
      </c>
      <c r="AJ18" s="4" t="e">
        <f ca="1">W18</f>
        <v>#NAME?</v>
      </c>
      <c r="AK18" s="4" t="e">
        <f ca="1">X18*AO15</f>
        <v>#NAME?</v>
      </c>
      <c r="AL18" s="4" t="e">
        <f ca="1">AJ18/AK18</f>
        <v>#NAME?</v>
      </c>
      <c r="AM18" s="4" t="e">
        <f ca="1">_xlfn.T.DIST.2T(ABS(AL18),$AJ$13)</f>
        <v>#NAME?</v>
      </c>
      <c r="AN18" s="4" t="e">
        <f ca="1">AJ18-_xlfn.T.INV.2T(AN$10,$AJ$13)*AK18</f>
        <v>#NAME?</v>
      </c>
      <c r="AO18" s="4" t="e">
        <f ca="1">AJ18+_xlfn.T.INV.2T(AN$10,$AJ$13)*AK18</f>
        <v>#NAME?</v>
      </c>
      <c r="AP18" s="4" t="e" cm="1">
        <f t="array" aca="1" ref="AP18" ca="1">VIF(AE2:AF25,2)</f>
        <v>#NAME?</v>
      </c>
    </row>
    <row r="19" spans="1:42" x14ac:dyDescent="0.35">
      <c r="A19" s="137">
        <v>6</v>
      </c>
      <c r="B19">
        <v>2012</v>
      </c>
      <c r="C19" s="271">
        <v>10.053470000000001</v>
      </c>
      <c r="D19" s="271">
        <v>10.02397</v>
      </c>
      <c r="E19" s="271">
        <v>3.8739499999999998</v>
      </c>
      <c r="G19" t="str">
        <f t="shared" ref="G19:I25" si="3">IF($B19=2008,AVERAGE(C19:C21),"")</f>
        <v/>
      </c>
      <c r="H19" t="str">
        <f t="shared" si="3"/>
        <v/>
      </c>
      <c r="I19" t="str">
        <f t="shared" si="3"/>
        <v/>
      </c>
      <c r="L19" s="4"/>
      <c r="M19" s="4"/>
      <c r="N19" s="4"/>
      <c r="P19" s="137">
        <v>6</v>
      </c>
      <c r="Q19">
        <v>2012</v>
      </c>
      <c r="R19" s="273" cm="1">
        <f t="array" ref="R19">C19-INDEX(L$2:L$9,$P19,1)</f>
        <v>10.053470000000001</v>
      </c>
      <c r="S19" s="273" cm="1">
        <f t="array" ref="S19">D19-INDEX(M$2:M$9,$P19,1)</f>
        <v>10.02397</v>
      </c>
      <c r="T19" s="273" cm="1">
        <f t="array" ref="T19">E19-INDEX(N$2:N$9,$P19,1)</f>
        <v>3.8739499999999998</v>
      </c>
      <c r="AE19" t="e">
        <f ca="1"/>
        <v>#NAME?</v>
      </c>
      <c r="AF19" t="e">
        <f ca="1"/>
        <v>#NAME?</v>
      </c>
      <c r="AG19" t="e">
        <f ca="1"/>
        <v>#NAME?</v>
      </c>
    </row>
    <row r="20" spans="1:42" x14ac:dyDescent="0.35">
      <c r="A20" s="137">
        <v>7</v>
      </c>
      <c r="B20">
        <v>2008</v>
      </c>
      <c r="C20" s="271">
        <v>10.55368</v>
      </c>
      <c r="D20" s="271">
        <v>5.0047100000000002</v>
      </c>
      <c r="E20" s="271">
        <v>11.523529999999999</v>
      </c>
      <c r="G20">
        <f t="shared" si="3"/>
        <v>10.882356666666666</v>
      </c>
      <c r="H20">
        <f t="shared" si="3"/>
        <v>5.2018233333333335</v>
      </c>
      <c r="I20">
        <f t="shared" si="3"/>
        <v>11.550716666666666</v>
      </c>
      <c r="P20" s="137">
        <v>7</v>
      </c>
      <c r="Q20">
        <v>2008</v>
      </c>
      <c r="R20" s="273" cm="1">
        <f t="array" ref="R20">C20-INDEX(L$2:L$9,$P20,1)</f>
        <v>10.55368</v>
      </c>
      <c r="S20" s="273" cm="1">
        <f t="array" ref="S20">D20-INDEX(M$2:M$9,$P20,1)</f>
        <v>5.0047100000000002</v>
      </c>
      <c r="T20" s="273" cm="1">
        <f t="array" ref="T20">E20-INDEX(N$2:N$9,$P20,1)</f>
        <v>11.523529999999999</v>
      </c>
      <c r="AE20" t="e">
        <f ca="1"/>
        <v>#NAME?</v>
      </c>
      <c r="AF20" t="e">
        <f ca="1"/>
        <v>#NAME?</v>
      </c>
      <c r="AG20" t="e">
        <f ca="1"/>
        <v>#NAME?</v>
      </c>
    </row>
    <row r="21" spans="1:42" x14ac:dyDescent="0.35">
      <c r="A21" s="137">
        <v>7</v>
      </c>
      <c r="B21">
        <v>2010</v>
      </c>
      <c r="C21" s="271">
        <v>10.74991</v>
      </c>
      <c r="D21" s="271">
        <v>5.1787400000000003</v>
      </c>
      <c r="E21" s="271">
        <v>11.54217</v>
      </c>
      <c r="G21" t="str">
        <f t="shared" si="3"/>
        <v/>
      </c>
      <c r="H21" t="str">
        <f t="shared" si="3"/>
        <v/>
      </c>
      <c r="I21" t="str">
        <f t="shared" si="3"/>
        <v/>
      </c>
      <c r="P21" s="137">
        <v>7</v>
      </c>
      <c r="Q21">
        <v>2010</v>
      </c>
      <c r="R21" s="273" cm="1">
        <f t="array" ref="R21">C21-INDEX(L$2:L$9,$P21,1)</f>
        <v>10.74991</v>
      </c>
      <c r="S21" s="273" cm="1">
        <f t="array" ref="S21">D21-INDEX(M$2:M$9,$P21,1)</f>
        <v>5.1787400000000003</v>
      </c>
      <c r="T21" s="273" cm="1">
        <f t="array" ref="T21">E21-INDEX(N$2:N$9,$P21,1)</f>
        <v>11.54217</v>
      </c>
      <c r="AE21" t="e">
        <f ca="1"/>
        <v>#NAME?</v>
      </c>
      <c r="AF21" t="e">
        <f ca="1"/>
        <v>#NAME?</v>
      </c>
      <c r="AG21" t="e">
        <f ca="1"/>
        <v>#NAME?</v>
      </c>
    </row>
    <row r="22" spans="1:42" x14ac:dyDescent="0.35">
      <c r="A22" s="137">
        <v>7</v>
      </c>
      <c r="B22">
        <v>2012</v>
      </c>
      <c r="C22" s="271">
        <v>11.34348</v>
      </c>
      <c r="D22" s="271">
        <v>5.4220199999999998</v>
      </c>
      <c r="E22" s="271">
        <v>11.586449999999999</v>
      </c>
      <c r="G22" t="str">
        <f t="shared" si="3"/>
        <v/>
      </c>
      <c r="H22" t="str">
        <f t="shared" si="3"/>
        <v/>
      </c>
      <c r="I22" t="str">
        <f t="shared" si="3"/>
        <v/>
      </c>
      <c r="P22" s="137">
        <v>7</v>
      </c>
      <c r="Q22">
        <v>2012</v>
      </c>
      <c r="R22" s="273" cm="1">
        <f t="array" ref="R22">C22-INDEX(L$2:L$9,$P22,1)</f>
        <v>11.34348</v>
      </c>
      <c r="S22" s="273" cm="1">
        <f t="array" ref="S22">D22-INDEX(M$2:M$9,$P22,1)</f>
        <v>5.4220199999999998</v>
      </c>
      <c r="T22" s="273" cm="1">
        <f t="array" ref="T22">E22-INDEX(N$2:N$9,$P22,1)</f>
        <v>11.586449999999999</v>
      </c>
      <c r="AE22" t="e">
        <f ca="1"/>
        <v>#NAME?</v>
      </c>
      <c r="AF22" t="e">
        <f ca="1"/>
        <v>#NAME?</v>
      </c>
      <c r="AG22" t="e">
        <f ca="1"/>
        <v>#NAME?</v>
      </c>
    </row>
    <row r="23" spans="1:42" x14ac:dyDescent="0.35">
      <c r="A23" s="137">
        <v>8</v>
      </c>
      <c r="B23">
        <v>2008</v>
      </c>
      <c r="C23" s="271">
        <v>7.9739199999999997</v>
      </c>
      <c r="D23" s="271">
        <v>4.01145</v>
      </c>
      <c r="E23" s="271">
        <v>8.7066099999999995</v>
      </c>
      <c r="G23">
        <f t="shared" si="3"/>
        <v>8.2006166666666669</v>
      </c>
      <c r="H23">
        <f t="shared" si="3"/>
        <v>3.9001466666666667</v>
      </c>
      <c r="I23">
        <f t="shared" si="3"/>
        <v>8.8319466666666671</v>
      </c>
      <c r="P23" s="137">
        <v>8</v>
      </c>
      <c r="Q23">
        <v>2008</v>
      </c>
      <c r="R23" s="273" cm="1">
        <f t="array" ref="R23">C23-INDEX(L$2:L$9,$P23,1)</f>
        <v>7.9739199999999997</v>
      </c>
      <c r="S23" s="273" cm="1">
        <f t="array" ref="S23">D23-INDEX(M$2:M$9,$P23,1)</f>
        <v>4.01145</v>
      </c>
      <c r="T23" s="273" cm="1">
        <f t="array" ref="T23">E23-INDEX(N$2:N$9,$P23,1)</f>
        <v>8.7066099999999995</v>
      </c>
      <c r="AE23" t="e">
        <f ca="1"/>
        <v>#NAME?</v>
      </c>
      <c r="AF23" t="e">
        <f ca="1"/>
        <v>#NAME?</v>
      </c>
      <c r="AG23" t="e">
        <f ca="1"/>
        <v>#NAME?</v>
      </c>
    </row>
    <row r="24" spans="1:42" x14ac:dyDescent="0.35">
      <c r="A24" s="137">
        <v>8</v>
      </c>
      <c r="B24">
        <v>2010</v>
      </c>
      <c r="C24" s="271">
        <v>8.2970400000000009</v>
      </c>
      <c r="D24" s="271">
        <v>3.8803399999999999</v>
      </c>
      <c r="E24" s="271">
        <v>8.8770299999999995</v>
      </c>
      <c r="G24" t="str">
        <f t="shared" si="3"/>
        <v/>
      </c>
      <c r="H24" t="str">
        <f t="shared" si="3"/>
        <v/>
      </c>
      <c r="I24" t="str">
        <f t="shared" si="3"/>
        <v/>
      </c>
      <c r="P24" s="137">
        <v>8</v>
      </c>
      <c r="Q24">
        <v>2010</v>
      </c>
      <c r="R24" s="273" cm="1">
        <f t="array" ref="R24">C24-INDEX(L$2:L$9,$P24,1)</f>
        <v>8.2970400000000009</v>
      </c>
      <c r="S24" s="273" cm="1">
        <f t="array" ref="S24">D24-INDEX(M$2:M$9,$P24,1)</f>
        <v>3.8803399999999999</v>
      </c>
      <c r="T24" s="273" cm="1">
        <f t="array" ref="T24">E24-INDEX(N$2:N$9,$P24,1)</f>
        <v>8.8770299999999995</v>
      </c>
      <c r="AE24" t="e">
        <f ca="1"/>
        <v>#NAME?</v>
      </c>
      <c r="AF24" t="e">
        <f ca="1"/>
        <v>#NAME?</v>
      </c>
      <c r="AG24" t="e">
        <f ca="1"/>
        <v>#NAME?</v>
      </c>
    </row>
    <row r="25" spans="1:42" x14ac:dyDescent="0.35">
      <c r="A25" s="10">
        <v>8</v>
      </c>
      <c r="B25" s="4">
        <v>2012</v>
      </c>
      <c r="C25" s="272">
        <v>8.3308900000000001</v>
      </c>
      <c r="D25" s="272">
        <v>3.8086500000000001</v>
      </c>
      <c r="E25" s="272">
        <v>8.9122000000000003</v>
      </c>
      <c r="G25" s="4" t="str">
        <f t="shared" si="3"/>
        <v/>
      </c>
      <c r="H25" s="4" t="str">
        <f t="shared" si="3"/>
        <v/>
      </c>
      <c r="I25" s="4" t="str">
        <f t="shared" si="3"/>
        <v/>
      </c>
      <c r="P25" s="10">
        <v>8</v>
      </c>
      <c r="Q25" s="4">
        <v>2012</v>
      </c>
      <c r="R25" s="270" cm="1">
        <f t="array" ref="R25">C25-INDEX(L$2:L$9,$P25,1)</f>
        <v>8.3308900000000001</v>
      </c>
      <c r="S25" s="270" cm="1">
        <f t="array" ref="S25">D25-INDEX(M$2:M$9,$P25,1)</f>
        <v>3.8086500000000001</v>
      </c>
      <c r="T25" s="270" cm="1">
        <f t="array" ref="T25">E25-INDEX(N$2:N$9,$P25,1)</f>
        <v>8.9122000000000003</v>
      </c>
      <c r="AE25" s="4" t="e">
        <f ca="1"/>
        <v>#NAME?</v>
      </c>
      <c r="AF25" s="4" t="e">
        <f ca="1"/>
        <v>#NAME?</v>
      </c>
      <c r="AG25" s="4" t="e">
        <f ca="1"/>
        <v>#NAME?</v>
      </c>
    </row>
    <row r="27" spans="1:42" x14ac:dyDescent="0.35">
      <c r="R27" s="2" t="e" cm="1">
        <f t="array" aca="1" ref="R27" ca="1">PANEL_DEMEAN(C1:E25,3,TRUE)</f>
        <v>#NAME?</v>
      </c>
      <c r="S27" s="2"/>
      <c r="T27" s="2"/>
    </row>
    <row r="51" spans="18:20" x14ac:dyDescent="0.35">
      <c r="R51" s="4"/>
      <c r="S51" s="4"/>
      <c r="T51" s="4"/>
    </row>
  </sheetData>
  <pageMargins left="0.7" right="0.7" top="0.75" bottom="0.75" header="0.3" footer="0.3"/>
  <pageSetup paperSize="9" orientation="portrait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6200-F273-40A4-8655-05CC90A4CF00}">
  <sheetPr codeName="Sheet49"/>
  <dimension ref="A1:AJ26"/>
  <sheetViews>
    <sheetView zoomScaleNormal="100" workbookViewId="0">
      <selection activeCell="S1" sqref="S1"/>
    </sheetView>
  </sheetViews>
  <sheetFormatPr defaultRowHeight="14.5" x14ac:dyDescent="0.35"/>
  <cols>
    <col min="1" max="2" width="5.08984375" customWidth="1"/>
    <col min="3" max="4" width="8.7265625" style="271"/>
    <col min="5" max="12" width="4" style="271" customWidth="1"/>
    <col min="13" max="13" width="8.7265625" style="271"/>
    <col min="15" max="15" width="17" customWidth="1"/>
  </cols>
  <sheetData>
    <row r="1" spans="1:36" x14ac:dyDescent="0.35">
      <c r="A1" s="10" t="s">
        <v>679</v>
      </c>
      <c r="B1" s="10" t="s">
        <v>540</v>
      </c>
      <c r="C1" s="274" t="s">
        <v>680</v>
      </c>
      <c r="D1" s="274" t="s">
        <v>681</v>
      </c>
      <c r="E1" s="10">
        <v>1</v>
      </c>
      <c r="F1" s="10">
        <f>E1+1</f>
        <v>2</v>
      </c>
      <c r="G1" s="10">
        <f t="shared" ref="G1:L1" si="0">F1+1</f>
        <v>3</v>
      </c>
      <c r="H1" s="10">
        <f t="shared" si="0"/>
        <v>4</v>
      </c>
      <c r="I1" s="10">
        <f>H1+1</f>
        <v>5</v>
      </c>
      <c r="J1" s="10">
        <f>I1+1</f>
        <v>6</v>
      </c>
      <c r="K1" s="10">
        <f>J1+1</f>
        <v>7</v>
      </c>
      <c r="L1" s="10">
        <f t="shared" si="0"/>
        <v>8</v>
      </c>
      <c r="M1" s="274" t="s">
        <v>682</v>
      </c>
      <c r="O1" t="s">
        <v>141</v>
      </c>
      <c r="W1" t="e" cm="1">
        <f t="array" aca="1" ref="W1" ca="1">PANEL_DVM('Demean 3'!C1:E25,3,TRUE)</f>
        <v>#NAME?</v>
      </c>
    </row>
    <row r="2" spans="1:36" x14ac:dyDescent="0.35">
      <c r="A2" s="137">
        <v>1</v>
      </c>
      <c r="B2" s="1">
        <v>2008</v>
      </c>
      <c r="C2" s="273">
        <v>8.9138500000000001</v>
      </c>
      <c r="D2" s="273">
        <v>3.1783199999999998</v>
      </c>
      <c r="E2" s="137">
        <f>IF($A2=E$1,1,0)</f>
        <v>1</v>
      </c>
      <c r="F2" s="137">
        <f t="shared" ref="F2:L17" si="1">IF($A2=F$1,1,0)</f>
        <v>0</v>
      </c>
      <c r="G2" s="137">
        <f t="shared" si="1"/>
        <v>0</v>
      </c>
      <c r="H2" s="137">
        <f t="shared" si="1"/>
        <v>0</v>
      </c>
      <c r="I2" s="137">
        <f t="shared" si="1"/>
        <v>0</v>
      </c>
      <c r="J2" s="137">
        <f t="shared" si="1"/>
        <v>0</v>
      </c>
      <c r="K2" s="137">
        <f t="shared" si="1"/>
        <v>0</v>
      </c>
      <c r="L2" s="137">
        <f t="shared" si="1"/>
        <v>0</v>
      </c>
      <c r="M2" s="273">
        <v>9.5985499999999995</v>
      </c>
      <c r="AI2" t="e" cm="1">
        <f t="array" aca="1" ref="AI2" ca="1">Rsquare_Test(C2:L25,C2:D25,M2:M25,TRUE)</f>
        <v>#NAME?</v>
      </c>
      <c r="AJ2" s="118"/>
    </row>
    <row r="3" spans="1:36" ht="15" thickBot="1" x14ac:dyDescent="0.4">
      <c r="A3" s="137">
        <v>1</v>
      </c>
      <c r="B3">
        <v>2010</v>
      </c>
      <c r="C3" s="271">
        <v>8.9305000000000003</v>
      </c>
      <c r="D3" s="271">
        <v>3.4831300000000001</v>
      </c>
      <c r="E3" s="137">
        <f t="shared" ref="E3:L25" si="2">IF($A3=E$1,1,0)</f>
        <v>1</v>
      </c>
      <c r="F3" s="137">
        <f t="shared" si="1"/>
        <v>0</v>
      </c>
      <c r="G3" s="137">
        <f t="shared" si="1"/>
        <v>0</v>
      </c>
      <c r="H3" s="137">
        <f t="shared" si="1"/>
        <v>0</v>
      </c>
      <c r="I3" s="137">
        <f t="shared" si="1"/>
        <v>0</v>
      </c>
      <c r="J3" s="137">
        <f t="shared" si="1"/>
        <v>0</v>
      </c>
      <c r="K3" s="137">
        <f t="shared" si="1"/>
        <v>0</v>
      </c>
      <c r="L3" s="137">
        <f t="shared" si="1"/>
        <v>0</v>
      </c>
      <c r="M3" s="271">
        <v>9.7047600000000003</v>
      </c>
      <c r="O3" s="44" t="s">
        <v>142</v>
      </c>
      <c r="P3" s="44"/>
      <c r="R3" s="44"/>
      <c r="S3" s="44"/>
      <c r="AJ3" s="24"/>
    </row>
    <row r="4" spans="1:36" ht="15" thickTop="1" x14ac:dyDescent="0.35">
      <c r="A4" s="137">
        <v>1</v>
      </c>
      <c r="B4">
        <v>2012</v>
      </c>
      <c r="C4" s="271">
        <v>9.0151000000000003</v>
      </c>
      <c r="D4" s="271">
        <v>3.83507</v>
      </c>
      <c r="E4" s="137">
        <f t="shared" si="2"/>
        <v>1</v>
      </c>
      <c r="F4" s="137">
        <f t="shared" si="1"/>
        <v>0</v>
      </c>
      <c r="G4" s="137">
        <f t="shared" si="1"/>
        <v>0</v>
      </c>
      <c r="H4" s="137">
        <f t="shared" si="1"/>
        <v>0</v>
      </c>
      <c r="I4" s="137">
        <f t="shared" si="1"/>
        <v>0</v>
      </c>
      <c r="J4" s="137">
        <f t="shared" si="1"/>
        <v>0</v>
      </c>
      <c r="K4" s="137">
        <f t="shared" si="1"/>
        <v>0</v>
      </c>
      <c r="L4" s="137">
        <f t="shared" si="1"/>
        <v>0</v>
      </c>
      <c r="M4" s="271">
        <v>9.8431499999999996</v>
      </c>
      <c r="O4" t="s">
        <v>144</v>
      </c>
      <c r="P4" t="e">
        <f ca="1">SQRT(P5)</f>
        <v>#NAME?</v>
      </c>
      <c r="R4" t="s">
        <v>145</v>
      </c>
      <c r="S4" t="e">
        <f ca="1">P8*LN(Q13/P8)+2*P12</f>
        <v>#NAME?</v>
      </c>
      <c r="AJ4" s="24"/>
    </row>
    <row r="5" spans="1:36" x14ac:dyDescent="0.35">
      <c r="A5" s="137">
        <v>2</v>
      </c>
      <c r="B5">
        <v>2008</v>
      </c>
      <c r="C5" s="271">
        <v>7.7774000000000001</v>
      </c>
      <c r="D5" s="271">
        <v>4.2269300000000003</v>
      </c>
      <c r="E5" s="137">
        <f t="shared" si="2"/>
        <v>0</v>
      </c>
      <c r="F5" s="137">
        <f t="shared" si="1"/>
        <v>1</v>
      </c>
      <c r="G5" s="137">
        <f t="shared" si="1"/>
        <v>0</v>
      </c>
      <c r="H5" s="137">
        <f t="shared" si="1"/>
        <v>0</v>
      </c>
      <c r="I5" s="137">
        <f t="shared" si="1"/>
        <v>0</v>
      </c>
      <c r="J5" s="137">
        <f t="shared" si="1"/>
        <v>0</v>
      </c>
      <c r="K5" s="137">
        <f t="shared" si="1"/>
        <v>0</v>
      </c>
      <c r="L5" s="137">
        <f t="shared" si="1"/>
        <v>0</v>
      </c>
      <c r="M5" s="271">
        <v>8.1265400000000003</v>
      </c>
      <c r="O5" t="s">
        <v>148</v>
      </c>
      <c r="P5" t="e">
        <f ca="1">Q12/Q14</f>
        <v>#NAME?</v>
      </c>
      <c r="R5" t="s">
        <v>149</v>
      </c>
      <c r="S5" t="e">
        <f ca="1">S4+2*(P12+1)*(P12+2)/(P8-P12-2)</f>
        <v>#NAME?</v>
      </c>
      <c r="AJ5" s="24"/>
    </row>
    <row r="6" spans="1:36" x14ac:dyDescent="0.35">
      <c r="A6" s="137">
        <v>2</v>
      </c>
      <c r="B6">
        <v>2010</v>
      </c>
      <c r="C6" s="271">
        <v>7.2570899999999998</v>
      </c>
      <c r="D6" s="271">
        <v>4.43757</v>
      </c>
      <c r="E6" s="137">
        <f t="shared" si="2"/>
        <v>0</v>
      </c>
      <c r="F6" s="137">
        <f t="shared" si="1"/>
        <v>1</v>
      </c>
      <c r="G6" s="137">
        <f t="shared" si="1"/>
        <v>0</v>
      </c>
      <c r="H6" s="137">
        <f t="shared" si="1"/>
        <v>0</v>
      </c>
      <c r="I6" s="137">
        <f t="shared" si="1"/>
        <v>0</v>
      </c>
      <c r="J6" s="137">
        <f t="shared" si="1"/>
        <v>0</v>
      </c>
      <c r="K6" s="137">
        <f t="shared" si="1"/>
        <v>0</v>
      </c>
      <c r="L6" s="137">
        <f t="shared" si="1"/>
        <v>0</v>
      </c>
      <c r="M6" s="271">
        <v>8.5477600000000002</v>
      </c>
      <c r="O6" t="s">
        <v>150</v>
      </c>
      <c r="P6" t="e">
        <f ca="1">1-(1-P5)*P8/(P8-P12)</f>
        <v>#NAME?</v>
      </c>
      <c r="R6" s="4" t="s">
        <v>411</v>
      </c>
      <c r="S6" s="4" t="e">
        <f ca="1">P8*LN(Q13/P8)+P12*LN(P8)</f>
        <v>#NAME?</v>
      </c>
      <c r="AJ6" s="24"/>
    </row>
    <row r="7" spans="1:36" x14ac:dyDescent="0.35">
      <c r="A7" s="137">
        <v>2</v>
      </c>
      <c r="B7">
        <v>2012</v>
      </c>
      <c r="C7" s="271">
        <v>9.3117599999999996</v>
      </c>
      <c r="D7" s="271">
        <v>4.3935599999999999</v>
      </c>
      <c r="E7" s="137">
        <f t="shared" si="2"/>
        <v>0</v>
      </c>
      <c r="F7" s="137">
        <f t="shared" si="1"/>
        <v>1</v>
      </c>
      <c r="G7" s="137">
        <f t="shared" si="1"/>
        <v>0</v>
      </c>
      <c r="H7" s="137">
        <f t="shared" si="1"/>
        <v>0</v>
      </c>
      <c r="I7" s="137">
        <f t="shared" si="1"/>
        <v>0</v>
      </c>
      <c r="J7" s="137">
        <f t="shared" si="1"/>
        <v>0</v>
      </c>
      <c r="K7" s="137">
        <f t="shared" si="1"/>
        <v>0</v>
      </c>
      <c r="L7" s="137">
        <f t="shared" si="1"/>
        <v>0</v>
      </c>
      <c r="M7" s="271">
        <v>7.7975899999999996</v>
      </c>
      <c r="O7" t="s">
        <v>146</v>
      </c>
      <c r="P7" t="e">
        <f ca="1">SQRT(R13)</f>
        <v>#NAME?</v>
      </c>
      <c r="AJ7" s="34"/>
    </row>
    <row r="8" spans="1:36" x14ac:dyDescent="0.35">
      <c r="A8" s="137">
        <v>3</v>
      </c>
      <c r="B8">
        <v>2008</v>
      </c>
      <c r="C8" s="271">
        <v>5.54861</v>
      </c>
      <c r="D8" s="271">
        <v>4.8532000000000002</v>
      </c>
      <c r="E8" s="137">
        <f t="shared" si="2"/>
        <v>0</v>
      </c>
      <c r="F8" s="137">
        <f t="shared" si="1"/>
        <v>0</v>
      </c>
      <c r="G8" s="137">
        <f t="shared" si="1"/>
        <v>1</v>
      </c>
      <c r="H8" s="137">
        <f t="shared" si="1"/>
        <v>0</v>
      </c>
      <c r="I8" s="137">
        <f t="shared" si="1"/>
        <v>0</v>
      </c>
      <c r="J8" s="137">
        <f t="shared" si="1"/>
        <v>0</v>
      </c>
      <c r="K8" s="137">
        <f t="shared" si="1"/>
        <v>0</v>
      </c>
      <c r="L8" s="137">
        <f t="shared" si="1"/>
        <v>0</v>
      </c>
      <c r="M8" s="271">
        <v>7.3699300000000001</v>
      </c>
      <c r="O8" s="4" t="s">
        <v>153</v>
      </c>
      <c r="P8" s="4">
        <f>COUNT(M2:M25)</f>
        <v>24</v>
      </c>
    </row>
    <row r="9" spans="1:36" x14ac:dyDescent="0.35">
      <c r="A9" s="137">
        <v>3</v>
      </c>
      <c r="B9">
        <v>2010</v>
      </c>
      <c r="C9" s="271">
        <v>6.5219699999999996</v>
      </c>
      <c r="D9" s="271">
        <v>4.1636499999999996</v>
      </c>
      <c r="E9" s="137">
        <f t="shared" si="2"/>
        <v>0</v>
      </c>
      <c r="F9" s="137">
        <f t="shared" si="1"/>
        <v>0</v>
      </c>
      <c r="G9" s="137">
        <f t="shared" si="1"/>
        <v>1</v>
      </c>
      <c r="H9" s="137">
        <f t="shared" si="1"/>
        <v>0</v>
      </c>
      <c r="I9" s="137">
        <f t="shared" si="1"/>
        <v>0</v>
      </c>
      <c r="J9" s="137">
        <f t="shared" si="1"/>
        <v>0</v>
      </c>
      <c r="K9" s="137">
        <f t="shared" si="1"/>
        <v>0</v>
      </c>
      <c r="L9" s="137">
        <f t="shared" si="1"/>
        <v>0</v>
      </c>
      <c r="M9" s="271">
        <v>7.4622799999999998</v>
      </c>
    </row>
    <row r="10" spans="1:36" ht="15" thickBot="1" x14ac:dyDescent="0.4">
      <c r="A10" s="137">
        <v>3</v>
      </c>
      <c r="B10">
        <v>2012</v>
      </c>
      <c r="C10" s="271">
        <v>7.8148999999999997</v>
      </c>
      <c r="D10" s="271">
        <v>3.9602599999999999</v>
      </c>
      <c r="E10" s="137">
        <f t="shared" si="2"/>
        <v>0</v>
      </c>
      <c r="F10" s="137">
        <f t="shared" si="1"/>
        <v>0</v>
      </c>
      <c r="G10" s="137">
        <f t="shared" si="1"/>
        <v>1</v>
      </c>
      <c r="H10" s="137">
        <f t="shared" si="1"/>
        <v>0</v>
      </c>
      <c r="I10" s="137">
        <f t="shared" si="1"/>
        <v>0</v>
      </c>
      <c r="J10" s="137">
        <f t="shared" si="1"/>
        <v>0</v>
      </c>
      <c r="K10" s="137">
        <f t="shared" si="1"/>
        <v>0</v>
      </c>
      <c r="L10" s="137">
        <f t="shared" si="1"/>
        <v>0</v>
      </c>
      <c r="M10" s="271">
        <v>7.4587300000000001</v>
      </c>
      <c r="O10" t="s">
        <v>155</v>
      </c>
      <c r="S10" s="137" t="s">
        <v>156</v>
      </c>
      <c r="T10" s="137">
        <v>0.05</v>
      </c>
    </row>
    <row r="11" spans="1:36" ht="15" thickTop="1" x14ac:dyDescent="0.35">
      <c r="A11" s="137">
        <v>4</v>
      </c>
      <c r="B11">
        <v>2008</v>
      </c>
      <c r="C11" s="271">
        <v>9.3600399999999997</v>
      </c>
      <c r="D11" s="271">
        <v>4.67028</v>
      </c>
      <c r="E11" s="137">
        <f t="shared" si="2"/>
        <v>0</v>
      </c>
      <c r="F11" s="137">
        <f t="shared" si="1"/>
        <v>0</v>
      </c>
      <c r="G11" s="137">
        <f t="shared" si="1"/>
        <v>0</v>
      </c>
      <c r="H11" s="137">
        <f t="shared" si="1"/>
        <v>1</v>
      </c>
      <c r="I11" s="137">
        <f t="shared" si="1"/>
        <v>0</v>
      </c>
      <c r="J11" s="137">
        <f t="shared" si="1"/>
        <v>0</v>
      </c>
      <c r="K11" s="137">
        <f t="shared" si="1"/>
        <v>0</v>
      </c>
      <c r="L11" s="137">
        <f t="shared" si="1"/>
        <v>0</v>
      </c>
      <c r="M11" s="271">
        <v>8.25901</v>
      </c>
      <c r="O11" s="45"/>
      <c r="P11" s="45" t="s">
        <v>88</v>
      </c>
      <c r="Q11" s="45" t="s">
        <v>157</v>
      </c>
      <c r="R11" s="45" t="s">
        <v>158</v>
      </c>
      <c r="S11" s="45" t="s">
        <v>159</v>
      </c>
      <c r="T11" s="45" t="s">
        <v>92</v>
      </c>
      <c r="U11" s="45" t="s">
        <v>84</v>
      </c>
    </row>
    <row r="12" spans="1:36" x14ac:dyDescent="0.35">
      <c r="A12" s="137">
        <v>4</v>
      </c>
      <c r="B12">
        <v>2010</v>
      </c>
      <c r="C12" s="271">
        <v>9.2680000000000007</v>
      </c>
      <c r="D12" s="271">
        <v>4.5826599999999997</v>
      </c>
      <c r="E12" s="137">
        <f t="shared" si="2"/>
        <v>0</v>
      </c>
      <c r="F12" s="137">
        <f t="shared" si="1"/>
        <v>0</v>
      </c>
      <c r="G12" s="137">
        <f t="shared" si="1"/>
        <v>0</v>
      </c>
      <c r="H12" s="137">
        <f t="shared" si="1"/>
        <v>1</v>
      </c>
      <c r="I12" s="137">
        <f t="shared" si="1"/>
        <v>0</v>
      </c>
      <c r="J12" s="137">
        <f t="shared" si="1"/>
        <v>0</v>
      </c>
      <c r="K12" s="137">
        <f t="shared" si="1"/>
        <v>0</v>
      </c>
      <c r="L12" s="137">
        <f t="shared" si="1"/>
        <v>0</v>
      </c>
      <c r="M12" s="271">
        <v>8.7930200000000003</v>
      </c>
      <c r="O12" t="s">
        <v>160</v>
      </c>
      <c r="P12">
        <f>COUNT(C2:L2)</f>
        <v>10</v>
      </c>
      <c r="Q12" t="e">
        <f ca="1">SUMSQ(MMULT(C2:L25,P17:P26))</f>
        <v>#NAME?</v>
      </c>
      <c r="R12" t="e">
        <f ca="1">Q12/P12</f>
        <v>#NAME?</v>
      </c>
      <c r="S12" t="e">
        <f ca="1">R12/R13</f>
        <v>#NAME?</v>
      </c>
      <c r="T12" t="e">
        <f ca="1">_xlfn.F.DIST.RT(S12,P12,P13)</f>
        <v>#NAME?</v>
      </c>
      <c r="U12" s="137" t="e">
        <f ca="1">IF(T12&lt;T10,"yes","no")</f>
        <v>#NAME?</v>
      </c>
    </row>
    <row r="13" spans="1:36" x14ac:dyDescent="0.35">
      <c r="A13" s="137">
        <v>4</v>
      </c>
      <c r="B13">
        <v>2012</v>
      </c>
      <c r="C13" s="271">
        <v>8.3394399999999997</v>
      </c>
      <c r="D13" s="271">
        <v>4.3226500000000003</v>
      </c>
      <c r="E13" s="137">
        <f t="shared" si="2"/>
        <v>0</v>
      </c>
      <c r="F13" s="137">
        <f t="shared" si="1"/>
        <v>0</v>
      </c>
      <c r="G13" s="137">
        <f t="shared" si="1"/>
        <v>0</v>
      </c>
      <c r="H13" s="137">
        <f t="shared" si="1"/>
        <v>1</v>
      </c>
      <c r="I13" s="137">
        <f t="shared" si="1"/>
        <v>0</v>
      </c>
      <c r="J13" s="137">
        <f t="shared" si="1"/>
        <v>0</v>
      </c>
      <c r="K13" s="137">
        <f t="shared" si="1"/>
        <v>0</v>
      </c>
      <c r="L13" s="137">
        <f t="shared" si="1"/>
        <v>0</v>
      </c>
      <c r="M13" s="271">
        <v>9.0330300000000001</v>
      </c>
      <c r="O13" t="s">
        <v>107</v>
      </c>
      <c r="P13">
        <f>P14-P12</f>
        <v>14</v>
      </c>
      <c r="Q13" t="e">
        <f ca="1">Q14-Q12</f>
        <v>#NAME?</v>
      </c>
      <c r="R13" t="e">
        <f ca="1">Q13/P13</f>
        <v>#NAME?</v>
      </c>
    </row>
    <row r="14" spans="1:36" x14ac:dyDescent="0.35">
      <c r="A14" s="137">
        <v>5</v>
      </c>
      <c r="B14">
        <v>2008</v>
      </c>
      <c r="C14" s="271">
        <v>7.7452199999999998</v>
      </c>
      <c r="D14" s="271">
        <v>5.2744900000000001</v>
      </c>
      <c r="E14" s="137">
        <f t="shared" si="2"/>
        <v>0</v>
      </c>
      <c r="F14" s="137">
        <f t="shared" si="1"/>
        <v>0</v>
      </c>
      <c r="G14" s="137">
        <f t="shared" si="1"/>
        <v>0</v>
      </c>
      <c r="H14" s="137">
        <f t="shared" si="1"/>
        <v>0</v>
      </c>
      <c r="I14" s="137">
        <f t="shared" si="1"/>
        <v>1</v>
      </c>
      <c r="J14" s="137">
        <f t="shared" si="1"/>
        <v>0</v>
      </c>
      <c r="K14" s="137">
        <f t="shared" si="1"/>
        <v>0</v>
      </c>
      <c r="L14" s="137">
        <f t="shared" si="1"/>
        <v>0</v>
      </c>
      <c r="M14" s="271">
        <v>4.0256800000000004</v>
      </c>
      <c r="O14" s="4" t="s">
        <v>161</v>
      </c>
      <c r="P14" s="4">
        <f>P8</f>
        <v>24</v>
      </c>
      <c r="Q14" s="4">
        <f>SUMSQ(M2:M25)</f>
        <v>1608.6785176386209</v>
      </c>
      <c r="R14" s="4"/>
      <c r="S14" s="4"/>
      <c r="T14" s="4"/>
      <c r="U14" s="4"/>
    </row>
    <row r="15" spans="1:36" ht="15" thickBot="1" x14ac:dyDescent="0.4">
      <c r="A15" s="137">
        <v>5</v>
      </c>
      <c r="B15">
        <v>2010</v>
      </c>
      <c r="C15" s="271">
        <v>8.0331600000000005</v>
      </c>
      <c r="D15" s="271">
        <v>5.3003099999999996</v>
      </c>
      <c r="E15" s="137">
        <f t="shared" si="2"/>
        <v>0</v>
      </c>
      <c r="F15" s="137">
        <f t="shared" si="1"/>
        <v>0</v>
      </c>
      <c r="G15" s="137">
        <f t="shared" si="1"/>
        <v>0</v>
      </c>
      <c r="H15" s="137">
        <f t="shared" si="1"/>
        <v>0</v>
      </c>
      <c r="I15" s="137">
        <f t="shared" si="1"/>
        <v>1</v>
      </c>
      <c r="J15" s="137">
        <f t="shared" si="1"/>
        <v>0</v>
      </c>
      <c r="K15" s="137">
        <f t="shared" si="1"/>
        <v>0</v>
      </c>
      <c r="L15" s="137">
        <f t="shared" si="1"/>
        <v>0</v>
      </c>
      <c r="M15" s="271">
        <v>3.9876100000000001</v>
      </c>
    </row>
    <row r="16" spans="1:36" ht="15" thickTop="1" x14ac:dyDescent="0.35">
      <c r="A16" s="137">
        <v>5</v>
      </c>
      <c r="B16">
        <v>2012</v>
      </c>
      <c r="C16" s="271">
        <v>8.1939399999999996</v>
      </c>
      <c r="D16" s="271">
        <v>5.43994</v>
      </c>
      <c r="E16" s="137">
        <f t="shared" si="2"/>
        <v>0</v>
      </c>
      <c r="F16" s="137">
        <f t="shared" si="1"/>
        <v>0</v>
      </c>
      <c r="G16" s="137">
        <f t="shared" si="1"/>
        <v>0</v>
      </c>
      <c r="H16" s="137">
        <f t="shared" si="1"/>
        <v>0</v>
      </c>
      <c r="I16" s="137">
        <f t="shared" si="1"/>
        <v>1</v>
      </c>
      <c r="J16" s="137">
        <f t="shared" si="1"/>
        <v>0</v>
      </c>
      <c r="K16" s="137">
        <f t="shared" si="1"/>
        <v>0</v>
      </c>
      <c r="L16" s="137">
        <f t="shared" si="1"/>
        <v>0</v>
      </c>
      <c r="M16" s="271">
        <v>3.9613900000000002</v>
      </c>
      <c r="O16" s="45"/>
      <c r="P16" s="45" t="s">
        <v>162</v>
      </c>
      <c r="Q16" s="45" t="s">
        <v>163</v>
      </c>
      <c r="R16" s="45" t="s">
        <v>164</v>
      </c>
      <c r="S16" s="45" t="s">
        <v>92</v>
      </c>
      <c r="T16" s="45" t="s">
        <v>127</v>
      </c>
      <c r="U16" s="45" t="s">
        <v>128</v>
      </c>
    </row>
    <row r="17" spans="1:21" x14ac:dyDescent="0.35">
      <c r="A17" s="137">
        <v>6</v>
      </c>
      <c r="B17">
        <v>2008</v>
      </c>
      <c r="C17" s="271">
        <v>9.9685299999999994</v>
      </c>
      <c r="D17" s="271">
        <v>9.5003200000000003</v>
      </c>
      <c r="E17" s="137">
        <f t="shared" si="2"/>
        <v>0</v>
      </c>
      <c r="F17" s="137">
        <f t="shared" si="1"/>
        <v>0</v>
      </c>
      <c r="G17" s="137">
        <f t="shared" si="1"/>
        <v>0</v>
      </c>
      <c r="H17" s="137">
        <f t="shared" si="1"/>
        <v>0</v>
      </c>
      <c r="I17" s="137">
        <f t="shared" si="1"/>
        <v>0</v>
      </c>
      <c r="J17" s="137">
        <f t="shared" si="1"/>
        <v>1</v>
      </c>
      <c r="K17" s="137">
        <f t="shared" si="1"/>
        <v>0</v>
      </c>
      <c r="L17" s="137">
        <f t="shared" si="1"/>
        <v>0</v>
      </c>
      <c r="M17" s="271">
        <v>4.317361</v>
      </c>
      <c r="O17" t="str">
        <f t="array" ref="O17:O26">TRANSPOSE(C1:L1)</f>
        <v>lcapital</v>
      </c>
      <c r="P17" t="e">
        <f t="array" aca="1" ref="P17:Q26" ca="1">RegCoeff(C2:L25,M2:M25,FALSE)</f>
        <v>#NAME?</v>
      </c>
      <c r="Q17" t="e">
        <f ca="1"/>
        <v>#NAME?</v>
      </c>
      <c r="R17" t="e">
        <f ca="1">P17/Q17</f>
        <v>#NAME?</v>
      </c>
      <c r="S17" t="e">
        <f ca="1">_xlfn.T.DIST.2T(ABS(R17),$P$13)</f>
        <v>#NAME?</v>
      </c>
      <c r="T17" t="e">
        <f ca="1">P17-_xlfn.T.INV.2T(T$10,$P$13)*Q17</f>
        <v>#NAME?</v>
      </c>
      <c r="U17" t="e">
        <f ca="1">P17+_xlfn.T.INV.2T(T$10,$P$13)*Q17</f>
        <v>#NAME?</v>
      </c>
    </row>
    <row r="18" spans="1:21" x14ac:dyDescent="0.35">
      <c r="A18" s="137">
        <v>6</v>
      </c>
      <c r="B18">
        <v>2010</v>
      </c>
      <c r="C18" s="271">
        <v>10.10445</v>
      </c>
      <c r="D18" s="271">
        <v>10.0128</v>
      </c>
      <c r="E18" s="137">
        <f t="shared" si="2"/>
        <v>0</v>
      </c>
      <c r="F18" s="137">
        <f t="shared" si="2"/>
        <v>0</v>
      </c>
      <c r="G18" s="137">
        <f t="shared" si="2"/>
        <v>0</v>
      </c>
      <c r="H18" s="137">
        <f t="shared" si="2"/>
        <v>0</v>
      </c>
      <c r="I18" s="137">
        <f t="shared" si="2"/>
        <v>0</v>
      </c>
      <c r="J18" s="137">
        <f t="shared" si="2"/>
        <v>1</v>
      </c>
      <c r="K18" s="137">
        <f t="shared" si="2"/>
        <v>0</v>
      </c>
      <c r="L18" s="137">
        <f t="shared" si="2"/>
        <v>0</v>
      </c>
      <c r="M18" s="271">
        <v>4.1316800000000002</v>
      </c>
      <c r="O18" t="str">
        <v>llabor</v>
      </c>
      <c r="P18" t="e">
        <f ca="1"/>
        <v>#NAME?</v>
      </c>
      <c r="Q18" t="e">
        <f ca="1"/>
        <v>#NAME?</v>
      </c>
      <c r="R18" t="e">
        <f t="shared" ref="R18:R26" ca="1" si="3">P18/Q18</f>
        <v>#NAME?</v>
      </c>
      <c r="S18" t="e">
        <f t="shared" ref="S18:S26" ca="1" si="4">_xlfn.T.DIST.2T(ABS(R18),$P$13)</f>
        <v>#NAME?</v>
      </c>
      <c r="T18" t="e">
        <f t="shared" ref="T18:T26" ca="1" si="5">P18-_xlfn.T.INV.2T(T$10,$P$13)*Q18</f>
        <v>#NAME?</v>
      </c>
      <c r="U18" t="e">
        <f t="shared" ref="U18:U26" ca="1" si="6">P18+_xlfn.T.INV.2T(T$10,$P$13)*Q18</f>
        <v>#NAME?</v>
      </c>
    </row>
    <row r="19" spans="1:21" x14ac:dyDescent="0.35">
      <c r="A19" s="137">
        <v>6</v>
      </c>
      <c r="B19">
        <v>2012</v>
      </c>
      <c r="C19" s="271">
        <v>10.053470000000001</v>
      </c>
      <c r="D19" s="271">
        <v>10.02397</v>
      </c>
      <c r="E19" s="137">
        <f t="shared" si="2"/>
        <v>0</v>
      </c>
      <c r="F19" s="137">
        <f t="shared" si="2"/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 t="shared" si="2"/>
        <v>1</v>
      </c>
      <c r="K19" s="137">
        <f t="shared" si="2"/>
        <v>0</v>
      </c>
      <c r="L19" s="137">
        <f t="shared" si="2"/>
        <v>0</v>
      </c>
      <c r="M19" s="271">
        <v>3.8739499999999998</v>
      </c>
      <c r="O19">
        <v>1</v>
      </c>
      <c r="P19" t="e">
        <f ca="1"/>
        <v>#NAME?</v>
      </c>
      <c r="Q19" t="e">
        <f ca="1"/>
        <v>#NAME?</v>
      </c>
      <c r="R19" t="e">
        <f t="shared" ca="1" si="3"/>
        <v>#NAME?</v>
      </c>
      <c r="S19" t="e">
        <f t="shared" ca="1" si="4"/>
        <v>#NAME?</v>
      </c>
      <c r="T19" t="e">
        <f t="shared" ca="1" si="5"/>
        <v>#NAME?</v>
      </c>
      <c r="U19" t="e">
        <f t="shared" ca="1" si="6"/>
        <v>#NAME?</v>
      </c>
    </row>
    <row r="20" spans="1:21" x14ac:dyDescent="0.35">
      <c r="A20" s="137">
        <v>7</v>
      </c>
      <c r="B20">
        <v>2008</v>
      </c>
      <c r="C20" s="271">
        <v>10.55368</v>
      </c>
      <c r="D20" s="271">
        <v>5.0047100000000002</v>
      </c>
      <c r="E20" s="137">
        <f t="shared" si="2"/>
        <v>0</v>
      </c>
      <c r="F20" s="137">
        <f t="shared" si="2"/>
        <v>0</v>
      </c>
      <c r="G20" s="137">
        <f t="shared" si="2"/>
        <v>0</v>
      </c>
      <c r="H20" s="137">
        <f t="shared" si="2"/>
        <v>0</v>
      </c>
      <c r="I20" s="137">
        <f t="shared" si="2"/>
        <v>0</v>
      </c>
      <c r="J20" s="137">
        <f t="shared" si="2"/>
        <v>0</v>
      </c>
      <c r="K20" s="137">
        <f t="shared" si="2"/>
        <v>1</v>
      </c>
      <c r="L20" s="137">
        <f t="shared" si="2"/>
        <v>0</v>
      </c>
      <c r="M20" s="271">
        <v>11.523529999999999</v>
      </c>
      <c r="O20">
        <v>2</v>
      </c>
      <c r="P20" t="e">
        <f ca="1"/>
        <v>#NAME?</v>
      </c>
      <c r="Q20" t="e">
        <f ca="1"/>
        <v>#NAME?</v>
      </c>
      <c r="R20" t="e">
        <f t="shared" ca="1" si="3"/>
        <v>#NAME?</v>
      </c>
      <c r="S20" t="e">
        <f t="shared" ca="1" si="4"/>
        <v>#NAME?</v>
      </c>
      <c r="T20" t="e">
        <f t="shared" ca="1" si="5"/>
        <v>#NAME?</v>
      </c>
      <c r="U20" t="e">
        <f t="shared" ca="1" si="6"/>
        <v>#NAME?</v>
      </c>
    </row>
    <row r="21" spans="1:21" x14ac:dyDescent="0.35">
      <c r="A21" s="137">
        <v>7</v>
      </c>
      <c r="B21">
        <v>2010</v>
      </c>
      <c r="C21" s="271">
        <v>10.74991</v>
      </c>
      <c r="D21" s="271">
        <v>5.1787400000000003</v>
      </c>
      <c r="E21" s="137">
        <f t="shared" si="2"/>
        <v>0</v>
      </c>
      <c r="F21" s="137">
        <f t="shared" si="2"/>
        <v>0</v>
      </c>
      <c r="G21" s="137">
        <f t="shared" si="2"/>
        <v>0</v>
      </c>
      <c r="H21" s="137">
        <f t="shared" si="2"/>
        <v>0</v>
      </c>
      <c r="I21" s="137">
        <f t="shared" si="2"/>
        <v>0</v>
      </c>
      <c r="J21" s="137">
        <f t="shared" si="2"/>
        <v>0</v>
      </c>
      <c r="K21" s="137">
        <f t="shared" si="2"/>
        <v>1</v>
      </c>
      <c r="L21" s="137">
        <f t="shared" si="2"/>
        <v>0</v>
      </c>
      <c r="M21" s="271">
        <v>11.54217</v>
      </c>
      <c r="O21">
        <v>3</v>
      </c>
      <c r="P21" t="e">
        <f ca="1"/>
        <v>#NAME?</v>
      </c>
      <c r="Q21" t="e">
        <f ca="1"/>
        <v>#NAME?</v>
      </c>
      <c r="R21" t="e">
        <f t="shared" ca="1" si="3"/>
        <v>#NAME?</v>
      </c>
      <c r="S21" t="e">
        <f t="shared" ca="1" si="4"/>
        <v>#NAME?</v>
      </c>
      <c r="T21" t="e">
        <f t="shared" ca="1" si="5"/>
        <v>#NAME?</v>
      </c>
      <c r="U21" t="e">
        <f t="shared" ca="1" si="6"/>
        <v>#NAME?</v>
      </c>
    </row>
    <row r="22" spans="1:21" x14ac:dyDescent="0.35">
      <c r="A22" s="137">
        <v>7</v>
      </c>
      <c r="B22">
        <v>2012</v>
      </c>
      <c r="C22" s="271">
        <v>11.34348</v>
      </c>
      <c r="D22" s="271">
        <v>5.4220199999999998</v>
      </c>
      <c r="E22" s="137">
        <f t="shared" si="2"/>
        <v>0</v>
      </c>
      <c r="F22" s="137">
        <f t="shared" si="2"/>
        <v>0</v>
      </c>
      <c r="G22" s="137">
        <f t="shared" si="2"/>
        <v>0</v>
      </c>
      <c r="H22" s="137">
        <f t="shared" si="2"/>
        <v>0</v>
      </c>
      <c r="I22" s="137">
        <f t="shared" si="2"/>
        <v>0</v>
      </c>
      <c r="J22" s="137">
        <f t="shared" si="2"/>
        <v>0</v>
      </c>
      <c r="K22" s="137">
        <f t="shared" si="2"/>
        <v>1</v>
      </c>
      <c r="L22" s="137">
        <f t="shared" si="2"/>
        <v>0</v>
      </c>
      <c r="M22" s="271">
        <v>11.586449999999999</v>
      </c>
      <c r="O22">
        <v>4</v>
      </c>
      <c r="P22" t="e">
        <f ca="1"/>
        <v>#NAME?</v>
      </c>
      <c r="Q22" t="e">
        <f ca="1"/>
        <v>#NAME?</v>
      </c>
      <c r="R22" t="e">
        <f t="shared" ca="1" si="3"/>
        <v>#NAME?</v>
      </c>
      <c r="S22" t="e">
        <f t="shared" ca="1" si="4"/>
        <v>#NAME?</v>
      </c>
      <c r="T22" t="e">
        <f t="shared" ca="1" si="5"/>
        <v>#NAME?</v>
      </c>
      <c r="U22" t="e">
        <f t="shared" ca="1" si="6"/>
        <v>#NAME?</v>
      </c>
    </row>
    <row r="23" spans="1:21" x14ac:dyDescent="0.35">
      <c r="A23" s="137">
        <v>8</v>
      </c>
      <c r="B23">
        <v>2008</v>
      </c>
      <c r="C23" s="271">
        <v>7.9739199999999997</v>
      </c>
      <c r="D23" s="271">
        <v>4.01145</v>
      </c>
      <c r="E23" s="137">
        <f t="shared" si="2"/>
        <v>0</v>
      </c>
      <c r="F23" s="137">
        <f t="shared" si="2"/>
        <v>0</v>
      </c>
      <c r="G23" s="137">
        <f t="shared" si="2"/>
        <v>0</v>
      </c>
      <c r="H23" s="137">
        <f t="shared" si="2"/>
        <v>0</v>
      </c>
      <c r="I23" s="137">
        <f t="shared" si="2"/>
        <v>0</v>
      </c>
      <c r="J23" s="137">
        <f t="shared" si="2"/>
        <v>0</v>
      </c>
      <c r="K23" s="137">
        <f t="shared" si="2"/>
        <v>0</v>
      </c>
      <c r="L23" s="137">
        <f t="shared" si="2"/>
        <v>1</v>
      </c>
      <c r="M23" s="271">
        <v>8.7066099999999995</v>
      </c>
      <c r="O23">
        <v>5</v>
      </c>
      <c r="P23" t="e">
        <f ca="1"/>
        <v>#NAME?</v>
      </c>
      <c r="Q23" t="e">
        <f ca="1"/>
        <v>#NAME?</v>
      </c>
      <c r="R23" t="e">
        <f t="shared" ca="1" si="3"/>
        <v>#NAME?</v>
      </c>
      <c r="S23" t="e">
        <f t="shared" ca="1" si="4"/>
        <v>#NAME?</v>
      </c>
      <c r="T23" t="e">
        <f t="shared" ca="1" si="5"/>
        <v>#NAME?</v>
      </c>
      <c r="U23" t="e">
        <f t="shared" ca="1" si="6"/>
        <v>#NAME?</v>
      </c>
    </row>
    <row r="24" spans="1:21" x14ac:dyDescent="0.35">
      <c r="A24" s="137">
        <v>8</v>
      </c>
      <c r="B24">
        <v>2010</v>
      </c>
      <c r="C24" s="271">
        <v>8.2970400000000009</v>
      </c>
      <c r="D24" s="271">
        <v>3.8803399999999999</v>
      </c>
      <c r="E24" s="137">
        <f t="shared" si="2"/>
        <v>0</v>
      </c>
      <c r="F24" s="137">
        <f t="shared" si="2"/>
        <v>0</v>
      </c>
      <c r="G24" s="137">
        <f t="shared" si="2"/>
        <v>0</v>
      </c>
      <c r="H24" s="137">
        <f t="shared" si="2"/>
        <v>0</v>
      </c>
      <c r="I24" s="137">
        <f t="shared" si="2"/>
        <v>0</v>
      </c>
      <c r="J24" s="137">
        <f t="shared" si="2"/>
        <v>0</v>
      </c>
      <c r="K24" s="137">
        <f t="shared" si="2"/>
        <v>0</v>
      </c>
      <c r="L24" s="137">
        <f t="shared" si="2"/>
        <v>1</v>
      </c>
      <c r="M24" s="271">
        <v>8.8770299999999995</v>
      </c>
      <c r="O24">
        <v>6</v>
      </c>
      <c r="P24" t="e">
        <f ca="1"/>
        <v>#NAME?</v>
      </c>
      <c r="Q24" t="e">
        <f ca="1"/>
        <v>#NAME?</v>
      </c>
      <c r="R24" t="e">
        <f t="shared" ca="1" si="3"/>
        <v>#NAME?</v>
      </c>
      <c r="S24" t="e">
        <f t="shared" ca="1" si="4"/>
        <v>#NAME?</v>
      </c>
      <c r="T24" t="e">
        <f t="shared" ca="1" si="5"/>
        <v>#NAME?</v>
      </c>
      <c r="U24" t="e">
        <f t="shared" ca="1" si="6"/>
        <v>#NAME?</v>
      </c>
    </row>
    <row r="25" spans="1:21" x14ac:dyDescent="0.35">
      <c r="A25" s="10">
        <v>8</v>
      </c>
      <c r="B25" s="4">
        <v>2012</v>
      </c>
      <c r="C25" s="272">
        <v>8.3308900000000001</v>
      </c>
      <c r="D25" s="272">
        <v>3.8086500000000001</v>
      </c>
      <c r="E25" s="10">
        <f t="shared" si="2"/>
        <v>0</v>
      </c>
      <c r="F25" s="10">
        <f t="shared" si="2"/>
        <v>0</v>
      </c>
      <c r="G25" s="10">
        <f t="shared" si="2"/>
        <v>0</v>
      </c>
      <c r="H25" s="10">
        <f t="shared" si="2"/>
        <v>0</v>
      </c>
      <c r="I25" s="10">
        <f t="shared" si="2"/>
        <v>0</v>
      </c>
      <c r="J25" s="10">
        <f t="shared" si="2"/>
        <v>0</v>
      </c>
      <c r="K25" s="10">
        <f t="shared" si="2"/>
        <v>0</v>
      </c>
      <c r="L25" s="10">
        <f t="shared" si="2"/>
        <v>1</v>
      </c>
      <c r="M25" s="272">
        <v>8.9122000000000003</v>
      </c>
      <c r="O25">
        <v>7</v>
      </c>
      <c r="P25" t="e">
        <f ca="1"/>
        <v>#NAME?</v>
      </c>
      <c r="Q25" t="e">
        <f ca="1"/>
        <v>#NAME?</v>
      </c>
      <c r="R25" t="e">
        <f t="shared" ca="1" si="3"/>
        <v>#NAME?</v>
      </c>
      <c r="S25" t="e">
        <f t="shared" ca="1" si="4"/>
        <v>#NAME?</v>
      </c>
      <c r="T25" t="e">
        <f t="shared" ca="1" si="5"/>
        <v>#NAME?</v>
      </c>
      <c r="U25" t="e">
        <f t="shared" ca="1" si="6"/>
        <v>#NAME?</v>
      </c>
    </row>
    <row r="26" spans="1:21" x14ac:dyDescent="0.35">
      <c r="O26" s="4">
        <v>8</v>
      </c>
      <c r="P26" s="4" t="e">
        <f ca="1"/>
        <v>#NAME?</v>
      </c>
      <c r="Q26" s="4" t="e">
        <f ca="1"/>
        <v>#NAME?</v>
      </c>
      <c r="R26" s="4" t="e">
        <f t="shared" ca="1" si="3"/>
        <v>#NAME?</v>
      </c>
      <c r="S26" s="4" t="e">
        <f t="shared" ca="1" si="4"/>
        <v>#NAME?</v>
      </c>
      <c r="T26" s="4" t="e">
        <f t="shared" ca="1" si="5"/>
        <v>#NAME?</v>
      </c>
      <c r="U26" s="4" t="e">
        <f t="shared" ca="1" si="6"/>
        <v>#NAME?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8B863-D863-4FEE-B7D8-B730CBD83E87}">
  <sheetPr codeName="Sheet74"/>
  <dimension ref="A1:BG25"/>
  <sheetViews>
    <sheetView zoomScaleNormal="100" workbookViewId="0">
      <selection activeCell="S1" sqref="S1"/>
    </sheetView>
  </sheetViews>
  <sheetFormatPr defaultRowHeight="14.5" x14ac:dyDescent="0.35"/>
  <cols>
    <col min="1" max="2" width="5.08984375" customWidth="1"/>
    <col min="3" max="5" width="8.7265625" style="271"/>
    <col min="6" max="10" width="0" hidden="1" customWidth="1"/>
    <col min="11" max="11" width="15.81640625" hidden="1" customWidth="1"/>
    <col min="12" max="18" width="0" hidden="1" customWidth="1"/>
    <col min="19" max="19" width="4.6328125" customWidth="1"/>
    <col min="20" max="20" width="7.453125" customWidth="1"/>
    <col min="23" max="23" width="4.6328125" customWidth="1"/>
    <col min="24" max="24" width="16" customWidth="1"/>
    <col min="32" max="32" width="4.6328125" customWidth="1"/>
    <col min="33" max="34" width="6.26953125" customWidth="1"/>
    <col min="35" max="35" width="8.7265625" customWidth="1"/>
    <col min="39" max="39" width="4.6328125" customWidth="1"/>
    <col min="40" max="40" width="16.81640625" customWidth="1"/>
    <col min="53" max="53" width="16" customWidth="1"/>
  </cols>
  <sheetData>
    <row r="1" spans="1:59" x14ac:dyDescent="0.35">
      <c r="A1" s="10" t="s">
        <v>679</v>
      </c>
      <c r="B1" s="10" t="s">
        <v>540</v>
      </c>
      <c r="C1" s="274" t="s">
        <v>680</v>
      </c>
      <c r="D1" s="274" t="s">
        <v>681</v>
      </c>
      <c r="E1" s="274" t="s">
        <v>682</v>
      </c>
      <c r="G1" s="2" t="e" cm="1">
        <f t="array" aca="1" ref="G1" ca="1">PANEL_DEMEAN(C1:E25,3,TRUE)</f>
        <v>#NAME?</v>
      </c>
      <c r="H1" s="2"/>
      <c r="I1" s="2"/>
      <c r="K1" t="s">
        <v>141</v>
      </c>
      <c r="T1" s="2" t="e" cm="1">
        <f t="array" aca="1" ref="T1" ca="1">PANEL_MEANS(C1:E25,3,TRUE)</f>
        <v>#NAME?</v>
      </c>
      <c r="U1" s="2"/>
      <c r="V1" s="2"/>
      <c r="X1" t="s">
        <v>141</v>
      </c>
      <c r="AG1" s="10" t="s">
        <v>679</v>
      </c>
      <c r="AH1" s="10" t="s">
        <v>540</v>
      </c>
      <c r="AI1" s="10" t="s">
        <v>687</v>
      </c>
      <c r="AJ1" s="274" t="s">
        <v>680</v>
      </c>
      <c r="AK1" s="274" t="s">
        <v>681</v>
      </c>
      <c r="AL1" s="274" t="s">
        <v>682</v>
      </c>
      <c r="AN1" t="s">
        <v>688</v>
      </c>
      <c r="AV1" s="4" t="e">
        <f t="array" aca="1" ref="AV1:AY25" ca="1">PANEL_REM(C1:E25,3,TRUE)</f>
        <v>#NAME?</v>
      </c>
      <c r="AW1" s="4" t="e">
        <f ca="1"/>
        <v>#NAME?</v>
      </c>
      <c r="AX1" s="4" t="e">
        <f ca="1"/>
        <v>#NAME?</v>
      </c>
      <c r="AY1" s="4" t="e">
        <f ca="1"/>
        <v>#NAME?</v>
      </c>
      <c r="BA1" t="s">
        <v>689</v>
      </c>
    </row>
    <row r="2" spans="1:59" x14ac:dyDescent="0.35">
      <c r="A2" s="137">
        <v>1</v>
      </c>
      <c r="B2" s="1">
        <v>2008</v>
      </c>
      <c r="C2" s="273">
        <v>8.9138500000000001</v>
      </c>
      <c r="D2" s="273">
        <v>3.1783199999999998</v>
      </c>
      <c r="E2" s="273">
        <v>9.5985499999999995</v>
      </c>
      <c r="AG2" s="137">
        <v>1</v>
      </c>
      <c r="AH2" s="1">
        <v>2008</v>
      </c>
      <c r="AI2" s="1" t="e">
        <f ca="1">1-U17</f>
        <v>#NAME?</v>
      </c>
      <c r="AJ2" s="273" t="e" cm="1">
        <f t="array" aca="1" ref="AJ2" ca="1">C2-$U$17*INDEX(T$2:T$9,$AG2,1)</f>
        <v>#NAME?</v>
      </c>
      <c r="AK2" s="273" t="e" cm="1">
        <f t="array" aca="1" ref="AK2" ca="1">D2-$U$17*INDEX(U$2:U$9,$AG2,1)</f>
        <v>#NAME?</v>
      </c>
      <c r="AL2" s="273" t="e" cm="1">
        <f t="array" aca="1" ref="AL2" ca="1">E2-$U$17*INDEX(V$2:V$9,$AG2,1)</f>
        <v>#NAME?</v>
      </c>
      <c r="AV2" t="e">
        <f ca="1"/>
        <v>#NAME?</v>
      </c>
      <c r="AW2" t="e">
        <f ca="1"/>
        <v>#NAME?</v>
      </c>
      <c r="AX2" t="e">
        <f ca="1"/>
        <v>#NAME?</v>
      </c>
      <c r="AY2" t="e">
        <f ca="1"/>
        <v>#NAME?</v>
      </c>
    </row>
    <row r="3" spans="1:59" ht="15" thickBot="1" x14ac:dyDescent="0.4">
      <c r="A3" s="137">
        <v>1</v>
      </c>
      <c r="B3">
        <v>2010</v>
      </c>
      <c r="C3" s="271">
        <v>8.9305000000000003</v>
      </c>
      <c r="D3" s="271">
        <v>3.4831300000000001</v>
      </c>
      <c r="E3" s="271">
        <v>9.7047600000000003</v>
      </c>
      <c r="K3" s="44" t="s">
        <v>142</v>
      </c>
      <c r="L3" s="44"/>
      <c r="N3" s="44"/>
      <c r="O3" s="44"/>
      <c r="X3" s="44" t="s">
        <v>142</v>
      </c>
      <c r="Y3" s="44"/>
      <c r="AA3" s="44"/>
      <c r="AB3" s="44"/>
      <c r="AG3" s="137">
        <v>1</v>
      </c>
      <c r="AH3">
        <v>2010</v>
      </c>
      <c r="AI3" t="e">
        <f ca="1">AI2</f>
        <v>#NAME?</v>
      </c>
      <c r="AJ3" s="273" t="e" cm="1">
        <f t="array" aca="1" ref="AJ3" ca="1">C3-$U$17*INDEX(T$2:T$9,$AG3,1)</f>
        <v>#NAME?</v>
      </c>
      <c r="AK3" s="273" t="e" cm="1">
        <f t="array" aca="1" ref="AK3" ca="1">D3-$U$17*INDEX(U$2:U$9,$AG3,1)</f>
        <v>#NAME?</v>
      </c>
      <c r="AL3" s="273" t="e" cm="1">
        <f t="array" aca="1" ref="AL3" ca="1">E3-$U$17*INDEX(V$2:V$9,$AG3,1)</f>
        <v>#NAME?</v>
      </c>
      <c r="AN3" s="44" t="s">
        <v>142</v>
      </c>
      <c r="AO3" s="44"/>
      <c r="AQ3" s="44"/>
      <c r="AR3" s="44"/>
      <c r="AV3" t="e">
        <f ca="1"/>
        <v>#NAME?</v>
      </c>
      <c r="AW3" t="e">
        <f ca="1"/>
        <v>#NAME?</v>
      </c>
      <c r="AX3" t="e">
        <f ca="1"/>
        <v>#NAME?</v>
      </c>
      <c r="AY3" t="e">
        <f ca="1"/>
        <v>#NAME?</v>
      </c>
      <c r="BA3" s="44" t="s">
        <v>142</v>
      </c>
      <c r="BB3" s="44"/>
      <c r="BD3" s="44"/>
      <c r="BE3" s="44"/>
    </row>
    <row r="4" spans="1:59" ht="15" thickTop="1" x14ac:dyDescent="0.35">
      <c r="A4" s="137">
        <v>1</v>
      </c>
      <c r="B4">
        <v>2012</v>
      </c>
      <c r="C4" s="271">
        <v>9.0151000000000003</v>
      </c>
      <c r="D4" s="271">
        <v>3.83507</v>
      </c>
      <c r="E4" s="271">
        <v>9.8431499999999996</v>
      </c>
      <c r="K4" t="s">
        <v>144</v>
      </c>
      <c r="L4" t="e">
        <f>SQRT(L5)</f>
        <v>#VALUE!</v>
      </c>
      <c r="N4" t="s">
        <v>145</v>
      </c>
      <c r="O4" t="e">
        <f>L8*LN(M13/L8)+2*L12</f>
        <v>#VALUE!</v>
      </c>
      <c r="X4" t="s">
        <v>144</v>
      </c>
      <c r="Y4" t="e">
        <f ca="1">SQRT(Y5)</f>
        <v>#NAME?</v>
      </c>
      <c r="AA4" t="s">
        <v>145</v>
      </c>
      <c r="AB4" t="e">
        <f ca="1">Y8*LN(Z13/Y8)+2*(Y12+1)</f>
        <v>#NUM!</v>
      </c>
      <c r="AG4" s="137">
        <v>1</v>
      </c>
      <c r="AH4">
        <v>2012</v>
      </c>
      <c r="AI4" t="e">
        <f t="shared" ref="AI4:AI25" ca="1" si="0">AI3</f>
        <v>#NAME?</v>
      </c>
      <c r="AJ4" s="273" t="e" cm="1">
        <f t="array" aca="1" ref="AJ4" ca="1">C4-$U$17*INDEX(T$2:T$9,$AG4,1)</f>
        <v>#NAME?</v>
      </c>
      <c r="AK4" s="273" t="e" cm="1">
        <f t="array" aca="1" ref="AK4" ca="1">D4-$U$17*INDEX(U$2:U$9,$AG4,1)</f>
        <v>#NAME?</v>
      </c>
      <c r="AL4" s="273" t="e" cm="1">
        <f t="array" aca="1" ref="AL4" ca="1">E4-$U$17*INDEX(V$2:V$9,$AG4,1)</f>
        <v>#NAME?</v>
      </c>
      <c r="AN4" t="s">
        <v>144</v>
      </c>
      <c r="AO4" t="e">
        <f ca="1">SQRT(AO5)</f>
        <v>#NAME?</v>
      </c>
      <c r="AQ4" t="s">
        <v>145</v>
      </c>
      <c r="AR4" t="e">
        <f ca="1">AO8*LN(AP13/AO8)+2*AO12</f>
        <v>#NAME?</v>
      </c>
      <c r="AV4" t="e">
        <f ca="1"/>
        <v>#NAME?</v>
      </c>
      <c r="AW4" t="e">
        <f ca="1"/>
        <v>#NAME?</v>
      </c>
      <c r="AX4" t="e">
        <f ca="1"/>
        <v>#NAME?</v>
      </c>
      <c r="AY4" t="e">
        <f ca="1"/>
        <v>#NAME?</v>
      </c>
      <c r="BA4" t="s">
        <v>144</v>
      </c>
      <c r="BB4" t="e">
        <f ca="1">SQRT(BB5)</f>
        <v>#NAME?</v>
      </c>
      <c r="BD4" t="s">
        <v>145</v>
      </c>
      <c r="BE4" t="e">
        <f ca="1">BB8*LN(BC13/BB8)+2*BB12</f>
        <v>#NAME?</v>
      </c>
    </row>
    <row r="5" spans="1:59" x14ac:dyDescent="0.35">
      <c r="A5" s="137">
        <v>2</v>
      </c>
      <c r="B5">
        <v>2008</v>
      </c>
      <c r="C5" s="271">
        <v>7.7774000000000001</v>
      </c>
      <c r="D5" s="271">
        <v>4.2269300000000003</v>
      </c>
      <c r="E5" s="271">
        <v>8.1265400000000003</v>
      </c>
      <c r="K5" t="s">
        <v>148</v>
      </c>
      <c r="L5" t="e">
        <f>M12/M14</f>
        <v>#VALUE!</v>
      </c>
      <c r="N5" t="s">
        <v>149</v>
      </c>
      <c r="O5" t="e">
        <f>O4+2*(L12+1)*(L12+2)/(L8-L12-2)</f>
        <v>#VALUE!</v>
      </c>
      <c r="X5" t="s">
        <v>148</v>
      </c>
      <c r="Y5" t="e">
        <f ca="1">Z12/Z14</f>
        <v>#NAME?</v>
      </c>
      <c r="AA5" t="s">
        <v>149</v>
      </c>
      <c r="AB5" t="e">
        <f ca="1">AB4+2*(Y12+2)*(Y12+3)/(Y8-Y12-3)</f>
        <v>#NUM!</v>
      </c>
      <c r="AG5" s="137">
        <v>2</v>
      </c>
      <c r="AH5">
        <v>2008</v>
      </c>
      <c r="AI5" t="e">
        <f t="shared" ca="1" si="0"/>
        <v>#NAME?</v>
      </c>
      <c r="AJ5" s="273" t="e" cm="1">
        <f t="array" aca="1" ref="AJ5" ca="1">C5-$U$17*INDEX(T$2:T$9,$AG5,1)</f>
        <v>#NAME?</v>
      </c>
      <c r="AK5" s="273" t="e" cm="1">
        <f t="array" aca="1" ref="AK5" ca="1">D5-$U$17*INDEX(U$2:U$9,$AG5,1)</f>
        <v>#NAME?</v>
      </c>
      <c r="AL5" s="273" t="e" cm="1">
        <f t="array" aca="1" ref="AL5" ca="1">E5-$U$17*INDEX(V$2:V$9,$AG5,1)</f>
        <v>#NAME?</v>
      </c>
      <c r="AN5" t="s">
        <v>148</v>
      </c>
      <c r="AO5" t="e">
        <f ca="1">AP12/AP14</f>
        <v>#NAME?</v>
      </c>
      <c r="AQ5" t="s">
        <v>149</v>
      </c>
      <c r="AR5" t="e">
        <f ca="1">AR4+2*(AO12+1)*(AO12+2)/(AO8-AO12-2)</f>
        <v>#NAME?</v>
      </c>
      <c r="AV5" t="e">
        <f ca="1"/>
        <v>#NAME?</v>
      </c>
      <c r="AW5" t="e">
        <f ca="1"/>
        <v>#NAME?</v>
      </c>
      <c r="AX5" t="e">
        <f ca="1"/>
        <v>#NAME?</v>
      </c>
      <c r="AY5" t="e">
        <f ca="1"/>
        <v>#NAME?</v>
      </c>
      <c r="BA5" t="s">
        <v>148</v>
      </c>
      <c r="BB5" t="e">
        <f ca="1">BC12/BC14</f>
        <v>#NAME?</v>
      </c>
      <c r="BD5" t="s">
        <v>149</v>
      </c>
      <c r="BE5" t="e">
        <f ca="1">BE4+2*(BB12+1)*(BB12+2)/(BB8-BB12-2)</f>
        <v>#NAME?</v>
      </c>
    </row>
    <row r="6" spans="1:59" x14ac:dyDescent="0.35">
      <c r="A6" s="137">
        <v>2</v>
      </c>
      <c r="B6">
        <v>2010</v>
      </c>
      <c r="C6" s="271">
        <v>7.2570899999999998</v>
      </c>
      <c r="D6" s="271">
        <v>4.43757</v>
      </c>
      <c r="E6" s="271">
        <v>8.5477600000000002</v>
      </c>
      <c r="K6" t="s">
        <v>150</v>
      </c>
      <c r="L6" t="e">
        <f>1-(1-L5)*L8/(L8-L12)</f>
        <v>#VALUE!</v>
      </c>
      <c r="N6" s="4" t="s">
        <v>411</v>
      </c>
      <c r="O6" s="4" t="e">
        <f>L8*LN(M13/L8)+L12*LN(L8)</f>
        <v>#VALUE!</v>
      </c>
      <c r="X6" t="s">
        <v>150</v>
      </c>
      <c r="Y6" t="e">
        <f ca="1">1-(1-Y5)*(Y8-1)/(Y8-Y12-1)</f>
        <v>#NAME?</v>
      </c>
      <c r="AA6" s="4" t="s">
        <v>151</v>
      </c>
      <c r="AB6" s="4" t="e">
        <f ca="1">Y8*LN(Z13/Y8)+(Y12+1)*LN(Y8)</f>
        <v>#NUM!</v>
      </c>
      <c r="AG6" s="137">
        <v>2</v>
      </c>
      <c r="AH6">
        <v>2010</v>
      </c>
      <c r="AI6" t="e">
        <f t="shared" ca="1" si="0"/>
        <v>#NAME?</v>
      </c>
      <c r="AJ6" s="273" t="e" cm="1">
        <f t="array" aca="1" ref="AJ6" ca="1">C6-$U$17*INDEX(T$2:T$9,$AG6,1)</f>
        <v>#NAME?</v>
      </c>
      <c r="AK6" s="273" t="e" cm="1">
        <f t="array" aca="1" ref="AK6" ca="1">D6-$U$17*INDEX(U$2:U$9,$AG6,1)</f>
        <v>#NAME?</v>
      </c>
      <c r="AL6" s="273" t="e" cm="1">
        <f t="array" aca="1" ref="AL6" ca="1">E6-$U$17*INDEX(V$2:V$9,$AG6,1)</f>
        <v>#NAME?</v>
      </c>
      <c r="AN6" t="s">
        <v>150</v>
      </c>
      <c r="AO6" t="e">
        <f ca="1">1-(1-AO5)*AO8/(AO8-AO12)</f>
        <v>#NAME?</v>
      </c>
      <c r="AQ6" s="4" t="s">
        <v>411</v>
      </c>
      <c r="AR6" s="4" t="e">
        <f ca="1">AO8*LN(AP13/AO8)+AO12*LN(AO8)</f>
        <v>#NAME?</v>
      </c>
      <c r="AV6" t="e">
        <f ca="1"/>
        <v>#NAME?</v>
      </c>
      <c r="AW6" t="e">
        <f ca="1"/>
        <v>#NAME?</v>
      </c>
      <c r="AX6" t="e">
        <f ca="1"/>
        <v>#NAME?</v>
      </c>
      <c r="AY6" t="e">
        <f ca="1"/>
        <v>#NAME?</v>
      </c>
      <c r="BA6" t="s">
        <v>150</v>
      </c>
      <c r="BB6" t="e">
        <f ca="1">1-(1-BB5)*BB8/(BB8-BB12)</f>
        <v>#NAME?</v>
      </c>
      <c r="BD6" s="4" t="s">
        <v>411</v>
      </c>
      <c r="BE6" s="4" t="e">
        <f ca="1">BB8*LN(BC13/BB8)+BB12*LN(BB8)</f>
        <v>#NAME?</v>
      </c>
    </row>
    <row r="7" spans="1:59" x14ac:dyDescent="0.35">
      <c r="A7" s="137">
        <v>2</v>
      </c>
      <c r="B7">
        <v>2012</v>
      </c>
      <c r="C7" s="271">
        <v>9.3117599999999996</v>
      </c>
      <c r="D7" s="271">
        <v>4.3935599999999999</v>
      </c>
      <c r="E7" s="271">
        <v>7.7975899999999996</v>
      </c>
      <c r="K7" t="s">
        <v>146</v>
      </c>
      <c r="L7" t="e">
        <f>SQRT(N13)</f>
        <v>#VALUE!</v>
      </c>
      <c r="X7" t="s">
        <v>146</v>
      </c>
      <c r="Y7" t="e">
        <f ca="1">SQRT(AA13)</f>
        <v>#NUM!</v>
      </c>
      <c r="AG7" s="137">
        <v>2</v>
      </c>
      <c r="AH7">
        <v>2012</v>
      </c>
      <c r="AI7" t="e">
        <f t="shared" ca="1" si="0"/>
        <v>#NAME?</v>
      </c>
      <c r="AJ7" s="273" t="e" cm="1">
        <f t="array" aca="1" ref="AJ7" ca="1">C7-$U$17*INDEX(T$2:T$9,$AG7,1)</f>
        <v>#NAME?</v>
      </c>
      <c r="AK7" s="273" t="e" cm="1">
        <f t="array" aca="1" ref="AK7" ca="1">D7-$U$17*INDEX(U$2:U$9,$AG7,1)</f>
        <v>#NAME?</v>
      </c>
      <c r="AL7" s="273" t="e" cm="1">
        <f t="array" aca="1" ref="AL7" ca="1">E7-$U$17*INDEX(V$2:V$9,$AG7,1)</f>
        <v>#NAME?</v>
      </c>
      <c r="AN7" t="s">
        <v>146</v>
      </c>
      <c r="AO7" t="e">
        <f ca="1">SQRT(AQ13)</f>
        <v>#NAME?</v>
      </c>
      <c r="AV7" t="e">
        <f ca="1"/>
        <v>#NAME?</v>
      </c>
      <c r="AW7" t="e">
        <f ca="1"/>
        <v>#NAME?</v>
      </c>
      <c r="AX7" t="e">
        <f ca="1"/>
        <v>#NAME?</v>
      </c>
      <c r="AY7" t="e">
        <f ca="1"/>
        <v>#NAME?</v>
      </c>
      <c r="BA7" t="s">
        <v>146</v>
      </c>
      <c r="BB7" t="e">
        <f ca="1">SQRT(BD13)</f>
        <v>#NAME?</v>
      </c>
    </row>
    <row r="8" spans="1:59" x14ac:dyDescent="0.35">
      <c r="A8" s="137">
        <v>3</v>
      </c>
      <c r="B8">
        <v>2008</v>
      </c>
      <c r="C8" s="271">
        <v>5.54861</v>
      </c>
      <c r="D8" s="271">
        <v>4.8532000000000002</v>
      </c>
      <c r="E8" s="271">
        <v>7.3699300000000001</v>
      </c>
      <c r="K8" s="4" t="s">
        <v>153</v>
      </c>
      <c r="L8" s="4">
        <f>COUNT(I2:I25)-O8</f>
        <v>-8</v>
      </c>
      <c r="N8" s="15" t="s">
        <v>685</v>
      </c>
      <c r="O8" s="15">
        <f>A25</f>
        <v>8</v>
      </c>
      <c r="X8" s="4" t="s">
        <v>153</v>
      </c>
      <c r="Y8" s="4">
        <f>COUNT(V2:V9)</f>
        <v>0</v>
      </c>
      <c r="AG8" s="137">
        <v>3</v>
      </c>
      <c r="AH8">
        <v>2008</v>
      </c>
      <c r="AI8" t="e">
        <f t="shared" ca="1" si="0"/>
        <v>#NAME?</v>
      </c>
      <c r="AJ8" s="273" t="e" cm="1">
        <f t="array" aca="1" ref="AJ8" ca="1">C8-$U$17*INDEX(T$2:T$9,$AG8,1)</f>
        <v>#NAME?</v>
      </c>
      <c r="AK8" s="273" t="e" cm="1">
        <f t="array" aca="1" ref="AK8" ca="1">D8-$U$17*INDEX(U$2:U$9,$AG8,1)</f>
        <v>#NAME?</v>
      </c>
      <c r="AL8" s="273" t="e" cm="1">
        <f t="array" aca="1" ref="AL8" ca="1">E8-$U$17*INDEX(V$2:V$9,$AG8,1)</f>
        <v>#NAME?</v>
      </c>
      <c r="AN8" s="4" t="s">
        <v>153</v>
      </c>
      <c r="AO8" s="4">
        <f ca="1">COUNT(AL2:AL25)</f>
        <v>0</v>
      </c>
      <c r="AQ8" s="15" t="s">
        <v>690</v>
      </c>
      <c r="AR8" s="15" t="e">
        <f ca="1">U17</f>
        <v>#NAME?</v>
      </c>
      <c r="AV8" t="e">
        <f ca="1"/>
        <v>#NAME?</v>
      </c>
      <c r="AW8" t="e">
        <f ca="1"/>
        <v>#NAME?</v>
      </c>
      <c r="AX8" t="e">
        <f ca="1"/>
        <v>#NAME?</v>
      </c>
      <c r="AY8" t="e">
        <f ca="1"/>
        <v>#NAME?</v>
      </c>
      <c r="BA8" s="4" t="s">
        <v>153</v>
      </c>
      <c r="BB8" s="4">
        <f ca="1">COUNT(AY2:AY25)</f>
        <v>0</v>
      </c>
      <c r="BD8" s="15" t="s">
        <v>690</v>
      </c>
      <c r="BE8" s="15" t="e" cm="1">
        <f t="array" aca="1" ref="BE8" ca="1">REM_PARAM(C2:E25,3)</f>
        <v>#NAME?</v>
      </c>
    </row>
    <row r="9" spans="1:59" x14ac:dyDescent="0.35">
      <c r="A9" s="137">
        <v>3</v>
      </c>
      <c r="B9">
        <v>2010</v>
      </c>
      <c r="C9" s="271">
        <v>6.5219699999999996</v>
      </c>
      <c r="D9" s="271">
        <v>4.1636499999999996</v>
      </c>
      <c r="E9" s="271">
        <v>7.4622799999999998</v>
      </c>
      <c r="T9" s="4"/>
      <c r="U9" s="4"/>
      <c r="V9" s="4"/>
      <c r="AG9" s="137">
        <v>3</v>
      </c>
      <c r="AH9">
        <v>2010</v>
      </c>
      <c r="AI9" t="e">
        <f t="shared" ca="1" si="0"/>
        <v>#NAME?</v>
      </c>
      <c r="AJ9" s="273" t="e" cm="1">
        <f t="array" aca="1" ref="AJ9" ca="1">C9-$U$17*INDEX(T$2:T$9,$AG9,1)</f>
        <v>#NAME?</v>
      </c>
      <c r="AK9" s="273" t="e" cm="1">
        <f t="array" aca="1" ref="AK9" ca="1">D9-$U$17*INDEX(U$2:U$9,$AG9,1)</f>
        <v>#NAME?</v>
      </c>
      <c r="AL9" s="273" t="e" cm="1">
        <f t="array" aca="1" ref="AL9" ca="1">E9-$U$17*INDEX(V$2:V$9,$AG9,1)</f>
        <v>#NAME?</v>
      </c>
      <c r="AV9" t="e">
        <f ca="1"/>
        <v>#NAME?</v>
      </c>
      <c r="AW9" t="e">
        <f ca="1"/>
        <v>#NAME?</v>
      </c>
      <c r="AX9" t="e">
        <f ca="1"/>
        <v>#NAME?</v>
      </c>
      <c r="AY9" t="e">
        <f ca="1"/>
        <v>#NAME?</v>
      </c>
    </row>
    <row r="10" spans="1:59" ht="15" thickBot="1" x14ac:dyDescent="0.4">
      <c r="A10" s="137">
        <v>3</v>
      </c>
      <c r="B10">
        <v>2012</v>
      </c>
      <c r="C10" s="271">
        <v>7.8148999999999997</v>
      </c>
      <c r="D10" s="271">
        <v>3.9602599999999999</v>
      </c>
      <c r="E10" s="271">
        <v>7.4587300000000001</v>
      </c>
      <c r="K10" t="s">
        <v>155</v>
      </c>
      <c r="O10" s="137" t="s">
        <v>156</v>
      </c>
      <c r="P10" s="137">
        <v>0.05</v>
      </c>
      <c r="X10" t="s">
        <v>155</v>
      </c>
      <c r="AB10" s="137" t="s">
        <v>156</v>
      </c>
      <c r="AC10" s="137">
        <v>0.05</v>
      </c>
      <c r="AG10" s="137">
        <v>3</v>
      </c>
      <c r="AH10">
        <v>2012</v>
      </c>
      <c r="AI10" t="e">
        <f t="shared" ca="1" si="0"/>
        <v>#NAME?</v>
      </c>
      <c r="AJ10" s="273" t="e" cm="1">
        <f t="array" aca="1" ref="AJ10" ca="1">C10-$U$17*INDEX(T$2:T$9,$AG10,1)</f>
        <v>#NAME?</v>
      </c>
      <c r="AK10" s="273" t="e" cm="1">
        <f t="array" aca="1" ref="AK10" ca="1">D10-$U$17*INDEX(U$2:U$9,$AG10,1)</f>
        <v>#NAME?</v>
      </c>
      <c r="AL10" s="273" t="e" cm="1">
        <f t="array" aca="1" ref="AL10" ca="1">E10-$U$17*INDEX(V$2:V$9,$AG10,1)</f>
        <v>#NAME?</v>
      </c>
      <c r="AN10" t="s">
        <v>155</v>
      </c>
      <c r="AR10" s="137" t="s">
        <v>156</v>
      </c>
      <c r="AS10" s="137">
        <v>0.05</v>
      </c>
      <c r="AV10" t="e">
        <f ca="1"/>
        <v>#NAME?</v>
      </c>
      <c r="AW10" t="e">
        <f ca="1"/>
        <v>#NAME?</v>
      </c>
      <c r="AX10" t="e">
        <f ca="1"/>
        <v>#NAME?</v>
      </c>
      <c r="AY10" t="e">
        <f ca="1"/>
        <v>#NAME?</v>
      </c>
      <c r="BA10" t="s">
        <v>155</v>
      </c>
      <c r="BE10" s="137" t="s">
        <v>156</v>
      </c>
      <c r="BF10" s="137">
        <v>0.05</v>
      </c>
    </row>
    <row r="11" spans="1:59" ht="15" thickTop="1" x14ac:dyDescent="0.35">
      <c r="A11" s="137">
        <v>4</v>
      </c>
      <c r="B11">
        <v>2008</v>
      </c>
      <c r="C11" s="271">
        <v>9.3600399999999997</v>
      </c>
      <c r="D11" s="271">
        <v>4.67028</v>
      </c>
      <c r="E11" s="271">
        <v>8.25901</v>
      </c>
      <c r="K11" s="45"/>
      <c r="L11" s="45" t="s">
        <v>88</v>
      </c>
      <c r="M11" s="45" t="s">
        <v>157</v>
      </c>
      <c r="N11" s="45" t="s">
        <v>158</v>
      </c>
      <c r="O11" s="45" t="s">
        <v>159</v>
      </c>
      <c r="P11" s="45" t="s">
        <v>92</v>
      </c>
      <c r="Q11" s="45" t="s">
        <v>84</v>
      </c>
      <c r="T11" s="37" t="s">
        <v>361</v>
      </c>
      <c r="U11" s="118">
        <f>COUNTA(B2:B4)</f>
        <v>3</v>
      </c>
      <c r="X11" s="45"/>
      <c r="Y11" s="45" t="s">
        <v>88</v>
      </c>
      <c r="Z11" s="45" t="s">
        <v>157</v>
      </c>
      <c r="AA11" s="45" t="s">
        <v>158</v>
      </c>
      <c r="AB11" s="45" t="s">
        <v>159</v>
      </c>
      <c r="AC11" s="45" t="s">
        <v>92</v>
      </c>
      <c r="AD11" s="45" t="s">
        <v>84</v>
      </c>
      <c r="AG11" s="137">
        <v>4</v>
      </c>
      <c r="AH11">
        <v>2008</v>
      </c>
      <c r="AI11" t="e">
        <f t="shared" ca="1" si="0"/>
        <v>#NAME?</v>
      </c>
      <c r="AJ11" s="273" t="e" cm="1">
        <f t="array" aca="1" ref="AJ11" ca="1">C11-$U$17*INDEX(T$2:T$9,$AG11,1)</f>
        <v>#NAME?</v>
      </c>
      <c r="AK11" s="273" t="e" cm="1">
        <f t="array" aca="1" ref="AK11" ca="1">D11-$U$17*INDEX(U$2:U$9,$AG11,1)</f>
        <v>#NAME?</v>
      </c>
      <c r="AL11" s="273" t="e" cm="1">
        <f t="array" aca="1" ref="AL11" ca="1">E11-$U$17*INDEX(V$2:V$9,$AG11,1)</f>
        <v>#NAME?</v>
      </c>
      <c r="AN11" s="45"/>
      <c r="AO11" s="45" t="s">
        <v>88</v>
      </c>
      <c r="AP11" s="45" t="s">
        <v>157</v>
      </c>
      <c r="AQ11" s="45" t="s">
        <v>158</v>
      </c>
      <c r="AR11" s="45" t="s">
        <v>159</v>
      </c>
      <c r="AS11" s="45" t="s">
        <v>92</v>
      </c>
      <c r="AT11" s="45" t="s">
        <v>84</v>
      </c>
      <c r="AV11" t="e">
        <f ca="1"/>
        <v>#NAME?</v>
      </c>
      <c r="AW11" t="e">
        <f ca="1"/>
        <v>#NAME?</v>
      </c>
      <c r="AX11" t="e">
        <f ca="1"/>
        <v>#NAME?</v>
      </c>
      <c r="AY11" t="e">
        <f ca="1"/>
        <v>#NAME?</v>
      </c>
      <c r="BA11" s="45"/>
      <c r="BB11" s="45" t="s">
        <v>88</v>
      </c>
      <c r="BC11" s="45" t="s">
        <v>157</v>
      </c>
      <c r="BD11" s="45" t="s">
        <v>158</v>
      </c>
      <c r="BE11" s="45" t="s">
        <v>159</v>
      </c>
      <c r="BF11" s="45" t="s">
        <v>92</v>
      </c>
      <c r="BG11" s="45" t="s">
        <v>84</v>
      </c>
    </row>
    <row r="12" spans="1:59" x14ac:dyDescent="0.35">
      <c r="A12" s="137">
        <v>4</v>
      </c>
      <c r="B12">
        <v>2010</v>
      </c>
      <c r="C12" s="271">
        <v>9.2680000000000007</v>
      </c>
      <c r="D12" s="271">
        <v>4.5826599999999997</v>
      </c>
      <c r="E12" s="271">
        <v>8.7930200000000003</v>
      </c>
      <c r="K12" t="s">
        <v>160</v>
      </c>
      <c r="L12">
        <f>COUNT(G2:H2)</f>
        <v>0</v>
      </c>
      <c r="M12" t="e">
        <f>SUMSQ(MMULT(G2:H25,L17:L18))</f>
        <v>#VALUE!</v>
      </c>
      <c r="N12" t="e">
        <f>M12/L12</f>
        <v>#VALUE!</v>
      </c>
      <c r="O12" t="e">
        <f>N12/N13</f>
        <v>#VALUE!</v>
      </c>
      <c r="P12" t="e">
        <f>_xlfn.F.DIST.RT(O12,L12,L13)</f>
        <v>#VALUE!</v>
      </c>
      <c r="Q12" s="137" t="e">
        <f>IF(P12&lt;P10,"yes","no")</f>
        <v>#VALUE!</v>
      </c>
      <c r="T12" s="37" t="s">
        <v>691</v>
      </c>
      <c r="U12" s="24" t="e">
        <f ca="1">'Demean 3'!AL13</f>
        <v>#NAME?</v>
      </c>
      <c r="X12" t="s">
        <v>160</v>
      </c>
      <c r="Y12">
        <f>COUNT(T2:U2)</f>
        <v>0</v>
      </c>
      <c r="Z12" t="e">
        <f ca="1">DEVSQ(MMULT(DEsign(T2:U9),Y17:Y19))</f>
        <v>#NAME?</v>
      </c>
      <c r="AA12" t="e">
        <f ca="1">Z12/Y12</f>
        <v>#NAME?</v>
      </c>
      <c r="AB12" t="e">
        <f ca="1">AA12/AA13</f>
        <v>#NAME?</v>
      </c>
      <c r="AC12" t="e">
        <f ca="1">_xlfn.F.DIST.RT(AB12,Y12,Y13)</f>
        <v>#NAME?</v>
      </c>
      <c r="AD12" s="137" t="e">
        <f ca="1">IF(AC12&lt;AC10,"yes","no")</f>
        <v>#NAME?</v>
      </c>
      <c r="AG12" s="137">
        <v>4</v>
      </c>
      <c r="AH12">
        <v>2010</v>
      </c>
      <c r="AI12" t="e">
        <f t="shared" ca="1" si="0"/>
        <v>#NAME?</v>
      </c>
      <c r="AJ12" s="273" t="e" cm="1">
        <f t="array" aca="1" ref="AJ12" ca="1">C12-$U$17*INDEX(T$2:T$9,$AG12,1)</f>
        <v>#NAME?</v>
      </c>
      <c r="AK12" s="273" t="e" cm="1">
        <f t="array" aca="1" ref="AK12" ca="1">D12-$U$17*INDEX(U$2:U$9,$AG12,1)</f>
        <v>#NAME?</v>
      </c>
      <c r="AL12" s="273" t="e" cm="1">
        <f t="array" aca="1" ref="AL12" ca="1">E12-$U$17*INDEX(V$2:V$9,$AG12,1)</f>
        <v>#NAME?</v>
      </c>
      <c r="AN12" t="s">
        <v>160</v>
      </c>
      <c r="AO12">
        <f ca="1">COUNT(AI2:AK2)</f>
        <v>0</v>
      </c>
      <c r="AP12" t="e">
        <f ca="1">SUMSQ(MMULT(AI2:AK25,AO17:AO19))</f>
        <v>#NAME?</v>
      </c>
      <c r="AQ12" t="e">
        <f ca="1">AP12/AO12</f>
        <v>#NAME?</v>
      </c>
      <c r="AR12" t="e">
        <f ca="1">AQ12/AQ13</f>
        <v>#NAME?</v>
      </c>
      <c r="AS12" t="e">
        <f ca="1">_xlfn.F.DIST.RT(AR12,AO12,AO13)</f>
        <v>#NAME?</v>
      </c>
      <c r="AT12" s="137" t="e">
        <f ca="1">IF(AS12&lt;AS10,"yes","no")</f>
        <v>#NAME?</v>
      </c>
      <c r="AV12" t="e">
        <f ca="1"/>
        <v>#NAME?</v>
      </c>
      <c r="AW12" t="e">
        <f ca="1"/>
        <v>#NAME?</v>
      </c>
      <c r="AX12" t="e">
        <f ca="1"/>
        <v>#NAME?</v>
      </c>
      <c r="AY12" t="e">
        <f ca="1"/>
        <v>#NAME?</v>
      </c>
      <c r="BA12" t="s">
        <v>160</v>
      </c>
      <c r="BB12">
        <f ca="1">COUNT(AV2:AX2)</f>
        <v>0</v>
      </c>
      <c r="BC12" t="e">
        <f ca="1">SUMSQ(MMULT(AV2:AX25,BB17:BB19))</f>
        <v>#NAME?</v>
      </c>
      <c r="BD12" t="e">
        <f ca="1">BC12/BB12</f>
        <v>#NAME?</v>
      </c>
      <c r="BE12" t="e">
        <f ca="1">BD12/BD13</f>
        <v>#NAME?</v>
      </c>
      <c r="BF12" t="e">
        <f ca="1">_xlfn.F.DIST.RT(BE12,BB12,BB13)</f>
        <v>#NAME?</v>
      </c>
      <c r="BG12" s="137" t="e">
        <f ca="1">IF(BF12&lt;BF10,"yes","no")</f>
        <v>#NAME?</v>
      </c>
    </row>
    <row r="13" spans="1:59" x14ac:dyDescent="0.35">
      <c r="A13" s="137">
        <v>4</v>
      </c>
      <c r="B13">
        <v>2012</v>
      </c>
      <c r="C13" s="271">
        <v>8.3394399999999997</v>
      </c>
      <c r="D13" s="271">
        <v>4.3226500000000003</v>
      </c>
      <c r="E13" s="271">
        <v>9.0330300000000001</v>
      </c>
      <c r="K13" t="s">
        <v>107</v>
      </c>
      <c r="L13">
        <f>L14-L12</f>
        <v>-8</v>
      </c>
      <c r="M13" t="e">
        <f>M14-M12</f>
        <v>#VALUE!</v>
      </c>
      <c r="N13" s="275" t="e">
        <f>M13/L13</f>
        <v>#VALUE!</v>
      </c>
      <c r="T13" t="s">
        <v>692</v>
      </c>
      <c r="U13" s="24" t="e">
        <f ca="1">AA13-U12/U11</f>
        <v>#NUM!</v>
      </c>
      <c r="X13" t="s">
        <v>107</v>
      </c>
      <c r="Y13">
        <f>Y14-Y12</f>
        <v>-1</v>
      </c>
      <c r="Z13" t="e">
        <f ca="1">Z14-Z12</f>
        <v>#NUM!</v>
      </c>
      <c r="AA13" t="e">
        <f ca="1">Z13/Y13</f>
        <v>#NUM!</v>
      </c>
      <c r="AG13" s="137">
        <v>4</v>
      </c>
      <c r="AH13">
        <v>2012</v>
      </c>
      <c r="AI13" t="e">
        <f t="shared" ca="1" si="0"/>
        <v>#NAME?</v>
      </c>
      <c r="AJ13" s="273" t="e" cm="1">
        <f t="array" aca="1" ref="AJ13" ca="1">C13-$U$17*INDEX(T$2:T$9,$AG13,1)</f>
        <v>#NAME?</v>
      </c>
      <c r="AK13" s="273" t="e" cm="1">
        <f t="array" aca="1" ref="AK13" ca="1">D13-$U$17*INDEX(U$2:U$9,$AG13,1)</f>
        <v>#NAME?</v>
      </c>
      <c r="AL13" s="273" t="e" cm="1">
        <f t="array" aca="1" ref="AL13" ca="1">E13-$U$17*INDEX(V$2:V$9,$AG13,1)</f>
        <v>#NAME?</v>
      </c>
      <c r="AN13" t="s">
        <v>107</v>
      </c>
      <c r="AO13">
        <f ca="1">AO14-AO12</f>
        <v>0</v>
      </c>
      <c r="AP13" t="e">
        <f ca="1">AP14-AP12</f>
        <v>#NAME?</v>
      </c>
      <c r="AQ13" t="e">
        <f ca="1">AP13/AO13</f>
        <v>#NAME?</v>
      </c>
      <c r="AV13" t="e">
        <f ca="1"/>
        <v>#NAME?</v>
      </c>
      <c r="AW13" t="e">
        <f ca="1"/>
        <v>#NAME?</v>
      </c>
      <c r="AX13" t="e">
        <f ca="1"/>
        <v>#NAME?</v>
      </c>
      <c r="AY13" t="e">
        <f ca="1"/>
        <v>#NAME?</v>
      </c>
      <c r="BA13" t="s">
        <v>107</v>
      </c>
      <c r="BB13">
        <f ca="1">BB14-BB12</f>
        <v>0</v>
      </c>
      <c r="BC13" t="e">
        <f ca="1">BC14-BC12</f>
        <v>#NAME?</v>
      </c>
      <c r="BD13" t="e">
        <f ca="1">BC13/BB13</f>
        <v>#NAME?</v>
      </c>
    </row>
    <row r="14" spans="1:59" x14ac:dyDescent="0.35">
      <c r="A14" s="137">
        <v>5</v>
      </c>
      <c r="B14">
        <v>2008</v>
      </c>
      <c r="C14" s="271">
        <v>7.7452199999999998</v>
      </c>
      <c r="D14" s="271">
        <v>5.2744900000000001</v>
      </c>
      <c r="E14" s="271">
        <v>4.0256800000000004</v>
      </c>
      <c r="K14" s="4" t="s">
        <v>161</v>
      </c>
      <c r="L14" s="4">
        <f>L8</f>
        <v>-8</v>
      </c>
      <c r="M14" s="4">
        <f>SUMSQ(I2:I25)</f>
        <v>0</v>
      </c>
      <c r="N14" s="4"/>
      <c r="O14" s="4"/>
      <c r="P14" s="4"/>
      <c r="Q14" s="4"/>
      <c r="T14" t="s">
        <v>358</v>
      </c>
      <c r="U14" s="34" t="e">
        <f ca="1">1-SQRT(U12/(U12+U11*U13))</f>
        <v>#NAME?</v>
      </c>
      <c r="X14" s="4" t="s">
        <v>161</v>
      </c>
      <c r="Y14" s="4">
        <f>Y8-1</f>
        <v>-1</v>
      </c>
      <c r="Z14" s="4" t="e">
        <f>DEVSQ(V2:V9)</f>
        <v>#NUM!</v>
      </c>
      <c r="AA14" s="4"/>
      <c r="AB14" s="4"/>
      <c r="AC14" s="4"/>
      <c r="AD14" s="4"/>
      <c r="AG14" s="137">
        <v>5</v>
      </c>
      <c r="AH14">
        <v>2008</v>
      </c>
      <c r="AI14" t="e">
        <f t="shared" ca="1" si="0"/>
        <v>#NAME?</v>
      </c>
      <c r="AJ14" s="273" t="e" cm="1">
        <f t="array" aca="1" ref="AJ14" ca="1">C14-$U$17*INDEX(T$2:T$9,$AG14,1)</f>
        <v>#NAME?</v>
      </c>
      <c r="AK14" s="273" t="e" cm="1">
        <f t="array" aca="1" ref="AK14" ca="1">D14-$U$17*INDEX(U$2:U$9,$AG14,1)</f>
        <v>#NAME?</v>
      </c>
      <c r="AL14" s="273" t="e" cm="1">
        <f t="array" aca="1" ref="AL14" ca="1">E14-$U$17*INDEX(V$2:V$9,$AG14,1)</f>
        <v>#NAME?</v>
      </c>
      <c r="AN14" s="4" t="s">
        <v>161</v>
      </c>
      <c r="AO14" s="4">
        <f ca="1">AO8</f>
        <v>0</v>
      </c>
      <c r="AP14" s="4" t="e">
        <f ca="1">SUMSQ(AL2:AL25)</f>
        <v>#NAME?</v>
      </c>
      <c r="AQ14" s="4"/>
      <c r="AR14" s="4"/>
      <c r="AS14" s="4"/>
      <c r="AT14" s="4"/>
      <c r="AV14" t="e">
        <f ca="1"/>
        <v>#NAME?</v>
      </c>
      <c r="AW14" t="e">
        <f ca="1"/>
        <v>#NAME?</v>
      </c>
      <c r="AX14" t="e">
        <f ca="1"/>
        <v>#NAME?</v>
      </c>
      <c r="AY14" t="e">
        <f ca="1"/>
        <v>#NAME?</v>
      </c>
      <c r="BA14" s="4" t="s">
        <v>161</v>
      </c>
      <c r="BB14" s="4">
        <f ca="1">BB8</f>
        <v>0</v>
      </c>
      <c r="BC14" s="4" t="e">
        <f ca="1">SUMSQ(AY2:AY25)</f>
        <v>#NAME?</v>
      </c>
      <c r="BD14" s="4"/>
      <c r="BE14" s="4"/>
      <c r="BF14" s="4"/>
      <c r="BG14" s="4"/>
    </row>
    <row r="15" spans="1:59" ht="15" thickBot="1" x14ac:dyDescent="0.4">
      <c r="A15" s="137">
        <v>5</v>
      </c>
      <c r="B15">
        <v>2010</v>
      </c>
      <c r="C15" s="271">
        <v>8.0331600000000005</v>
      </c>
      <c r="D15" s="271">
        <v>5.3003099999999996</v>
      </c>
      <c r="E15" s="271">
        <v>3.9876100000000001</v>
      </c>
      <c r="AG15" s="137">
        <v>5</v>
      </c>
      <c r="AH15">
        <v>2010</v>
      </c>
      <c r="AI15" t="e">
        <f t="shared" ca="1" si="0"/>
        <v>#NAME?</v>
      </c>
      <c r="AJ15" s="273" t="e" cm="1">
        <f t="array" aca="1" ref="AJ15" ca="1">C15-$U$17*INDEX(T$2:T$9,$AG15,1)</f>
        <v>#NAME?</v>
      </c>
      <c r="AK15" s="273" t="e" cm="1">
        <f t="array" aca="1" ref="AK15" ca="1">D15-$U$17*INDEX(U$2:U$9,$AG15,1)</f>
        <v>#NAME?</v>
      </c>
      <c r="AL15" s="273" t="e" cm="1">
        <f t="array" aca="1" ref="AL15" ca="1">E15-$U$17*INDEX(V$2:V$9,$AG15,1)</f>
        <v>#NAME?</v>
      </c>
      <c r="AV15" t="e">
        <f ca="1"/>
        <v>#NAME?</v>
      </c>
      <c r="AW15" t="e">
        <f ca="1"/>
        <v>#NAME?</v>
      </c>
      <c r="AX15" t="e">
        <f ca="1"/>
        <v>#NAME?</v>
      </c>
      <c r="AY15" t="e">
        <f ca="1"/>
        <v>#NAME?</v>
      </c>
    </row>
    <row r="16" spans="1:59" ht="15" thickTop="1" x14ac:dyDescent="0.35">
      <c r="A16" s="137">
        <v>5</v>
      </c>
      <c r="B16">
        <v>2012</v>
      </c>
      <c r="C16" s="271">
        <v>8.1939399999999996</v>
      </c>
      <c r="D16" s="271">
        <v>5.43994</v>
      </c>
      <c r="E16" s="271">
        <v>3.9613900000000002</v>
      </c>
      <c r="K16" s="45"/>
      <c r="L16" s="45" t="s">
        <v>162</v>
      </c>
      <c r="M16" s="45" t="s">
        <v>163</v>
      </c>
      <c r="N16" s="45" t="s">
        <v>164</v>
      </c>
      <c r="O16" s="45" t="s">
        <v>92</v>
      </c>
      <c r="P16" s="45" t="s">
        <v>127</v>
      </c>
      <c r="Q16" s="45" t="s">
        <v>128</v>
      </c>
      <c r="R16" s="45" t="s">
        <v>165</v>
      </c>
      <c r="X16" s="45"/>
      <c r="Y16" s="45" t="s">
        <v>162</v>
      </c>
      <c r="Z16" s="45" t="s">
        <v>163</v>
      </c>
      <c r="AA16" s="45" t="s">
        <v>164</v>
      </c>
      <c r="AB16" s="45" t="s">
        <v>92</v>
      </c>
      <c r="AC16" s="45" t="s">
        <v>127</v>
      </c>
      <c r="AD16" s="45" t="s">
        <v>128</v>
      </c>
      <c r="AE16" s="45" t="s">
        <v>165</v>
      </c>
      <c r="AG16" s="137">
        <v>5</v>
      </c>
      <c r="AH16">
        <v>2012</v>
      </c>
      <c r="AI16" t="e">
        <f t="shared" ca="1" si="0"/>
        <v>#NAME?</v>
      </c>
      <c r="AJ16" s="273" t="e" cm="1">
        <f t="array" aca="1" ref="AJ16" ca="1">C16-$U$17*INDEX(T$2:T$9,$AG16,1)</f>
        <v>#NAME?</v>
      </c>
      <c r="AK16" s="273" t="e" cm="1">
        <f t="array" aca="1" ref="AK16" ca="1">D16-$U$17*INDEX(U$2:U$9,$AG16,1)</f>
        <v>#NAME?</v>
      </c>
      <c r="AL16" s="273" t="e" cm="1">
        <f t="array" aca="1" ref="AL16" ca="1">E16-$U$17*INDEX(V$2:V$9,$AG16,1)</f>
        <v>#NAME?</v>
      </c>
      <c r="AN16" s="45"/>
      <c r="AO16" s="45" t="s">
        <v>162</v>
      </c>
      <c r="AP16" s="45" t="s">
        <v>163</v>
      </c>
      <c r="AQ16" s="45" t="s">
        <v>164</v>
      </c>
      <c r="AR16" s="45" t="s">
        <v>92</v>
      </c>
      <c r="AS16" s="45" t="s">
        <v>127</v>
      </c>
      <c r="AT16" s="45" t="s">
        <v>128</v>
      </c>
      <c r="AV16" t="e">
        <f ca="1"/>
        <v>#NAME?</v>
      </c>
      <c r="AW16" t="e">
        <f ca="1"/>
        <v>#NAME?</v>
      </c>
      <c r="AX16" t="e">
        <f ca="1"/>
        <v>#NAME?</v>
      </c>
      <c r="AY16" t="e">
        <f ca="1"/>
        <v>#NAME?</v>
      </c>
      <c r="BA16" s="45"/>
      <c r="BB16" s="45" t="s">
        <v>162</v>
      </c>
      <c r="BC16" s="45" t="s">
        <v>163</v>
      </c>
      <c r="BD16" s="45" t="s">
        <v>164</v>
      </c>
      <c r="BE16" s="45" t="s">
        <v>92</v>
      </c>
      <c r="BF16" s="45" t="s">
        <v>127</v>
      </c>
      <c r="BG16" s="45" t="s">
        <v>128</v>
      </c>
    </row>
    <row r="17" spans="1:59" x14ac:dyDescent="0.35">
      <c r="A17" s="137">
        <v>6</v>
      </c>
      <c r="B17">
        <v>2008</v>
      </c>
      <c r="C17" s="271">
        <v>9.9685299999999994</v>
      </c>
      <c r="D17" s="271">
        <v>9.5003200000000003</v>
      </c>
      <c r="E17" s="271">
        <v>4.317361</v>
      </c>
      <c r="K17" t="e">
        <f t="array" ref="K17:K18" ca="1">TRANSPOSE(G1:H1)</f>
        <v>#NAME?</v>
      </c>
      <c r="L17" t="e">
        <f t="array" aca="1" ref="L17:M18" ca="1">RegCoeff(G2:H25,I2:I25,FALSE)</f>
        <v>#NAME?</v>
      </c>
      <c r="M17" t="e">
        <f ca="1"/>
        <v>#NAME?</v>
      </c>
      <c r="N17" t="e">
        <f ca="1">L17/M17</f>
        <v>#NAME?</v>
      </c>
      <c r="O17" t="e">
        <f ca="1">_xlfn.T.DIST.2T(ABS(N17),$L$13)</f>
        <v>#NAME?</v>
      </c>
      <c r="P17" t="e">
        <f ca="1">L17-_xlfn.T.INV.2T(P$10,$L$13)*M17</f>
        <v>#NAME?</v>
      </c>
      <c r="Q17" t="e">
        <f ca="1">L17+_xlfn.T.INV.2T(P$10,$L$13)*M17</f>
        <v>#NAME?</v>
      </c>
      <c r="R17" t="e" cm="1">
        <f t="array" aca="1" ref="R17" ca="1">VIF(G2:H25,1)</f>
        <v>#NAME?</v>
      </c>
      <c r="T17" t="s">
        <v>358</v>
      </c>
      <c r="U17" s="19" t="e" cm="1">
        <f t="array" aca="1" ref="U17" ca="1">REM_PARAM(C2:E25,3)</f>
        <v>#NAME?</v>
      </c>
      <c r="X17" t="s">
        <v>166</v>
      </c>
      <c r="Y17" t="e">
        <f t="array" aca="1" ref="Y17:Z19" ca="1">RegCoeff(T2:U9,V2:V9)</f>
        <v>#NAME?</v>
      </c>
      <c r="Z17" t="e">
        <f ca="1"/>
        <v>#NAME?</v>
      </c>
      <c r="AA17" t="e">
        <f ca="1">Y17/Z17</f>
        <v>#NAME?</v>
      </c>
      <c r="AB17" t="e">
        <f ca="1">_xlfn.T.DIST.2T(ABS(AA17),$Y$13)</f>
        <v>#NAME?</v>
      </c>
      <c r="AC17" t="e">
        <f ca="1">Y17-_xlfn.T.INV.2T(AC$10,$Y$13)*Z17</f>
        <v>#NAME?</v>
      </c>
      <c r="AD17" t="e">
        <f ca="1">Y17+_xlfn.T.INV.2T(AC$10,$Y$13)*Z17</f>
        <v>#NAME?</v>
      </c>
      <c r="AG17" s="137">
        <v>6</v>
      </c>
      <c r="AH17">
        <v>2008</v>
      </c>
      <c r="AI17" t="e">
        <f t="shared" ca="1" si="0"/>
        <v>#NAME?</v>
      </c>
      <c r="AJ17" s="273" t="e" cm="1">
        <f t="array" aca="1" ref="AJ17" ca="1">C17-$U$17*INDEX(T$2:T$9,$AG17,1)</f>
        <v>#NAME?</v>
      </c>
      <c r="AK17" s="273" t="e" cm="1">
        <f t="array" aca="1" ref="AK17" ca="1">D17-$U$17*INDEX(U$2:U$9,$AG17,1)</f>
        <v>#NAME?</v>
      </c>
      <c r="AL17" s="273" t="e" cm="1">
        <f t="array" aca="1" ref="AL17" ca="1">E17-$U$17*INDEX(V$2:V$9,$AG17,1)</f>
        <v>#NAME?</v>
      </c>
      <c r="AN17" t="str">
        <f t="array" ref="AN17:AN19">TRANSPOSE(AI1:AK1)</f>
        <v>intercept</v>
      </c>
      <c r="AO17" t="e">
        <f t="array" aca="1" ref="AO17:AP19" ca="1">RegCoeff(AI2:AK25,AL2:AL25,FALSE)</f>
        <v>#NAME?</v>
      </c>
      <c r="AP17" t="e">
        <f ca="1"/>
        <v>#NAME?</v>
      </c>
      <c r="AQ17" t="e">
        <f ca="1">AO17/AP17</f>
        <v>#NAME?</v>
      </c>
      <c r="AR17" t="e">
        <f ca="1">_xlfn.T.DIST.2T(ABS(AQ17),$AO$13)</f>
        <v>#NAME?</v>
      </c>
      <c r="AS17" t="e">
        <f ca="1">AO17-_xlfn.T.INV.2T(AS$10,$AO$13)*AP17</f>
        <v>#NAME?</v>
      </c>
      <c r="AT17" t="e">
        <f ca="1">AO17+_xlfn.T.INV.2T(AS$10,$AO$13)*AP17</f>
        <v>#NAME?</v>
      </c>
      <c r="AV17" t="e">
        <f ca="1"/>
        <v>#NAME?</v>
      </c>
      <c r="AW17" t="e">
        <f ca="1"/>
        <v>#NAME?</v>
      </c>
      <c r="AX17" t="e">
        <f ca="1"/>
        <v>#NAME?</v>
      </c>
      <c r="AY17" t="e">
        <f ca="1"/>
        <v>#NAME?</v>
      </c>
      <c r="BA17" t="e">
        <f t="array" aca="1" ref="BA17:BA19" ca="1">TRANSPOSE(AV1:AX1)</f>
        <v>#NAME?</v>
      </c>
      <c r="BB17" t="e">
        <f t="array" aca="1" ref="BB17:BC19" ca="1">RegCoeff(AV2:AX25,AY2:AY25,FALSE)</f>
        <v>#NAME?</v>
      </c>
      <c r="BC17" t="e">
        <f ca="1"/>
        <v>#NAME?</v>
      </c>
      <c r="BD17" t="e">
        <f ca="1">BB17/BC17</f>
        <v>#NAME?</v>
      </c>
      <c r="BE17" t="e">
        <f ca="1">_xlfn.T.DIST.2T(ABS(BD17),$BB$13)</f>
        <v>#NAME?</v>
      </c>
      <c r="BF17" t="e">
        <f ca="1">BB17-_xlfn.T.INV.2T(BF$10,$BB$13)*BC17</f>
        <v>#NAME?</v>
      </c>
      <c r="BG17" t="e">
        <f ca="1">BB17+_xlfn.T.INV.2T(BF$10,$BB$13)*BC17</f>
        <v>#NAME?</v>
      </c>
    </row>
    <row r="18" spans="1:59" x14ac:dyDescent="0.35">
      <c r="A18" s="137">
        <v>6</v>
      </c>
      <c r="B18">
        <v>2010</v>
      </c>
      <c r="C18" s="271">
        <v>10.10445</v>
      </c>
      <c r="D18" s="271">
        <v>10.0128</v>
      </c>
      <c r="E18" s="271">
        <v>4.1316800000000002</v>
      </c>
      <c r="K18" s="4">
        <v>0</v>
      </c>
      <c r="L18" s="4" t="e">
        <f ca="1"/>
        <v>#NAME?</v>
      </c>
      <c r="M18" s="4" t="e">
        <f ca="1"/>
        <v>#NAME?</v>
      </c>
      <c r="N18" s="4" t="e">
        <f ca="1">L18/M18</f>
        <v>#NAME?</v>
      </c>
      <c r="O18" s="4" t="e">
        <f ca="1">_xlfn.T.DIST.2T(ABS(N18),$L$13)</f>
        <v>#NAME?</v>
      </c>
      <c r="P18" s="4" t="e">
        <f ca="1">L18-_xlfn.T.INV.2T(P$10,$L$13)*M18</f>
        <v>#NAME?</v>
      </c>
      <c r="Q18" s="4" t="e">
        <f ca="1">L18+_xlfn.T.INV.2T(P$10,$L$13)*M18</f>
        <v>#NAME?</v>
      </c>
      <c r="R18" s="4" t="e" cm="1">
        <f t="array" aca="1" ref="R18" ca="1">VIF(G2:H25,2)</f>
        <v>#NAME?</v>
      </c>
      <c r="X18" t="e">
        <f t="array" ref="X18:X19" ca="1">TRANSPOSE(T1:U1)</f>
        <v>#NAME?</v>
      </c>
      <c r="Y18" t="e">
        <f ca="1"/>
        <v>#NAME?</v>
      </c>
      <c r="Z18" t="e">
        <f ca="1"/>
        <v>#NAME?</v>
      </c>
      <c r="AA18" t="e">
        <f t="shared" ref="AA18:AA19" ca="1" si="1">Y18/Z18</f>
        <v>#NAME?</v>
      </c>
      <c r="AB18" t="e">
        <f t="shared" ref="AB18:AB19" ca="1" si="2">_xlfn.T.DIST.2T(ABS(AA18),$Y$13)</f>
        <v>#NAME?</v>
      </c>
      <c r="AC18" t="e">
        <f t="shared" ref="AC18:AC19" ca="1" si="3">Y18-_xlfn.T.INV.2T(AC$10,$Y$13)*Z18</f>
        <v>#NAME?</v>
      </c>
      <c r="AD18" t="e">
        <f t="shared" ref="AD18:AD19" ca="1" si="4">Y18+_xlfn.T.INV.2T(AC$10,$Y$13)*Z18</f>
        <v>#NAME?</v>
      </c>
      <c r="AE18" t="e" cm="1">
        <f t="array" aca="1" ref="AE18" ca="1">VIF(T2:U9,1)</f>
        <v>#NAME?</v>
      </c>
      <c r="AG18" s="137">
        <v>6</v>
      </c>
      <c r="AH18">
        <v>2010</v>
      </c>
      <c r="AI18" t="e">
        <f t="shared" ca="1" si="0"/>
        <v>#NAME?</v>
      </c>
      <c r="AJ18" s="273" t="e" cm="1">
        <f t="array" aca="1" ref="AJ18" ca="1">C18-$U$17*INDEX(T$2:T$9,$AG18,1)</f>
        <v>#NAME?</v>
      </c>
      <c r="AK18" s="273" t="e" cm="1">
        <f t="array" aca="1" ref="AK18" ca="1">D18-$U$17*INDEX(U$2:U$9,$AG18,1)</f>
        <v>#NAME?</v>
      </c>
      <c r="AL18" s="273" t="e" cm="1">
        <f t="array" aca="1" ref="AL18" ca="1">E18-$U$17*INDEX(V$2:V$9,$AG18,1)</f>
        <v>#NAME?</v>
      </c>
      <c r="AN18" t="str">
        <v>lcapital</v>
      </c>
      <c r="AO18" t="e">
        <f ca="1"/>
        <v>#NAME?</v>
      </c>
      <c r="AP18" t="e">
        <f ca="1"/>
        <v>#NAME?</v>
      </c>
      <c r="AQ18" t="e">
        <f t="shared" ref="AQ18:AQ19" ca="1" si="5">AO18/AP18</f>
        <v>#NAME?</v>
      </c>
      <c r="AR18" t="e">
        <f t="shared" ref="AR18:AR19" ca="1" si="6">_xlfn.T.DIST.2T(ABS(AQ18),$AO$13)</f>
        <v>#NAME?</v>
      </c>
      <c r="AS18" t="e">
        <f t="shared" ref="AS18:AS19" ca="1" si="7">AO18-_xlfn.T.INV.2T(AS$10,$AO$13)*AP18</f>
        <v>#NAME?</v>
      </c>
      <c r="AT18" t="e">
        <f t="shared" ref="AT18:AT19" ca="1" si="8">AO18+_xlfn.T.INV.2T(AS$10,$AO$13)*AP18</f>
        <v>#NAME?</v>
      </c>
      <c r="AV18" t="e">
        <f ca="1"/>
        <v>#NAME?</v>
      </c>
      <c r="AW18" t="e">
        <f ca="1"/>
        <v>#NAME?</v>
      </c>
      <c r="AX18" t="e">
        <f ca="1"/>
        <v>#NAME?</v>
      </c>
      <c r="AY18" t="e">
        <f ca="1"/>
        <v>#NAME?</v>
      </c>
      <c r="BA18" t="e">
        <f ca="1"/>
        <v>#NAME?</v>
      </c>
      <c r="BB18" t="e">
        <f ca="1"/>
        <v>#NAME?</v>
      </c>
      <c r="BC18" t="e">
        <f ca="1"/>
        <v>#NAME?</v>
      </c>
      <c r="BD18" t="e">
        <f t="shared" ref="BD18:BD19" ca="1" si="9">BB18/BC18</f>
        <v>#NAME?</v>
      </c>
      <c r="BE18" t="e">
        <f t="shared" ref="BE18:BE19" ca="1" si="10">_xlfn.T.DIST.2T(ABS(BD18),$BB$13)</f>
        <v>#NAME?</v>
      </c>
      <c r="BF18" t="e">
        <f t="shared" ref="BF18:BF19" ca="1" si="11">BB18-_xlfn.T.INV.2T(BF$10,$BB$13)*BC18</f>
        <v>#NAME?</v>
      </c>
      <c r="BG18" t="e">
        <f t="shared" ref="BG18:BG19" ca="1" si="12">BB18+_xlfn.T.INV.2T(BF$10,$BB$13)*BC18</f>
        <v>#NAME?</v>
      </c>
    </row>
    <row r="19" spans="1:59" x14ac:dyDescent="0.35">
      <c r="A19" s="137">
        <v>6</v>
      </c>
      <c r="B19">
        <v>2012</v>
      </c>
      <c r="C19" s="271">
        <v>10.053470000000001</v>
      </c>
      <c r="D19" s="271">
        <v>10.02397</v>
      </c>
      <c r="E19" s="271">
        <v>3.8739499999999998</v>
      </c>
      <c r="X19" s="4">
        <v>0</v>
      </c>
      <c r="Y19" s="4" t="e">
        <f ca="1"/>
        <v>#NAME?</v>
      </c>
      <c r="Z19" s="4" t="e">
        <f ca="1"/>
        <v>#NAME?</v>
      </c>
      <c r="AA19" s="4" t="e">
        <f t="shared" ca="1" si="1"/>
        <v>#NAME?</v>
      </c>
      <c r="AB19" s="4" t="e">
        <f t="shared" ca="1" si="2"/>
        <v>#NAME?</v>
      </c>
      <c r="AC19" s="4" t="e">
        <f t="shared" ca="1" si="3"/>
        <v>#NAME?</v>
      </c>
      <c r="AD19" s="4" t="e">
        <f t="shared" ca="1" si="4"/>
        <v>#NAME?</v>
      </c>
      <c r="AE19" s="4" t="e" cm="1">
        <f t="array" aca="1" ref="AE19" ca="1">VIF(T2:U9,2)</f>
        <v>#NAME?</v>
      </c>
      <c r="AG19" s="137">
        <v>6</v>
      </c>
      <c r="AH19">
        <v>2012</v>
      </c>
      <c r="AI19" t="e">
        <f t="shared" ca="1" si="0"/>
        <v>#NAME?</v>
      </c>
      <c r="AJ19" s="273" t="e" cm="1">
        <f t="array" aca="1" ref="AJ19" ca="1">C19-$U$17*INDEX(T$2:T$9,$AG19,1)</f>
        <v>#NAME?</v>
      </c>
      <c r="AK19" s="273" t="e" cm="1">
        <f t="array" aca="1" ref="AK19" ca="1">D19-$U$17*INDEX(U$2:U$9,$AG19,1)</f>
        <v>#NAME?</v>
      </c>
      <c r="AL19" s="273" t="e" cm="1">
        <f t="array" aca="1" ref="AL19" ca="1">E19-$U$17*INDEX(V$2:V$9,$AG19,1)</f>
        <v>#NAME?</v>
      </c>
      <c r="AN19" s="4" t="str">
        <v>llabor</v>
      </c>
      <c r="AO19" s="4" t="e">
        <f ca="1"/>
        <v>#NAME?</v>
      </c>
      <c r="AP19" s="4" t="e">
        <f ca="1"/>
        <v>#NAME?</v>
      </c>
      <c r="AQ19" s="4" t="e">
        <f t="shared" ca="1" si="5"/>
        <v>#NAME?</v>
      </c>
      <c r="AR19" s="4" t="e">
        <f t="shared" ca="1" si="6"/>
        <v>#NAME?</v>
      </c>
      <c r="AS19" s="4" t="e">
        <f t="shared" ca="1" si="7"/>
        <v>#NAME?</v>
      </c>
      <c r="AT19" s="4" t="e">
        <f t="shared" ca="1" si="8"/>
        <v>#NAME?</v>
      </c>
      <c r="AV19" t="e">
        <f ca="1"/>
        <v>#NAME?</v>
      </c>
      <c r="AW19" t="e">
        <f ca="1"/>
        <v>#NAME?</v>
      </c>
      <c r="AX19" t="e">
        <f ca="1"/>
        <v>#NAME?</v>
      </c>
      <c r="AY19" t="e">
        <f ca="1"/>
        <v>#NAME?</v>
      </c>
      <c r="BA19" s="4" t="e">
        <f ca="1"/>
        <v>#NAME?</v>
      </c>
      <c r="BB19" s="4" t="e">
        <f ca="1"/>
        <v>#NAME?</v>
      </c>
      <c r="BC19" s="4" t="e">
        <f ca="1"/>
        <v>#NAME?</v>
      </c>
      <c r="BD19" s="4" t="e">
        <f t="shared" ca="1" si="9"/>
        <v>#NAME?</v>
      </c>
      <c r="BE19" s="4" t="e">
        <f t="shared" ca="1" si="10"/>
        <v>#NAME?</v>
      </c>
      <c r="BF19" s="4" t="e">
        <f t="shared" ca="1" si="11"/>
        <v>#NAME?</v>
      </c>
      <c r="BG19" s="4" t="e">
        <f t="shared" ca="1" si="12"/>
        <v>#NAME?</v>
      </c>
    </row>
    <row r="20" spans="1:59" x14ac:dyDescent="0.35">
      <c r="A20" s="137">
        <v>7</v>
      </c>
      <c r="B20">
        <v>2008</v>
      </c>
      <c r="C20" s="271">
        <v>10.55368</v>
      </c>
      <c r="D20" s="271">
        <v>5.0047100000000002</v>
      </c>
      <c r="E20" s="271">
        <v>11.523529999999999</v>
      </c>
      <c r="AG20" s="137">
        <v>7</v>
      </c>
      <c r="AH20">
        <v>2008</v>
      </c>
      <c r="AI20" t="e">
        <f t="shared" ca="1" si="0"/>
        <v>#NAME?</v>
      </c>
      <c r="AJ20" s="273" t="e" cm="1">
        <f t="array" aca="1" ref="AJ20" ca="1">C20-$U$17*INDEX(T$2:T$9,$AG20,1)</f>
        <v>#NAME?</v>
      </c>
      <c r="AK20" s="273" t="e" cm="1">
        <f t="array" aca="1" ref="AK20" ca="1">D20-$U$17*INDEX(U$2:U$9,$AG20,1)</f>
        <v>#NAME?</v>
      </c>
      <c r="AL20" s="273" t="e" cm="1">
        <f t="array" aca="1" ref="AL20" ca="1">E20-$U$17*INDEX(V$2:V$9,$AG20,1)</f>
        <v>#NAME?</v>
      </c>
      <c r="AV20" t="e">
        <f ca="1"/>
        <v>#NAME?</v>
      </c>
      <c r="AW20" t="e">
        <f ca="1"/>
        <v>#NAME?</v>
      </c>
      <c r="AX20" t="e">
        <f ca="1"/>
        <v>#NAME?</v>
      </c>
      <c r="AY20" t="e">
        <f ca="1"/>
        <v>#NAME?</v>
      </c>
    </row>
    <row r="21" spans="1:59" x14ac:dyDescent="0.35">
      <c r="A21" s="137">
        <v>7</v>
      </c>
      <c r="B21">
        <v>2010</v>
      </c>
      <c r="C21" s="271">
        <v>10.74991</v>
      </c>
      <c r="D21" s="271">
        <v>5.1787400000000003</v>
      </c>
      <c r="E21" s="271">
        <v>11.54217</v>
      </c>
      <c r="AG21" s="137">
        <v>7</v>
      </c>
      <c r="AH21">
        <v>2010</v>
      </c>
      <c r="AI21" t="e">
        <f t="shared" ca="1" si="0"/>
        <v>#NAME?</v>
      </c>
      <c r="AJ21" s="273" t="e" cm="1">
        <f t="array" aca="1" ref="AJ21" ca="1">C21-$U$17*INDEX(T$2:T$9,$AG21,1)</f>
        <v>#NAME?</v>
      </c>
      <c r="AK21" s="273" t="e" cm="1">
        <f t="array" aca="1" ref="AK21" ca="1">D21-$U$17*INDEX(U$2:U$9,$AG21,1)</f>
        <v>#NAME?</v>
      </c>
      <c r="AL21" s="273" t="e" cm="1">
        <f t="array" aca="1" ref="AL21" ca="1">E21-$U$17*INDEX(V$2:V$9,$AG21,1)</f>
        <v>#NAME?</v>
      </c>
      <c r="AV21" t="e">
        <f ca="1"/>
        <v>#NAME?</v>
      </c>
      <c r="AW21" t="e">
        <f ca="1"/>
        <v>#NAME?</v>
      </c>
      <c r="AX21" t="e">
        <f ca="1"/>
        <v>#NAME?</v>
      </c>
      <c r="AY21" t="e">
        <f ca="1"/>
        <v>#NAME?</v>
      </c>
    </row>
    <row r="22" spans="1:59" x14ac:dyDescent="0.35">
      <c r="A22" s="137">
        <v>7</v>
      </c>
      <c r="B22">
        <v>2012</v>
      </c>
      <c r="C22" s="271">
        <v>11.34348</v>
      </c>
      <c r="D22" s="271">
        <v>5.4220199999999998</v>
      </c>
      <c r="E22" s="271">
        <v>11.586449999999999</v>
      </c>
      <c r="AG22" s="137">
        <v>7</v>
      </c>
      <c r="AH22">
        <v>2012</v>
      </c>
      <c r="AI22" t="e">
        <f t="shared" ca="1" si="0"/>
        <v>#NAME?</v>
      </c>
      <c r="AJ22" s="273" t="e" cm="1">
        <f t="array" aca="1" ref="AJ22" ca="1">C22-$U$17*INDEX(T$2:T$9,$AG22,1)</f>
        <v>#NAME?</v>
      </c>
      <c r="AK22" s="273" t="e" cm="1">
        <f t="array" aca="1" ref="AK22" ca="1">D22-$U$17*INDEX(U$2:U$9,$AG22,1)</f>
        <v>#NAME?</v>
      </c>
      <c r="AL22" s="273" t="e" cm="1">
        <f t="array" aca="1" ref="AL22" ca="1">E22-$U$17*INDEX(V$2:V$9,$AG22,1)</f>
        <v>#NAME?</v>
      </c>
      <c r="AV22" t="e">
        <f ca="1"/>
        <v>#NAME?</v>
      </c>
      <c r="AW22" t="e">
        <f ca="1"/>
        <v>#NAME?</v>
      </c>
      <c r="AX22" t="e">
        <f ca="1"/>
        <v>#NAME?</v>
      </c>
      <c r="AY22" t="e">
        <f ca="1"/>
        <v>#NAME?</v>
      </c>
    </row>
    <row r="23" spans="1:59" x14ac:dyDescent="0.35">
      <c r="A23" s="137">
        <v>8</v>
      </c>
      <c r="B23">
        <v>2008</v>
      </c>
      <c r="C23" s="271">
        <v>7.9739199999999997</v>
      </c>
      <c r="D23" s="271">
        <v>4.01145</v>
      </c>
      <c r="E23" s="271">
        <v>8.7066099999999995</v>
      </c>
      <c r="AG23" s="137">
        <v>8</v>
      </c>
      <c r="AH23">
        <v>2008</v>
      </c>
      <c r="AI23" t="e">
        <f t="shared" ca="1" si="0"/>
        <v>#NAME?</v>
      </c>
      <c r="AJ23" s="273" t="e" cm="1">
        <f t="array" aca="1" ref="AJ23" ca="1">C23-$U$17*INDEX(T$2:T$9,$AG23,1)</f>
        <v>#NAME?</v>
      </c>
      <c r="AK23" s="273" t="e" cm="1">
        <f t="array" aca="1" ref="AK23" ca="1">D23-$U$17*INDEX(U$2:U$9,$AG23,1)</f>
        <v>#NAME?</v>
      </c>
      <c r="AL23" s="273" t="e" cm="1">
        <f t="array" aca="1" ref="AL23" ca="1">E23-$U$17*INDEX(V$2:V$9,$AG23,1)</f>
        <v>#NAME?</v>
      </c>
      <c r="AV23" t="e">
        <f ca="1"/>
        <v>#NAME?</v>
      </c>
      <c r="AW23" t="e">
        <f ca="1"/>
        <v>#NAME?</v>
      </c>
      <c r="AX23" t="e">
        <f ca="1"/>
        <v>#NAME?</v>
      </c>
      <c r="AY23" t="e">
        <f ca="1"/>
        <v>#NAME?</v>
      </c>
    </row>
    <row r="24" spans="1:59" x14ac:dyDescent="0.35">
      <c r="A24" s="137">
        <v>8</v>
      </c>
      <c r="B24">
        <v>2010</v>
      </c>
      <c r="C24" s="271">
        <v>8.2970400000000009</v>
      </c>
      <c r="D24" s="271">
        <v>3.8803399999999999</v>
      </c>
      <c r="E24" s="271">
        <v>8.8770299999999995</v>
      </c>
      <c r="AG24" s="137">
        <v>8</v>
      </c>
      <c r="AH24">
        <v>2010</v>
      </c>
      <c r="AI24" t="e">
        <f t="shared" ca="1" si="0"/>
        <v>#NAME?</v>
      </c>
      <c r="AJ24" s="273" t="e" cm="1">
        <f t="array" aca="1" ref="AJ24" ca="1">C24-$U$17*INDEX(T$2:T$9,$AG24,1)</f>
        <v>#NAME?</v>
      </c>
      <c r="AK24" s="273" t="e" cm="1">
        <f t="array" aca="1" ref="AK24" ca="1">D24-$U$17*INDEX(U$2:U$9,$AG24,1)</f>
        <v>#NAME?</v>
      </c>
      <c r="AL24" s="273" t="e" cm="1">
        <f t="array" aca="1" ref="AL24" ca="1">E24-$U$17*INDEX(V$2:V$9,$AG24,1)</f>
        <v>#NAME?</v>
      </c>
      <c r="AV24" t="e">
        <f ca="1"/>
        <v>#NAME?</v>
      </c>
      <c r="AW24" t="e">
        <f ca="1"/>
        <v>#NAME?</v>
      </c>
      <c r="AX24" t="e">
        <f ca="1"/>
        <v>#NAME?</v>
      </c>
      <c r="AY24" t="e">
        <f ca="1"/>
        <v>#NAME?</v>
      </c>
    </row>
    <row r="25" spans="1:59" x14ac:dyDescent="0.35">
      <c r="A25" s="10">
        <v>8</v>
      </c>
      <c r="B25" s="4">
        <v>2012</v>
      </c>
      <c r="C25" s="272">
        <v>8.3308900000000001</v>
      </c>
      <c r="D25" s="272">
        <v>3.8086500000000001</v>
      </c>
      <c r="E25" s="272">
        <v>8.9122000000000003</v>
      </c>
      <c r="G25" s="4"/>
      <c r="H25" s="4"/>
      <c r="I25" s="4"/>
      <c r="AG25" s="10">
        <v>8</v>
      </c>
      <c r="AH25" s="4">
        <v>2012</v>
      </c>
      <c r="AI25" s="4" t="e">
        <f t="shared" ca="1" si="0"/>
        <v>#NAME?</v>
      </c>
      <c r="AJ25" s="270" t="e" cm="1">
        <f t="array" aca="1" ref="AJ25" ca="1">C25-$U$17*INDEX(T$2:T$9,$AG25,1)</f>
        <v>#NAME?</v>
      </c>
      <c r="AK25" s="270" t="e" cm="1">
        <f t="array" aca="1" ref="AK25" ca="1">D25-$U$17*INDEX(U$2:U$9,$AG25,1)</f>
        <v>#NAME?</v>
      </c>
      <c r="AL25" s="270" t="e" cm="1">
        <f t="array" aca="1" ref="AL25" ca="1">E25-$U$17*INDEX(V$2:V$9,$AG25,1)</f>
        <v>#NAME?</v>
      </c>
      <c r="AV25" s="4" t="e">
        <f ca="1"/>
        <v>#NAME?</v>
      </c>
      <c r="AW25" s="4" t="e">
        <f ca="1"/>
        <v>#NAME?</v>
      </c>
      <c r="AX25" s="4" t="e">
        <f ca="1"/>
        <v>#NAME?</v>
      </c>
      <c r="AY25" s="4" t="e">
        <f ca="1"/>
        <v>#NAME?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/>
  <dimension ref="A1:E21"/>
  <sheetViews>
    <sheetView workbookViewId="0"/>
  </sheetViews>
  <sheetFormatPr defaultRowHeight="14.5" x14ac:dyDescent="0.35"/>
  <sheetData>
    <row r="1" spans="1:5" x14ac:dyDescent="0.35">
      <c r="A1" s="7" t="s">
        <v>9</v>
      </c>
    </row>
    <row r="3" spans="1:5" x14ac:dyDescent="0.35">
      <c r="A3" s="8" t="s">
        <v>3</v>
      </c>
      <c r="B3" s="8" t="s">
        <v>1</v>
      </c>
      <c r="C3" s="8" t="s">
        <v>138</v>
      </c>
      <c r="D3" s="9" t="s">
        <v>6</v>
      </c>
      <c r="E3" s="9" t="s">
        <v>5</v>
      </c>
    </row>
    <row r="4" spans="1:5" x14ac:dyDescent="0.35">
      <c r="A4" s="3">
        <v>1</v>
      </c>
      <c r="B4" s="3">
        <v>3</v>
      </c>
      <c r="C4">
        <f>B4</f>
        <v>3</v>
      </c>
    </row>
    <row r="5" spans="1:5" x14ac:dyDescent="0.35">
      <c r="A5" s="3">
        <f>A4+1</f>
        <v>2</v>
      </c>
      <c r="B5" s="3">
        <v>5</v>
      </c>
      <c r="C5">
        <f>C4+B$21*(B4-C4)</f>
        <v>3</v>
      </c>
      <c r="D5">
        <f>ABS(B5-C5)</f>
        <v>2</v>
      </c>
      <c r="E5">
        <f>(B5-C5)^2</f>
        <v>4</v>
      </c>
    </row>
    <row r="6" spans="1:5" x14ac:dyDescent="0.35">
      <c r="A6" s="3">
        <f t="shared" ref="A6:A18" si="0">A5+1</f>
        <v>3</v>
      </c>
      <c r="B6" s="3">
        <v>9</v>
      </c>
      <c r="C6">
        <f t="shared" ref="C6:C19" si="1">C5+B$21*(B5-C5)</f>
        <v>3.8</v>
      </c>
      <c r="D6">
        <f>ABS(B6-C6)</f>
        <v>5.2</v>
      </c>
      <c r="E6">
        <f>(B6-C6)^2</f>
        <v>27.040000000000003</v>
      </c>
    </row>
    <row r="7" spans="1:5" x14ac:dyDescent="0.35">
      <c r="A7" s="3">
        <f t="shared" si="0"/>
        <v>4</v>
      </c>
      <c r="B7" s="3">
        <v>20</v>
      </c>
      <c r="C7">
        <f t="shared" si="1"/>
        <v>5.88</v>
      </c>
      <c r="D7">
        <f>ABS(B7-C7)</f>
        <v>14.120000000000001</v>
      </c>
      <c r="E7">
        <f>(B7-C7)^2</f>
        <v>199.37440000000004</v>
      </c>
    </row>
    <row r="8" spans="1:5" x14ac:dyDescent="0.35">
      <c r="A8" s="3">
        <f t="shared" si="0"/>
        <v>5</v>
      </c>
      <c r="B8" s="3">
        <v>12</v>
      </c>
      <c r="C8">
        <f t="shared" si="1"/>
        <v>11.528</v>
      </c>
      <c r="D8">
        <f t="shared" ref="D8:D18" si="2">ABS(B8-C8)</f>
        <v>0.47199999999999953</v>
      </c>
      <c r="E8">
        <f t="shared" ref="E8:E18" si="3">(B8-C8)^2</f>
        <v>0.22278399999999957</v>
      </c>
    </row>
    <row r="9" spans="1:5" x14ac:dyDescent="0.35">
      <c r="A9" s="3">
        <f t="shared" si="0"/>
        <v>6</v>
      </c>
      <c r="B9" s="3">
        <v>17</v>
      </c>
      <c r="C9">
        <f t="shared" si="1"/>
        <v>11.716800000000001</v>
      </c>
      <c r="D9">
        <f t="shared" si="2"/>
        <v>5.283199999999999</v>
      </c>
      <c r="E9">
        <f t="shared" si="3"/>
        <v>27.912202239999989</v>
      </c>
    </row>
    <row r="10" spans="1:5" x14ac:dyDescent="0.35">
      <c r="A10" s="3">
        <f t="shared" si="0"/>
        <v>7</v>
      </c>
      <c r="B10" s="3">
        <v>22</v>
      </c>
      <c r="C10">
        <f t="shared" si="1"/>
        <v>13.830080000000001</v>
      </c>
      <c r="D10">
        <f t="shared" si="2"/>
        <v>8.1699199999999994</v>
      </c>
      <c r="E10">
        <f t="shared" si="3"/>
        <v>66.747592806399993</v>
      </c>
    </row>
    <row r="11" spans="1:5" x14ac:dyDescent="0.35">
      <c r="A11" s="3">
        <f t="shared" si="0"/>
        <v>8</v>
      </c>
      <c r="B11" s="3">
        <v>23</v>
      </c>
      <c r="C11">
        <f t="shared" si="1"/>
        <v>17.098047999999999</v>
      </c>
      <c r="D11">
        <f t="shared" si="2"/>
        <v>5.9019520000000014</v>
      </c>
      <c r="E11">
        <f t="shared" si="3"/>
        <v>34.833037410304016</v>
      </c>
    </row>
    <row r="12" spans="1:5" x14ac:dyDescent="0.35">
      <c r="A12" s="3">
        <f t="shared" si="0"/>
        <v>9</v>
      </c>
      <c r="B12" s="3">
        <v>51</v>
      </c>
      <c r="C12">
        <f t="shared" si="1"/>
        <v>19.458828799999999</v>
      </c>
      <c r="D12">
        <f t="shared" si="2"/>
        <v>31.541171200000001</v>
      </c>
      <c r="E12">
        <f t="shared" si="3"/>
        <v>994.84548066770947</v>
      </c>
    </row>
    <row r="13" spans="1:5" x14ac:dyDescent="0.35">
      <c r="A13" s="3">
        <f t="shared" si="0"/>
        <v>10</v>
      </c>
      <c r="B13" s="3">
        <v>41</v>
      </c>
      <c r="C13">
        <f t="shared" si="1"/>
        <v>32.075297280000001</v>
      </c>
      <c r="D13">
        <f t="shared" si="2"/>
        <v>8.9247027199999991</v>
      </c>
      <c r="E13">
        <f t="shared" si="3"/>
        <v>79.650318640375389</v>
      </c>
    </row>
    <row r="14" spans="1:5" x14ac:dyDescent="0.35">
      <c r="A14" s="3">
        <f t="shared" si="0"/>
        <v>11</v>
      </c>
      <c r="B14" s="3">
        <v>56</v>
      </c>
      <c r="C14">
        <f t="shared" si="1"/>
        <v>35.645178368000003</v>
      </c>
      <c r="D14">
        <f t="shared" si="2"/>
        <v>20.354821631999997</v>
      </c>
      <c r="E14">
        <f t="shared" si="3"/>
        <v>414.31876367053502</v>
      </c>
    </row>
    <row r="15" spans="1:5" x14ac:dyDescent="0.35">
      <c r="A15" s="3">
        <f t="shared" si="0"/>
        <v>12</v>
      </c>
      <c r="B15" s="3">
        <v>75</v>
      </c>
      <c r="C15">
        <f t="shared" si="1"/>
        <v>43.787107020800001</v>
      </c>
      <c r="D15">
        <f t="shared" si="2"/>
        <v>31.212892979199999</v>
      </c>
      <c r="E15">
        <f t="shared" si="3"/>
        <v>974.24468813099259</v>
      </c>
    </row>
    <row r="16" spans="1:5" x14ac:dyDescent="0.35">
      <c r="A16" s="3">
        <f t="shared" si="0"/>
        <v>13</v>
      </c>
      <c r="B16" s="3">
        <v>60</v>
      </c>
      <c r="C16">
        <f t="shared" si="1"/>
        <v>56.272264212480003</v>
      </c>
      <c r="D16">
        <f t="shared" si="2"/>
        <v>3.7277357875199968</v>
      </c>
      <c r="E16">
        <f t="shared" si="3"/>
        <v>13.896014101557331</v>
      </c>
    </row>
    <row r="17" spans="1:5" x14ac:dyDescent="0.35">
      <c r="A17" s="3">
        <f t="shared" si="0"/>
        <v>14</v>
      </c>
      <c r="B17" s="3">
        <v>75</v>
      </c>
      <c r="C17">
        <f t="shared" si="1"/>
        <v>57.763358527488002</v>
      </c>
      <c r="D17">
        <f t="shared" si="2"/>
        <v>17.236641472511998</v>
      </c>
      <c r="E17">
        <f t="shared" si="3"/>
        <v>297.1018092519206</v>
      </c>
    </row>
    <row r="18" spans="1:5" x14ac:dyDescent="0.35">
      <c r="A18" s="10">
        <f t="shared" si="0"/>
        <v>15</v>
      </c>
      <c r="B18" s="10">
        <v>88</v>
      </c>
      <c r="C18" s="4">
        <f t="shared" si="1"/>
        <v>64.658015116492805</v>
      </c>
      <c r="D18" s="4">
        <f t="shared" si="2"/>
        <v>23.341984883507195</v>
      </c>
      <c r="E18" s="4">
        <f t="shared" si="3"/>
        <v>544.84825830187833</v>
      </c>
    </row>
    <row r="19" spans="1:5" x14ac:dyDescent="0.35">
      <c r="A19" s="42">
        <v>16</v>
      </c>
      <c r="C19" s="13">
        <f t="shared" si="1"/>
        <v>73.99480906989568</v>
      </c>
    </row>
    <row r="20" spans="1:5" x14ac:dyDescent="0.35">
      <c r="B20" s="11" t="s">
        <v>10</v>
      </c>
      <c r="C20" s="13"/>
      <c r="D20" s="3" t="s">
        <v>12</v>
      </c>
      <c r="E20" s="3" t="s">
        <v>4</v>
      </c>
    </row>
    <row r="21" spans="1:5" x14ac:dyDescent="0.35">
      <c r="B21" s="14">
        <v>0.4</v>
      </c>
      <c r="D21" s="5">
        <f>AVERAGE(D4:D18)</f>
        <v>12.677644476767085</v>
      </c>
      <c r="E21" s="6">
        <f>AVERAGE(E4:E18)</f>
        <v>262.78823923011947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6"/>
  <dimension ref="A1:X35"/>
  <sheetViews>
    <sheetView zoomScaleNormal="100" workbookViewId="0"/>
  </sheetViews>
  <sheetFormatPr defaultRowHeight="14.5" x14ac:dyDescent="0.35"/>
  <cols>
    <col min="1" max="1" width="6.453125" customWidth="1"/>
    <col min="2" max="24" width="7.7265625" customWidth="1"/>
  </cols>
  <sheetData>
    <row r="1" spans="1:24" ht="15" customHeight="1" x14ac:dyDescent="0.35">
      <c r="A1" s="7" t="s">
        <v>96</v>
      </c>
      <c r="J1" t="s">
        <v>97</v>
      </c>
      <c r="R1" t="s">
        <v>99</v>
      </c>
    </row>
    <row r="3" spans="1:24" x14ac:dyDescent="0.35">
      <c r="B3" s="1">
        <v>0</v>
      </c>
      <c r="C3" s="1">
        <f t="shared" ref="C3:H3" si="0">B3+1</f>
        <v>1</v>
      </c>
      <c r="D3" s="1">
        <f t="shared" si="0"/>
        <v>2</v>
      </c>
      <c r="E3" s="1">
        <f t="shared" si="0"/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J3" s="1">
        <v>0</v>
      </c>
      <c r="K3" s="1">
        <f t="shared" ref="K3:P3" si="1">J3+1</f>
        <v>1</v>
      </c>
      <c r="L3" s="1">
        <f t="shared" si="1"/>
        <v>2</v>
      </c>
      <c r="M3" s="1">
        <f t="shared" si="1"/>
        <v>3</v>
      </c>
      <c r="N3" s="1">
        <f t="shared" si="1"/>
        <v>4</v>
      </c>
      <c r="O3" s="1">
        <f t="shared" si="1"/>
        <v>5</v>
      </c>
      <c r="P3" s="1">
        <f t="shared" si="1"/>
        <v>6</v>
      </c>
      <c r="R3" s="1">
        <v>0</v>
      </c>
      <c r="S3" s="1">
        <f t="shared" ref="S3:X3" si="2">R3+1</f>
        <v>1</v>
      </c>
      <c r="T3" s="1">
        <f t="shared" si="2"/>
        <v>2</v>
      </c>
      <c r="U3" s="1">
        <f t="shared" si="2"/>
        <v>3</v>
      </c>
      <c r="V3" s="1">
        <f t="shared" si="2"/>
        <v>4</v>
      </c>
      <c r="W3" s="1">
        <f t="shared" si="2"/>
        <v>5</v>
      </c>
      <c r="X3" s="1">
        <f t="shared" si="2"/>
        <v>6</v>
      </c>
    </row>
    <row r="4" spans="1:24" x14ac:dyDescent="0.35">
      <c r="A4" s="3">
        <v>0</v>
      </c>
      <c r="B4" s="26">
        <v>0</v>
      </c>
      <c r="C4" s="27">
        <v>1</v>
      </c>
      <c r="D4" s="27">
        <v>0</v>
      </c>
      <c r="E4" s="27">
        <v>0</v>
      </c>
      <c r="F4" s="27">
        <v>0</v>
      </c>
      <c r="G4" s="27">
        <v>0</v>
      </c>
      <c r="H4" s="28">
        <v>0</v>
      </c>
      <c r="J4" s="26">
        <f t="array" ref="J4:P10">MMULT(B4:H10,B4:H10)</f>
        <v>0</v>
      </c>
      <c r="K4" s="27">
        <v>0.16666666666666666</v>
      </c>
      <c r="L4" s="27">
        <v>0.83333333333333337</v>
      </c>
      <c r="M4" s="27">
        <v>0</v>
      </c>
      <c r="N4" s="27">
        <v>0</v>
      </c>
      <c r="O4" s="27">
        <v>0</v>
      </c>
      <c r="P4" s="28">
        <v>0</v>
      </c>
      <c r="R4" s="26">
        <f t="array" ref="R4:X10">MMULT(J15:P21,J15:P21)</f>
        <v>0</v>
      </c>
      <c r="S4" s="27">
        <v>3.5722450845907631E-6</v>
      </c>
      <c r="T4" s="27">
        <v>2.2683756287151346E-3</v>
      </c>
      <c r="U4" s="27">
        <v>6.9015775034293556E-2</v>
      </c>
      <c r="V4" s="27">
        <v>0.36458333333333331</v>
      </c>
      <c r="W4" s="27">
        <v>0.45010288065843634</v>
      </c>
      <c r="X4" s="28">
        <v>0.11402606310013719</v>
      </c>
    </row>
    <row r="5" spans="1:24" x14ac:dyDescent="0.35">
      <c r="A5" s="3">
        <f t="shared" ref="A5:A10" si="3">A4+1</f>
        <v>1</v>
      </c>
      <c r="B5" s="29">
        <v>0</v>
      </c>
      <c r="C5" s="13">
        <f>1/6</f>
        <v>0.16666666666666666</v>
      </c>
      <c r="D5" s="13">
        <f>1-C5</f>
        <v>0.83333333333333337</v>
      </c>
      <c r="E5" s="13">
        <v>0</v>
      </c>
      <c r="F5" s="13">
        <v>0</v>
      </c>
      <c r="G5" s="13">
        <v>0</v>
      </c>
      <c r="H5" s="30">
        <v>0</v>
      </c>
      <c r="J5" s="29">
        <v>0</v>
      </c>
      <c r="K5" s="13">
        <v>2.7777777777777776E-2</v>
      </c>
      <c r="L5" s="13">
        <v>0.41666666666666669</v>
      </c>
      <c r="M5" s="13">
        <v>0.55555555555555569</v>
      </c>
      <c r="N5" s="13">
        <v>0</v>
      </c>
      <c r="O5" s="13">
        <v>0</v>
      </c>
      <c r="P5" s="30">
        <v>0</v>
      </c>
      <c r="R5" s="29">
        <v>0</v>
      </c>
      <c r="S5" s="13">
        <v>5.9537418076512718E-7</v>
      </c>
      <c r="T5" s="13">
        <v>7.5910208047553715E-4</v>
      </c>
      <c r="U5" s="13">
        <v>3.6020137936290206E-2</v>
      </c>
      <c r="V5" s="13">
        <v>0.27756344307270236</v>
      </c>
      <c r="W5" s="13">
        <v>0.4966135116598081</v>
      </c>
      <c r="X5" s="30">
        <v>0.18904320987654324</v>
      </c>
    </row>
    <row r="6" spans="1:24" x14ac:dyDescent="0.35">
      <c r="A6" s="3">
        <f t="shared" si="3"/>
        <v>2</v>
      </c>
      <c r="B6" s="29">
        <v>0</v>
      </c>
      <c r="C6" s="13">
        <v>0</v>
      </c>
      <c r="D6" s="13">
        <f>2/6</f>
        <v>0.33333333333333331</v>
      </c>
      <c r="E6" s="13">
        <f>1-D6</f>
        <v>0.66666666666666674</v>
      </c>
      <c r="F6" s="13">
        <v>0</v>
      </c>
      <c r="G6" s="13">
        <v>0</v>
      </c>
      <c r="H6" s="30">
        <v>0</v>
      </c>
      <c r="J6" s="29">
        <v>0</v>
      </c>
      <c r="K6" s="13">
        <v>0</v>
      </c>
      <c r="L6" s="13">
        <v>0.1111111111111111</v>
      </c>
      <c r="M6" s="13">
        <v>0.55555555555555558</v>
      </c>
      <c r="N6" s="13">
        <v>0.33333333333333337</v>
      </c>
      <c r="O6" s="13">
        <v>0</v>
      </c>
      <c r="P6" s="30">
        <v>0</v>
      </c>
      <c r="R6" s="29">
        <v>0</v>
      </c>
      <c r="S6" s="13">
        <v>0</v>
      </c>
      <c r="T6" s="13">
        <v>1.5241579027587256E-4</v>
      </c>
      <c r="U6" s="13">
        <v>1.501533683889651E-2</v>
      </c>
      <c r="V6" s="13">
        <v>0.18815014860539553</v>
      </c>
      <c r="W6" s="13">
        <v>0.50831618655692745</v>
      </c>
      <c r="X6" s="30">
        <v>0.28836591220850483</v>
      </c>
    </row>
    <row r="7" spans="1:24" x14ac:dyDescent="0.35">
      <c r="A7" s="3">
        <f t="shared" si="3"/>
        <v>3</v>
      </c>
      <c r="B7" s="29">
        <v>0</v>
      </c>
      <c r="C7" s="13">
        <v>0</v>
      </c>
      <c r="D7" s="13">
        <v>0</v>
      </c>
      <c r="E7" s="13">
        <f>3/6</f>
        <v>0.5</v>
      </c>
      <c r="F7" s="13">
        <f>1-E7</f>
        <v>0.5</v>
      </c>
      <c r="G7" s="33">
        <v>0</v>
      </c>
      <c r="H7" s="30">
        <v>0</v>
      </c>
      <c r="J7" s="29">
        <v>0</v>
      </c>
      <c r="K7" s="13">
        <v>0</v>
      </c>
      <c r="L7" s="13">
        <v>0</v>
      </c>
      <c r="M7" s="13">
        <v>0.25</v>
      </c>
      <c r="N7" s="13">
        <v>0.58333333333333326</v>
      </c>
      <c r="O7" s="13">
        <v>0.16666666666666669</v>
      </c>
      <c r="P7" s="30">
        <v>0</v>
      </c>
      <c r="R7" s="29">
        <v>0</v>
      </c>
      <c r="S7" s="13">
        <v>0</v>
      </c>
      <c r="T7" s="13">
        <v>0</v>
      </c>
      <c r="U7" s="13">
        <v>3.90625E-3</v>
      </c>
      <c r="V7" s="13">
        <v>0.10533657693187012</v>
      </c>
      <c r="W7" s="13">
        <v>0.47531221422039338</v>
      </c>
      <c r="X7" s="30">
        <v>0.41544495884773658</v>
      </c>
    </row>
    <row r="8" spans="1:24" x14ac:dyDescent="0.35">
      <c r="A8" s="3">
        <f t="shared" si="3"/>
        <v>4</v>
      </c>
      <c r="B8" s="29">
        <v>0</v>
      </c>
      <c r="C8" s="13">
        <v>0</v>
      </c>
      <c r="D8" s="13">
        <v>0</v>
      </c>
      <c r="E8" s="13">
        <v>0</v>
      </c>
      <c r="F8" s="13">
        <f>4/6</f>
        <v>0.66666666666666663</v>
      </c>
      <c r="G8" s="13">
        <f>1-F8</f>
        <v>0.33333333333333337</v>
      </c>
      <c r="H8" s="30">
        <v>0</v>
      </c>
      <c r="J8" s="29">
        <v>0</v>
      </c>
      <c r="K8" s="13">
        <v>0</v>
      </c>
      <c r="L8" s="13">
        <v>0</v>
      </c>
      <c r="M8" s="13">
        <v>0</v>
      </c>
      <c r="N8" s="13">
        <v>0.44444444444444442</v>
      </c>
      <c r="O8" s="13">
        <v>0.50000000000000011</v>
      </c>
      <c r="P8" s="30">
        <v>5.5555555555555552E-2</v>
      </c>
      <c r="R8" s="29">
        <v>0</v>
      </c>
      <c r="S8" s="13">
        <v>0</v>
      </c>
      <c r="T8" s="13">
        <v>0</v>
      </c>
      <c r="U8" s="13">
        <v>0</v>
      </c>
      <c r="V8" s="13">
        <v>3.9018442310623375E-2</v>
      </c>
      <c r="W8" s="13">
        <v>0.38709919410150917</v>
      </c>
      <c r="X8" s="30">
        <v>0.57388236358786782</v>
      </c>
    </row>
    <row r="9" spans="1:24" x14ac:dyDescent="0.35">
      <c r="A9" s="3">
        <f t="shared" si="3"/>
        <v>5</v>
      </c>
      <c r="B9" s="29">
        <v>0</v>
      </c>
      <c r="C9" s="13">
        <v>0</v>
      </c>
      <c r="D9" s="13">
        <v>0</v>
      </c>
      <c r="E9" s="13">
        <v>0</v>
      </c>
      <c r="F9" s="13">
        <v>0</v>
      </c>
      <c r="G9" s="13">
        <f>5/6</f>
        <v>0.83333333333333337</v>
      </c>
      <c r="H9" s="30">
        <f>1-G9</f>
        <v>0.16666666666666663</v>
      </c>
      <c r="J9" s="29">
        <v>0</v>
      </c>
      <c r="K9" s="13">
        <v>0</v>
      </c>
      <c r="L9" s="13">
        <v>0</v>
      </c>
      <c r="M9" s="13">
        <v>0</v>
      </c>
      <c r="N9" s="13">
        <v>0</v>
      </c>
      <c r="O9" s="13">
        <v>0.69444444444444453</v>
      </c>
      <c r="P9" s="30">
        <v>0.30555555555555547</v>
      </c>
      <c r="R9" s="29">
        <v>0</v>
      </c>
      <c r="S9" s="13">
        <v>0</v>
      </c>
      <c r="T9" s="13">
        <v>0</v>
      </c>
      <c r="U9" s="13">
        <v>0</v>
      </c>
      <c r="V9" s="13">
        <v>0</v>
      </c>
      <c r="W9" s="13">
        <v>0.23256803936137799</v>
      </c>
      <c r="X9" s="30">
        <v>0.76743196063862207</v>
      </c>
    </row>
    <row r="10" spans="1:24" x14ac:dyDescent="0.35">
      <c r="A10" s="3">
        <f t="shared" si="3"/>
        <v>6</v>
      </c>
      <c r="B10" s="31">
        <v>0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32">
        <v>1</v>
      </c>
      <c r="J10" s="31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32">
        <v>1</v>
      </c>
      <c r="R10" s="31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32">
        <v>1</v>
      </c>
    </row>
    <row r="12" spans="1:24" ht="15.75" customHeight="1" x14ac:dyDescent="0.35">
      <c r="J12" t="s">
        <v>98</v>
      </c>
      <c r="R12" t="s">
        <v>100</v>
      </c>
    </row>
    <row r="14" spans="1:24" x14ac:dyDescent="0.35">
      <c r="J14" s="1">
        <v>0</v>
      </c>
      <c r="K14" s="1">
        <f t="shared" ref="K14:P14" si="4">J14+1</f>
        <v>1</v>
      </c>
      <c r="L14" s="1">
        <f t="shared" si="4"/>
        <v>2</v>
      </c>
      <c r="M14" s="1">
        <f t="shared" si="4"/>
        <v>3</v>
      </c>
      <c r="N14" s="1">
        <f t="shared" si="4"/>
        <v>4</v>
      </c>
      <c r="O14" s="1">
        <f t="shared" si="4"/>
        <v>5</v>
      </c>
      <c r="P14" s="1">
        <f t="shared" si="4"/>
        <v>6</v>
      </c>
      <c r="R14" s="1">
        <v>0</v>
      </c>
      <c r="S14" s="1">
        <f t="shared" ref="S14:X14" si="5">R14+1</f>
        <v>1</v>
      </c>
      <c r="T14" s="1">
        <f t="shared" si="5"/>
        <v>2</v>
      </c>
      <c r="U14" s="1">
        <f t="shared" si="5"/>
        <v>3</v>
      </c>
      <c r="V14" s="1">
        <f t="shared" si="5"/>
        <v>4</v>
      </c>
      <c r="W14" s="1">
        <f t="shared" si="5"/>
        <v>5</v>
      </c>
      <c r="X14" s="1">
        <f t="shared" si="5"/>
        <v>6</v>
      </c>
    </row>
    <row r="15" spans="1:24" x14ac:dyDescent="0.35">
      <c r="I15" s="3">
        <v>0</v>
      </c>
      <c r="J15" s="26">
        <f t="array" ref="J15:P21">MMULT(J4:P10,J4:P10)</f>
        <v>0</v>
      </c>
      <c r="K15" s="27">
        <v>4.6296296296296294E-3</v>
      </c>
      <c r="L15" s="27">
        <v>0.16203703703703703</v>
      </c>
      <c r="M15" s="27">
        <v>0.55555555555555558</v>
      </c>
      <c r="N15" s="27">
        <v>0.27777777777777785</v>
      </c>
      <c r="O15" s="27">
        <v>0</v>
      </c>
      <c r="P15" s="28">
        <v>0</v>
      </c>
      <c r="R15" s="26">
        <f t="array" ref="R15:X21">MMULT(R4:X10,J4:P10)</f>
        <v>0</v>
      </c>
      <c r="S15" s="27">
        <v>9.9229030127521192E-8</v>
      </c>
      <c r="T15" s="27">
        <v>2.5353017197581664E-4</v>
      </c>
      <c r="U15" s="27">
        <v>1.851613702179546E-2</v>
      </c>
      <c r="V15" s="27">
        <v>0.20305236434994661</v>
      </c>
      <c r="W15" s="27">
        <v>0.50636574074074092</v>
      </c>
      <c r="X15" s="28">
        <v>0.27181212848651121</v>
      </c>
    </row>
    <row r="16" spans="1:24" x14ac:dyDescent="0.35">
      <c r="I16" s="3">
        <f t="shared" ref="I16:I21" si="6">I15+1</f>
        <v>1</v>
      </c>
      <c r="J16" s="29">
        <v>0</v>
      </c>
      <c r="K16" s="13">
        <v>7.716049382716049E-4</v>
      </c>
      <c r="L16" s="13">
        <v>5.7870370370370364E-2</v>
      </c>
      <c r="M16" s="13">
        <v>0.38580246913580252</v>
      </c>
      <c r="N16" s="13">
        <v>0.46296296296296302</v>
      </c>
      <c r="O16" s="13">
        <v>9.2592592592592629E-2</v>
      </c>
      <c r="P16" s="30">
        <v>0</v>
      </c>
      <c r="R16" s="29">
        <v>0</v>
      </c>
      <c r="S16" s="13">
        <v>1.6538171687920198E-8</v>
      </c>
      <c r="T16" s="13">
        <v>8.4592748183711809E-5</v>
      </c>
      <c r="U16" s="13">
        <v>9.4270886255482748E-3</v>
      </c>
      <c r="V16" s="13">
        <v>0.14462631141086219</v>
      </c>
      <c r="W16" s="13">
        <v>0.48965557206726634</v>
      </c>
      <c r="X16" s="30">
        <v>0.35620641860996805</v>
      </c>
    </row>
    <row r="17" spans="9:24" x14ac:dyDescent="0.35">
      <c r="I17" s="3">
        <f t="shared" si="6"/>
        <v>2</v>
      </c>
      <c r="J17" s="29">
        <v>0</v>
      </c>
      <c r="K17" s="13">
        <v>0</v>
      </c>
      <c r="L17" s="13">
        <v>1.2345679012345678E-2</v>
      </c>
      <c r="M17" s="13">
        <v>0.20061728395061729</v>
      </c>
      <c r="N17" s="13">
        <v>0.5092592592592593</v>
      </c>
      <c r="O17" s="13">
        <v>0.2592592592592593</v>
      </c>
      <c r="P17" s="30">
        <v>1.8518518518518521E-2</v>
      </c>
      <c r="R17" s="29">
        <v>0</v>
      </c>
      <c r="S17" s="13">
        <v>0</v>
      </c>
      <c r="T17" s="13">
        <v>1.6935087808430282E-5</v>
      </c>
      <c r="U17" s="13">
        <v>3.8385096487662789E-3</v>
      </c>
      <c r="V17" s="13">
        <v>9.2432040021846268E-2</v>
      </c>
      <c r="W17" s="13">
        <v>0.449574982218158</v>
      </c>
      <c r="X17" s="30">
        <v>0.45413753302342125</v>
      </c>
    </row>
    <row r="18" spans="9:24" x14ac:dyDescent="0.35">
      <c r="I18" s="3">
        <f t="shared" si="6"/>
        <v>3</v>
      </c>
      <c r="J18" s="29">
        <v>0</v>
      </c>
      <c r="K18" s="13">
        <v>0</v>
      </c>
      <c r="L18" s="13">
        <v>0</v>
      </c>
      <c r="M18" s="13">
        <v>6.25E-2</v>
      </c>
      <c r="N18" s="13">
        <v>0.4050925925925925</v>
      </c>
      <c r="O18" s="13">
        <v>0.44907407407407413</v>
      </c>
      <c r="P18" s="30">
        <v>8.3333333333333315E-2</v>
      </c>
      <c r="R18" s="29">
        <v>0</v>
      </c>
      <c r="S18" s="13">
        <v>0</v>
      </c>
      <c r="T18" s="13">
        <v>0</v>
      </c>
      <c r="U18" s="13">
        <v>9.765625E-4</v>
      </c>
      <c r="V18" s="13">
        <v>4.9094902247497831E-2</v>
      </c>
      <c r="W18" s="13">
        <v>0.38339725667454166</v>
      </c>
      <c r="X18" s="30">
        <v>0.5665312785779606</v>
      </c>
    </row>
    <row r="19" spans="9:24" x14ac:dyDescent="0.35">
      <c r="I19" s="3">
        <f t="shared" si="6"/>
        <v>4</v>
      </c>
      <c r="J19" s="29">
        <v>0</v>
      </c>
      <c r="K19" s="13">
        <v>0</v>
      </c>
      <c r="L19" s="13">
        <v>0</v>
      </c>
      <c r="M19" s="13">
        <v>0</v>
      </c>
      <c r="N19" s="13">
        <v>0.19753086419753085</v>
      </c>
      <c r="O19" s="13">
        <v>0.56944444444444464</v>
      </c>
      <c r="P19" s="30">
        <v>0.23302469135802467</v>
      </c>
      <c r="R19" s="29">
        <v>0</v>
      </c>
      <c r="S19" s="13">
        <v>0</v>
      </c>
      <c r="T19" s="13">
        <v>0</v>
      </c>
      <c r="U19" s="13">
        <v>0</v>
      </c>
      <c r="V19" s="13">
        <v>1.7341529915832609E-2</v>
      </c>
      <c r="W19" s="13">
        <v>0.28832810594802638</v>
      </c>
      <c r="X19" s="30">
        <v>0.69433036413614135</v>
      </c>
    </row>
    <row r="20" spans="9:24" x14ac:dyDescent="0.35">
      <c r="I20" s="3">
        <f t="shared" si="6"/>
        <v>5</v>
      </c>
      <c r="J20" s="29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0.48225308641975323</v>
      </c>
      <c r="P20" s="30">
        <v>0.51774691358024683</v>
      </c>
      <c r="R20" s="29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0.16150558288984584</v>
      </c>
      <c r="X20" s="30">
        <v>0.83849441711015427</v>
      </c>
    </row>
    <row r="21" spans="9:24" x14ac:dyDescent="0.35">
      <c r="I21" s="3">
        <f t="shared" si="6"/>
        <v>6</v>
      </c>
      <c r="J21" s="31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32">
        <v>1</v>
      </c>
      <c r="R21" s="31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32">
        <v>1</v>
      </c>
    </row>
    <row r="23" spans="9:24" ht="15" customHeight="1" x14ac:dyDescent="0.35">
      <c r="R23" t="s">
        <v>101</v>
      </c>
    </row>
    <row r="25" spans="9:24" x14ac:dyDescent="0.35">
      <c r="R25" s="1">
        <v>0</v>
      </c>
      <c r="S25" s="1">
        <f t="shared" ref="S25:X25" si="7">R25+1</f>
        <v>1</v>
      </c>
      <c r="T25" s="1">
        <f t="shared" si="7"/>
        <v>2</v>
      </c>
      <c r="U25" s="1">
        <f t="shared" si="7"/>
        <v>3</v>
      </c>
      <c r="V25" s="1">
        <f t="shared" si="7"/>
        <v>4</v>
      </c>
      <c r="W25" s="1">
        <f t="shared" si="7"/>
        <v>5</v>
      </c>
      <c r="X25" s="1">
        <f t="shared" si="7"/>
        <v>6</v>
      </c>
    </row>
    <row r="26" spans="9:24" x14ac:dyDescent="0.35">
      <c r="R26" s="26" t="e">
        <f t="array" aca="1" ref="R26:X32" ca="1">MPOWER(B4:H10,9)</f>
        <v>#NAME?</v>
      </c>
      <c r="S26" s="27" t="e">
        <f ca="1"/>
        <v>#NAME?</v>
      </c>
      <c r="T26" s="27" t="e">
        <f ca="1"/>
        <v>#NAME?</v>
      </c>
      <c r="U26" s="27" t="e">
        <f ca="1"/>
        <v>#NAME?</v>
      </c>
      <c r="V26" s="27" t="e">
        <f ca="1"/>
        <v>#NAME?</v>
      </c>
      <c r="W26" s="27" t="e">
        <f ca="1"/>
        <v>#NAME?</v>
      </c>
      <c r="X26" s="28" t="e">
        <f ca="1"/>
        <v>#NAME?</v>
      </c>
    </row>
    <row r="27" spans="9:24" x14ac:dyDescent="0.35">
      <c r="R27" s="29" t="e">
        <f ca="1"/>
        <v>#NAME?</v>
      </c>
      <c r="S27" s="13" t="e">
        <f ca="1"/>
        <v>#NAME?</v>
      </c>
      <c r="T27" s="13" t="e">
        <f ca="1"/>
        <v>#NAME?</v>
      </c>
      <c r="U27" s="13" t="e">
        <f ca="1"/>
        <v>#NAME?</v>
      </c>
      <c r="V27" s="13" t="e">
        <f ca="1"/>
        <v>#NAME?</v>
      </c>
      <c r="W27" s="13" t="e">
        <f ca="1"/>
        <v>#NAME?</v>
      </c>
      <c r="X27" s="30" t="e">
        <f ca="1"/>
        <v>#NAME?</v>
      </c>
    </row>
    <row r="28" spans="9:24" x14ac:dyDescent="0.35">
      <c r="R28" s="29" t="e">
        <f ca="1"/>
        <v>#NAME?</v>
      </c>
      <c r="S28" s="13" t="e">
        <f ca="1"/>
        <v>#NAME?</v>
      </c>
      <c r="T28" s="13" t="e">
        <f ca="1"/>
        <v>#NAME?</v>
      </c>
      <c r="U28" s="13" t="e">
        <f ca="1"/>
        <v>#NAME?</v>
      </c>
      <c r="V28" s="13" t="e">
        <f ca="1"/>
        <v>#NAME?</v>
      </c>
      <c r="W28" s="13" t="e">
        <f ca="1"/>
        <v>#NAME?</v>
      </c>
      <c r="X28" s="30" t="e">
        <f ca="1"/>
        <v>#NAME?</v>
      </c>
    </row>
    <row r="29" spans="9:24" x14ac:dyDescent="0.35">
      <c r="R29" s="29" t="e">
        <f ca="1"/>
        <v>#NAME?</v>
      </c>
      <c r="S29" s="13" t="e">
        <f ca="1"/>
        <v>#NAME?</v>
      </c>
      <c r="T29" s="13" t="e">
        <f ca="1"/>
        <v>#NAME?</v>
      </c>
      <c r="U29" s="13" t="e">
        <f ca="1"/>
        <v>#NAME?</v>
      </c>
      <c r="V29" s="13" t="e">
        <f ca="1"/>
        <v>#NAME?</v>
      </c>
      <c r="W29" s="13" t="e">
        <f ca="1"/>
        <v>#NAME?</v>
      </c>
      <c r="X29" s="30" t="e">
        <f ca="1"/>
        <v>#NAME?</v>
      </c>
    </row>
    <row r="30" spans="9:24" x14ac:dyDescent="0.35">
      <c r="R30" s="29" t="e">
        <f ca="1"/>
        <v>#NAME?</v>
      </c>
      <c r="S30" s="13" t="e">
        <f ca="1"/>
        <v>#NAME?</v>
      </c>
      <c r="T30" s="13" t="e">
        <f ca="1"/>
        <v>#NAME?</v>
      </c>
      <c r="U30" s="13" t="e">
        <f ca="1"/>
        <v>#NAME?</v>
      </c>
      <c r="V30" s="13" t="e">
        <f ca="1"/>
        <v>#NAME?</v>
      </c>
      <c r="W30" s="13" t="e">
        <f ca="1"/>
        <v>#NAME?</v>
      </c>
      <c r="X30" s="30" t="e">
        <f ca="1"/>
        <v>#NAME?</v>
      </c>
    </row>
    <row r="31" spans="9:24" x14ac:dyDescent="0.35">
      <c r="R31" s="29" t="e">
        <f ca="1"/>
        <v>#NAME?</v>
      </c>
      <c r="S31" s="13" t="e">
        <f ca="1"/>
        <v>#NAME?</v>
      </c>
      <c r="T31" s="13" t="e">
        <f ca="1"/>
        <v>#NAME?</v>
      </c>
      <c r="U31" s="13" t="e">
        <f ca="1"/>
        <v>#NAME?</v>
      </c>
      <c r="V31" s="13" t="e">
        <f ca="1"/>
        <v>#NAME?</v>
      </c>
      <c r="W31" s="13" t="e">
        <f ca="1"/>
        <v>#NAME?</v>
      </c>
      <c r="X31" s="30" t="e">
        <f ca="1"/>
        <v>#NAME?</v>
      </c>
    </row>
    <row r="32" spans="9:24" x14ac:dyDescent="0.35">
      <c r="R32" s="31" t="e">
        <f ca="1"/>
        <v>#NAME?</v>
      </c>
      <c r="S32" s="4" t="e">
        <f ca="1"/>
        <v>#NAME?</v>
      </c>
      <c r="T32" s="4" t="e">
        <f ca="1"/>
        <v>#NAME?</v>
      </c>
      <c r="U32" s="4" t="e">
        <f ca="1"/>
        <v>#NAME?</v>
      </c>
      <c r="V32" s="4" t="e">
        <f ca="1"/>
        <v>#NAME?</v>
      </c>
      <c r="W32" s="4" t="e">
        <f ca="1"/>
        <v>#NAME?</v>
      </c>
      <c r="X32" s="32" t="e">
        <f ca="1"/>
        <v>#NAME?</v>
      </c>
    </row>
    <row r="34" spans="18:18" x14ac:dyDescent="0.35">
      <c r="R34" t="e">
        <f ca="1">INDEX(MPOWER(B4:H10,9),1,7)</f>
        <v>#NAME?</v>
      </c>
    </row>
    <row r="35" spans="18:18" x14ac:dyDescent="0.35">
      <c r="R35" t="e">
        <f ca="1">X15-X26</f>
        <v>#NAME?</v>
      </c>
    </row>
  </sheetData>
  <pageMargins left="0.7" right="0.7" top="0.75" bottom="0.75" header="0.3" footer="0.3"/>
  <pageSetup paperSize="9" orientation="portrait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7"/>
  <dimension ref="A1:AA17"/>
  <sheetViews>
    <sheetView zoomScaleNormal="100" workbookViewId="0"/>
  </sheetViews>
  <sheetFormatPr defaultRowHeight="14.5" x14ac:dyDescent="0.35"/>
  <cols>
    <col min="10" max="15" width="9.1796875" customWidth="1"/>
    <col min="16" max="16" width="5" customWidth="1"/>
    <col min="18" max="18" width="5.7265625" customWidth="1"/>
    <col min="23" max="25" width="9.1796875" customWidth="1"/>
    <col min="26" max="26" width="5" customWidth="1"/>
    <col min="27" max="27" width="9.1796875" customWidth="1"/>
  </cols>
  <sheetData>
    <row r="1" spans="1:27" x14ac:dyDescent="0.35">
      <c r="A1" s="7" t="s">
        <v>96</v>
      </c>
    </row>
    <row r="3" spans="1:27" ht="16.5" x14ac:dyDescent="0.35">
      <c r="B3" s="1">
        <v>0</v>
      </c>
      <c r="C3" s="1">
        <f>B3+1</f>
        <v>1</v>
      </c>
      <c r="D3" s="1">
        <f>C3+1</f>
        <v>2</v>
      </c>
      <c r="E3" s="1">
        <f>D3+1</f>
        <v>3</v>
      </c>
      <c r="F3" s="1" t="s">
        <v>102</v>
      </c>
      <c r="G3" s="1" t="s">
        <v>103</v>
      </c>
      <c r="I3" s="3" t="s">
        <v>100</v>
      </c>
      <c r="J3" s="1">
        <v>0</v>
      </c>
      <c r="K3" s="1">
        <f>J3+1</f>
        <v>1</v>
      </c>
      <c r="L3" s="1">
        <f>K3+1</f>
        <v>2</v>
      </c>
      <c r="M3" s="1">
        <f>L3+1</f>
        <v>3</v>
      </c>
      <c r="N3" s="1" t="s">
        <v>102</v>
      </c>
      <c r="O3" s="1" t="s">
        <v>103</v>
      </c>
      <c r="S3" s="3" t="s">
        <v>105</v>
      </c>
      <c r="T3" s="1">
        <v>0</v>
      </c>
      <c r="U3" s="1">
        <f>T3+1</f>
        <v>1</v>
      </c>
      <c r="V3" s="1">
        <f>U3+1</f>
        <v>2</v>
      </c>
      <c r="W3" s="1">
        <f>V3+1</f>
        <v>3</v>
      </c>
      <c r="X3" s="1" t="s">
        <v>102</v>
      </c>
      <c r="Y3" s="1" t="s">
        <v>103</v>
      </c>
    </row>
    <row r="4" spans="1:27" x14ac:dyDescent="0.35">
      <c r="A4" s="3">
        <v>0</v>
      </c>
      <c r="B4" s="26">
        <v>0</v>
      </c>
      <c r="C4" s="27">
        <f>2/3</f>
        <v>0.66666666666666663</v>
      </c>
      <c r="D4" s="27">
        <v>0</v>
      </c>
      <c r="E4" s="27">
        <v>0</v>
      </c>
      <c r="F4" s="27">
        <f>1/3</f>
        <v>0.33333333333333331</v>
      </c>
      <c r="G4" s="28">
        <v>0</v>
      </c>
      <c r="I4" s="3">
        <v>0</v>
      </c>
      <c r="J4" s="26" t="e">
        <f t="array" aca="1" ref="J4:O9" ca="1">MPOWER(B4:G9,10)</f>
        <v>#NAME?</v>
      </c>
      <c r="K4" s="27" t="e">
        <f ca="1"/>
        <v>#NAME?</v>
      </c>
      <c r="L4" s="27" t="e">
        <f ca="1"/>
        <v>#NAME?</v>
      </c>
      <c r="M4" s="27" t="e">
        <f ca="1"/>
        <v>#NAME?</v>
      </c>
      <c r="N4" s="27" t="e">
        <f ca="1"/>
        <v>#NAME?</v>
      </c>
      <c r="O4" s="28" t="e">
        <f ca="1"/>
        <v>#NAME?</v>
      </c>
      <c r="Q4" s="19" t="e">
        <f ca="1">M4+O4</f>
        <v>#NAME?</v>
      </c>
      <c r="S4" s="3">
        <v>0</v>
      </c>
      <c r="T4" s="26" t="e">
        <f t="array" aca="1" ref="T4:Y9" ca="1">MPOWER(B4:G9,30)</f>
        <v>#NAME?</v>
      </c>
      <c r="U4" s="27" t="e">
        <f ca="1"/>
        <v>#NAME?</v>
      </c>
      <c r="V4" s="27" t="e">
        <f ca="1"/>
        <v>#NAME?</v>
      </c>
      <c r="W4" s="27" t="e">
        <f ca="1"/>
        <v>#NAME?</v>
      </c>
      <c r="X4" s="27" t="e">
        <f ca="1"/>
        <v>#NAME?</v>
      </c>
      <c r="Y4" s="28" t="e">
        <f ca="1"/>
        <v>#NAME?</v>
      </c>
      <c r="AA4" s="19" t="e">
        <f ca="1">W4+Y4</f>
        <v>#NAME?</v>
      </c>
    </row>
    <row r="5" spans="1:27" x14ac:dyDescent="0.35">
      <c r="A5" s="3">
        <f>A4+1</f>
        <v>1</v>
      </c>
      <c r="B5" s="29">
        <v>0</v>
      </c>
      <c r="C5" s="13">
        <v>0</v>
      </c>
      <c r="D5" s="13">
        <f>C4</f>
        <v>0.66666666666666663</v>
      </c>
      <c r="E5" s="13">
        <v>0</v>
      </c>
      <c r="F5" s="13">
        <f>1/3</f>
        <v>0.33333333333333331</v>
      </c>
      <c r="G5" s="30">
        <v>0</v>
      </c>
      <c r="I5" s="3">
        <f>I4+1</f>
        <v>1</v>
      </c>
      <c r="J5" s="29" t="e">
        <f ca="1"/>
        <v>#NAME?</v>
      </c>
      <c r="K5" s="13" t="e">
        <f ca="1"/>
        <v>#NAME?</v>
      </c>
      <c r="L5" s="13" t="e">
        <f ca="1"/>
        <v>#NAME?</v>
      </c>
      <c r="M5" s="13" t="e">
        <f ca="1"/>
        <v>#NAME?</v>
      </c>
      <c r="N5" s="13" t="e">
        <f ca="1"/>
        <v>#NAME?</v>
      </c>
      <c r="O5" s="30" t="e">
        <f ca="1"/>
        <v>#NAME?</v>
      </c>
      <c r="S5" s="3">
        <f>S4+1</f>
        <v>1</v>
      </c>
      <c r="T5" s="29" t="e">
        <f ca="1"/>
        <v>#NAME?</v>
      </c>
      <c r="U5" s="13" t="e">
        <f ca="1"/>
        <v>#NAME?</v>
      </c>
      <c r="V5" s="13" t="e">
        <f ca="1"/>
        <v>#NAME?</v>
      </c>
      <c r="W5" s="13" t="e">
        <f ca="1"/>
        <v>#NAME?</v>
      </c>
      <c r="X5" s="13" t="e">
        <f ca="1"/>
        <v>#NAME?</v>
      </c>
      <c r="Y5" s="30" t="e">
        <f ca="1"/>
        <v>#NAME?</v>
      </c>
    </row>
    <row r="6" spans="1:27" x14ac:dyDescent="0.35">
      <c r="A6" s="3">
        <f>A5+1</f>
        <v>2</v>
      </c>
      <c r="B6" s="29">
        <v>0</v>
      </c>
      <c r="C6" s="13">
        <v>0</v>
      </c>
      <c r="D6" s="13">
        <v>0</v>
      </c>
      <c r="E6" s="13">
        <f>D5</f>
        <v>0.66666666666666663</v>
      </c>
      <c r="F6" s="13">
        <f>1/3</f>
        <v>0.33333333333333331</v>
      </c>
      <c r="G6" s="30">
        <v>0</v>
      </c>
      <c r="I6" s="3">
        <f>I5+1</f>
        <v>2</v>
      </c>
      <c r="J6" s="29" t="e">
        <f ca="1"/>
        <v>#NAME?</v>
      </c>
      <c r="K6" s="13" t="e">
        <f ca="1"/>
        <v>#NAME?</v>
      </c>
      <c r="L6" s="13" t="e">
        <f ca="1"/>
        <v>#NAME?</v>
      </c>
      <c r="M6" s="13" t="e">
        <f ca="1"/>
        <v>#NAME?</v>
      </c>
      <c r="N6" s="13" t="e">
        <f ca="1"/>
        <v>#NAME?</v>
      </c>
      <c r="O6" s="30" t="e">
        <f ca="1"/>
        <v>#NAME?</v>
      </c>
      <c r="S6" s="3">
        <f>S5+1</f>
        <v>2</v>
      </c>
      <c r="T6" s="29" t="e">
        <f ca="1"/>
        <v>#NAME?</v>
      </c>
      <c r="U6" s="13" t="e">
        <f ca="1"/>
        <v>#NAME?</v>
      </c>
      <c r="V6" s="13" t="e">
        <f ca="1"/>
        <v>#NAME?</v>
      </c>
      <c r="W6" s="13" t="e">
        <f ca="1"/>
        <v>#NAME?</v>
      </c>
      <c r="X6" s="13" t="e">
        <f ca="1"/>
        <v>#NAME?</v>
      </c>
      <c r="Y6" s="30" t="e">
        <f ca="1"/>
        <v>#NAME?</v>
      </c>
    </row>
    <row r="7" spans="1:27" x14ac:dyDescent="0.35">
      <c r="A7" s="3">
        <f>A6+1</f>
        <v>3</v>
      </c>
      <c r="B7" s="29">
        <v>0</v>
      </c>
      <c r="C7" s="13">
        <v>0</v>
      </c>
      <c r="D7" s="13">
        <v>0</v>
      </c>
      <c r="E7" s="13">
        <v>1</v>
      </c>
      <c r="F7" s="13">
        <v>0</v>
      </c>
      <c r="G7" s="30">
        <v>0</v>
      </c>
      <c r="I7" s="3">
        <f>I6+1</f>
        <v>3</v>
      </c>
      <c r="J7" s="29" t="e">
        <f ca="1"/>
        <v>#NAME?</v>
      </c>
      <c r="K7" s="13" t="e">
        <f ca="1"/>
        <v>#NAME?</v>
      </c>
      <c r="L7" s="13" t="e">
        <f ca="1"/>
        <v>#NAME?</v>
      </c>
      <c r="M7" s="13" t="e">
        <f ca="1"/>
        <v>#NAME?</v>
      </c>
      <c r="N7" s="13" t="e">
        <f ca="1"/>
        <v>#NAME?</v>
      </c>
      <c r="O7" s="30" t="e">
        <f ca="1"/>
        <v>#NAME?</v>
      </c>
      <c r="S7" s="3">
        <f>S6+1</f>
        <v>3</v>
      </c>
      <c r="T7" s="29" t="e">
        <f ca="1"/>
        <v>#NAME?</v>
      </c>
      <c r="U7" s="13" t="e">
        <f ca="1"/>
        <v>#NAME?</v>
      </c>
      <c r="V7" s="13" t="e">
        <f ca="1"/>
        <v>#NAME?</v>
      </c>
      <c r="W7" s="13" t="e">
        <f ca="1"/>
        <v>#NAME?</v>
      </c>
      <c r="X7" s="13" t="e">
        <f ca="1"/>
        <v>#NAME?</v>
      </c>
      <c r="Y7" s="30" t="e">
        <f ca="1"/>
        <v>#NAME?</v>
      </c>
    </row>
    <row r="8" spans="1:27" x14ac:dyDescent="0.35">
      <c r="A8" s="3" t="s">
        <v>102</v>
      </c>
      <c r="B8" s="29">
        <v>0</v>
      </c>
      <c r="C8" s="13">
        <f>C4</f>
        <v>0.66666666666666663</v>
      </c>
      <c r="D8" s="13">
        <v>0</v>
      </c>
      <c r="E8" s="13">
        <v>0</v>
      </c>
      <c r="F8" s="13">
        <v>0</v>
      </c>
      <c r="G8" s="30">
        <f>F4</f>
        <v>0.33333333333333331</v>
      </c>
      <c r="I8" s="3" t="s">
        <v>102</v>
      </c>
      <c r="J8" s="29" t="e">
        <f ca="1"/>
        <v>#NAME?</v>
      </c>
      <c r="K8" s="13" t="e">
        <f ca="1"/>
        <v>#NAME?</v>
      </c>
      <c r="L8" s="13" t="e">
        <f ca="1"/>
        <v>#NAME?</v>
      </c>
      <c r="M8" s="13" t="e">
        <f ca="1"/>
        <v>#NAME?</v>
      </c>
      <c r="N8" s="13" t="e">
        <f ca="1"/>
        <v>#NAME?</v>
      </c>
      <c r="O8" s="30" t="e">
        <f ca="1"/>
        <v>#NAME?</v>
      </c>
      <c r="S8" s="3" t="s">
        <v>102</v>
      </c>
      <c r="T8" s="29" t="e">
        <f ca="1"/>
        <v>#NAME?</v>
      </c>
      <c r="U8" s="13" t="e">
        <f ca="1"/>
        <v>#NAME?</v>
      </c>
      <c r="V8" s="13" t="e">
        <f ca="1"/>
        <v>#NAME?</v>
      </c>
      <c r="W8" s="13" t="e">
        <f ca="1"/>
        <v>#NAME?</v>
      </c>
      <c r="X8" s="13" t="e">
        <f ca="1"/>
        <v>#NAME?</v>
      </c>
      <c r="Y8" s="30" t="e">
        <f ca="1"/>
        <v>#NAME?</v>
      </c>
    </row>
    <row r="9" spans="1:27" x14ac:dyDescent="0.35">
      <c r="A9" s="3" t="s">
        <v>103</v>
      </c>
      <c r="B9" s="31">
        <v>0</v>
      </c>
      <c r="C9" s="4">
        <v>0</v>
      </c>
      <c r="D9" s="4">
        <v>0</v>
      </c>
      <c r="E9" s="4">
        <v>0</v>
      </c>
      <c r="F9" s="4">
        <v>0</v>
      </c>
      <c r="G9" s="32">
        <v>1</v>
      </c>
      <c r="I9" s="3" t="s">
        <v>103</v>
      </c>
      <c r="J9" s="31" t="e">
        <f ca="1"/>
        <v>#NAME?</v>
      </c>
      <c r="K9" s="4" t="e">
        <f ca="1"/>
        <v>#NAME?</v>
      </c>
      <c r="L9" s="4" t="e">
        <f ca="1"/>
        <v>#NAME?</v>
      </c>
      <c r="M9" s="4" t="e">
        <f ca="1"/>
        <v>#NAME?</v>
      </c>
      <c r="N9" s="4" t="e">
        <f ca="1"/>
        <v>#NAME?</v>
      </c>
      <c r="O9" s="32" t="e">
        <f ca="1"/>
        <v>#NAME?</v>
      </c>
      <c r="S9" s="3" t="s">
        <v>103</v>
      </c>
      <c r="T9" s="31" t="e">
        <f ca="1"/>
        <v>#NAME?</v>
      </c>
      <c r="U9" s="4" t="e">
        <f ca="1"/>
        <v>#NAME?</v>
      </c>
      <c r="V9" s="4" t="e">
        <f ca="1"/>
        <v>#NAME?</v>
      </c>
      <c r="W9" s="4" t="e">
        <f ca="1"/>
        <v>#NAME?</v>
      </c>
      <c r="X9" s="4" t="e">
        <f ca="1"/>
        <v>#NAME?</v>
      </c>
      <c r="Y9" s="32" t="e">
        <f ca="1"/>
        <v>#NAME?</v>
      </c>
    </row>
    <row r="11" spans="1:27" ht="16.5" x14ac:dyDescent="0.35">
      <c r="I11" s="3" t="s">
        <v>104</v>
      </c>
      <c r="J11" s="1">
        <v>0</v>
      </c>
      <c r="K11" s="1">
        <f>J11+1</f>
        <v>1</v>
      </c>
      <c r="L11" s="1">
        <f>K11+1</f>
        <v>2</v>
      </c>
      <c r="M11" s="1">
        <f>L11+1</f>
        <v>3</v>
      </c>
      <c r="N11" s="1" t="s">
        <v>102</v>
      </c>
      <c r="O11" s="1" t="s">
        <v>103</v>
      </c>
      <c r="S11" s="3" t="s">
        <v>106</v>
      </c>
      <c r="T11" s="1">
        <v>0</v>
      </c>
      <c r="U11" s="1">
        <f>T11+1</f>
        <v>1</v>
      </c>
      <c r="V11" s="1">
        <f>U11+1</f>
        <v>2</v>
      </c>
      <c r="W11" s="1">
        <f>V11+1</f>
        <v>3</v>
      </c>
      <c r="X11" s="1" t="s">
        <v>102</v>
      </c>
      <c r="Y11" s="1" t="s">
        <v>103</v>
      </c>
    </row>
    <row r="12" spans="1:27" x14ac:dyDescent="0.35">
      <c r="I12" s="3">
        <v>0</v>
      </c>
      <c r="J12" s="26" t="e">
        <f t="array" aca="1" ref="J12:O17" ca="1">MPOWER(B4:G9,20)</f>
        <v>#NAME?</v>
      </c>
      <c r="K12" s="27" t="e">
        <f ca="1"/>
        <v>#NAME?</v>
      </c>
      <c r="L12" s="27" t="e">
        <f ca="1"/>
        <v>#NAME?</v>
      </c>
      <c r="M12" s="27" t="e">
        <f ca="1"/>
        <v>#NAME?</v>
      </c>
      <c r="N12" s="27" t="e">
        <f ca="1"/>
        <v>#NAME?</v>
      </c>
      <c r="O12" s="28" t="e">
        <f ca="1"/>
        <v>#NAME?</v>
      </c>
      <c r="Q12" s="19" t="e">
        <f ca="1">M12+O12</f>
        <v>#NAME?</v>
      </c>
      <c r="S12" s="3">
        <v>0</v>
      </c>
      <c r="T12" s="26" t="e">
        <f t="array" aca="1" ref="T12:Y17" ca="1">MPOWER(B4:G9,40)</f>
        <v>#NAME?</v>
      </c>
      <c r="U12" s="27" t="e">
        <f ca="1"/>
        <v>#NAME?</v>
      </c>
      <c r="V12" s="27" t="e">
        <f ca="1"/>
        <v>#NAME?</v>
      </c>
      <c r="W12" s="27" t="e">
        <f ca="1"/>
        <v>#NAME?</v>
      </c>
      <c r="X12" s="27" t="e">
        <f ca="1"/>
        <v>#NAME?</v>
      </c>
      <c r="Y12" s="28" t="e">
        <f ca="1"/>
        <v>#NAME?</v>
      </c>
      <c r="AA12" s="19" t="e">
        <f ca="1">W12+Y12</f>
        <v>#NAME?</v>
      </c>
    </row>
    <row r="13" spans="1:27" x14ac:dyDescent="0.35">
      <c r="I13" s="3">
        <f>I12+1</f>
        <v>1</v>
      </c>
      <c r="J13" s="29" t="e">
        <f ca="1"/>
        <v>#NAME?</v>
      </c>
      <c r="K13" s="13" t="e">
        <f ca="1"/>
        <v>#NAME?</v>
      </c>
      <c r="L13" s="13" t="e">
        <f ca="1"/>
        <v>#NAME?</v>
      </c>
      <c r="M13" s="13" t="e">
        <f ca="1"/>
        <v>#NAME?</v>
      </c>
      <c r="N13" s="13" t="e">
        <f ca="1"/>
        <v>#NAME?</v>
      </c>
      <c r="O13" s="30" t="e">
        <f ca="1"/>
        <v>#NAME?</v>
      </c>
      <c r="S13" s="3">
        <f>S12+1</f>
        <v>1</v>
      </c>
      <c r="T13" s="29" t="e">
        <f ca="1"/>
        <v>#NAME?</v>
      </c>
      <c r="U13" s="13" t="e">
        <f ca="1"/>
        <v>#NAME?</v>
      </c>
      <c r="V13" s="13" t="e">
        <f ca="1"/>
        <v>#NAME?</v>
      </c>
      <c r="W13" s="13" t="e">
        <f ca="1"/>
        <v>#NAME?</v>
      </c>
      <c r="X13" s="13" t="e">
        <f ca="1"/>
        <v>#NAME?</v>
      </c>
      <c r="Y13" s="30" t="e">
        <f ca="1"/>
        <v>#NAME?</v>
      </c>
    </row>
    <row r="14" spans="1:27" x14ac:dyDescent="0.35">
      <c r="I14" s="3">
        <f>I13+1</f>
        <v>2</v>
      </c>
      <c r="J14" s="29" t="e">
        <f ca="1"/>
        <v>#NAME?</v>
      </c>
      <c r="K14" s="13" t="e">
        <f ca="1"/>
        <v>#NAME?</v>
      </c>
      <c r="L14" s="13" t="e">
        <f ca="1"/>
        <v>#NAME?</v>
      </c>
      <c r="M14" s="13" t="e">
        <f ca="1"/>
        <v>#NAME?</v>
      </c>
      <c r="N14" s="13" t="e">
        <f ca="1"/>
        <v>#NAME?</v>
      </c>
      <c r="O14" s="30" t="e">
        <f ca="1"/>
        <v>#NAME?</v>
      </c>
      <c r="S14" s="3">
        <f>S13+1</f>
        <v>2</v>
      </c>
      <c r="T14" s="29" t="e">
        <f ca="1"/>
        <v>#NAME?</v>
      </c>
      <c r="U14" s="13" t="e">
        <f ca="1"/>
        <v>#NAME?</v>
      </c>
      <c r="V14" s="13" t="e">
        <f ca="1"/>
        <v>#NAME?</v>
      </c>
      <c r="W14" s="13" t="e">
        <f ca="1"/>
        <v>#NAME?</v>
      </c>
      <c r="X14" s="13" t="e">
        <f ca="1"/>
        <v>#NAME?</v>
      </c>
      <c r="Y14" s="30" t="e">
        <f ca="1"/>
        <v>#NAME?</v>
      </c>
    </row>
    <row r="15" spans="1:27" x14ac:dyDescent="0.35">
      <c r="I15" s="3">
        <f>I14+1</f>
        <v>3</v>
      </c>
      <c r="J15" s="29" t="e">
        <f ca="1"/>
        <v>#NAME?</v>
      </c>
      <c r="K15" s="13" t="e">
        <f ca="1"/>
        <v>#NAME?</v>
      </c>
      <c r="L15" s="13" t="e">
        <f ca="1"/>
        <v>#NAME?</v>
      </c>
      <c r="M15" s="13" t="e">
        <f ca="1"/>
        <v>#NAME?</v>
      </c>
      <c r="N15" s="13" t="e">
        <f ca="1"/>
        <v>#NAME?</v>
      </c>
      <c r="O15" s="30" t="e">
        <f ca="1"/>
        <v>#NAME?</v>
      </c>
      <c r="S15" s="3">
        <f>S14+1</f>
        <v>3</v>
      </c>
      <c r="T15" s="29" t="e">
        <f ca="1"/>
        <v>#NAME?</v>
      </c>
      <c r="U15" s="13" t="e">
        <f ca="1"/>
        <v>#NAME?</v>
      </c>
      <c r="V15" s="13" t="e">
        <f ca="1"/>
        <v>#NAME?</v>
      </c>
      <c r="W15" s="13" t="e">
        <f ca="1"/>
        <v>#NAME?</v>
      </c>
      <c r="X15" s="13" t="e">
        <f ca="1"/>
        <v>#NAME?</v>
      </c>
      <c r="Y15" s="30" t="e">
        <f ca="1"/>
        <v>#NAME?</v>
      </c>
    </row>
    <row r="16" spans="1:27" x14ac:dyDescent="0.35">
      <c r="I16" s="3" t="s">
        <v>102</v>
      </c>
      <c r="J16" s="29" t="e">
        <f ca="1"/>
        <v>#NAME?</v>
      </c>
      <c r="K16" s="13" t="e">
        <f ca="1"/>
        <v>#NAME?</v>
      </c>
      <c r="L16" s="13" t="e">
        <f ca="1"/>
        <v>#NAME?</v>
      </c>
      <c r="M16" s="13" t="e">
        <f ca="1"/>
        <v>#NAME?</v>
      </c>
      <c r="N16" s="13" t="e">
        <f ca="1"/>
        <v>#NAME?</v>
      </c>
      <c r="O16" s="30" t="e">
        <f ca="1"/>
        <v>#NAME?</v>
      </c>
      <c r="S16" s="3" t="s">
        <v>102</v>
      </c>
      <c r="T16" s="29" t="e">
        <f ca="1"/>
        <v>#NAME?</v>
      </c>
      <c r="U16" s="13" t="e">
        <f ca="1"/>
        <v>#NAME?</v>
      </c>
      <c r="V16" s="13" t="e">
        <f ca="1"/>
        <v>#NAME?</v>
      </c>
      <c r="W16" s="13" t="e">
        <f ca="1"/>
        <v>#NAME?</v>
      </c>
      <c r="X16" s="13" t="e">
        <f ca="1"/>
        <v>#NAME?</v>
      </c>
      <c r="Y16" s="30" t="e">
        <f ca="1"/>
        <v>#NAME?</v>
      </c>
    </row>
    <row r="17" spans="9:25" x14ac:dyDescent="0.35">
      <c r="I17" s="3" t="s">
        <v>103</v>
      </c>
      <c r="J17" s="31" t="e">
        <f ca="1"/>
        <v>#NAME?</v>
      </c>
      <c r="K17" s="4" t="e">
        <f ca="1"/>
        <v>#NAME?</v>
      </c>
      <c r="L17" s="4" t="e">
        <f ca="1"/>
        <v>#NAME?</v>
      </c>
      <c r="M17" s="4" t="e">
        <f ca="1"/>
        <v>#NAME?</v>
      </c>
      <c r="N17" s="4" t="e">
        <f ca="1"/>
        <v>#NAME?</v>
      </c>
      <c r="O17" s="32" t="e">
        <f ca="1"/>
        <v>#NAME?</v>
      </c>
      <c r="S17" s="3" t="s">
        <v>103</v>
      </c>
      <c r="T17" s="31" t="e">
        <f ca="1"/>
        <v>#NAME?</v>
      </c>
      <c r="U17" s="4" t="e">
        <f ca="1"/>
        <v>#NAME?</v>
      </c>
      <c r="V17" s="4" t="e">
        <f ca="1"/>
        <v>#NAME?</v>
      </c>
      <c r="W17" s="4" t="e">
        <f ca="1"/>
        <v>#NAME?</v>
      </c>
      <c r="X17" s="4" t="e">
        <f ca="1"/>
        <v>#NAME?</v>
      </c>
      <c r="Y17" s="32" t="e">
        <f ca="1"/>
        <v>#NAME?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7"/>
  <dimension ref="A1:P21"/>
  <sheetViews>
    <sheetView workbookViewId="0"/>
  </sheetViews>
  <sheetFormatPr defaultRowHeight="14.5" x14ac:dyDescent="0.35"/>
  <cols>
    <col min="1" max="1" width="5.81640625" customWidth="1"/>
    <col min="2" max="2" width="3.26953125" customWidth="1"/>
    <col min="7" max="7" width="3.26953125" customWidth="1"/>
    <col min="12" max="12" width="3.26953125" customWidth="1"/>
  </cols>
  <sheetData>
    <row r="1" spans="1:16" x14ac:dyDescent="0.35">
      <c r="A1" s="61" t="s">
        <v>417</v>
      </c>
      <c r="B1" s="1"/>
    </row>
    <row r="3" spans="1:16" x14ac:dyDescent="0.35">
      <c r="C3" s="278" t="s">
        <v>413</v>
      </c>
      <c r="D3" s="278"/>
      <c r="E3" s="278"/>
      <c r="F3" s="278"/>
      <c r="G3" s="40"/>
      <c r="H3" s="278" t="s">
        <v>415</v>
      </c>
      <c r="I3" s="278"/>
      <c r="J3" s="278"/>
      <c r="K3" s="278"/>
      <c r="L3" s="40"/>
      <c r="M3" s="279" t="s">
        <v>416</v>
      </c>
      <c r="N3" s="279"/>
      <c r="O3" s="279"/>
      <c r="P3" s="279"/>
    </row>
    <row r="4" spans="1:16" x14ac:dyDescent="0.35">
      <c r="A4" s="1" t="s">
        <v>414</v>
      </c>
      <c r="B4" s="1"/>
      <c r="C4" s="130">
        <v>0.01</v>
      </c>
      <c r="D4" s="193">
        <v>2.5000000000000001E-2</v>
      </c>
      <c r="E4" s="194">
        <v>0.05</v>
      </c>
      <c r="F4" s="131">
        <v>0.1</v>
      </c>
      <c r="H4" s="130">
        <v>0.01</v>
      </c>
      <c r="I4" s="193">
        <v>2.5000000000000001E-2</v>
      </c>
      <c r="J4" s="194">
        <v>0.05</v>
      </c>
      <c r="K4" s="131">
        <v>0.1</v>
      </c>
      <c r="M4" s="130">
        <v>0.01</v>
      </c>
      <c r="N4" s="193">
        <v>2.5000000000000001E-2</v>
      </c>
      <c r="O4" s="194">
        <v>0.05</v>
      </c>
      <c r="P4" s="131">
        <v>0.1</v>
      </c>
    </row>
    <row r="5" spans="1:16" x14ac:dyDescent="0.35">
      <c r="A5" s="13">
        <v>25</v>
      </c>
      <c r="B5" s="13"/>
      <c r="C5" s="195">
        <v>-2.661</v>
      </c>
      <c r="D5" s="196">
        <v>-2.2730000000000001</v>
      </c>
      <c r="E5" s="196">
        <v>-1.9550000000000001</v>
      </c>
      <c r="F5" s="197">
        <v>-1.609</v>
      </c>
      <c r="H5" s="195">
        <v>-3.7240000000000002</v>
      </c>
      <c r="I5" s="196">
        <v>-3.3180000000000001</v>
      </c>
      <c r="J5" s="196">
        <v>-2.9860000000000002</v>
      </c>
      <c r="K5" s="197">
        <v>-2.633</v>
      </c>
      <c r="M5" s="195">
        <v>-4.375</v>
      </c>
      <c r="N5" s="196">
        <v>-3.9430000000000001</v>
      </c>
      <c r="O5" s="196">
        <v>-3.589</v>
      </c>
      <c r="P5" s="197">
        <v>-3.238</v>
      </c>
    </row>
    <row r="6" spans="1:16" x14ac:dyDescent="0.35">
      <c r="A6" s="13">
        <v>50</v>
      </c>
      <c r="B6" s="13"/>
      <c r="C6" s="198">
        <v>-2.6120000000000001</v>
      </c>
      <c r="D6" s="199">
        <v>-2.246</v>
      </c>
      <c r="E6" s="199">
        <v>-1.9470000000000001</v>
      </c>
      <c r="F6" s="200">
        <v>-1.6120000000000001</v>
      </c>
      <c r="H6" s="198">
        <v>-3.5680000000000001</v>
      </c>
      <c r="I6" s="199">
        <v>-3.2130000000000001</v>
      </c>
      <c r="J6" s="199">
        <v>-2.9209999999999998</v>
      </c>
      <c r="K6" s="200">
        <v>-2.5990000000000002</v>
      </c>
      <c r="M6" s="198">
        <v>-4.1520000000000001</v>
      </c>
      <c r="N6" s="199">
        <v>-3.7909999999999999</v>
      </c>
      <c r="O6" s="199">
        <v>-3.4950000000000001</v>
      </c>
      <c r="P6" s="200">
        <v>-3.181</v>
      </c>
    </row>
    <row r="7" spans="1:16" x14ac:dyDescent="0.35">
      <c r="A7" s="13">
        <v>100</v>
      </c>
      <c r="B7" s="13"/>
      <c r="C7" s="198">
        <v>-2.5880000000000001</v>
      </c>
      <c r="D7" s="199">
        <v>-2.234</v>
      </c>
      <c r="E7" s="199">
        <v>-1.944</v>
      </c>
      <c r="F7" s="200">
        <v>-1.6140000000000001</v>
      </c>
      <c r="H7" s="198">
        <v>-3.4980000000000002</v>
      </c>
      <c r="I7" s="199">
        <v>-3.1640000000000001</v>
      </c>
      <c r="J7" s="199">
        <v>-2.891</v>
      </c>
      <c r="K7" s="200">
        <v>-2.5819999999999999</v>
      </c>
      <c r="M7" s="198">
        <v>-4.0519999999999996</v>
      </c>
      <c r="N7" s="199">
        <v>-3.722</v>
      </c>
      <c r="O7" s="199">
        <v>-3.452</v>
      </c>
      <c r="P7" s="200">
        <v>-3.153</v>
      </c>
    </row>
    <row r="8" spans="1:16" x14ac:dyDescent="0.35">
      <c r="A8" s="13">
        <v>250</v>
      </c>
      <c r="B8" s="13"/>
      <c r="C8" s="198">
        <v>-2.5750000000000002</v>
      </c>
      <c r="D8" s="199">
        <v>-2.2269999999999999</v>
      </c>
      <c r="E8" s="199">
        <v>-1.9419999999999999</v>
      </c>
      <c r="F8" s="200">
        <v>-1.6160000000000001</v>
      </c>
      <c r="H8" s="198">
        <v>-3.4569999999999999</v>
      </c>
      <c r="I8" s="199">
        <v>-3.1360000000000001</v>
      </c>
      <c r="J8" s="199">
        <v>-2.8730000000000002</v>
      </c>
      <c r="K8" s="200">
        <v>-2.573</v>
      </c>
      <c r="M8" s="198">
        <v>-3.9950000000000001</v>
      </c>
      <c r="N8" s="199">
        <v>-3.6829999999999998</v>
      </c>
      <c r="O8" s="199">
        <v>-3.427</v>
      </c>
      <c r="P8" s="200">
        <v>-3.137</v>
      </c>
    </row>
    <row r="9" spans="1:16" x14ac:dyDescent="0.35">
      <c r="A9" s="13">
        <v>500</v>
      </c>
      <c r="B9" s="13"/>
      <c r="C9" s="198">
        <v>-2.57</v>
      </c>
      <c r="D9" s="199">
        <v>-2.2240000000000002</v>
      </c>
      <c r="E9" s="199">
        <v>-1.9419999999999999</v>
      </c>
      <c r="F9" s="200">
        <v>-1.6160000000000001</v>
      </c>
      <c r="H9" s="198">
        <v>-3.4430000000000001</v>
      </c>
      <c r="I9" s="199">
        <v>-3.1269999999999998</v>
      </c>
      <c r="J9" s="199">
        <v>-2.867</v>
      </c>
      <c r="K9" s="200">
        <v>-2.57</v>
      </c>
      <c r="M9" s="198">
        <v>-3.9769999999999999</v>
      </c>
      <c r="N9" s="199">
        <v>-3.67</v>
      </c>
      <c r="O9" s="199">
        <v>-3.419</v>
      </c>
      <c r="P9" s="200">
        <v>-3.1320000000000001</v>
      </c>
    </row>
    <row r="10" spans="1:16" x14ac:dyDescent="0.35">
      <c r="A10" s="129" t="s">
        <v>412</v>
      </c>
      <c r="B10" s="129"/>
      <c r="C10" s="201">
        <v>-2.5670000000000002</v>
      </c>
      <c r="D10" s="202">
        <v>-2.2229999999999999</v>
      </c>
      <c r="E10" s="202">
        <v>-1.9410000000000001</v>
      </c>
      <c r="F10" s="203">
        <v>-1.6160000000000001</v>
      </c>
      <c r="H10" s="201">
        <v>-3.4340000000000002</v>
      </c>
      <c r="I10" s="202">
        <v>-3.12</v>
      </c>
      <c r="J10" s="202">
        <v>-2.863</v>
      </c>
      <c r="K10" s="203">
        <v>-2.5680000000000001</v>
      </c>
      <c r="M10" s="201">
        <v>-3.9630000000000001</v>
      </c>
      <c r="N10" s="202">
        <v>-3.66</v>
      </c>
      <c r="O10" s="202">
        <v>-3.4129999999999998</v>
      </c>
      <c r="P10" s="203">
        <v>-3.1280000000000001</v>
      </c>
    </row>
    <row r="11" spans="1:16" x14ac:dyDescent="0.35">
      <c r="C11" s="21"/>
      <c r="D11" s="21"/>
      <c r="E11" s="21"/>
      <c r="F11" s="21"/>
    </row>
    <row r="12" spans="1:16" ht="16.5" x14ac:dyDescent="0.35">
      <c r="A12" t="s">
        <v>560</v>
      </c>
    </row>
    <row r="14" spans="1:16" x14ac:dyDescent="0.35">
      <c r="C14" s="278" t="s">
        <v>413</v>
      </c>
      <c r="D14" s="278"/>
      <c r="E14" s="278"/>
      <c r="F14" s="278"/>
      <c r="G14" s="40"/>
      <c r="H14" s="278" t="s">
        <v>415</v>
      </c>
      <c r="I14" s="278"/>
      <c r="J14" s="278"/>
      <c r="K14" s="278"/>
      <c r="L14" s="40"/>
      <c r="M14" s="279" t="s">
        <v>416</v>
      </c>
      <c r="N14" s="279"/>
      <c r="O14" s="279"/>
      <c r="P14" s="279"/>
    </row>
    <row r="15" spans="1:16" x14ac:dyDescent="0.35">
      <c r="A15" s="1"/>
      <c r="B15" s="1"/>
      <c r="C15" s="130">
        <v>0.01</v>
      </c>
      <c r="D15" s="193">
        <v>2.5000000000000001E-2</v>
      </c>
      <c r="E15" s="194">
        <v>0.05</v>
      </c>
      <c r="F15" s="131">
        <v>0.1</v>
      </c>
      <c r="H15" s="130">
        <v>0.01</v>
      </c>
      <c r="I15" s="193">
        <v>2.5000000000000001E-2</v>
      </c>
      <c r="J15" s="194">
        <v>0.05</v>
      </c>
      <c r="K15" s="131">
        <v>0.1</v>
      </c>
      <c r="M15" s="130">
        <v>0.01</v>
      </c>
      <c r="N15" s="193">
        <v>2.5000000000000001E-2</v>
      </c>
      <c r="O15" s="194">
        <v>0.05</v>
      </c>
      <c r="P15" s="131">
        <v>0.1</v>
      </c>
    </row>
    <row r="16" spans="1:16" x14ac:dyDescent="0.35">
      <c r="A16" s="129" t="s">
        <v>3</v>
      </c>
      <c r="B16" s="13"/>
      <c r="C16" s="204">
        <v>-2.5657399999999999</v>
      </c>
      <c r="D16" s="205">
        <v>-2.2221330000000004</v>
      </c>
      <c r="E16" s="205">
        <v>-1.9410000000000001</v>
      </c>
      <c r="F16" s="206">
        <v>-1.6168199999999999</v>
      </c>
      <c r="G16" s="175"/>
      <c r="H16" s="204">
        <v>-3.4303499999999998</v>
      </c>
      <c r="I16" s="205">
        <v>-3.1175044999999999</v>
      </c>
      <c r="J16" s="205">
        <v>-2.8615400000000002</v>
      </c>
      <c r="K16" s="206">
        <v>-2.56677</v>
      </c>
      <c r="L16" s="175"/>
      <c r="M16" s="204">
        <v>-3.9587699999999999</v>
      </c>
      <c r="N16" s="205">
        <v>-3.657216</v>
      </c>
      <c r="O16" s="205">
        <v>-3.4104899999999998</v>
      </c>
      <c r="P16" s="206">
        <v>-3.1270500000000001</v>
      </c>
    </row>
    <row r="17" spans="1:16" x14ac:dyDescent="0.35">
      <c r="A17" s="129" t="s">
        <v>17</v>
      </c>
      <c r="B17" s="13"/>
      <c r="C17" s="207">
        <v>-2.2357999999999998</v>
      </c>
      <c r="D17" s="208">
        <v>-1.1538399999999998</v>
      </c>
      <c r="E17" s="208">
        <v>-0.26860000000000001</v>
      </c>
      <c r="F17" s="209">
        <v>0.2656</v>
      </c>
      <c r="G17" s="175"/>
      <c r="H17" s="207">
        <v>-6.5392999999999999</v>
      </c>
      <c r="I17" s="208">
        <v>-4.5323500000000001</v>
      </c>
      <c r="J17" s="208">
        <v>-2.8902999999999999</v>
      </c>
      <c r="K17" s="209">
        <v>-1.5384</v>
      </c>
      <c r="L17" s="175"/>
      <c r="M17" s="207">
        <v>-9.0531000000000006</v>
      </c>
      <c r="N17" s="208">
        <v>-6.4886150000000002</v>
      </c>
      <c r="O17" s="208">
        <v>-4.3903999999999996</v>
      </c>
      <c r="P17" s="209">
        <v>-2.5855999999999999</v>
      </c>
    </row>
    <row r="18" spans="1:16" x14ac:dyDescent="0.35">
      <c r="A18" s="129" t="s">
        <v>18</v>
      </c>
      <c r="B18" s="13"/>
      <c r="C18" s="207">
        <v>-3.6269999999999998</v>
      </c>
      <c r="D18" s="208">
        <v>-3.4829000000000003</v>
      </c>
      <c r="E18" s="208">
        <v>-3.3650000000000002</v>
      </c>
      <c r="F18" s="209">
        <v>-2.714</v>
      </c>
      <c r="G18" s="175"/>
      <c r="H18" s="207">
        <v>-16.786000000000001</v>
      </c>
      <c r="I18" s="208">
        <v>-9.8824000000000005</v>
      </c>
      <c r="J18" s="208">
        <v>-4.234</v>
      </c>
      <c r="K18" s="209">
        <v>-2.8090000000000002</v>
      </c>
      <c r="L18" s="175"/>
      <c r="M18" s="207">
        <v>-28.428000000000001</v>
      </c>
      <c r="N18" s="208">
        <v>-17.7624</v>
      </c>
      <c r="O18" s="208">
        <v>-9.0359999999999996</v>
      </c>
      <c r="P18" s="209">
        <v>-3.9249999999999998</v>
      </c>
    </row>
    <row r="19" spans="1:16" x14ac:dyDescent="0.35">
      <c r="A19" s="129" t="s">
        <v>8</v>
      </c>
      <c r="B19" s="13"/>
      <c r="C19" s="210">
        <v>0</v>
      </c>
      <c r="D19" s="211">
        <v>17.172650000000001</v>
      </c>
      <c r="E19" s="211">
        <v>31.222999999999999</v>
      </c>
      <c r="F19" s="212">
        <v>25.364000000000001</v>
      </c>
      <c r="G19" s="175"/>
      <c r="H19" s="210">
        <v>-79.433000000000007</v>
      </c>
      <c r="I19" s="211">
        <v>-57.766850000000005</v>
      </c>
      <c r="J19" s="211">
        <v>-40.04</v>
      </c>
      <c r="K19" s="212">
        <v>0</v>
      </c>
      <c r="L19" s="175"/>
      <c r="M19" s="210">
        <v>-134.155</v>
      </c>
      <c r="N19" s="211">
        <v>-85.325450000000004</v>
      </c>
      <c r="O19" s="211">
        <v>-45.374000000000002</v>
      </c>
      <c r="P19" s="212">
        <v>-22.38</v>
      </c>
    </row>
    <row r="21" spans="1:16" x14ac:dyDescent="0.35">
      <c r="A21" s="213" t="s">
        <v>561</v>
      </c>
    </row>
  </sheetData>
  <mergeCells count="6">
    <mergeCell ref="C3:F3"/>
    <mergeCell ref="H3:K3"/>
    <mergeCell ref="M3:P3"/>
    <mergeCell ref="C14:F14"/>
    <mergeCell ref="H14:K14"/>
    <mergeCell ref="M14:P14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79"/>
  <dimension ref="A1:K21"/>
  <sheetViews>
    <sheetView workbookViewId="0"/>
  </sheetViews>
  <sheetFormatPr defaultRowHeight="14.5" x14ac:dyDescent="0.35"/>
  <cols>
    <col min="1" max="1" width="5.81640625" customWidth="1"/>
    <col min="2" max="2" width="3.26953125" customWidth="1"/>
    <col min="7" max="7" width="3.26953125" customWidth="1"/>
  </cols>
  <sheetData>
    <row r="1" spans="1:11" x14ac:dyDescent="0.35">
      <c r="A1" s="61" t="s">
        <v>562</v>
      </c>
      <c r="B1" s="1"/>
    </row>
    <row r="3" spans="1:11" x14ac:dyDescent="0.35">
      <c r="C3" s="278" t="s">
        <v>415</v>
      </c>
      <c r="D3" s="278"/>
      <c r="E3" s="278"/>
      <c r="F3" s="278"/>
      <c r="G3" s="40"/>
      <c r="H3" s="279" t="s">
        <v>416</v>
      </c>
      <c r="I3" s="279"/>
      <c r="J3" s="279"/>
      <c r="K3" s="279"/>
    </row>
    <row r="4" spans="1:11" x14ac:dyDescent="0.35">
      <c r="A4" s="1" t="s">
        <v>414</v>
      </c>
      <c r="B4" s="1"/>
      <c r="C4" s="130">
        <v>0.01</v>
      </c>
      <c r="D4" s="193">
        <v>2.5000000000000001E-2</v>
      </c>
      <c r="E4" s="194">
        <v>0.05</v>
      </c>
      <c r="F4" s="131">
        <v>0.1</v>
      </c>
      <c r="H4" s="130">
        <v>0.01</v>
      </c>
      <c r="I4" s="193">
        <v>2.5000000000000001E-2</v>
      </c>
      <c r="J4" s="194">
        <v>0.05</v>
      </c>
      <c r="K4" s="131">
        <v>0.1</v>
      </c>
    </row>
    <row r="5" spans="1:11" x14ac:dyDescent="0.35">
      <c r="A5" s="13">
        <v>25</v>
      </c>
      <c r="B5" s="13"/>
      <c r="C5" s="195">
        <v>-3.7240000000000002</v>
      </c>
      <c r="D5" s="214">
        <v>-3.3180000000000001</v>
      </c>
      <c r="E5" s="214">
        <v>-2.9860000000000002</v>
      </c>
      <c r="F5" s="197">
        <v>-2.633</v>
      </c>
      <c r="H5" s="195">
        <v>-4.375</v>
      </c>
      <c r="I5" s="214">
        <v>-3.9430000000000001</v>
      </c>
      <c r="J5" s="214">
        <v>-3.589</v>
      </c>
      <c r="K5" s="197">
        <v>-3.238</v>
      </c>
    </row>
    <row r="6" spans="1:11" x14ac:dyDescent="0.35">
      <c r="A6" s="13">
        <v>50</v>
      </c>
      <c r="B6" s="13"/>
      <c r="C6" s="198">
        <v>-3.5680000000000001</v>
      </c>
      <c r="D6" s="199">
        <v>-3.2130000000000001</v>
      </c>
      <c r="E6" s="199">
        <v>-2.9209999999999998</v>
      </c>
      <c r="F6" s="200">
        <v>-2.5990000000000002</v>
      </c>
      <c r="H6" s="198">
        <v>-4.1520000000000001</v>
      </c>
      <c r="I6" s="199">
        <v>-3.7909999999999999</v>
      </c>
      <c r="J6" s="199">
        <v>-3.4950000000000001</v>
      </c>
      <c r="K6" s="200">
        <v>-3.181</v>
      </c>
    </row>
    <row r="7" spans="1:11" x14ac:dyDescent="0.35">
      <c r="A7" s="13">
        <v>100</v>
      </c>
      <c r="B7" s="13"/>
      <c r="C7" s="198">
        <v>-3.4980000000000002</v>
      </c>
      <c r="D7" s="199">
        <v>-3.1640000000000001</v>
      </c>
      <c r="E7" s="199">
        <v>-2.891</v>
      </c>
      <c r="F7" s="200">
        <v>-2.5819999999999999</v>
      </c>
      <c r="H7" s="198">
        <v>-4.0519999999999996</v>
      </c>
      <c r="I7" s="199">
        <v>-3.722</v>
      </c>
      <c r="J7" s="199">
        <v>-3.452</v>
      </c>
      <c r="K7" s="200">
        <v>-3.153</v>
      </c>
    </row>
    <row r="8" spans="1:11" x14ac:dyDescent="0.35">
      <c r="A8" s="13">
        <v>250</v>
      </c>
      <c r="B8" s="13"/>
      <c r="C8" s="198">
        <v>-3.4569999999999999</v>
      </c>
      <c r="D8" s="199">
        <v>-3.1360000000000001</v>
      </c>
      <c r="E8" s="199">
        <v>-2.8730000000000002</v>
      </c>
      <c r="F8" s="200">
        <v>-2.573</v>
      </c>
      <c r="H8" s="198">
        <v>-3.9950000000000001</v>
      </c>
      <c r="I8" s="199">
        <v>-3.6829999999999998</v>
      </c>
      <c r="J8" s="199">
        <v>-3.427</v>
      </c>
      <c r="K8" s="200">
        <v>-3.137</v>
      </c>
    </row>
    <row r="9" spans="1:11" x14ac:dyDescent="0.35">
      <c r="A9" s="13">
        <v>500</v>
      </c>
      <c r="B9" s="13"/>
      <c r="C9" s="198">
        <v>-3.4430000000000001</v>
      </c>
      <c r="D9" s="199">
        <v>-3.1269999999999998</v>
      </c>
      <c r="E9" s="199">
        <v>-2.867</v>
      </c>
      <c r="F9" s="200">
        <v>-2.57</v>
      </c>
      <c r="H9" s="198">
        <v>-3.9769999999999999</v>
      </c>
      <c r="I9" s="199">
        <v>-3.67</v>
      </c>
      <c r="J9" s="199">
        <v>-3.419</v>
      </c>
      <c r="K9" s="200">
        <v>-3.1320000000000001</v>
      </c>
    </row>
    <row r="10" spans="1:11" x14ac:dyDescent="0.35">
      <c r="A10" s="129" t="s">
        <v>412</v>
      </c>
      <c r="B10" s="129"/>
      <c r="C10" s="201">
        <v>-3.4340000000000002</v>
      </c>
      <c r="D10" s="202">
        <v>-3.12</v>
      </c>
      <c r="E10" s="202">
        <v>-2.863</v>
      </c>
      <c r="F10" s="203">
        <v>-2.5680000000000001</v>
      </c>
      <c r="H10" s="201">
        <v>-3.9630000000000001</v>
      </c>
      <c r="I10" s="202">
        <v>-3.66</v>
      </c>
      <c r="J10" s="202">
        <v>-3.4129999999999998</v>
      </c>
      <c r="K10" s="203">
        <v>-3.1280000000000001</v>
      </c>
    </row>
    <row r="12" spans="1:11" ht="16.5" x14ac:dyDescent="0.35">
      <c r="A12" t="s">
        <v>560</v>
      </c>
    </row>
    <row r="14" spans="1:11" x14ac:dyDescent="0.35">
      <c r="C14" s="278" t="s">
        <v>415</v>
      </c>
      <c r="D14" s="278"/>
      <c r="E14" s="278"/>
      <c r="F14" s="278"/>
      <c r="G14" s="40"/>
      <c r="H14" s="279" t="s">
        <v>416</v>
      </c>
      <c r="I14" s="279"/>
      <c r="J14" s="279"/>
      <c r="K14" s="279"/>
    </row>
    <row r="15" spans="1:11" x14ac:dyDescent="0.35">
      <c r="A15" s="1"/>
      <c r="B15" s="1"/>
      <c r="C15" s="130">
        <v>0.01</v>
      </c>
      <c r="D15" s="193">
        <v>2.5000000000000001E-2</v>
      </c>
      <c r="E15" s="194">
        <v>0.05</v>
      </c>
      <c r="F15" s="131">
        <v>0.1</v>
      </c>
      <c r="H15" s="130">
        <v>0.01</v>
      </c>
      <c r="I15" s="193">
        <v>2.5000000000000001E-2</v>
      </c>
      <c r="J15" s="194">
        <v>0.05</v>
      </c>
      <c r="K15" s="131">
        <v>0.1</v>
      </c>
    </row>
    <row r="16" spans="1:11" x14ac:dyDescent="0.35">
      <c r="A16" s="129" t="s">
        <v>3</v>
      </c>
      <c r="B16" s="13"/>
      <c r="C16" s="155">
        <v>-3.8964400000000001</v>
      </c>
      <c r="D16" s="205">
        <v>-3.5882695</v>
      </c>
      <c r="E16" s="161">
        <v>-3.3361299999999998</v>
      </c>
      <c r="F16" s="157">
        <v>-3.0444499999999999</v>
      </c>
      <c r="G16" s="175"/>
      <c r="H16" s="155">
        <v>-4.3276199999999996</v>
      </c>
      <c r="I16" s="205">
        <v>-4.0267425000000001</v>
      </c>
      <c r="J16" s="161">
        <v>-3.78057</v>
      </c>
      <c r="K16" s="157">
        <v>-3.4963099999999998</v>
      </c>
    </row>
    <row r="17" spans="1:11" x14ac:dyDescent="0.35">
      <c r="A17" s="129" t="s">
        <v>17</v>
      </c>
      <c r="B17" s="13"/>
      <c r="C17" s="29">
        <v>-10.9519</v>
      </c>
      <c r="D17" s="208">
        <v>-8.2889099999999996</v>
      </c>
      <c r="E17" s="13">
        <v>-6.1101000000000001</v>
      </c>
      <c r="F17" s="30">
        <v>-4.2412000000000001</v>
      </c>
      <c r="G17" s="175"/>
      <c r="H17" s="29">
        <v>-15.438700000000001</v>
      </c>
      <c r="I17" s="208">
        <v>-12.178245</v>
      </c>
      <c r="J17" s="13">
        <v>-9.5106000000000002</v>
      </c>
      <c r="K17" s="30">
        <v>-7.0815000000000001</v>
      </c>
    </row>
    <row r="18" spans="1:11" x14ac:dyDescent="0.35">
      <c r="A18" s="129" t="s">
        <v>18</v>
      </c>
      <c r="B18" s="13"/>
      <c r="C18" s="29">
        <v>-22.527000000000001</v>
      </c>
      <c r="D18" s="208">
        <v>-13.889800000000001</v>
      </c>
      <c r="E18" s="13">
        <v>-6.8230000000000004</v>
      </c>
      <c r="F18" s="30">
        <v>-2.72</v>
      </c>
      <c r="G18" s="175"/>
      <c r="H18" s="29">
        <v>-35.679000000000002</v>
      </c>
      <c r="I18" s="208">
        <v>-22.696249999999999</v>
      </c>
      <c r="J18" s="13">
        <v>-12.074</v>
      </c>
      <c r="K18" s="30">
        <v>-7.5380000000000003</v>
      </c>
    </row>
    <row r="19" spans="1:11" x14ac:dyDescent="0.35">
      <c r="A19" s="129" t="s">
        <v>8</v>
      </c>
      <c r="B19" s="13"/>
      <c r="C19" s="210">
        <v>0</v>
      </c>
      <c r="D19" s="211">
        <v>0</v>
      </c>
      <c r="E19" s="211">
        <v>0</v>
      </c>
      <c r="F19" s="212">
        <v>0</v>
      </c>
      <c r="G19" s="175"/>
      <c r="H19" s="210">
        <v>0</v>
      </c>
      <c r="I19" s="211">
        <v>0</v>
      </c>
      <c r="J19" s="215">
        <v>0</v>
      </c>
      <c r="K19" s="32">
        <v>21.891999999999999</v>
      </c>
    </row>
    <row r="21" spans="1:11" x14ac:dyDescent="0.35">
      <c r="A21" s="213" t="s">
        <v>561</v>
      </c>
    </row>
  </sheetData>
  <mergeCells count="4">
    <mergeCell ref="C3:F3"/>
    <mergeCell ref="H3:K3"/>
    <mergeCell ref="C14:F14"/>
    <mergeCell ref="H14:K14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2D138-C1C1-4409-B4FE-355A3C1D4A81}">
  <sheetPr codeName="Sheet118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1:O22"/>
  <sheetViews>
    <sheetView workbookViewId="0"/>
  </sheetViews>
  <sheetFormatPr defaultRowHeight="14.5" x14ac:dyDescent="0.35"/>
  <cols>
    <col min="1" max="2" width="7.54296875" customWidth="1"/>
    <col min="3" max="3" width="5.453125" customWidth="1"/>
  </cols>
  <sheetData>
    <row r="1" spans="1:15" x14ac:dyDescent="0.35">
      <c r="A1" s="7" t="s">
        <v>19</v>
      </c>
    </row>
    <row r="3" spans="1:15" x14ac:dyDescent="0.35">
      <c r="A3" s="8" t="s">
        <v>3</v>
      </c>
      <c r="B3" s="8" t="s">
        <v>1</v>
      </c>
    </row>
    <row r="4" spans="1:15" x14ac:dyDescent="0.35">
      <c r="A4" s="3">
        <v>1</v>
      </c>
      <c r="B4" s="3">
        <v>3</v>
      </c>
      <c r="D4" t="e">
        <v>#N/A</v>
      </c>
      <c r="E4" t="e">
        <v>#N/A</v>
      </c>
      <c r="N4" t="e">
        <v>#N/A</v>
      </c>
      <c r="O4" t="e">
        <v>#N/A</v>
      </c>
    </row>
    <row r="5" spans="1:15" x14ac:dyDescent="0.35">
      <c r="A5" s="3">
        <f>A4+1</f>
        <v>2</v>
      </c>
      <c r="B5" s="3">
        <v>5</v>
      </c>
      <c r="D5">
        <f>B4</f>
        <v>3</v>
      </c>
      <c r="E5" t="e">
        <v>#N/A</v>
      </c>
      <c r="N5">
        <f>B4</f>
        <v>3</v>
      </c>
      <c r="O5" t="e">
        <v>#N/A</v>
      </c>
    </row>
    <row r="6" spans="1:15" x14ac:dyDescent="0.35">
      <c r="A6" s="3">
        <f t="shared" ref="A6:A18" si="0">A5+1</f>
        <v>3</v>
      </c>
      <c r="B6" s="3">
        <v>9</v>
      </c>
      <c r="D6">
        <f t="shared" ref="D6:D18" si="1">0.4*B5+0.6*D5</f>
        <v>3.8</v>
      </c>
      <c r="E6" t="e">
        <v>#N/A</v>
      </c>
      <c r="N6">
        <f t="shared" ref="N6:N18" si="2">0.7*B5+0.3*N5</f>
        <v>4.4000000000000004</v>
      </c>
      <c r="O6" t="e">
        <v>#N/A</v>
      </c>
    </row>
    <row r="7" spans="1:15" x14ac:dyDescent="0.35">
      <c r="A7" s="3">
        <f t="shared" si="0"/>
        <v>4</v>
      </c>
      <c r="B7" s="3">
        <v>20</v>
      </c>
      <c r="D7">
        <f t="shared" si="1"/>
        <v>5.88</v>
      </c>
      <c r="E7" t="e">
        <v>#N/A</v>
      </c>
      <c r="N7">
        <f t="shared" si="2"/>
        <v>7.62</v>
      </c>
      <c r="O7" t="e">
        <v>#N/A</v>
      </c>
    </row>
    <row r="8" spans="1:15" x14ac:dyDescent="0.35">
      <c r="A8" s="3">
        <f t="shared" si="0"/>
        <v>5</v>
      </c>
      <c r="B8" s="3">
        <v>12</v>
      </c>
      <c r="D8">
        <f t="shared" si="1"/>
        <v>11.528</v>
      </c>
      <c r="E8">
        <f t="shared" ref="E8:E18" si="3">SQRT(SUMXMY2(B5:B7,D5:D7)/3)</f>
        <v>8.7638347770824616</v>
      </c>
      <c r="N8">
        <f t="shared" si="2"/>
        <v>16.286000000000001</v>
      </c>
      <c r="O8">
        <f t="shared" ref="O8:O18" si="4">SQRT(SUMXMY2(B5:B7,N5:N7)/3)</f>
        <v>7.7119906638947633</v>
      </c>
    </row>
    <row r="9" spans="1:15" x14ac:dyDescent="0.35">
      <c r="A9" s="3">
        <f t="shared" si="0"/>
        <v>6</v>
      </c>
      <c r="B9" s="3">
        <v>17</v>
      </c>
      <c r="D9">
        <f t="shared" si="1"/>
        <v>11.716800000000001</v>
      </c>
      <c r="E9">
        <f t="shared" si="3"/>
        <v>8.6917045508921902</v>
      </c>
      <c r="N9">
        <f t="shared" si="2"/>
        <v>13.285799999999998</v>
      </c>
      <c r="O9">
        <f t="shared" si="4"/>
        <v>8.0165286751810463</v>
      </c>
    </row>
    <row r="10" spans="1:15" x14ac:dyDescent="0.35">
      <c r="A10" s="3">
        <f t="shared" si="0"/>
        <v>7</v>
      </c>
      <c r="B10" s="3">
        <v>22</v>
      </c>
      <c r="D10">
        <f t="shared" si="1"/>
        <v>13.830080000000002</v>
      </c>
      <c r="E10">
        <f t="shared" si="3"/>
        <v>8.7084132929024456</v>
      </c>
      <c r="N10">
        <f t="shared" si="2"/>
        <v>15.885739999999998</v>
      </c>
      <c r="O10">
        <f t="shared" si="4"/>
        <v>7.8619225307808778</v>
      </c>
    </row>
    <row r="11" spans="1:15" x14ac:dyDescent="0.35">
      <c r="A11" s="3">
        <f t="shared" si="0"/>
        <v>8</v>
      </c>
      <c r="B11" s="3">
        <v>23</v>
      </c>
      <c r="D11">
        <f t="shared" si="1"/>
        <v>17.098048000000002</v>
      </c>
      <c r="E11">
        <f t="shared" si="3"/>
        <v>5.6238355549215688</v>
      </c>
      <c r="N11">
        <f t="shared" si="2"/>
        <v>20.165721999999999</v>
      </c>
      <c r="O11">
        <f t="shared" si="4"/>
        <v>4.8148815488233989</v>
      </c>
    </row>
    <row r="12" spans="1:15" x14ac:dyDescent="0.35">
      <c r="A12" s="3">
        <f t="shared" si="0"/>
        <v>9</v>
      </c>
      <c r="B12" s="3">
        <v>51</v>
      </c>
      <c r="D12">
        <f t="shared" si="1"/>
        <v>19.458828800000003</v>
      </c>
      <c r="E12">
        <f t="shared" si="3"/>
        <v>6.5699526243016377</v>
      </c>
      <c r="N12">
        <f t="shared" si="2"/>
        <v>22.149716599999998</v>
      </c>
      <c r="O12">
        <f t="shared" si="4"/>
        <v>4.4426939563319028</v>
      </c>
    </row>
    <row r="13" spans="1:15" x14ac:dyDescent="0.35">
      <c r="A13" s="3">
        <f t="shared" si="0"/>
        <v>10</v>
      </c>
      <c r="B13" s="3">
        <v>41</v>
      </c>
      <c r="D13">
        <f t="shared" si="1"/>
        <v>32.075297280000001</v>
      </c>
      <c r="E13">
        <f t="shared" si="3"/>
        <v>19.117410135653952</v>
      </c>
      <c r="N13">
        <f t="shared" si="2"/>
        <v>42.344914979999999</v>
      </c>
      <c r="O13">
        <f t="shared" si="4"/>
        <v>17.105127490406687</v>
      </c>
    </row>
    <row r="14" spans="1:15" x14ac:dyDescent="0.35">
      <c r="A14" s="3">
        <f t="shared" si="0"/>
        <v>11</v>
      </c>
      <c r="B14" s="3">
        <v>56</v>
      </c>
      <c r="D14">
        <f t="shared" si="1"/>
        <v>35.645178368000003</v>
      </c>
      <c r="E14">
        <f t="shared" si="3"/>
        <v>19.229567829416489</v>
      </c>
      <c r="N14">
        <f t="shared" si="2"/>
        <v>41.403474494000001</v>
      </c>
      <c r="O14">
        <f t="shared" si="4"/>
        <v>16.754907543214795</v>
      </c>
    </row>
    <row r="15" spans="1:15" x14ac:dyDescent="0.35">
      <c r="A15" s="3">
        <f t="shared" si="0"/>
        <v>12</v>
      </c>
      <c r="B15" s="3">
        <v>75</v>
      </c>
      <c r="D15">
        <f t="shared" si="1"/>
        <v>43.787107020800008</v>
      </c>
      <c r="E15">
        <f t="shared" si="3"/>
        <v>22.277152443543432</v>
      </c>
      <c r="N15">
        <f t="shared" si="2"/>
        <v>51.621042348199992</v>
      </c>
      <c r="O15">
        <f t="shared" si="4"/>
        <v>18.683381255463839</v>
      </c>
    </row>
    <row r="16" spans="1:15" x14ac:dyDescent="0.35">
      <c r="A16" s="3">
        <f t="shared" si="0"/>
        <v>13</v>
      </c>
      <c r="B16" s="3">
        <v>60</v>
      </c>
      <c r="D16">
        <f t="shared" si="1"/>
        <v>56.272264212480003</v>
      </c>
      <c r="E16">
        <f t="shared" si="3"/>
        <v>22.122490595484514</v>
      </c>
      <c r="N16">
        <f t="shared" si="2"/>
        <v>67.986312704460005</v>
      </c>
      <c r="O16">
        <f t="shared" si="4"/>
        <v>15.931551651104117</v>
      </c>
    </row>
    <row r="17" spans="1:15" x14ac:dyDescent="0.35">
      <c r="A17" s="3">
        <f t="shared" si="0"/>
        <v>14</v>
      </c>
      <c r="B17" s="3">
        <v>75</v>
      </c>
      <c r="D17">
        <f t="shared" si="1"/>
        <v>57.763358527488002</v>
      </c>
      <c r="E17">
        <f t="shared" si="3"/>
        <v>21.621435859682435</v>
      </c>
      <c r="N17">
        <f t="shared" si="2"/>
        <v>62.395893811337999</v>
      </c>
      <c r="O17">
        <f t="shared" si="4"/>
        <v>16.567190551864709</v>
      </c>
    </row>
    <row r="18" spans="1:15" x14ac:dyDescent="0.35">
      <c r="A18" s="10">
        <f t="shared" si="0"/>
        <v>15</v>
      </c>
      <c r="B18" s="10">
        <v>88</v>
      </c>
      <c r="D18">
        <f t="shared" si="1"/>
        <v>64.658015116492805</v>
      </c>
      <c r="E18">
        <f t="shared" si="3"/>
        <v>20.698168288397486</v>
      </c>
      <c r="N18">
        <f t="shared" si="2"/>
        <v>71.218768143401405</v>
      </c>
      <c r="O18">
        <f t="shared" si="4"/>
        <v>16.012706874158255</v>
      </c>
    </row>
    <row r="20" spans="1:15" x14ac:dyDescent="0.35">
      <c r="D20" t="s">
        <v>22</v>
      </c>
      <c r="E20">
        <v>0.4</v>
      </c>
      <c r="N20" t="s">
        <v>10</v>
      </c>
      <c r="O20">
        <v>0.3</v>
      </c>
    </row>
    <row r="21" spans="1:15" x14ac:dyDescent="0.35">
      <c r="N21" t="s">
        <v>23</v>
      </c>
    </row>
    <row r="22" spans="1:15" x14ac:dyDescent="0.35">
      <c r="D22" t="s">
        <v>21</v>
      </c>
    </row>
  </sheetData>
  <pageMargins left="0.7" right="0.7" top="0.75" bottom="0.75" header="0.3" footer="0.3"/>
  <ignoredErrors>
    <ignoredError sqref="E8:E18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0"/>
  <dimension ref="A1:G26"/>
  <sheetViews>
    <sheetView topLeftCell="A3" workbookViewId="0"/>
  </sheetViews>
  <sheetFormatPr defaultRowHeight="14.5" x14ac:dyDescent="0.35"/>
  <sheetData>
    <row r="1" spans="1:6" x14ac:dyDescent="0.35">
      <c r="A1" s="7" t="s">
        <v>181</v>
      </c>
    </row>
    <row r="3" spans="1:6" x14ac:dyDescent="0.35">
      <c r="A3" s="163" t="s">
        <v>3</v>
      </c>
      <c r="B3" s="163" t="s">
        <v>1</v>
      </c>
      <c r="D3" t="s">
        <v>11</v>
      </c>
    </row>
    <row r="4" spans="1:6" x14ac:dyDescent="0.35">
      <c r="A4" s="137">
        <v>1</v>
      </c>
      <c r="B4" s="137">
        <v>3</v>
      </c>
    </row>
    <row r="5" spans="1:6" x14ac:dyDescent="0.35">
      <c r="A5" s="137">
        <f>A4+1</f>
        <v>2</v>
      </c>
      <c r="B5" s="137">
        <v>5</v>
      </c>
      <c r="D5" s="51" t="s">
        <v>10</v>
      </c>
      <c r="E5" s="150">
        <v>0.4</v>
      </c>
    </row>
    <row r="6" spans="1:6" ht="15" thickBot="1" x14ac:dyDescent="0.4">
      <c r="A6" s="137">
        <f t="shared" ref="A6:A18" si="0">A5+1</f>
        <v>3</v>
      </c>
      <c r="B6" s="137">
        <v>9</v>
      </c>
    </row>
    <row r="7" spans="1:6" ht="15" thickTop="1" x14ac:dyDescent="0.35">
      <c r="A7" s="137">
        <f t="shared" si="0"/>
        <v>4</v>
      </c>
      <c r="B7" s="137">
        <v>20</v>
      </c>
      <c r="D7" s="45" t="str">
        <f>A3</f>
        <v>t</v>
      </c>
      <c r="E7" s="45" t="str">
        <f>B3</f>
        <v>y</v>
      </c>
      <c r="F7" s="45" t="s">
        <v>179</v>
      </c>
    </row>
    <row r="8" spans="1:6" x14ac:dyDescent="0.35">
      <c r="A8" s="137">
        <f t="shared" si="0"/>
        <v>5</v>
      </c>
      <c r="B8" s="137">
        <v>12</v>
      </c>
      <c r="D8" s="137">
        <f>A4</f>
        <v>1</v>
      </c>
      <c r="E8" s="137">
        <f>B4</f>
        <v>3</v>
      </c>
      <c r="F8">
        <f>E8</f>
        <v>3</v>
      </c>
    </row>
    <row r="9" spans="1:6" x14ac:dyDescent="0.35">
      <c r="A9" s="137">
        <f t="shared" si="0"/>
        <v>6</v>
      </c>
      <c r="B9" s="137">
        <v>17</v>
      </c>
      <c r="D9" s="137">
        <f t="shared" ref="D9:E22" si="1">A5</f>
        <v>2</v>
      </c>
      <c r="E9" s="137">
        <f t="shared" si="1"/>
        <v>5</v>
      </c>
      <c r="F9">
        <f>F8+$E$5*(E8-F8)</f>
        <v>3</v>
      </c>
    </row>
    <row r="10" spans="1:6" x14ac:dyDescent="0.35">
      <c r="A10" s="137">
        <f t="shared" si="0"/>
        <v>7</v>
      </c>
      <c r="B10" s="137">
        <v>22</v>
      </c>
      <c r="D10" s="137">
        <f t="shared" si="1"/>
        <v>3</v>
      </c>
      <c r="E10" s="137">
        <f t="shared" si="1"/>
        <v>9</v>
      </c>
      <c r="F10">
        <f t="shared" ref="F10:F23" si="2">F9+$E$5*(E9-F9)</f>
        <v>3.8</v>
      </c>
    </row>
    <row r="11" spans="1:6" x14ac:dyDescent="0.35">
      <c r="A11" s="137">
        <f t="shared" si="0"/>
        <v>8</v>
      </c>
      <c r="B11" s="137">
        <v>23</v>
      </c>
      <c r="D11" s="137">
        <f t="shared" si="1"/>
        <v>4</v>
      </c>
      <c r="E11" s="137">
        <f t="shared" si="1"/>
        <v>20</v>
      </c>
      <c r="F11">
        <f t="shared" si="2"/>
        <v>5.88</v>
      </c>
    </row>
    <row r="12" spans="1:6" x14ac:dyDescent="0.35">
      <c r="A12" s="137">
        <f t="shared" si="0"/>
        <v>9</v>
      </c>
      <c r="B12" s="137">
        <v>51</v>
      </c>
      <c r="D12" s="137">
        <f t="shared" si="1"/>
        <v>5</v>
      </c>
      <c r="E12" s="137">
        <f t="shared" si="1"/>
        <v>12</v>
      </c>
      <c r="F12">
        <f t="shared" si="2"/>
        <v>11.528</v>
      </c>
    </row>
    <row r="13" spans="1:6" x14ac:dyDescent="0.35">
      <c r="A13" s="137">
        <f t="shared" si="0"/>
        <v>10</v>
      </c>
      <c r="B13" s="137">
        <v>41</v>
      </c>
      <c r="D13" s="137">
        <f t="shared" si="1"/>
        <v>6</v>
      </c>
      <c r="E13" s="137">
        <f t="shared" si="1"/>
        <v>17</v>
      </c>
      <c r="F13">
        <f t="shared" si="2"/>
        <v>11.716800000000001</v>
      </c>
    </row>
    <row r="14" spans="1:6" x14ac:dyDescent="0.35">
      <c r="A14" s="137">
        <f t="shared" si="0"/>
        <v>11</v>
      </c>
      <c r="B14" s="137">
        <v>56</v>
      </c>
      <c r="D14" s="137">
        <f t="shared" si="1"/>
        <v>7</v>
      </c>
      <c r="E14" s="137">
        <f t="shared" si="1"/>
        <v>22</v>
      </c>
      <c r="F14">
        <f t="shared" si="2"/>
        <v>13.830080000000001</v>
      </c>
    </row>
    <row r="15" spans="1:6" x14ac:dyDescent="0.35">
      <c r="A15" s="137">
        <f t="shared" si="0"/>
        <v>12</v>
      </c>
      <c r="B15" s="137">
        <v>75</v>
      </c>
      <c r="D15" s="137">
        <f t="shared" si="1"/>
        <v>8</v>
      </c>
      <c r="E15" s="137">
        <f t="shared" si="1"/>
        <v>23</v>
      </c>
      <c r="F15">
        <f t="shared" si="2"/>
        <v>17.098047999999999</v>
      </c>
    </row>
    <row r="16" spans="1:6" x14ac:dyDescent="0.35">
      <c r="A16" s="137">
        <f t="shared" si="0"/>
        <v>13</v>
      </c>
      <c r="B16" s="137">
        <v>60</v>
      </c>
      <c r="D16" s="137">
        <f t="shared" si="1"/>
        <v>9</v>
      </c>
      <c r="E16" s="137">
        <f t="shared" si="1"/>
        <v>51</v>
      </c>
      <c r="F16">
        <f t="shared" si="2"/>
        <v>19.458828799999999</v>
      </c>
    </row>
    <row r="17" spans="1:7" x14ac:dyDescent="0.35">
      <c r="A17" s="137">
        <f t="shared" si="0"/>
        <v>14</v>
      </c>
      <c r="B17" s="137">
        <v>75</v>
      </c>
      <c r="D17" s="137">
        <f t="shared" si="1"/>
        <v>10</v>
      </c>
      <c r="E17" s="137">
        <f t="shared" si="1"/>
        <v>41</v>
      </c>
      <c r="F17">
        <f t="shared" si="2"/>
        <v>32.075297280000001</v>
      </c>
    </row>
    <row r="18" spans="1:7" x14ac:dyDescent="0.35">
      <c r="A18" s="10">
        <f t="shared" si="0"/>
        <v>15</v>
      </c>
      <c r="B18" s="10">
        <v>88</v>
      </c>
      <c r="D18" s="137">
        <f t="shared" si="1"/>
        <v>11</v>
      </c>
      <c r="E18" s="137">
        <f t="shared" si="1"/>
        <v>56</v>
      </c>
      <c r="F18">
        <f t="shared" si="2"/>
        <v>35.645178368000003</v>
      </c>
    </row>
    <row r="19" spans="1:7" x14ac:dyDescent="0.35">
      <c r="D19" s="137">
        <f t="shared" si="1"/>
        <v>12</v>
      </c>
      <c r="E19" s="137">
        <f t="shared" si="1"/>
        <v>75</v>
      </c>
      <c r="F19">
        <f t="shared" si="2"/>
        <v>43.787107020800001</v>
      </c>
    </row>
    <row r="20" spans="1:7" x14ac:dyDescent="0.35">
      <c r="D20" s="137">
        <f t="shared" si="1"/>
        <v>13</v>
      </c>
      <c r="E20" s="137">
        <f t="shared" si="1"/>
        <v>60</v>
      </c>
      <c r="F20">
        <f t="shared" si="2"/>
        <v>56.272264212480003</v>
      </c>
    </row>
    <row r="21" spans="1:7" x14ac:dyDescent="0.35">
      <c r="D21" s="137">
        <f t="shared" si="1"/>
        <v>14</v>
      </c>
      <c r="E21" s="137">
        <f t="shared" si="1"/>
        <v>75</v>
      </c>
      <c r="F21">
        <f t="shared" si="2"/>
        <v>57.763358527488002</v>
      </c>
    </row>
    <row r="22" spans="1:7" x14ac:dyDescent="0.35">
      <c r="D22" s="10">
        <f t="shared" si="1"/>
        <v>15</v>
      </c>
      <c r="E22" s="10">
        <f t="shared" si="1"/>
        <v>88</v>
      </c>
      <c r="F22" s="4">
        <f t="shared" si="2"/>
        <v>64.658015116492805</v>
      </c>
    </row>
    <row r="23" spans="1:7" x14ac:dyDescent="0.35">
      <c r="D23" s="137" t="s">
        <v>180</v>
      </c>
      <c r="E23" s="137"/>
      <c r="F23">
        <f t="shared" si="2"/>
        <v>73.99480906989568</v>
      </c>
    </row>
    <row r="25" spans="1:7" x14ac:dyDescent="0.35">
      <c r="E25" s="230" t="s">
        <v>12</v>
      </c>
      <c r="F25" s="230" t="s">
        <v>4</v>
      </c>
      <c r="G25" s="230" t="s">
        <v>611</v>
      </c>
    </row>
    <row r="26" spans="1:7" x14ac:dyDescent="0.35">
      <c r="E26" s="5">
        <f>SUMPRODUCT(ABS(E9:E22-F9:F22))/COUNT(F9:F22)</f>
        <v>12.677644476767085</v>
      </c>
      <c r="F26" s="15">
        <f>SUMXMY2(E9:E22,F9:F22)/COUNT(F9:F22)</f>
        <v>262.78823923011947</v>
      </c>
      <c r="G26" s="6">
        <f>SUMPRODUCT(ABS(1-F9:F22/E9:E22))/COUNT(F9:F22)</f>
        <v>0.34534540801177954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1:Z21"/>
  <sheetViews>
    <sheetView workbookViewId="0"/>
  </sheetViews>
  <sheetFormatPr defaultRowHeight="14.5" x14ac:dyDescent="0.35"/>
  <sheetData>
    <row r="1" spans="1:26" x14ac:dyDescent="0.35">
      <c r="A1" s="7" t="s">
        <v>9</v>
      </c>
      <c r="G1" s="7" t="s">
        <v>14</v>
      </c>
      <c r="V1" s="7" t="s">
        <v>9</v>
      </c>
    </row>
    <row r="3" spans="1:26" x14ac:dyDescent="0.35">
      <c r="A3" s="8" t="s">
        <v>3</v>
      </c>
      <c r="B3" s="8" t="s">
        <v>1</v>
      </c>
      <c r="C3" s="8" t="s">
        <v>138</v>
      </c>
      <c r="D3" s="9" t="s">
        <v>6</v>
      </c>
      <c r="E3" s="9" t="s">
        <v>5</v>
      </c>
      <c r="G3" s="8" t="s">
        <v>3</v>
      </c>
      <c r="H3" s="8" t="s">
        <v>1</v>
      </c>
      <c r="I3" s="8" t="s">
        <v>138</v>
      </c>
      <c r="J3" s="9" t="s">
        <v>6</v>
      </c>
      <c r="K3" s="9" t="s">
        <v>5</v>
      </c>
      <c r="V3" s="8" t="s">
        <v>3</v>
      </c>
      <c r="W3" s="8" t="s">
        <v>1</v>
      </c>
      <c r="X3" s="8" t="s">
        <v>2</v>
      </c>
      <c r="Y3" s="9" t="s">
        <v>6</v>
      </c>
      <c r="Z3" s="9" t="s">
        <v>5</v>
      </c>
    </row>
    <row r="4" spans="1:26" x14ac:dyDescent="0.35">
      <c r="A4" s="3">
        <v>1</v>
      </c>
      <c r="B4" s="3">
        <v>3</v>
      </c>
      <c r="C4">
        <f>B4</f>
        <v>3</v>
      </c>
      <c r="G4" s="3">
        <v>1</v>
      </c>
      <c r="H4" s="3">
        <v>3</v>
      </c>
      <c r="I4">
        <f>H4</f>
        <v>3</v>
      </c>
      <c r="V4" s="3">
        <v>1</v>
      </c>
      <c r="W4" s="3">
        <v>3</v>
      </c>
      <c r="X4">
        <f>W4</f>
        <v>3</v>
      </c>
    </row>
    <row r="5" spans="1:26" x14ac:dyDescent="0.35">
      <c r="A5" s="3">
        <f>A4+1</f>
        <v>2</v>
      </c>
      <c r="B5" s="3">
        <v>5</v>
      </c>
      <c r="C5">
        <f t="shared" ref="C5:C18" si="0">A$21*B4+(1-A$21)*C4</f>
        <v>3</v>
      </c>
      <c r="D5">
        <f>ABS(B5-C5)</f>
        <v>2</v>
      </c>
      <c r="E5">
        <f>(B5-C5)^2</f>
        <v>4</v>
      </c>
      <c r="G5" s="3">
        <f>G4+1</f>
        <v>2</v>
      </c>
      <c r="H5" s="3">
        <v>5</v>
      </c>
      <c r="I5">
        <f t="shared" ref="I5:I18" si="1">I4+G$21*(H4-I4)</f>
        <v>3</v>
      </c>
      <c r="J5">
        <f>ABS(H5-I5)</f>
        <v>2</v>
      </c>
      <c r="K5">
        <f>(H5-I5)^2</f>
        <v>4</v>
      </c>
      <c r="V5" s="3">
        <f>V4+1</f>
        <v>2</v>
      </c>
      <c r="W5" s="3">
        <v>5</v>
      </c>
      <c r="X5">
        <f t="shared" ref="X5:X18" si="2">X4+V$21*(W4-X4)</f>
        <v>3</v>
      </c>
      <c r="Y5">
        <f>ABS(W5-X5)</f>
        <v>2</v>
      </c>
      <c r="Z5">
        <f>(W5-X5)^2</f>
        <v>4</v>
      </c>
    </row>
    <row r="6" spans="1:26" x14ac:dyDescent="0.35">
      <c r="A6" s="3">
        <f t="shared" ref="A6:A18" si="3">A5+1</f>
        <v>3</v>
      </c>
      <c r="B6" s="3">
        <v>9</v>
      </c>
      <c r="C6">
        <f t="shared" si="0"/>
        <v>3.8</v>
      </c>
      <c r="D6">
        <f>ABS(B6-C6)</f>
        <v>5.2</v>
      </c>
      <c r="E6">
        <f>(B6-C6)^2</f>
        <v>27.040000000000003</v>
      </c>
      <c r="G6" s="3">
        <f t="shared" ref="G6:G18" si="4">G5+1</f>
        <v>3</v>
      </c>
      <c r="H6" s="3">
        <v>9</v>
      </c>
      <c r="I6">
        <f t="shared" si="1"/>
        <v>4.3124106471336745</v>
      </c>
      <c r="J6">
        <f>ABS(H6-I6)</f>
        <v>4.6875893528663255</v>
      </c>
      <c r="K6">
        <f>(H6-I6)^2</f>
        <v>21.973493941105737</v>
      </c>
      <c r="V6" s="3">
        <f t="shared" ref="V6:V18" si="5">V5+1</f>
        <v>3</v>
      </c>
      <c r="W6" s="3">
        <v>9</v>
      </c>
      <c r="X6">
        <f t="shared" si="2"/>
        <v>4.6878141782271134</v>
      </c>
      <c r="Y6">
        <f>ABS(W6-X6)</f>
        <v>4.3121858217728866</v>
      </c>
      <c r="Z6">
        <f>(W6-X6)^2</f>
        <v>18.594946561499103</v>
      </c>
    </row>
    <row r="7" spans="1:26" x14ac:dyDescent="0.35">
      <c r="A7" s="3">
        <f t="shared" si="3"/>
        <v>4</v>
      </c>
      <c r="B7" s="3">
        <v>20</v>
      </c>
      <c r="C7">
        <f t="shared" si="0"/>
        <v>5.88</v>
      </c>
      <c r="D7">
        <f>ABS(B7-C7)</f>
        <v>14.120000000000001</v>
      </c>
      <c r="E7">
        <f>(B7-C7)^2</f>
        <v>199.37440000000004</v>
      </c>
      <c r="G7" s="3">
        <f t="shared" si="4"/>
        <v>4</v>
      </c>
      <c r="H7" s="3">
        <v>20</v>
      </c>
      <c r="I7">
        <f t="shared" si="1"/>
        <v>7.3884317351797826</v>
      </c>
      <c r="J7">
        <f>ABS(H7-I7)</f>
        <v>12.611568264820217</v>
      </c>
      <c r="K7">
        <f>(H7-I7)^2</f>
        <v>159.05165409822044</v>
      </c>
      <c r="V7" s="3">
        <f t="shared" si="5"/>
        <v>4</v>
      </c>
      <c r="W7" s="3">
        <v>20</v>
      </c>
      <c r="X7">
        <f t="shared" si="2"/>
        <v>8.3268983627962214</v>
      </c>
      <c r="Y7">
        <f>ABS(W7-X7)</f>
        <v>11.673101637203779</v>
      </c>
      <c r="Z7">
        <f>(W7-X7)^2</f>
        <v>136.26130183248952</v>
      </c>
    </row>
    <row r="8" spans="1:26" x14ac:dyDescent="0.35">
      <c r="A8" s="3">
        <f t="shared" si="3"/>
        <v>5</v>
      </c>
      <c r="B8" s="3">
        <v>12</v>
      </c>
      <c r="C8">
        <f t="shared" si="0"/>
        <v>11.528</v>
      </c>
      <c r="D8">
        <f t="shared" ref="D8:D18" si="6">ABS(B8-C8)</f>
        <v>0.47199999999999953</v>
      </c>
      <c r="E8">
        <f t="shared" ref="E8:E18" si="7">(B8-C8)^2</f>
        <v>0.22278399999999957</v>
      </c>
      <c r="G8" s="3">
        <f t="shared" si="4"/>
        <v>5</v>
      </c>
      <c r="H8" s="3">
        <v>12</v>
      </c>
      <c r="I8">
        <f t="shared" si="1"/>
        <v>15.664209969081389</v>
      </c>
      <c r="J8">
        <f t="shared" ref="J8:J18" si="8">ABS(H8-I8)</f>
        <v>3.664209969081389</v>
      </c>
      <c r="K8">
        <f t="shared" ref="K8:K18" si="9">(H8-I8)^2</f>
        <v>13.426434697515434</v>
      </c>
      <c r="V8" s="3">
        <f t="shared" si="5"/>
        <v>5</v>
      </c>
      <c r="W8" s="3">
        <v>12</v>
      </c>
      <c r="X8">
        <f t="shared" si="2"/>
        <v>18.177911586375558</v>
      </c>
      <c r="Y8">
        <f t="shared" ref="Y8:Y18" si="10">ABS(W8-X8)</f>
        <v>6.1779115863755578</v>
      </c>
      <c r="Z8">
        <f t="shared" ref="Z8:Z18" si="11">(W8-X8)^2</f>
        <v>38.166591569073361</v>
      </c>
    </row>
    <row r="9" spans="1:26" x14ac:dyDescent="0.35">
      <c r="A9" s="3">
        <f t="shared" si="3"/>
        <v>6</v>
      </c>
      <c r="B9" s="3">
        <v>17</v>
      </c>
      <c r="C9">
        <f t="shared" si="0"/>
        <v>11.716800000000001</v>
      </c>
      <c r="D9">
        <f t="shared" si="6"/>
        <v>5.283199999999999</v>
      </c>
      <c r="E9">
        <f t="shared" si="7"/>
        <v>27.912202239999989</v>
      </c>
      <c r="G9" s="3">
        <f t="shared" si="4"/>
        <v>6</v>
      </c>
      <c r="H9" s="3">
        <v>17</v>
      </c>
      <c r="I9">
        <f t="shared" si="1"/>
        <v>13.259735880703506</v>
      </c>
      <c r="J9">
        <f t="shared" si="8"/>
        <v>3.7402641192964943</v>
      </c>
      <c r="K9">
        <f t="shared" si="9"/>
        <v>13.989575682096779</v>
      </c>
      <c r="V9" s="3">
        <f t="shared" si="5"/>
        <v>6</v>
      </c>
      <c r="W9" s="3">
        <v>17</v>
      </c>
      <c r="X9">
        <f t="shared" si="2"/>
        <v>12.964328202716445</v>
      </c>
      <c r="Y9">
        <f t="shared" si="10"/>
        <v>4.0356717972835554</v>
      </c>
      <c r="Z9">
        <f t="shared" si="11"/>
        <v>16.286646855389883</v>
      </c>
    </row>
    <row r="10" spans="1:26" x14ac:dyDescent="0.35">
      <c r="A10" s="3">
        <f t="shared" si="3"/>
        <v>7</v>
      </c>
      <c r="B10" s="3">
        <v>22</v>
      </c>
      <c r="C10">
        <f t="shared" si="0"/>
        <v>13.830080000000002</v>
      </c>
      <c r="D10">
        <f t="shared" si="6"/>
        <v>8.1699199999999976</v>
      </c>
      <c r="E10">
        <f t="shared" si="7"/>
        <v>66.747592806399965</v>
      </c>
      <c r="G10" s="3">
        <f t="shared" si="4"/>
        <v>7</v>
      </c>
      <c r="H10" s="3">
        <v>22</v>
      </c>
      <c r="I10">
        <f t="shared" si="1"/>
        <v>15.714117107331894</v>
      </c>
      <c r="J10">
        <f t="shared" si="8"/>
        <v>6.2858828926681056</v>
      </c>
      <c r="K10">
        <f t="shared" si="9"/>
        <v>39.51232374033755</v>
      </c>
      <c r="V10" s="3">
        <f t="shared" si="5"/>
        <v>7</v>
      </c>
      <c r="W10" s="3">
        <v>22</v>
      </c>
      <c r="X10">
        <f t="shared" si="2"/>
        <v>16.370060241779687</v>
      </c>
      <c r="Y10">
        <f t="shared" si="10"/>
        <v>5.6299397582203135</v>
      </c>
      <c r="Z10">
        <f t="shared" si="11"/>
        <v>31.696221681189801</v>
      </c>
    </row>
    <row r="11" spans="1:26" x14ac:dyDescent="0.35">
      <c r="A11" s="3">
        <f t="shared" si="3"/>
        <v>8</v>
      </c>
      <c r="B11" s="3">
        <v>23</v>
      </c>
      <c r="C11">
        <f t="shared" si="0"/>
        <v>17.098048000000002</v>
      </c>
      <c r="D11">
        <f t="shared" si="6"/>
        <v>5.9019519999999979</v>
      </c>
      <c r="E11">
        <f t="shared" si="7"/>
        <v>34.833037410303973</v>
      </c>
      <c r="G11" s="3">
        <f t="shared" si="4"/>
        <v>8</v>
      </c>
      <c r="H11" s="3">
        <v>23</v>
      </c>
      <c r="I11">
        <f t="shared" si="1"/>
        <v>19.838946924818416</v>
      </c>
      <c r="J11">
        <f t="shared" si="8"/>
        <v>3.1610530751815844</v>
      </c>
      <c r="K11">
        <f t="shared" si="9"/>
        <v>9.9922565441149516</v>
      </c>
      <c r="V11" s="3">
        <f t="shared" si="5"/>
        <v>8</v>
      </c>
      <c r="W11" s="3">
        <v>23</v>
      </c>
      <c r="X11">
        <f t="shared" si="2"/>
        <v>21.121206315024075</v>
      </c>
      <c r="Y11">
        <f t="shared" si="10"/>
        <v>1.8787936849759248</v>
      </c>
      <c r="Z11">
        <f t="shared" si="11"/>
        <v>3.5298657107054145</v>
      </c>
    </row>
    <row r="12" spans="1:26" x14ac:dyDescent="0.35">
      <c r="A12" s="3">
        <f t="shared" si="3"/>
        <v>9</v>
      </c>
      <c r="B12" s="3">
        <v>51</v>
      </c>
      <c r="C12">
        <f t="shared" si="0"/>
        <v>19.458828800000003</v>
      </c>
      <c r="D12">
        <f t="shared" si="6"/>
        <v>31.541171199999997</v>
      </c>
      <c r="E12">
        <f t="shared" si="7"/>
        <v>994.84548066770924</v>
      </c>
      <c r="G12" s="3">
        <f t="shared" si="4"/>
        <v>9</v>
      </c>
      <c r="H12" s="3">
        <v>51</v>
      </c>
      <c r="I12">
        <f t="shared" si="1"/>
        <v>21.913246780829894</v>
      </c>
      <c r="J12">
        <f t="shared" si="8"/>
        <v>29.086753219170106</v>
      </c>
      <c r="K12">
        <f t="shared" si="9"/>
        <v>846.03921283290254</v>
      </c>
      <c r="V12" s="3">
        <f t="shared" si="5"/>
        <v>9</v>
      </c>
      <c r="W12" s="3">
        <v>51</v>
      </c>
      <c r="X12">
        <f t="shared" si="2"/>
        <v>22.706733624757042</v>
      </c>
      <c r="Y12">
        <f t="shared" si="10"/>
        <v>28.293266375242958</v>
      </c>
      <c r="Z12">
        <f t="shared" si="11"/>
        <v>800.50892218045374</v>
      </c>
    </row>
    <row r="13" spans="1:26" x14ac:dyDescent="0.35">
      <c r="A13" s="3">
        <f t="shared" si="3"/>
        <v>10</v>
      </c>
      <c r="B13" s="3">
        <v>41</v>
      </c>
      <c r="C13">
        <f t="shared" si="0"/>
        <v>32.075297280000001</v>
      </c>
      <c r="D13">
        <f t="shared" si="6"/>
        <v>8.9247027199999991</v>
      </c>
      <c r="E13">
        <f t="shared" si="7"/>
        <v>79.650318640375389</v>
      </c>
      <c r="G13" s="3">
        <f t="shared" si="4"/>
        <v>10</v>
      </c>
      <c r="H13" s="3">
        <v>41</v>
      </c>
      <c r="I13">
        <f t="shared" si="1"/>
        <v>41.000129088524162</v>
      </c>
      <c r="J13">
        <f t="shared" si="8"/>
        <v>1.2908852416160244E-4</v>
      </c>
      <c r="K13">
        <f t="shared" si="9"/>
        <v>1.6663847070220617E-8</v>
      </c>
      <c r="V13" s="3">
        <f t="shared" si="5"/>
        <v>10</v>
      </c>
      <c r="W13" s="3">
        <v>41</v>
      </c>
      <c r="X13">
        <f t="shared" si="2"/>
        <v>46.583621693002797</v>
      </c>
      <c r="Y13">
        <f t="shared" si="10"/>
        <v>5.5836216930027973</v>
      </c>
      <c r="Z13">
        <f t="shared" si="11"/>
        <v>31.176831210571425</v>
      </c>
    </row>
    <row r="14" spans="1:26" x14ac:dyDescent="0.35">
      <c r="A14" s="3">
        <f t="shared" si="3"/>
        <v>11</v>
      </c>
      <c r="B14" s="3">
        <v>56</v>
      </c>
      <c r="C14">
        <f t="shared" si="0"/>
        <v>35.645178368000003</v>
      </c>
      <c r="D14">
        <f t="shared" si="6"/>
        <v>20.354821631999997</v>
      </c>
      <c r="E14">
        <f t="shared" si="7"/>
        <v>414.31876367053502</v>
      </c>
      <c r="G14" s="3">
        <f t="shared" si="4"/>
        <v>11</v>
      </c>
      <c r="H14" s="3">
        <v>56</v>
      </c>
      <c r="I14">
        <f t="shared" si="1"/>
        <v>41.000044379947397</v>
      </c>
      <c r="J14">
        <f t="shared" si="8"/>
        <v>14.999955620052603</v>
      </c>
      <c r="K14">
        <f t="shared" si="9"/>
        <v>224.99866860354766</v>
      </c>
      <c r="V14" s="3">
        <f t="shared" si="5"/>
        <v>11</v>
      </c>
      <c r="W14" s="3">
        <v>56</v>
      </c>
      <c r="X14">
        <f t="shared" si="2"/>
        <v>41.871563763349499</v>
      </c>
      <c r="Y14">
        <f t="shared" si="10"/>
        <v>14.128436236650501</v>
      </c>
      <c r="Z14">
        <f t="shared" si="11"/>
        <v>199.61271049309897</v>
      </c>
    </row>
    <row r="15" spans="1:26" x14ac:dyDescent="0.35">
      <c r="A15" s="3">
        <f t="shared" si="3"/>
        <v>12</v>
      </c>
      <c r="B15" s="3">
        <v>75</v>
      </c>
      <c r="C15">
        <f t="shared" si="0"/>
        <v>43.787107020800008</v>
      </c>
      <c r="D15">
        <f t="shared" si="6"/>
        <v>31.212892979199992</v>
      </c>
      <c r="E15">
        <f t="shared" si="7"/>
        <v>974.24468813099213</v>
      </c>
      <c r="G15" s="3">
        <f t="shared" si="4"/>
        <v>12</v>
      </c>
      <c r="H15" s="3">
        <v>75</v>
      </c>
      <c r="I15">
        <f t="shared" si="1"/>
        <v>50.843095111092211</v>
      </c>
      <c r="J15">
        <f t="shared" si="8"/>
        <v>24.156904888907789</v>
      </c>
      <c r="K15">
        <f t="shared" si="9"/>
        <v>583.556053811737</v>
      </c>
      <c r="V15" s="3">
        <f t="shared" si="5"/>
        <v>12</v>
      </c>
      <c r="W15" s="3">
        <v>75</v>
      </c>
      <c r="X15">
        <f t="shared" si="2"/>
        <v>53.79465126154772</v>
      </c>
      <c r="Y15">
        <f t="shared" si="10"/>
        <v>21.20534873845228</v>
      </c>
      <c r="Z15">
        <f t="shared" si="11"/>
        <v>449.66681511937969</v>
      </c>
    </row>
    <row r="16" spans="1:26" x14ac:dyDescent="0.35">
      <c r="A16" s="3">
        <f t="shared" si="3"/>
        <v>13</v>
      </c>
      <c r="B16" s="3">
        <v>60</v>
      </c>
      <c r="C16">
        <f t="shared" si="0"/>
        <v>56.272264212480003</v>
      </c>
      <c r="D16">
        <f t="shared" si="6"/>
        <v>3.7277357875199968</v>
      </c>
      <c r="E16">
        <f t="shared" si="7"/>
        <v>13.896014101557331</v>
      </c>
      <c r="G16" s="3">
        <f t="shared" si="4"/>
        <v>13</v>
      </c>
      <c r="H16" s="3">
        <v>60</v>
      </c>
      <c r="I16">
        <f t="shared" si="1"/>
        <v>66.694984700091254</v>
      </c>
      <c r="J16">
        <f t="shared" si="8"/>
        <v>6.6949847000912541</v>
      </c>
      <c r="K16">
        <f t="shared" si="9"/>
        <v>44.822820134455981</v>
      </c>
      <c r="V16" s="3">
        <f t="shared" si="5"/>
        <v>13</v>
      </c>
      <c r="W16" s="3">
        <v>60</v>
      </c>
      <c r="X16">
        <f t="shared" si="2"/>
        <v>71.689995389052825</v>
      </c>
      <c r="Y16">
        <f t="shared" si="10"/>
        <v>11.689995389052825</v>
      </c>
      <c r="Z16">
        <f t="shared" si="11"/>
        <v>136.65599219607631</v>
      </c>
    </row>
    <row r="17" spans="1:26" x14ac:dyDescent="0.35">
      <c r="A17" s="3">
        <f t="shared" si="3"/>
        <v>14</v>
      </c>
      <c r="B17" s="3">
        <v>75</v>
      </c>
      <c r="C17">
        <f t="shared" si="0"/>
        <v>57.763358527488002</v>
      </c>
      <c r="D17">
        <f t="shared" si="6"/>
        <v>17.236641472511998</v>
      </c>
      <c r="E17">
        <f t="shared" si="7"/>
        <v>297.1018092519206</v>
      </c>
      <c r="G17" s="3">
        <f t="shared" si="4"/>
        <v>14</v>
      </c>
      <c r="H17" s="3">
        <v>75</v>
      </c>
      <c r="I17">
        <f t="shared" si="1"/>
        <v>62.301700098692848</v>
      </c>
      <c r="J17">
        <f t="shared" si="8"/>
        <v>12.698299901307152</v>
      </c>
      <c r="K17">
        <f t="shared" si="9"/>
        <v>161.24682038353723</v>
      </c>
      <c r="V17" s="3">
        <f t="shared" si="5"/>
        <v>14</v>
      </c>
      <c r="W17" s="3">
        <v>75</v>
      </c>
      <c r="X17">
        <f t="shared" si="2"/>
        <v>61.824725408526355</v>
      </c>
      <c r="Y17">
        <f t="shared" si="10"/>
        <v>13.175274591473645</v>
      </c>
      <c r="Z17">
        <f t="shared" si="11"/>
        <v>173.58786056073103</v>
      </c>
    </row>
    <row r="18" spans="1:26" x14ac:dyDescent="0.35">
      <c r="A18" s="10">
        <f t="shared" si="3"/>
        <v>15</v>
      </c>
      <c r="B18" s="10">
        <v>88</v>
      </c>
      <c r="C18" s="4">
        <f t="shared" si="0"/>
        <v>64.658015116492805</v>
      </c>
      <c r="D18" s="4">
        <f t="shared" si="6"/>
        <v>23.341984883507195</v>
      </c>
      <c r="E18" s="4">
        <f t="shared" si="7"/>
        <v>544.84825830187833</v>
      </c>
      <c r="G18" s="10">
        <f t="shared" si="4"/>
        <v>15</v>
      </c>
      <c r="H18" s="10">
        <v>88</v>
      </c>
      <c r="I18" s="4">
        <f t="shared" si="1"/>
        <v>70.63439209417885</v>
      </c>
      <c r="J18" s="4">
        <f t="shared" si="8"/>
        <v>17.36560790582115</v>
      </c>
      <c r="K18" s="4">
        <f t="shared" si="9"/>
        <v>301.56433793871804</v>
      </c>
      <c r="V18" s="10">
        <f t="shared" si="5"/>
        <v>15</v>
      </c>
      <c r="W18" s="10">
        <v>88</v>
      </c>
      <c r="X18" s="4">
        <f t="shared" si="2"/>
        <v>72.943433037288685</v>
      </c>
      <c r="Y18" s="4">
        <f t="shared" si="10"/>
        <v>15.056566962711315</v>
      </c>
      <c r="Z18" s="4">
        <f t="shared" si="11"/>
        <v>226.70020870260984</v>
      </c>
    </row>
    <row r="19" spans="1:26" x14ac:dyDescent="0.35">
      <c r="C19" s="13"/>
      <c r="I19" s="13"/>
      <c r="X19" s="13"/>
    </row>
    <row r="20" spans="1:26" x14ac:dyDescent="0.35">
      <c r="A20" s="11" t="s">
        <v>10</v>
      </c>
      <c r="B20" s="13"/>
      <c r="C20" s="3" t="s">
        <v>12</v>
      </c>
      <c r="D20" s="3" t="s">
        <v>4</v>
      </c>
      <c r="E20" s="3" t="s">
        <v>13</v>
      </c>
      <c r="G20" s="11" t="s">
        <v>10</v>
      </c>
      <c r="H20" s="13"/>
      <c r="I20" s="3" t="s">
        <v>12</v>
      </c>
      <c r="J20" s="3" t="s">
        <v>4</v>
      </c>
      <c r="K20" s="3" t="s">
        <v>13</v>
      </c>
      <c r="V20" s="11" t="s">
        <v>10</v>
      </c>
      <c r="W20" s="13"/>
      <c r="X20" s="3" t="s">
        <v>12</v>
      </c>
      <c r="Y20" s="3" t="s">
        <v>4</v>
      </c>
      <c r="Z20" s="3" t="s">
        <v>13</v>
      </c>
    </row>
    <row r="21" spans="1:26" x14ac:dyDescent="0.35">
      <c r="A21" s="14">
        <v>0.4</v>
      </c>
      <c r="C21" s="5">
        <f>AVERAGE(D4:D18)</f>
        <v>12.677644476767084</v>
      </c>
      <c r="D21" s="15">
        <f>AVERAGE(E4:E18)</f>
        <v>262.78823923011942</v>
      </c>
      <c r="E21" s="6">
        <f>SQRT(D21)</f>
        <v>16.21074456125071</v>
      </c>
      <c r="G21" s="14">
        <v>0.65620532356683725</v>
      </c>
      <c r="I21" s="5">
        <f>AVERAGE(J4:J18)</f>
        <v>10.082371642699167</v>
      </c>
      <c r="J21" s="15">
        <f>AVERAGE(K4:K18)</f>
        <v>173.15526088749667</v>
      </c>
      <c r="K21" s="6">
        <f>SQRT(J21)</f>
        <v>13.158847247669405</v>
      </c>
      <c r="V21" s="14">
        <v>0.84390708911355683</v>
      </c>
      <c r="X21" s="5">
        <f>AVERAGE(Y4:Y18)</f>
        <v>10.34572244802988</v>
      </c>
      <c r="Y21" s="15">
        <f>AVERAGE(Z4:Z18)</f>
        <v>161.888922476662</v>
      </c>
      <c r="Z21" s="6">
        <f>SQRT(Y21)</f>
        <v>12.723557775899868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7456-7A40-4C00-A571-84447C244B3C}">
  <sheetPr codeName="Sheet115"/>
  <dimension ref="A1:I26"/>
  <sheetViews>
    <sheetView workbookViewId="0"/>
  </sheetViews>
  <sheetFormatPr defaultRowHeight="14.5" x14ac:dyDescent="0.35"/>
  <cols>
    <col min="1" max="2" width="6.08984375" customWidth="1"/>
    <col min="4" max="4" width="6.26953125" customWidth="1"/>
  </cols>
  <sheetData>
    <row r="1" spans="1:9" x14ac:dyDescent="0.35">
      <c r="A1" s="7" t="s">
        <v>276</v>
      </c>
    </row>
    <row r="3" spans="1:9" x14ac:dyDescent="0.35">
      <c r="A3" s="266" t="s">
        <v>3</v>
      </c>
      <c r="B3" s="266" t="s">
        <v>1</v>
      </c>
      <c r="D3" t="s">
        <v>11</v>
      </c>
      <c r="H3" t="s">
        <v>665</v>
      </c>
      <c r="I3" s="19">
        <v>0.05</v>
      </c>
    </row>
    <row r="4" spans="1:9" x14ac:dyDescent="0.35">
      <c r="A4">
        <v>1</v>
      </c>
      <c r="B4">
        <v>3</v>
      </c>
    </row>
    <row r="5" spans="1:9" x14ac:dyDescent="0.35">
      <c r="A5">
        <f>A4+1</f>
        <v>2</v>
      </c>
      <c r="B5">
        <v>5</v>
      </c>
      <c r="D5" s="51" t="s">
        <v>10</v>
      </c>
      <c r="E5" s="119">
        <v>0.65620679490174505</v>
      </c>
    </row>
    <row r="6" spans="1:9" ht="15" thickBot="1" x14ac:dyDescent="0.4">
      <c r="A6">
        <f t="shared" ref="A6:A18" si="0">A5+1</f>
        <v>3</v>
      </c>
      <c r="B6">
        <v>9</v>
      </c>
    </row>
    <row r="7" spans="1:9" ht="15" thickTop="1" x14ac:dyDescent="0.35">
      <c r="A7">
        <f t="shared" si="0"/>
        <v>4</v>
      </c>
      <c r="B7">
        <v>20</v>
      </c>
      <c r="D7" s="45" t="str">
        <f>A3</f>
        <v>t</v>
      </c>
      <c r="E7" s="45" t="str">
        <f>B3</f>
        <v>y</v>
      </c>
      <c r="F7" s="45" t="s">
        <v>179</v>
      </c>
      <c r="G7" s="45" t="s">
        <v>81</v>
      </c>
      <c r="H7" s="45" t="s">
        <v>127</v>
      </c>
      <c r="I7" s="45" t="s">
        <v>128</v>
      </c>
    </row>
    <row r="8" spans="1:9" x14ac:dyDescent="0.35">
      <c r="A8">
        <f t="shared" si="0"/>
        <v>5</v>
      </c>
      <c r="B8">
        <v>12</v>
      </c>
      <c r="D8" s="137">
        <f>A4</f>
        <v>1</v>
      </c>
      <c r="E8" s="137">
        <f>B4</f>
        <v>3</v>
      </c>
      <c r="F8">
        <f>E8</f>
        <v>3</v>
      </c>
    </row>
    <row r="9" spans="1:9" x14ac:dyDescent="0.35">
      <c r="A9">
        <f t="shared" si="0"/>
        <v>6</v>
      </c>
      <c r="B9">
        <v>17</v>
      </c>
      <c r="D9" s="137">
        <f t="shared" ref="D9:E22" si="1">A5</f>
        <v>2</v>
      </c>
      <c r="E9" s="137">
        <f t="shared" si="1"/>
        <v>5</v>
      </c>
      <c r="F9">
        <f>F8+$E$5*(E8-F8)</f>
        <v>3</v>
      </c>
    </row>
    <row r="10" spans="1:9" x14ac:dyDescent="0.35">
      <c r="A10">
        <f t="shared" si="0"/>
        <v>7</v>
      </c>
      <c r="B10">
        <v>22</v>
      </c>
      <c r="D10" s="137">
        <f t="shared" si="1"/>
        <v>3</v>
      </c>
      <c r="E10" s="137">
        <f t="shared" si="1"/>
        <v>9</v>
      </c>
      <c r="F10">
        <f t="shared" ref="F10:F23" si="2">F9+$E$5*(E9-F9)</f>
        <v>4.3124135898034899</v>
      </c>
      <c r="G10">
        <f>SQRT(SUMXMY2(E$9:E9,F$9:F9)/COUNT(F$9:F9))</f>
        <v>2</v>
      </c>
      <c r="H10">
        <f>F10-G10*_xlfn.NORM.S.INV(1-I$3/2)</f>
        <v>0.39248562072338267</v>
      </c>
      <c r="I10">
        <f>F10+G10*_xlfn.NORM.S.INV(1-I$3/2)</f>
        <v>8.2323415588835971</v>
      </c>
    </row>
    <row r="11" spans="1:9" x14ac:dyDescent="0.35">
      <c r="A11">
        <f t="shared" si="0"/>
        <v>8</v>
      </c>
      <c r="B11">
        <v>23</v>
      </c>
      <c r="D11" s="137">
        <f t="shared" si="1"/>
        <v>4</v>
      </c>
      <c r="E11" s="137">
        <f t="shared" si="1"/>
        <v>20</v>
      </c>
      <c r="F11">
        <f t="shared" si="2"/>
        <v>7.3884396438635189</v>
      </c>
      <c r="G11">
        <f>SQRT(SUMXMY2(E$9:E10,F$9:F10)/COUNT(F$9:F10))</f>
        <v>3.6037110284440819</v>
      </c>
      <c r="H11">
        <f t="shared" ref="H11:H23" si="3">F11-G11*_xlfn.NORM.S.INV(1-I$3/2)</f>
        <v>0.32529581742332159</v>
      </c>
      <c r="I11">
        <f t="shared" ref="I11:I23" si="4">F11+G11*_xlfn.NORM.S.INV(1-I$3/2)</f>
        <v>14.451583470303717</v>
      </c>
    </row>
    <row r="12" spans="1:9" x14ac:dyDescent="0.35">
      <c r="A12">
        <f t="shared" si="0"/>
        <v>9</v>
      </c>
      <c r="B12">
        <v>51</v>
      </c>
      <c r="D12" s="137">
        <f t="shared" si="1"/>
        <v>5</v>
      </c>
      <c r="E12" s="137">
        <f t="shared" si="1"/>
        <v>12</v>
      </c>
      <c r="F12">
        <f t="shared" si="2"/>
        <v>15.664231243873749</v>
      </c>
      <c r="G12">
        <f>SQRT(SUMXMY2(E$9:E11,F$9:F11)/COUNT(F$9:F11))</f>
        <v>7.853341559903706</v>
      </c>
      <c r="H12">
        <f t="shared" si="3"/>
        <v>0.27196462817088118</v>
      </c>
      <c r="I12">
        <f t="shared" si="4"/>
        <v>31.056497859576616</v>
      </c>
    </row>
    <row r="13" spans="1:9" x14ac:dyDescent="0.35">
      <c r="A13">
        <f t="shared" si="0"/>
        <v>10</v>
      </c>
      <c r="B13">
        <v>41</v>
      </c>
      <c r="D13" s="137">
        <f t="shared" si="1"/>
        <v>6</v>
      </c>
      <c r="E13" s="137">
        <f t="shared" si="1"/>
        <v>17</v>
      </c>
      <c r="F13">
        <f t="shared" si="2"/>
        <v>13.259737803552522</v>
      </c>
      <c r="G13">
        <f>SQRT(SUMXMY2(E$9:E12,F$9:F12)/COUNT(F$9:F12))</f>
        <v>7.0436409544019369</v>
      </c>
      <c r="H13">
        <f t="shared" si="3"/>
        <v>-0.54554478710660526</v>
      </c>
      <c r="I13">
        <f t="shared" si="4"/>
        <v>27.065020394211651</v>
      </c>
    </row>
    <row r="14" spans="1:9" x14ac:dyDescent="0.35">
      <c r="A14">
        <f t="shared" si="0"/>
        <v>11</v>
      </c>
      <c r="B14">
        <v>56</v>
      </c>
      <c r="D14" s="137">
        <f t="shared" si="1"/>
        <v>7</v>
      </c>
      <c r="E14" s="137">
        <f t="shared" si="1"/>
        <v>22</v>
      </c>
      <c r="F14">
        <f t="shared" si="2"/>
        <v>15.714123271575483</v>
      </c>
      <c r="G14">
        <f>SQRT(SUMXMY2(E$9:E13,F$9:F13)/COUNT(F$9:F13))</f>
        <v>6.5182984417144789</v>
      </c>
      <c r="H14">
        <f t="shared" si="3"/>
        <v>2.938493085331551</v>
      </c>
      <c r="I14">
        <f t="shared" si="4"/>
        <v>28.489753457819415</v>
      </c>
    </row>
    <row r="15" spans="1:9" x14ac:dyDescent="0.35">
      <c r="A15">
        <f t="shared" si="0"/>
        <v>12</v>
      </c>
      <c r="B15">
        <v>75</v>
      </c>
      <c r="D15" s="137">
        <f t="shared" si="1"/>
        <v>8</v>
      </c>
      <c r="E15" s="137">
        <f t="shared" si="1"/>
        <v>23</v>
      </c>
      <c r="F15">
        <f t="shared" si="2"/>
        <v>19.838958292682403</v>
      </c>
      <c r="G15">
        <f>SQRT(SUMXMY2(E$9:E14,F$9:F14)/COUNT(F$9:F14))</f>
        <v>6.4801404192763696</v>
      </c>
      <c r="H15">
        <f t="shared" si="3"/>
        <v>7.1381164561384356</v>
      </c>
      <c r="I15">
        <f t="shared" si="4"/>
        <v>32.539800129226371</v>
      </c>
    </row>
    <row r="16" spans="1:9" x14ac:dyDescent="0.35">
      <c r="A16">
        <f t="shared" si="0"/>
        <v>13</v>
      </c>
      <c r="B16">
        <v>60</v>
      </c>
      <c r="D16" s="137">
        <f t="shared" si="1"/>
        <v>9</v>
      </c>
      <c r="E16" s="137">
        <f t="shared" si="1"/>
        <v>51</v>
      </c>
      <c r="F16">
        <f t="shared" si="2"/>
        <v>21.913255339992023</v>
      </c>
      <c r="G16">
        <f>SQRT(SUMXMY2(E$9:E15,F$9:F15)/COUNT(F$9:F15))</f>
        <v>6.1172531627081179</v>
      </c>
      <c r="H16">
        <f t="shared" si="3"/>
        <v>9.9236594567703751</v>
      </c>
      <c r="I16">
        <f t="shared" si="4"/>
        <v>33.902851223213673</v>
      </c>
    </row>
    <row r="17" spans="1:9" x14ac:dyDescent="0.35">
      <c r="A17">
        <f t="shared" si="0"/>
        <v>14</v>
      </c>
      <c r="B17">
        <v>75</v>
      </c>
      <c r="D17" s="137">
        <f t="shared" si="1"/>
        <v>10</v>
      </c>
      <c r="E17" s="137">
        <f t="shared" si="1"/>
        <v>41</v>
      </c>
      <c r="F17">
        <f t="shared" si="2"/>
        <v>41.000174827461308</v>
      </c>
      <c r="G17">
        <f>SQRT(SUMXMY2(E$9:E16,F$9:F16)/COUNT(F$9:F16))</f>
        <v>11.768518485312519</v>
      </c>
      <c r="H17">
        <f t="shared" si="3"/>
        <v>17.934302444854907</v>
      </c>
      <c r="I17">
        <f t="shared" si="4"/>
        <v>64.066047210067708</v>
      </c>
    </row>
    <row r="18" spans="1:9" x14ac:dyDescent="0.35">
      <c r="A18" s="4">
        <f t="shared" si="0"/>
        <v>15</v>
      </c>
      <c r="B18" s="4">
        <v>88</v>
      </c>
      <c r="D18" s="137">
        <f t="shared" si="1"/>
        <v>11</v>
      </c>
      <c r="E18" s="137">
        <f t="shared" si="1"/>
        <v>56</v>
      </c>
      <c r="F18">
        <f t="shared" si="2"/>
        <v>41.000060104493265</v>
      </c>
      <c r="G18">
        <f>SQRT(SUMXMY2(E$9:E17,F$9:F17)/COUNT(F$9:F17))</f>
        <v>11.095465634131331</v>
      </c>
      <c r="H18">
        <f t="shared" si="3"/>
        <v>19.253347069893987</v>
      </c>
      <c r="I18">
        <f t="shared" si="4"/>
        <v>62.746773139092539</v>
      </c>
    </row>
    <row r="19" spans="1:9" x14ac:dyDescent="0.35">
      <c r="D19" s="137">
        <f t="shared" si="1"/>
        <v>12</v>
      </c>
      <c r="E19" s="137">
        <f t="shared" si="1"/>
        <v>75</v>
      </c>
      <c r="F19">
        <f t="shared" si="2"/>
        <v>50.843122587042558</v>
      </c>
      <c r="G19">
        <f>SQRT(SUMXMY2(E$9:E18,F$9:F18)/COUNT(F$9:F18))</f>
        <v>11.545485765495185</v>
      </c>
      <c r="H19">
        <f t="shared" si="3"/>
        <v>28.214386302652144</v>
      </c>
      <c r="I19">
        <f t="shared" si="4"/>
        <v>73.471858871432971</v>
      </c>
    </row>
    <row r="20" spans="1:9" x14ac:dyDescent="0.35">
      <c r="D20" s="137">
        <f t="shared" si="1"/>
        <v>13</v>
      </c>
      <c r="E20" s="137">
        <f t="shared" si="1"/>
        <v>60</v>
      </c>
      <c r="F20">
        <f t="shared" si="2"/>
        <v>66.695029689033717</v>
      </c>
      <c r="G20">
        <f>SQRT(SUMXMY2(E$9:E19,F$9:F19)/COUNT(F$9:F19))</f>
        <v>13.199645800885486</v>
      </c>
      <c r="H20">
        <f t="shared" si="3"/>
        <v>40.824199310612812</v>
      </c>
      <c r="I20">
        <f t="shared" si="4"/>
        <v>92.565860067454622</v>
      </c>
    </row>
    <row r="21" spans="1:9" x14ac:dyDescent="0.35">
      <c r="D21" s="137">
        <f t="shared" si="1"/>
        <v>14</v>
      </c>
      <c r="E21" s="137">
        <f t="shared" si="1"/>
        <v>75</v>
      </c>
      <c r="F21">
        <f t="shared" si="2"/>
        <v>62.301705715020873</v>
      </c>
      <c r="G21">
        <f>SQRT(SUMXMY2(E$9:E20,F$9:F20)/COUNT(F$9:F20))</f>
        <v>12.784628023835941</v>
      </c>
      <c r="H21">
        <f t="shared" si="3"/>
        <v>37.244295232560951</v>
      </c>
      <c r="I21">
        <f t="shared" si="4"/>
        <v>87.359116197480802</v>
      </c>
    </row>
    <row r="22" spans="1:9" x14ac:dyDescent="0.35">
      <c r="D22" s="10">
        <f t="shared" si="1"/>
        <v>15</v>
      </c>
      <c r="E22" s="10">
        <f t="shared" si="1"/>
        <v>88</v>
      </c>
      <c r="F22" s="4">
        <f t="shared" si="2"/>
        <v>70.634412708486167</v>
      </c>
      <c r="G22" s="4">
        <f>SQRT(SUMXMY2(E$9:E21,F$9:F21)/COUNT(F$9:F21))</f>
        <v>12.778007676178357</v>
      </c>
      <c r="H22" s="4">
        <f t="shared" si="3"/>
        <v>45.589977869000244</v>
      </c>
      <c r="I22" s="4">
        <f t="shared" si="4"/>
        <v>95.678847547972083</v>
      </c>
    </row>
    <row r="23" spans="1:9" x14ac:dyDescent="0.35">
      <c r="D23" s="137" t="s">
        <v>180</v>
      </c>
      <c r="F23">
        <f t="shared" si="2"/>
        <v>82.029829086636937</v>
      </c>
      <c r="G23">
        <f>SQRT(SUMXMY2(E$9:E22,F$9:F22)/COUNT(F$9:F22))</f>
        <v>13.158839680233793</v>
      </c>
      <c r="H23">
        <f t="shared" si="3"/>
        <v>56.238977235042142</v>
      </c>
      <c r="I23">
        <f t="shared" si="4"/>
        <v>107.82068093823173</v>
      </c>
    </row>
    <row r="25" spans="1:9" x14ac:dyDescent="0.35">
      <c r="E25" s="265" t="s">
        <v>12</v>
      </c>
      <c r="F25" s="265" t="s">
        <v>4</v>
      </c>
      <c r="G25" s="265" t="s">
        <v>611</v>
      </c>
    </row>
    <row r="26" spans="1:9" x14ac:dyDescent="0.35">
      <c r="E26" s="231">
        <f>SUMPRODUCT(ABS(E9:E22-F9:F22))/COUNT(F9:F22)</f>
        <v>10.08237190741832</v>
      </c>
      <c r="F26" s="50">
        <f>SUMXMY2(E9:E22,F9:F22)/COUNT(F9:F22)</f>
        <v>173.15506173009541</v>
      </c>
      <c r="G26" s="47">
        <f>SUMPRODUCT(ABS(1-F9:F22/E9:E22))/COUNT(F9:F22)</f>
        <v>0.29560416012041835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A1:S23"/>
  <sheetViews>
    <sheetView workbookViewId="0">
      <selection activeCell="A3" sqref="A3:B18"/>
    </sheetView>
  </sheetViews>
  <sheetFormatPr defaultRowHeight="14.5" x14ac:dyDescent="0.35"/>
  <sheetData>
    <row r="1" spans="1:19" x14ac:dyDescent="0.35">
      <c r="A1" s="7" t="s">
        <v>281</v>
      </c>
    </row>
    <row r="3" spans="1:19" x14ac:dyDescent="0.35">
      <c r="A3" s="8" t="s">
        <v>3</v>
      </c>
      <c r="B3" s="8" t="s">
        <v>1</v>
      </c>
      <c r="C3" s="8" t="s">
        <v>17</v>
      </c>
      <c r="D3" s="8" t="s">
        <v>18</v>
      </c>
      <c r="E3" s="8" t="s">
        <v>138</v>
      </c>
      <c r="F3" s="9" t="s">
        <v>6</v>
      </c>
      <c r="G3" s="9" t="s">
        <v>5</v>
      </c>
      <c r="Q3" s="8" t="s">
        <v>3</v>
      </c>
      <c r="R3" s="8" t="s">
        <v>1</v>
      </c>
      <c r="S3" s="8" t="s">
        <v>138</v>
      </c>
    </row>
    <row r="4" spans="1:19" x14ac:dyDescent="0.35">
      <c r="A4" s="3">
        <v>1</v>
      </c>
      <c r="B4" s="3">
        <v>3</v>
      </c>
      <c r="C4" s="1">
        <f>B4</f>
        <v>3</v>
      </c>
      <c r="D4" s="1">
        <v>0</v>
      </c>
      <c r="Q4" s="42">
        <v>1</v>
      </c>
      <c r="R4" s="42">
        <v>3</v>
      </c>
    </row>
    <row r="5" spans="1:19" x14ac:dyDescent="0.35">
      <c r="A5" s="3">
        <f>A4+1</f>
        <v>2</v>
      </c>
      <c r="B5" s="3">
        <v>5</v>
      </c>
      <c r="C5" s="1">
        <f>B$21*B5+(1-B$21)*(C4+D4)</f>
        <v>3.8</v>
      </c>
      <c r="D5" s="1">
        <f>C$21*(C5-C4)+(1-C$21)*D4</f>
        <v>0.55999999999999983</v>
      </c>
      <c r="E5">
        <f>C4+D4</f>
        <v>3</v>
      </c>
      <c r="F5">
        <f t="shared" ref="F5:F18" si="0">ABS(B5-E5)</f>
        <v>2</v>
      </c>
      <c r="G5">
        <f t="shared" ref="G5:G18" si="1">(B5-E5)^2</f>
        <v>4</v>
      </c>
      <c r="Q5" s="42">
        <f>Q4+1</f>
        <v>2</v>
      </c>
      <c r="R5" s="42">
        <v>5</v>
      </c>
      <c r="S5">
        <f>E5</f>
        <v>3</v>
      </c>
    </row>
    <row r="6" spans="1:19" x14ac:dyDescent="0.35">
      <c r="A6" s="3">
        <f t="shared" ref="A6:A18" si="2">A5+1</f>
        <v>3</v>
      </c>
      <c r="B6" s="3">
        <v>9</v>
      </c>
      <c r="C6" s="1">
        <f t="shared" ref="C6:C18" si="3">B$21*B6+(1-B$21)*(C5+D5)</f>
        <v>6.2159999999999993</v>
      </c>
      <c r="D6" s="1">
        <f t="shared" ref="D6:D18" si="4">C$21*(C6-C5)+(1-C$21)*D5</f>
        <v>1.8591999999999995</v>
      </c>
      <c r="E6">
        <f t="shared" ref="E6:E18" si="5">C5+D5</f>
        <v>4.3599999999999994</v>
      </c>
      <c r="F6">
        <f t="shared" si="0"/>
        <v>4.6400000000000006</v>
      </c>
      <c r="G6">
        <f t="shared" si="1"/>
        <v>21.529600000000006</v>
      </c>
      <c r="Q6" s="42">
        <f t="shared" ref="Q6:Q23" si="6">Q5+1</f>
        <v>3</v>
      </c>
      <c r="R6" s="42">
        <v>9</v>
      </c>
      <c r="S6">
        <f t="shared" ref="S6:S18" si="7">E6</f>
        <v>4.3599999999999994</v>
      </c>
    </row>
    <row r="7" spans="1:19" x14ac:dyDescent="0.35">
      <c r="A7" s="3">
        <f t="shared" si="2"/>
        <v>4</v>
      </c>
      <c r="B7" s="3">
        <v>20</v>
      </c>
      <c r="C7" s="1">
        <f t="shared" si="3"/>
        <v>12.845119999999998</v>
      </c>
      <c r="D7" s="1">
        <f t="shared" si="4"/>
        <v>5.1981439999999983</v>
      </c>
      <c r="E7">
        <f t="shared" si="5"/>
        <v>8.0751999999999988</v>
      </c>
      <c r="F7">
        <f t="shared" si="0"/>
        <v>11.924800000000001</v>
      </c>
      <c r="G7">
        <f t="shared" si="1"/>
        <v>142.20085504000002</v>
      </c>
      <c r="Q7" s="42">
        <f t="shared" si="6"/>
        <v>4</v>
      </c>
      <c r="R7" s="42">
        <v>20</v>
      </c>
      <c r="S7">
        <f t="shared" si="7"/>
        <v>8.0751999999999988</v>
      </c>
    </row>
    <row r="8" spans="1:19" x14ac:dyDescent="0.35">
      <c r="A8" s="3">
        <f t="shared" si="2"/>
        <v>5</v>
      </c>
      <c r="B8" s="3">
        <v>12</v>
      </c>
      <c r="C8" s="1">
        <f t="shared" si="3"/>
        <v>15.625958399999998</v>
      </c>
      <c r="D8" s="1">
        <f t="shared" si="4"/>
        <v>3.5060300799999999</v>
      </c>
      <c r="E8">
        <f t="shared" si="5"/>
        <v>18.043263999999997</v>
      </c>
      <c r="F8">
        <f t="shared" si="0"/>
        <v>6.0432639999999971</v>
      </c>
      <c r="G8">
        <f t="shared" si="1"/>
        <v>36.521039773695968</v>
      </c>
      <c r="Q8" s="42">
        <f t="shared" si="6"/>
        <v>5</v>
      </c>
      <c r="R8" s="42">
        <v>12</v>
      </c>
      <c r="S8">
        <f t="shared" si="7"/>
        <v>18.043263999999997</v>
      </c>
    </row>
    <row r="9" spans="1:19" x14ac:dyDescent="0.35">
      <c r="A9" s="3">
        <f t="shared" si="2"/>
        <v>6</v>
      </c>
      <c r="B9" s="3">
        <v>17</v>
      </c>
      <c r="C9" s="1">
        <f t="shared" si="3"/>
        <v>18.279193088</v>
      </c>
      <c r="D9" s="1">
        <f t="shared" si="4"/>
        <v>2.9090733056000007</v>
      </c>
      <c r="E9">
        <f t="shared" si="5"/>
        <v>19.131988479999997</v>
      </c>
      <c r="F9">
        <f t="shared" si="0"/>
        <v>2.1319884799999969</v>
      </c>
      <c r="G9">
        <f t="shared" si="1"/>
        <v>4.5453748788526971</v>
      </c>
      <c r="Q9" s="42">
        <f t="shared" si="6"/>
        <v>6</v>
      </c>
      <c r="R9" s="42">
        <v>17</v>
      </c>
      <c r="S9">
        <f t="shared" si="7"/>
        <v>19.131988479999997</v>
      </c>
    </row>
    <row r="10" spans="1:19" x14ac:dyDescent="0.35">
      <c r="A10" s="3">
        <f t="shared" si="2"/>
        <v>7</v>
      </c>
      <c r="B10" s="3">
        <v>22</v>
      </c>
      <c r="C10" s="1">
        <f t="shared" si="3"/>
        <v>21.51295983616</v>
      </c>
      <c r="D10" s="1">
        <f t="shared" si="4"/>
        <v>3.1363587153920007</v>
      </c>
      <c r="E10">
        <f t="shared" si="5"/>
        <v>21.188266393599999</v>
      </c>
      <c r="F10">
        <f t="shared" si="0"/>
        <v>0.8117336064000007</v>
      </c>
      <c r="G10">
        <f t="shared" si="1"/>
        <v>0.65891144775915123</v>
      </c>
      <c r="Q10" s="42">
        <f t="shared" si="6"/>
        <v>7</v>
      </c>
      <c r="R10" s="42">
        <v>22</v>
      </c>
      <c r="S10">
        <f t="shared" si="7"/>
        <v>21.188266393599999</v>
      </c>
    </row>
    <row r="11" spans="1:19" x14ac:dyDescent="0.35">
      <c r="A11" s="3">
        <f t="shared" si="2"/>
        <v>8</v>
      </c>
      <c r="B11" s="3">
        <v>23</v>
      </c>
      <c r="C11" s="1">
        <f t="shared" si="3"/>
        <v>23.989591130931203</v>
      </c>
      <c r="D11" s="1">
        <f t="shared" si="4"/>
        <v>2.6745495209574419</v>
      </c>
      <c r="E11">
        <f t="shared" si="5"/>
        <v>24.649318551552</v>
      </c>
      <c r="F11">
        <f t="shared" si="0"/>
        <v>1.6493185515519997</v>
      </c>
      <c r="G11">
        <f t="shared" si="1"/>
        <v>2.7202516844935865</v>
      </c>
      <c r="Q11" s="42">
        <f t="shared" si="6"/>
        <v>8</v>
      </c>
      <c r="R11" s="42">
        <v>23</v>
      </c>
      <c r="S11">
        <f t="shared" si="7"/>
        <v>24.649318551552</v>
      </c>
    </row>
    <row r="12" spans="1:19" x14ac:dyDescent="0.35">
      <c r="A12" s="3">
        <f t="shared" si="2"/>
        <v>9</v>
      </c>
      <c r="B12" s="3">
        <v>51</v>
      </c>
      <c r="C12" s="1">
        <f t="shared" si="3"/>
        <v>36.398484391133188</v>
      </c>
      <c r="D12" s="1">
        <f t="shared" si="4"/>
        <v>9.4885901384286218</v>
      </c>
      <c r="E12">
        <f t="shared" si="5"/>
        <v>26.664140651888644</v>
      </c>
      <c r="F12">
        <f t="shared" si="0"/>
        <v>24.335859348111356</v>
      </c>
      <c r="G12">
        <f t="shared" si="1"/>
        <v>592.23405021105884</v>
      </c>
      <c r="Q12" s="42">
        <f t="shared" si="6"/>
        <v>9</v>
      </c>
      <c r="R12" s="42">
        <v>51</v>
      </c>
      <c r="S12">
        <f t="shared" si="7"/>
        <v>26.664140651888644</v>
      </c>
    </row>
    <row r="13" spans="1:19" x14ac:dyDescent="0.35">
      <c r="A13" s="3">
        <f t="shared" si="2"/>
        <v>10</v>
      </c>
      <c r="B13" s="3">
        <v>41</v>
      </c>
      <c r="C13" s="1">
        <f t="shared" si="3"/>
        <v>43.932244717737085</v>
      </c>
      <c r="D13" s="1">
        <f t="shared" si="4"/>
        <v>8.1202092701513138</v>
      </c>
      <c r="E13">
        <f t="shared" si="5"/>
        <v>45.887074529561808</v>
      </c>
      <c r="F13">
        <f t="shared" si="0"/>
        <v>4.8870745295618079</v>
      </c>
      <c r="G13">
        <f t="shared" si="1"/>
        <v>23.883497457491767</v>
      </c>
      <c r="Q13" s="42">
        <f t="shared" si="6"/>
        <v>10</v>
      </c>
      <c r="R13" s="42">
        <v>41</v>
      </c>
      <c r="S13">
        <f t="shared" si="7"/>
        <v>45.887074529561808</v>
      </c>
    </row>
    <row r="14" spans="1:19" x14ac:dyDescent="0.35">
      <c r="A14" s="3">
        <f t="shared" si="2"/>
        <v>11</v>
      </c>
      <c r="B14" s="3">
        <v>56</v>
      </c>
      <c r="C14" s="1">
        <f t="shared" si="3"/>
        <v>53.631472392733045</v>
      </c>
      <c r="D14" s="1">
        <f t="shared" si="4"/>
        <v>9.2255221535425669</v>
      </c>
      <c r="E14">
        <f t="shared" si="5"/>
        <v>52.052453987888399</v>
      </c>
      <c r="F14">
        <f t="shared" si="0"/>
        <v>3.9475460121116015</v>
      </c>
      <c r="G14">
        <f t="shared" si="1"/>
        <v>15.583119517738208</v>
      </c>
      <c r="Q14" s="42">
        <f t="shared" si="6"/>
        <v>11</v>
      </c>
      <c r="R14" s="42">
        <v>56</v>
      </c>
      <c r="S14">
        <f t="shared" si="7"/>
        <v>52.052453987888399</v>
      </c>
    </row>
    <row r="15" spans="1:19" x14ac:dyDescent="0.35">
      <c r="A15" s="3">
        <f t="shared" si="2"/>
        <v>12</v>
      </c>
      <c r="B15" s="3">
        <v>75</v>
      </c>
      <c r="C15" s="1">
        <f t="shared" si="3"/>
        <v>67.714196727765369</v>
      </c>
      <c r="D15" s="1">
        <f t="shared" si="4"/>
        <v>12.625563680585396</v>
      </c>
      <c r="E15">
        <f t="shared" si="5"/>
        <v>62.856994546275615</v>
      </c>
      <c r="F15">
        <f t="shared" si="0"/>
        <v>12.143005453724385</v>
      </c>
      <c r="G15">
        <f t="shared" si="1"/>
        <v>147.45258144918014</v>
      </c>
      <c r="Q15" s="42">
        <f t="shared" si="6"/>
        <v>12</v>
      </c>
      <c r="R15" s="42">
        <v>75</v>
      </c>
      <c r="S15">
        <f t="shared" si="7"/>
        <v>62.856994546275615</v>
      </c>
    </row>
    <row r="16" spans="1:19" x14ac:dyDescent="0.35">
      <c r="A16" s="3">
        <f t="shared" si="2"/>
        <v>13</v>
      </c>
      <c r="B16" s="3">
        <v>60</v>
      </c>
      <c r="C16" s="1">
        <f t="shared" si="3"/>
        <v>72.203856245010456</v>
      </c>
      <c r="D16" s="1">
        <f t="shared" si="4"/>
        <v>6.9304307662471807</v>
      </c>
      <c r="E16">
        <f t="shared" si="5"/>
        <v>80.33976040835077</v>
      </c>
      <c r="F16">
        <f t="shared" si="0"/>
        <v>20.33976040835077</v>
      </c>
      <c r="G16">
        <f t="shared" si="1"/>
        <v>413.70585346911349</v>
      </c>
      <c r="Q16" s="42">
        <f t="shared" si="6"/>
        <v>13</v>
      </c>
      <c r="R16" s="42">
        <v>60</v>
      </c>
      <c r="S16">
        <f t="shared" si="7"/>
        <v>80.33976040835077</v>
      </c>
    </row>
    <row r="17" spans="1:19" x14ac:dyDescent="0.35">
      <c r="A17" s="3">
        <f t="shared" si="2"/>
        <v>14</v>
      </c>
      <c r="B17" s="3">
        <v>75</v>
      </c>
      <c r="C17" s="1">
        <f t="shared" si="3"/>
        <v>77.480572206754573</v>
      </c>
      <c r="D17" s="1">
        <f t="shared" si="4"/>
        <v>5.7728304030950355</v>
      </c>
      <c r="E17">
        <f t="shared" si="5"/>
        <v>79.134287011257641</v>
      </c>
      <c r="F17">
        <f t="shared" si="0"/>
        <v>4.1342870112576406</v>
      </c>
      <c r="G17">
        <f t="shared" si="1"/>
        <v>17.092329091453635</v>
      </c>
      <c r="Q17" s="42">
        <f t="shared" si="6"/>
        <v>14</v>
      </c>
      <c r="R17" s="42">
        <v>75</v>
      </c>
      <c r="S17">
        <f t="shared" si="7"/>
        <v>79.134287011257641</v>
      </c>
    </row>
    <row r="18" spans="1:19" x14ac:dyDescent="0.35">
      <c r="A18" s="10">
        <f t="shared" si="2"/>
        <v>15</v>
      </c>
      <c r="B18" s="10">
        <v>88</v>
      </c>
      <c r="C18" s="2">
        <f t="shared" si="3"/>
        <v>85.152041565909769</v>
      </c>
      <c r="D18" s="2">
        <f t="shared" si="4"/>
        <v>7.1018776723371486</v>
      </c>
      <c r="E18" s="4">
        <f t="shared" si="5"/>
        <v>83.253402609849616</v>
      </c>
      <c r="F18" s="4">
        <f t="shared" si="0"/>
        <v>4.7465973901503844</v>
      </c>
      <c r="G18" s="4">
        <f t="shared" si="1"/>
        <v>22.53018678418244</v>
      </c>
      <c r="Q18" s="10">
        <f t="shared" si="6"/>
        <v>15</v>
      </c>
      <c r="R18" s="10">
        <v>88</v>
      </c>
      <c r="S18" s="4">
        <f t="shared" si="7"/>
        <v>83.253402609849616</v>
      </c>
    </row>
    <row r="19" spans="1:19" x14ac:dyDescent="0.35">
      <c r="E19" s="13"/>
      <c r="Q19" s="17">
        <f t="shared" si="6"/>
        <v>16</v>
      </c>
      <c r="R19" s="13"/>
      <c r="S19">
        <f>C$18+(Q19-Q$18)*D$18</f>
        <v>92.253919238246922</v>
      </c>
    </row>
    <row r="20" spans="1:19" x14ac:dyDescent="0.35">
      <c r="B20" s="11" t="s">
        <v>10</v>
      </c>
      <c r="C20" s="17" t="s">
        <v>16</v>
      </c>
      <c r="D20" s="13"/>
      <c r="E20" s="3" t="s">
        <v>12</v>
      </c>
      <c r="F20" s="3" t="s">
        <v>4</v>
      </c>
      <c r="G20" s="3" t="s">
        <v>13</v>
      </c>
      <c r="Q20" s="17">
        <f t="shared" si="6"/>
        <v>17</v>
      </c>
      <c r="R20" s="13"/>
      <c r="S20">
        <f>C$18+(Q20-Q$18)*D$18</f>
        <v>99.355796910584061</v>
      </c>
    </row>
    <row r="21" spans="1:19" x14ac:dyDescent="0.35">
      <c r="B21" s="16">
        <v>0.4</v>
      </c>
      <c r="C21" s="18">
        <v>0.7</v>
      </c>
      <c r="E21" s="5">
        <f>AVERAGE(F4:F18)</f>
        <v>7.409659627944281</v>
      </c>
      <c r="F21" s="15">
        <f>AVERAGE(G4:G18)</f>
        <v>103.18983220035855</v>
      </c>
      <c r="G21" s="6">
        <f>SQRT(F21)</f>
        <v>10.158239621133109</v>
      </c>
      <c r="Q21" s="17">
        <f t="shared" si="6"/>
        <v>18</v>
      </c>
      <c r="R21" s="13"/>
      <c r="S21">
        <f>C$18+(Q21-Q$18)*D$18</f>
        <v>106.45767458292121</v>
      </c>
    </row>
    <row r="22" spans="1:19" x14ac:dyDescent="0.35">
      <c r="Q22" s="17">
        <f t="shared" si="6"/>
        <v>19</v>
      </c>
      <c r="R22" s="13"/>
      <c r="S22">
        <f>C$18+(Q22-Q$18)*D$18</f>
        <v>113.55955225525837</v>
      </c>
    </row>
    <row r="23" spans="1:19" x14ac:dyDescent="0.35">
      <c r="Q23" s="10">
        <f t="shared" si="6"/>
        <v>20</v>
      </c>
      <c r="R23" s="4"/>
      <c r="S23" s="4">
        <f>C$18+(Q23-Q$18)*D$18</f>
        <v>120.66142992759552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S23"/>
  <sheetViews>
    <sheetView workbookViewId="0"/>
  </sheetViews>
  <sheetFormatPr defaultRowHeight="14.5" x14ac:dyDescent="0.35"/>
  <cols>
    <col min="1" max="1" width="5.81640625" customWidth="1"/>
  </cols>
  <sheetData>
    <row r="1" spans="1:19" x14ac:dyDescent="0.35">
      <c r="A1" s="7" t="s">
        <v>476</v>
      </c>
    </row>
    <row r="3" spans="1:19" x14ac:dyDescent="0.35">
      <c r="A3" s="8" t="s">
        <v>3</v>
      </c>
      <c r="B3" s="8" t="s">
        <v>1</v>
      </c>
      <c r="C3" s="8" t="s">
        <v>17</v>
      </c>
      <c r="D3" s="8" t="s">
        <v>18</v>
      </c>
      <c r="E3" s="8" t="s">
        <v>138</v>
      </c>
      <c r="F3" s="9" t="s">
        <v>6</v>
      </c>
      <c r="G3" s="9" t="s">
        <v>5</v>
      </c>
      <c r="Q3" s="8" t="s">
        <v>3</v>
      </c>
      <c r="R3" s="8" t="s">
        <v>1</v>
      </c>
      <c r="S3" s="8" t="s">
        <v>138</v>
      </c>
    </row>
    <row r="4" spans="1:19" x14ac:dyDescent="0.35">
      <c r="A4" s="3">
        <v>1</v>
      </c>
      <c r="B4" s="3">
        <v>3</v>
      </c>
      <c r="C4" s="1">
        <f>B4</f>
        <v>3</v>
      </c>
      <c r="D4" s="1">
        <v>0</v>
      </c>
      <c r="Q4" s="3">
        <v>1</v>
      </c>
      <c r="R4" s="3">
        <v>3</v>
      </c>
    </row>
    <row r="5" spans="1:19" x14ac:dyDescent="0.35">
      <c r="A5" s="3">
        <f>A4+1</f>
        <v>2</v>
      </c>
      <c r="B5" s="3">
        <v>5</v>
      </c>
      <c r="C5" s="1">
        <f t="shared" ref="C5:C10" si="0">B$21*B5+(1-B$21)*(C4+D4)</f>
        <v>3.543634638622299</v>
      </c>
      <c r="D5" s="1">
        <f t="shared" ref="D5:D10" si="1">C$21*(C5-C4)+(1-C$21)*D4</f>
        <v>0.32518115389584801</v>
      </c>
      <c r="E5">
        <f>C4+D4</f>
        <v>3</v>
      </c>
      <c r="F5">
        <f t="shared" ref="F5:F18" si="2">ABS(B5-E5)</f>
        <v>2</v>
      </c>
      <c r="G5">
        <f t="shared" ref="G5:G18" si="3">(B5-E5)^2</f>
        <v>4</v>
      </c>
      <c r="Q5" s="3">
        <f>Q4+1</f>
        <v>2</v>
      </c>
      <c r="R5" s="3">
        <v>5</v>
      </c>
      <c r="S5">
        <f>E5</f>
        <v>3</v>
      </c>
    </row>
    <row r="6" spans="1:19" x14ac:dyDescent="0.35">
      <c r="A6" s="3">
        <f t="shared" ref="A6:A18" si="4">A5+1</f>
        <v>3</v>
      </c>
      <c r="B6" s="3">
        <v>9</v>
      </c>
      <c r="C6" s="1">
        <f t="shared" si="0"/>
        <v>5.2635605286875702</v>
      </c>
      <c r="D6" s="1">
        <f t="shared" si="1"/>
        <v>1.159463354616399</v>
      </c>
      <c r="E6">
        <f t="shared" ref="E6:E18" si="5">C5+D5</f>
        <v>3.8688157925181468</v>
      </c>
      <c r="F6">
        <f t="shared" si="2"/>
        <v>5.1311842074818532</v>
      </c>
      <c r="G6">
        <f t="shared" si="3"/>
        <v>26.329051371111174</v>
      </c>
      <c r="Q6" s="3">
        <f t="shared" ref="Q6:Q23" si="6">Q5+1</f>
        <v>3</v>
      </c>
      <c r="R6" s="3">
        <v>9</v>
      </c>
      <c r="S6">
        <f t="shared" ref="S6:S18" si="7">E6</f>
        <v>3.8688157925181468</v>
      </c>
    </row>
    <row r="7" spans="1:19" x14ac:dyDescent="0.35">
      <c r="A7" s="3">
        <f t="shared" si="4"/>
        <v>4</v>
      </c>
      <c r="B7" s="3">
        <v>20</v>
      </c>
      <c r="C7" s="1">
        <f t="shared" si="0"/>
        <v>10.113481135695787</v>
      </c>
      <c r="D7" s="1">
        <f t="shared" si="1"/>
        <v>3.3669517346381928</v>
      </c>
      <c r="E7">
        <f t="shared" si="5"/>
        <v>6.4230238833039692</v>
      </c>
      <c r="F7">
        <f t="shared" si="2"/>
        <v>13.576976116696031</v>
      </c>
      <c r="G7">
        <f t="shared" si="3"/>
        <v>184.33428047333445</v>
      </c>
      <c r="Q7" s="3">
        <f t="shared" si="6"/>
        <v>4</v>
      </c>
      <c r="R7" s="3">
        <v>20</v>
      </c>
      <c r="S7">
        <f t="shared" si="7"/>
        <v>6.4230238833039692</v>
      </c>
    </row>
    <row r="8" spans="1:19" x14ac:dyDescent="0.35">
      <c r="A8" s="3">
        <f t="shared" si="4"/>
        <v>5</v>
      </c>
      <c r="B8" s="3">
        <v>12</v>
      </c>
      <c r="C8" s="1">
        <f t="shared" si="0"/>
        <v>13.078025576099686</v>
      </c>
      <c r="D8" s="1">
        <f t="shared" si="1"/>
        <v>3.1262473001179192</v>
      </c>
      <c r="E8">
        <f t="shared" si="5"/>
        <v>13.48043287033398</v>
      </c>
      <c r="F8">
        <f t="shared" si="2"/>
        <v>1.4804328703339795</v>
      </c>
      <c r="G8">
        <f t="shared" si="3"/>
        <v>2.1916814835653056</v>
      </c>
      <c r="Q8" s="3">
        <f t="shared" si="6"/>
        <v>5</v>
      </c>
      <c r="R8" s="3">
        <v>12</v>
      </c>
      <c r="S8">
        <f t="shared" si="7"/>
        <v>13.48043287033398</v>
      </c>
    </row>
    <row r="9" spans="1:19" x14ac:dyDescent="0.35">
      <c r="A9" s="3">
        <f t="shared" si="4"/>
        <v>6</v>
      </c>
      <c r="B9" s="3">
        <v>17</v>
      </c>
      <c r="C9" s="1">
        <f t="shared" si="0"/>
        <v>16.420565289907305</v>
      </c>
      <c r="D9" s="1">
        <f t="shared" si="1"/>
        <v>3.2556250322668099</v>
      </c>
      <c r="E9">
        <f t="shared" si="5"/>
        <v>16.204272876217605</v>
      </c>
      <c r="F9">
        <f t="shared" si="2"/>
        <v>0.7957271237823953</v>
      </c>
      <c r="G9">
        <f t="shared" si="3"/>
        <v>0.63318165552300343</v>
      </c>
      <c r="Q9" s="3">
        <f t="shared" si="6"/>
        <v>6</v>
      </c>
      <c r="R9" s="3">
        <v>17</v>
      </c>
      <c r="S9">
        <f t="shared" si="7"/>
        <v>16.204272876217605</v>
      </c>
    </row>
    <row r="10" spans="1:19" x14ac:dyDescent="0.35">
      <c r="A10" s="3">
        <f t="shared" si="4"/>
        <v>7</v>
      </c>
      <c r="B10" s="3">
        <v>22</v>
      </c>
      <c r="C10" s="1">
        <f t="shared" si="0"/>
        <v>20.307842039390053</v>
      </c>
      <c r="D10" s="1">
        <f t="shared" si="1"/>
        <v>3.6334545885016896</v>
      </c>
      <c r="E10">
        <f t="shared" si="5"/>
        <v>19.676190322174115</v>
      </c>
      <c r="F10">
        <f t="shared" si="2"/>
        <v>2.323809677825885</v>
      </c>
      <c r="G10">
        <f t="shared" si="3"/>
        <v>5.4000914187572437</v>
      </c>
      <c r="Q10" s="3">
        <f t="shared" si="6"/>
        <v>7</v>
      </c>
      <c r="R10" s="3">
        <v>22</v>
      </c>
      <c r="S10">
        <f t="shared" si="7"/>
        <v>19.676190322174115</v>
      </c>
    </row>
    <row r="11" spans="1:19" x14ac:dyDescent="0.35">
      <c r="A11" s="3">
        <f t="shared" si="4"/>
        <v>8</v>
      </c>
      <c r="B11" s="3">
        <v>23</v>
      </c>
      <c r="C11" s="1">
        <f t="shared" ref="C11:C18" si="8">B$21*B11+(1-B$21)*(C10+D10)</f>
        <v>23.685435901821581</v>
      </c>
      <c r="D11" s="1">
        <f t="shared" ref="D11:D18" si="9">C$21*(C11-C10)+(1-C$21)*D10</f>
        <v>3.4804086266936336</v>
      </c>
      <c r="E11">
        <f t="shared" si="5"/>
        <v>23.941296627891742</v>
      </c>
      <c r="F11">
        <f t="shared" si="2"/>
        <v>0.94129662789174162</v>
      </c>
      <c r="G11">
        <f t="shared" si="3"/>
        <v>0.88603934168036391</v>
      </c>
      <c r="Q11" s="3">
        <f t="shared" si="6"/>
        <v>8</v>
      </c>
      <c r="R11" s="3">
        <v>23</v>
      </c>
      <c r="S11">
        <f t="shared" si="7"/>
        <v>23.941296627891742</v>
      </c>
    </row>
    <row r="12" spans="1:19" x14ac:dyDescent="0.35">
      <c r="A12" s="3">
        <f t="shared" si="4"/>
        <v>9</v>
      </c>
      <c r="B12" s="3">
        <v>51</v>
      </c>
      <c r="C12" s="1">
        <f t="shared" si="8"/>
        <v>33.644380776819375</v>
      </c>
      <c r="D12" s="1">
        <f t="shared" si="9"/>
        <v>7.3556177158688643</v>
      </c>
      <c r="E12">
        <f t="shared" si="5"/>
        <v>27.165844528515215</v>
      </c>
      <c r="F12">
        <f t="shared" si="2"/>
        <v>23.834155471484785</v>
      </c>
      <c r="G12">
        <f t="shared" si="3"/>
        <v>568.06696703890805</v>
      </c>
      <c r="Q12" s="3">
        <f t="shared" si="6"/>
        <v>9</v>
      </c>
      <c r="R12" s="3">
        <v>51</v>
      </c>
      <c r="S12">
        <f t="shared" si="7"/>
        <v>27.165844528515215</v>
      </c>
    </row>
    <row r="13" spans="1:19" x14ac:dyDescent="0.35">
      <c r="A13" s="3">
        <f t="shared" si="4"/>
        <v>10</v>
      </c>
      <c r="B13" s="3">
        <v>41</v>
      </c>
      <c r="C13" s="1">
        <f t="shared" si="8"/>
        <v>40.999998902401678</v>
      </c>
      <c r="D13" s="1">
        <f t="shared" si="9"/>
        <v>7.355617960943551</v>
      </c>
      <c r="E13">
        <f t="shared" si="5"/>
        <v>40.999998492688242</v>
      </c>
      <c r="F13">
        <f t="shared" si="2"/>
        <v>1.5073117580755024E-6</v>
      </c>
      <c r="G13">
        <f t="shared" si="3"/>
        <v>2.2719887360326619E-12</v>
      </c>
      <c r="Q13" s="3">
        <f t="shared" si="6"/>
        <v>10</v>
      </c>
      <c r="R13" s="3">
        <v>41</v>
      </c>
      <c r="S13">
        <f t="shared" si="7"/>
        <v>40.999998492688242</v>
      </c>
    </row>
    <row r="14" spans="1:19" x14ac:dyDescent="0.35">
      <c r="A14" s="3">
        <f t="shared" si="4"/>
        <v>11</v>
      </c>
      <c r="B14" s="3">
        <v>56</v>
      </c>
      <c r="C14" s="1">
        <f t="shared" si="8"/>
        <v>50.433492595338087</v>
      </c>
      <c r="D14" s="1">
        <f t="shared" si="9"/>
        <v>8.5985226255432323</v>
      </c>
      <c r="E14">
        <f t="shared" si="5"/>
        <v>48.355616863345233</v>
      </c>
      <c r="F14">
        <f t="shared" si="2"/>
        <v>7.644383136654767</v>
      </c>
      <c r="G14">
        <f t="shared" si="3"/>
        <v>58.436593539971774</v>
      </c>
      <c r="Q14" s="3">
        <f t="shared" si="6"/>
        <v>11</v>
      </c>
      <c r="R14" s="3">
        <v>56</v>
      </c>
      <c r="S14">
        <f t="shared" si="7"/>
        <v>48.355616863345233</v>
      </c>
    </row>
    <row r="15" spans="1:19" x14ac:dyDescent="0.35">
      <c r="A15" s="3">
        <f t="shared" si="4"/>
        <v>12</v>
      </c>
      <c r="B15" s="3">
        <v>75</v>
      </c>
      <c r="C15" s="1">
        <f t="shared" si="8"/>
        <v>63.372390038342594</v>
      </c>
      <c r="D15" s="1">
        <f t="shared" si="9"/>
        <v>11.194766483475806</v>
      </c>
      <c r="E15">
        <f t="shared" si="5"/>
        <v>59.03201522088132</v>
      </c>
      <c r="F15">
        <f t="shared" si="2"/>
        <v>15.96798477911868</v>
      </c>
      <c r="G15">
        <f t="shared" si="3"/>
        <v>254.97653790616585</v>
      </c>
      <c r="Q15" s="3">
        <f t="shared" si="6"/>
        <v>12</v>
      </c>
      <c r="R15" s="3">
        <v>75</v>
      </c>
      <c r="S15">
        <f t="shared" si="7"/>
        <v>59.03201522088132</v>
      </c>
    </row>
    <row r="16" spans="1:19" x14ac:dyDescent="0.35">
      <c r="A16" s="3">
        <f t="shared" si="4"/>
        <v>13</v>
      </c>
      <c r="B16" s="3">
        <v>60</v>
      </c>
      <c r="C16" s="1">
        <f t="shared" si="8"/>
        <v>70.607551086071794</v>
      </c>
      <c r="D16" s="1">
        <f t="shared" si="9"/>
        <v>8.8262841001026402</v>
      </c>
      <c r="E16">
        <f t="shared" si="5"/>
        <v>74.567156521818404</v>
      </c>
      <c r="F16">
        <f t="shared" si="2"/>
        <v>14.567156521818404</v>
      </c>
      <c r="G16">
        <f t="shared" si="3"/>
        <v>212.20204913115646</v>
      </c>
      <c r="Q16" s="3">
        <f t="shared" si="6"/>
        <v>13</v>
      </c>
      <c r="R16" s="3">
        <v>60</v>
      </c>
      <c r="S16">
        <f t="shared" si="7"/>
        <v>74.567156521818404</v>
      </c>
    </row>
    <row r="17" spans="1:19" x14ac:dyDescent="0.35">
      <c r="A17" s="3">
        <f t="shared" si="4"/>
        <v>14</v>
      </c>
      <c r="B17" s="3">
        <v>75</v>
      </c>
      <c r="C17" s="1">
        <f t="shared" si="8"/>
        <v>78.228641991601052</v>
      </c>
      <c r="D17" s="1">
        <f t="shared" si="9"/>
        <v>8.1053842790905346</v>
      </c>
      <c r="E17">
        <f t="shared" si="5"/>
        <v>79.433835186174434</v>
      </c>
      <c r="F17">
        <f t="shared" si="2"/>
        <v>4.4338351861744343</v>
      </c>
      <c r="G17">
        <f t="shared" si="3"/>
        <v>19.658894458158482</v>
      </c>
      <c r="Q17" s="3">
        <f t="shared" si="6"/>
        <v>14</v>
      </c>
      <c r="R17" s="3">
        <v>75</v>
      </c>
      <c r="S17">
        <f t="shared" si="7"/>
        <v>79.433835186174434</v>
      </c>
    </row>
    <row r="18" spans="1:19" x14ac:dyDescent="0.35">
      <c r="A18" s="10">
        <f t="shared" si="4"/>
        <v>15</v>
      </c>
      <c r="B18" s="10">
        <v>88</v>
      </c>
      <c r="C18" s="2">
        <f t="shared" si="8"/>
        <v>86.786866783834995</v>
      </c>
      <c r="D18" s="2">
        <f t="shared" si="9"/>
        <v>8.3762559089188713</v>
      </c>
      <c r="E18" s="4">
        <f t="shared" si="5"/>
        <v>86.334026270691581</v>
      </c>
      <c r="F18" s="4">
        <f t="shared" si="2"/>
        <v>1.6659737293084191</v>
      </c>
      <c r="G18" s="4">
        <f t="shared" si="3"/>
        <v>2.7754684667458016</v>
      </c>
      <c r="Q18" s="17">
        <f t="shared" si="6"/>
        <v>15</v>
      </c>
      <c r="R18" s="17">
        <v>88</v>
      </c>
      <c r="S18">
        <f t="shared" si="7"/>
        <v>86.334026270691581</v>
      </c>
    </row>
    <row r="19" spans="1:19" x14ac:dyDescent="0.35">
      <c r="E19" s="13"/>
      <c r="Q19" s="17">
        <f t="shared" si="6"/>
        <v>16</v>
      </c>
      <c r="R19" s="13"/>
      <c r="S19">
        <f>C$18+(Q19-Q$18)*D$18</f>
        <v>95.163122692753859</v>
      </c>
    </row>
    <row r="20" spans="1:19" x14ac:dyDescent="0.35">
      <c r="B20" s="11" t="s">
        <v>10</v>
      </c>
      <c r="C20" s="17" t="s">
        <v>16</v>
      </c>
      <c r="D20" s="13"/>
      <c r="E20" s="3" t="s">
        <v>12</v>
      </c>
      <c r="F20" s="3" t="s">
        <v>4</v>
      </c>
      <c r="G20" s="3" t="s">
        <v>13</v>
      </c>
      <c r="Q20" s="17">
        <f t="shared" si="6"/>
        <v>17</v>
      </c>
      <c r="R20" s="13"/>
      <c r="S20">
        <f>C$18+(Q20-Q$18)*D$18</f>
        <v>103.53937860167274</v>
      </c>
    </row>
    <row r="21" spans="1:19" x14ac:dyDescent="0.35">
      <c r="B21" s="16">
        <v>0.27181731931114966</v>
      </c>
      <c r="C21" s="18">
        <v>0.59816121121335331</v>
      </c>
      <c r="E21" s="5">
        <f>AVERAGE(F4:F18)</f>
        <v>6.740208353991652</v>
      </c>
      <c r="F21" s="15">
        <f>AVERAGE(G4:G18)</f>
        <v>95.706488306077176</v>
      </c>
      <c r="G21" s="6">
        <f>SQRT(F21)</f>
        <v>9.7829692990460302</v>
      </c>
      <c r="Q21" s="17">
        <f t="shared" si="6"/>
        <v>18</v>
      </c>
      <c r="R21" s="13"/>
      <c r="S21">
        <f>C$18+(Q21-Q$18)*D$18</f>
        <v>111.91563451059162</v>
      </c>
    </row>
    <row r="22" spans="1:19" x14ac:dyDescent="0.35">
      <c r="Q22" s="17">
        <f t="shared" si="6"/>
        <v>19</v>
      </c>
      <c r="R22" s="13"/>
      <c r="S22">
        <f>C$18+(Q22-Q$18)*D$18</f>
        <v>120.29189041951048</v>
      </c>
    </row>
    <row r="23" spans="1:19" x14ac:dyDescent="0.35">
      <c r="Q23" s="10">
        <f t="shared" si="6"/>
        <v>20</v>
      </c>
      <c r="R23" s="4"/>
      <c r="S23" s="4">
        <f>C$18+(Q23-Q$18)*D$18</f>
        <v>128.66814632842934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1"/>
  <dimension ref="A1:I26"/>
  <sheetViews>
    <sheetView workbookViewId="0"/>
  </sheetViews>
  <sheetFormatPr defaultRowHeight="14.5" x14ac:dyDescent="0.35"/>
  <sheetData>
    <row r="1" spans="1:8" x14ac:dyDescent="0.35">
      <c r="A1" s="7" t="s">
        <v>15</v>
      </c>
      <c r="D1" t="s">
        <v>612</v>
      </c>
    </row>
    <row r="2" spans="1:8" ht="15" thickBot="1" x14ac:dyDescent="0.4"/>
    <row r="3" spans="1:8" ht="15" thickTop="1" x14ac:dyDescent="0.35">
      <c r="A3" s="229" t="s">
        <v>3</v>
      </c>
      <c r="B3" s="229" t="s">
        <v>1</v>
      </c>
      <c r="D3" s="45" t="str">
        <f>A3</f>
        <v>t</v>
      </c>
      <c r="E3" s="45" t="str">
        <f>B3</f>
        <v>y</v>
      </c>
      <c r="F3" s="45" t="s">
        <v>17</v>
      </c>
      <c r="G3" s="45" t="s">
        <v>18</v>
      </c>
      <c r="H3" s="45" t="s">
        <v>179</v>
      </c>
    </row>
    <row r="4" spans="1:8" x14ac:dyDescent="0.35">
      <c r="A4" s="137">
        <v>1</v>
      </c>
      <c r="B4" s="137">
        <v>3</v>
      </c>
      <c r="D4">
        <f>A4</f>
        <v>1</v>
      </c>
      <c r="E4">
        <f>B4</f>
        <v>3</v>
      </c>
      <c r="F4">
        <f>E4</f>
        <v>3</v>
      </c>
      <c r="G4">
        <v>0</v>
      </c>
    </row>
    <row r="5" spans="1:8" x14ac:dyDescent="0.35">
      <c r="A5" s="137">
        <f>A4+1</f>
        <v>2</v>
      </c>
      <c r="B5" s="137">
        <v>5</v>
      </c>
      <c r="D5">
        <f t="shared" ref="D5:E18" si="0">A5</f>
        <v>2</v>
      </c>
      <c r="E5">
        <f t="shared" si="0"/>
        <v>5</v>
      </c>
      <c r="F5">
        <f>$E$26*E5+(1-$E$26)*(F4+G4)</f>
        <v>3.8</v>
      </c>
      <c r="G5">
        <f>$F$26*(F5-F4)+(1-$F$26)*G4</f>
        <v>0.55999999999999983</v>
      </c>
      <c r="H5">
        <f>F4+G4</f>
        <v>3</v>
      </c>
    </row>
    <row r="6" spans="1:8" x14ac:dyDescent="0.35">
      <c r="A6" s="137">
        <f t="shared" ref="A6:A18" si="1">A5+1</f>
        <v>3</v>
      </c>
      <c r="B6" s="137">
        <v>9</v>
      </c>
      <c r="D6">
        <f t="shared" si="0"/>
        <v>3</v>
      </c>
      <c r="E6">
        <f t="shared" si="0"/>
        <v>9</v>
      </c>
      <c r="F6">
        <f t="shared" ref="F6:F18" si="2">$E$26*E6+(1-$E$26)*(F5+G5)</f>
        <v>6.2159999999999993</v>
      </c>
      <c r="G6">
        <f t="shared" ref="G6:G18" si="3">$F$26*(F6-F5)+(1-$F$26)*G5</f>
        <v>1.8591999999999995</v>
      </c>
      <c r="H6">
        <f t="shared" ref="H6:H18" si="4">F5+G5</f>
        <v>4.3599999999999994</v>
      </c>
    </row>
    <row r="7" spans="1:8" x14ac:dyDescent="0.35">
      <c r="A7" s="137">
        <f t="shared" si="1"/>
        <v>4</v>
      </c>
      <c r="B7" s="137">
        <v>20</v>
      </c>
      <c r="D7">
        <f t="shared" si="0"/>
        <v>4</v>
      </c>
      <c r="E7">
        <f t="shared" si="0"/>
        <v>20</v>
      </c>
      <c r="F7">
        <f t="shared" si="2"/>
        <v>12.845119999999998</v>
      </c>
      <c r="G7">
        <f t="shared" si="3"/>
        <v>5.1981439999999983</v>
      </c>
      <c r="H7">
        <f t="shared" si="4"/>
        <v>8.0751999999999988</v>
      </c>
    </row>
    <row r="8" spans="1:8" x14ac:dyDescent="0.35">
      <c r="A8" s="137">
        <f t="shared" si="1"/>
        <v>5</v>
      </c>
      <c r="B8" s="137">
        <v>12</v>
      </c>
      <c r="D8">
        <f t="shared" si="0"/>
        <v>5</v>
      </c>
      <c r="E8">
        <f t="shared" si="0"/>
        <v>12</v>
      </c>
      <c r="F8">
        <f t="shared" si="2"/>
        <v>15.625958399999998</v>
      </c>
      <c r="G8">
        <f t="shared" si="3"/>
        <v>3.5060300799999999</v>
      </c>
      <c r="H8">
        <f t="shared" si="4"/>
        <v>18.043263999999997</v>
      </c>
    </row>
    <row r="9" spans="1:8" x14ac:dyDescent="0.35">
      <c r="A9" s="137">
        <f t="shared" si="1"/>
        <v>6</v>
      </c>
      <c r="B9" s="137">
        <v>17</v>
      </c>
      <c r="D9">
        <f t="shared" si="0"/>
        <v>6</v>
      </c>
      <c r="E9">
        <f t="shared" si="0"/>
        <v>17</v>
      </c>
      <c r="F9">
        <f t="shared" si="2"/>
        <v>18.279193088</v>
      </c>
      <c r="G9">
        <f t="shared" si="3"/>
        <v>2.9090733056000007</v>
      </c>
      <c r="H9">
        <f t="shared" si="4"/>
        <v>19.131988479999997</v>
      </c>
    </row>
    <row r="10" spans="1:8" x14ac:dyDescent="0.35">
      <c r="A10" s="137">
        <f t="shared" si="1"/>
        <v>7</v>
      </c>
      <c r="B10" s="137">
        <v>22</v>
      </c>
      <c r="D10">
        <f t="shared" si="0"/>
        <v>7</v>
      </c>
      <c r="E10">
        <f t="shared" si="0"/>
        <v>22</v>
      </c>
      <c r="F10">
        <f t="shared" si="2"/>
        <v>21.51295983616</v>
      </c>
      <c r="G10">
        <f t="shared" si="3"/>
        <v>3.1363587153920007</v>
      </c>
      <c r="H10">
        <f t="shared" si="4"/>
        <v>21.188266393599999</v>
      </c>
    </row>
    <row r="11" spans="1:8" x14ac:dyDescent="0.35">
      <c r="A11" s="137">
        <f t="shared" si="1"/>
        <v>8</v>
      </c>
      <c r="B11" s="137">
        <v>23</v>
      </c>
      <c r="D11">
        <f t="shared" si="0"/>
        <v>8</v>
      </c>
      <c r="E11">
        <f t="shared" si="0"/>
        <v>23</v>
      </c>
      <c r="F11">
        <f t="shared" si="2"/>
        <v>23.989591130931203</v>
      </c>
      <c r="G11">
        <f t="shared" si="3"/>
        <v>2.6745495209574419</v>
      </c>
      <c r="H11">
        <f t="shared" si="4"/>
        <v>24.649318551552</v>
      </c>
    </row>
    <row r="12" spans="1:8" x14ac:dyDescent="0.35">
      <c r="A12" s="137">
        <f t="shared" si="1"/>
        <v>9</v>
      </c>
      <c r="B12" s="137">
        <v>51</v>
      </c>
      <c r="D12">
        <f t="shared" si="0"/>
        <v>9</v>
      </c>
      <c r="E12">
        <f t="shared" si="0"/>
        <v>51</v>
      </c>
      <c r="F12">
        <f t="shared" si="2"/>
        <v>36.398484391133188</v>
      </c>
      <c r="G12">
        <f t="shared" si="3"/>
        <v>9.4885901384286218</v>
      </c>
      <c r="H12">
        <f t="shared" si="4"/>
        <v>26.664140651888644</v>
      </c>
    </row>
    <row r="13" spans="1:8" x14ac:dyDescent="0.35">
      <c r="A13" s="137">
        <f t="shared" si="1"/>
        <v>10</v>
      </c>
      <c r="B13" s="137">
        <v>41</v>
      </c>
      <c r="D13">
        <f t="shared" si="0"/>
        <v>10</v>
      </c>
      <c r="E13">
        <f t="shared" si="0"/>
        <v>41</v>
      </c>
      <c r="F13">
        <f t="shared" si="2"/>
        <v>43.932244717737085</v>
      </c>
      <c r="G13">
        <f t="shared" si="3"/>
        <v>8.1202092701513138</v>
      </c>
      <c r="H13">
        <f t="shared" si="4"/>
        <v>45.887074529561808</v>
      </c>
    </row>
    <row r="14" spans="1:8" x14ac:dyDescent="0.35">
      <c r="A14" s="137">
        <f t="shared" si="1"/>
        <v>11</v>
      </c>
      <c r="B14" s="137">
        <v>56</v>
      </c>
      <c r="D14">
        <f t="shared" si="0"/>
        <v>11</v>
      </c>
      <c r="E14">
        <f t="shared" si="0"/>
        <v>56</v>
      </c>
      <c r="F14">
        <f t="shared" si="2"/>
        <v>53.631472392733045</v>
      </c>
      <c r="G14">
        <f t="shared" si="3"/>
        <v>9.2255221535425669</v>
      </c>
      <c r="H14">
        <f t="shared" si="4"/>
        <v>52.052453987888399</v>
      </c>
    </row>
    <row r="15" spans="1:8" x14ac:dyDescent="0.35">
      <c r="A15" s="137">
        <f t="shared" si="1"/>
        <v>12</v>
      </c>
      <c r="B15" s="137">
        <v>75</v>
      </c>
      <c r="D15">
        <f t="shared" si="0"/>
        <v>12</v>
      </c>
      <c r="E15">
        <f t="shared" si="0"/>
        <v>75</v>
      </c>
      <c r="F15">
        <f t="shared" si="2"/>
        <v>67.714196727765369</v>
      </c>
      <c r="G15">
        <f t="shared" si="3"/>
        <v>12.625563680585396</v>
      </c>
      <c r="H15">
        <f t="shared" si="4"/>
        <v>62.856994546275615</v>
      </c>
    </row>
    <row r="16" spans="1:8" x14ac:dyDescent="0.35">
      <c r="A16" s="137">
        <f t="shared" si="1"/>
        <v>13</v>
      </c>
      <c r="B16" s="137">
        <v>60</v>
      </c>
      <c r="D16">
        <f t="shared" si="0"/>
        <v>13</v>
      </c>
      <c r="E16">
        <f t="shared" si="0"/>
        <v>60</v>
      </c>
      <c r="F16">
        <f t="shared" si="2"/>
        <v>72.203856245010456</v>
      </c>
      <c r="G16">
        <f t="shared" si="3"/>
        <v>6.9304307662471807</v>
      </c>
      <c r="H16">
        <f t="shared" si="4"/>
        <v>80.33976040835077</v>
      </c>
    </row>
    <row r="17" spans="1:9" x14ac:dyDescent="0.35">
      <c r="A17" s="137">
        <f t="shared" si="1"/>
        <v>14</v>
      </c>
      <c r="B17" s="137">
        <v>75</v>
      </c>
      <c r="D17">
        <f t="shared" si="0"/>
        <v>14</v>
      </c>
      <c r="E17">
        <f t="shared" si="0"/>
        <v>75</v>
      </c>
      <c r="F17">
        <f t="shared" si="2"/>
        <v>77.480572206754573</v>
      </c>
      <c r="G17">
        <f t="shared" si="3"/>
        <v>5.7728304030950355</v>
      </c>
      <c r="H17">
        <f t="shared" si="4"/>
        <v>79.134287011257641</v>
      </c>
    </row>
    <row r="18" spans="1:9" x14ac:dyDescent="0.35">
      <c r="A18" s="10">
        <f t="shared" si="1"/>
        <v>15</v>
      </c>
      <c r="B18" s="10">
        <v>88</v>
      </c>
      <c r="D18" s="4">
        <f t="shared" si="0"/>
        <v>15</v>
      </c>
      <c r="E18" s="4">
        <f t="shared" si="0"/>
        <v>88</v>
      </c>
      <c r="F18" s="4">
        <f t="shared" si="2"/>
        <v>85.152041565909769</v>
      </c>
      <c r="G18" s="4">
        <f t="shared" si="3"/>
        <v>7.1018776723371486</v>
      </c>
      <c r="H18" s="4">
        <f t="shared" si="4"/>
        <v>83.253402609849616</v>
      </c>
    </row>
    <row r="19" spans="1:9" x14ac:dyDescent="0.35">
      <c r="D19" t="s">
        <v>180</v>
      </c>
      <c r="H19">
        <f>$F$18+$G$18*(ROW(F19)-ROW($F$18))</f>
        <v>92.253919238246922</v>
      </c>
    </row>
    <row r="20" spans="1:9" x14ac:dyDescent="0.35">
      <c r="D20" t="s">
        <v>180</v>
      </c>
      <c r="H20">
        <f>$F$18+$G$18*(ROW(F20)-ROW($F$18))</f>
        <v>99.355796910584061</v>
      </c>
    </row>
    <row r="21" spans="1:9" x14ac:dyDescent="0.35">
      <c r="D21" t="s">
        <v>180</v>
      </c>
      <c r="H21">
        <f>$F$18+$G$18*(ROW(F21)-ROW($F$18))</f>
        <v>106.45767458292121</v>
      </c>
    </row>
    <row r="22" spans="1:9" x14ac:dyDescent="0.35">
      <c r="D22" t="s">
        <v>180</v>
      </c>
      <c r="H22">
        <f>$F$18+$G$18*(ROW(F22)-ROW($F$18))</f>
        <v>113.55955225525837</v>
      </c>
    </row>
    <row r="23" spans="1:9" x14ac:dyDescent="0.35">
      <c r="D23" t="s">
        <v>180</v>
      </c>
      <c r="H23">
        <f>$F$18+$G$18*(ROW(F23)-ROW($F$18))</f>
        <v>120.66142992759552</v>
      </c>
    </row>
    <row r="25" spans="1:9" x14ac:dyDescent="0.35">
      <c r="E25" s="230" t="s">
        <v>10</v>
      </c>
      <c r="F25" s="230" t="s">
        <v>16</v>
      </c>
      <c r="G25" s="230" t="s">
        <v>12</v>
      </c>
      <c r="H25" s="230" t="s">
        <v>4</v>
      </c>
      <c r="I25" s="230" t="s">
        <v>611</v>
      </c>
    </row>
    <row r="26" spans="1:9" x14ac:dyDescent="0.35">
      <c r="E26" s="46">
        <v>0.4</v>
      </c>
      <c r="F26" s="50">
        <v>0.7</v>
      </c>
      <c r="G26" s="5">
        <f>SUMPRODUCT(ABS(E5:E18-H5:H18))/COUNT(H5:H18)</f>
        <v>7.409659627944281</v>
      </c>
      <c r="H26" s="15">
        <f>SUMXMY2(E5:E18,H5:H18)/COUNT(H5:H18)</f>
        <v>103.18983220035855</v>
      </c>
      <c r="I26" s="6">
        <f>SUMPRODUCT(ABS(1-H5:H18/E5:E18))/COUNT(H5:H18)</f>
        <v>0.25187472753835383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/>
  <dimension ref="A1:G21"/>
  <sheetViews>
    <sheetView workbookViewId="0"/>
  </sheetViews>
  <sheetFormatPr defaultRowHeight="14.5" x14ac:dyDescent="0.35"/>
  <cols>
    <col min="1" max="1" width="5.81640625" customWidth="1"/>
  </cols>
  <sheetData>
    <row r="1" spans="1:7" x14ac:dyDescent="0.35">
      <c r="A1" s="7" t="s">
        <v>477</v>
      </c>
    </row>
    <row r="3" spans="1:7" x14ac:dyDescent="0.35">
      <c r="A3" s="145" t="s">
        <v>3</v>
      </c>
      <c r="B3" s="145" t="s">
        <v>1</v>
      </c>
      <c r="C3" s="145" t="s">
        <v>17</v>
      </c>
      <c r="D3" s="145" t="s">
        <v>18</v>
      </c>
      <c r="E3" s="145" t="s">
        <v>138</v>
      </c>
      <c r="F3" s="9" t="s">
        <v>6</v>
      </c>
      <c r="G3" s="9" t="s">
        <v>5</v>
      </c>
    </row>
    <row r="4" spans="1:7" x14ac:dyDescent="0.35">
      <c r="A4" s="137">
        <v>1</v>
      </c>
      <c r="B4" s="137">
        <v>3</v>
      </c>
      <c r="C4" s="1">
        <f>B4</f>
        <v>3</v>
      </c>
      <c r="D4" s="1">
        <v>0</v>
      </c>
    </row>
    <row r="5" spans="1:7" x14ac:dyDescent="0.35">
      <c r="A5" s="137">
        <f>A4+1</f>
        <v>2</v>
      </c>
      <c r="B5" s="137">
        <v>5</v>
      </c>
      <c r="C5" s="1">
        <f t="shared" ref="C5:C18" si="0">B$21*B5+(1-B$21)*(C4+D4)</f>
        <v>3.3990262559420099</v>
      </c>
      <c r="D5" s="1">
        <f t="shared" ref="D5:D18" si="1">C$21*(C5-C4)+(1-C$21)*D4</f>
        <v>0.39902625594200991</v>
      </c>
      <c r="E5">
        <f>C4+D4</f>
        <v>3</v>
      </c>
      <c r="F5">
        <f t="shared" ref="F5:F18" si="2">ABS(B5-E5)</f>
        <v>2</v>
      </c>
      <c r="G5">
        <f t="shared" ref="G5:G18" si="3">(B5-E5)^2</f>
        <v>4</v>
      </c>
    </row>
    <row r="6" spans="1:7" x14ac:dyDescent="0.35">
      <c r="A6" s="137">
        <f t="shared" ref="A6:A18" si="4">A5+1</f>
        <v>3</v>
      </c>
      <c r="B6" s="137">
        <v>9</v>
      </c>
      <c r="C6" s="1">
        <f t="shared" si="0"/>
        <v>4.8359093267789515</v>
      </c>
      <c r="D6" s="1">
        <f t="shared" si="1"/>
        <v>1.4368830708369416</v>
      </c>
      <c r="E6">
        <f t="shared" ref="E6:E18" si="5">C5+D5</f>
        <v>3.7980525118840198</v>
      </c>
      <c r="F6">
        <f t="shared" si="2"/>
        <v>5.2019474881159802</v>
      </c>
      <c r="G6">
        <f t="shared" si="3"/>
        <v>27.060257669116154</v>
      </c>
    </row>
    <row r="7" spans="1:7" x14ac:dyDescent="0.35">
      <c r="A7" s="137">
        <f t="shared" si="4"/>
        <v>4</v>
      </c>
      <c r="B7" s="137">
        <v>20</v>
      </c>
      <c r="C7" s="1">
        <f t="shared" si="0"/>
        <v>9.0115505246749059</v>
      </c>
      <c r="D7" s="1">
        <f t="shared" si="1"/>
        <v>4.1756411978959544</v>
      </c>
      <c r="E7">
        <f t="shared" si="5"/>
        <v>6.272792397615893</v>
      </c>
      <c r="F7">
        <f t="shared" si="2"/>
        <v>13.727207602384107</v>
      </c>
      <c r="G7">
        <f t="shared" si="3"/>
        <v>188.43622855895202</v>
      </c>
    </row>
    <row r="8" spans="1:7" x14ac:dyDescent="0.35">
      <c r="A8" s="137">
        <f t="shared" si="4"/>
        <v>5</v>
      </c>
      <c r="B8" s="137">
        <v>12</v>
      </c>
      <c r="C8" s="1">
        <f t="shared" si="0"/>
        <v>12.950331388499462</v>
      </c>
      <c r="D8" s="1">
        <f t="shared" si="1"/>
        <v>3.9387808638245563</v>
      </c>
      <c r="E8">
        <f t="shared" si="5"/>
        <v>13.18719172257086</v>
      </c>
      <c r="F8">
        <f t="shared" si="2"/>
        <v>1.1871917225708604</v>
      </c>
      <c r="G8">
        <f t="shared" si="3"/>
        <v>1.4094241861407666</v>
      </c>
    </row>
    <row r="9" spans="1:7" x14ac:dyDescent="0.35">
      <c r="A9" s="137">
        <f t="shared" si="4"/>
        <v>6</v>
      </c>
      <c r="B9" s="137">
        <v>17</v>
      </c>
      <c r="C9" s="1">
        <f t="shared" si="0"/>
        <v>16.911235813716512</v>
      </c>
      <c r="D9" s="1">
        <f t="shared" si="1"/>
        <v>3.9609044252170502</v>
      </c>
      <c r="E9">
        <f t="shared" si="5"/>
        <v>16.889112252324018</v>
      </c>
      <c r="F9">
        <f t="shared" si="2"/>
        <v>0.11088774767598153</v>
      </c>
      <c r="G9">
        <f t="shared" si="3"/>
        <v>1.2296092584652148E-2</v>
      </c>
    </row>
    <row r="10" spans="1:7" x14ac:dyDescent="0.35">
      <c r="A10" s="137">
        <f t="shared" si="4"/>
        <v>7</v>
      </c>
      <c r="B10" s="137">
        <v>22</v>
      </c>
      <c r="C10" s="1">
        <f t="shared" si="0"/>
        <v>21.097163067776556</v>
      </c>
      <c r="D10" s="1">
        <f t="shared" si="1"/>
        <v>4.1859272540600436</v>
      </c>
      <c r="E10">
        <f t="shared" si="5"/>
        <v>20.872140238933561</v>
      </c>
      <c r="F10">
        <f t="shared" si="2"/>
        <v>1.1278597610664391</v>
      </c>
      <c r="G10">
        <f t="shared" si="3"/>
        <v>1.2720676406328453</v>
      </c>
    </row>
    <row r="11" spans="1:7" x14ac:dyDescent="0.35">
      <c r="A11" s="137">
        <f t="shared" si="4"/>
        <v>8</v>
      </c>
      <c r="B11" s="137">
        <v>23</v>
      </c>
      <c r="C11" s="1">
        <f t="shared" si="0"/>
        <v>24.827583830286649</v>
      </c>
      <c r="D11" s="1">
        <f t="shared" si="1"/>
        <v>3.7304207625100929</v>
      </c>
      <c r="E11">
        <f t="shared" si="5"/>
        <v>25.2830903218366</v>
      </c>
      <c r="F11">
        <f t="shared" si="2"/>
        <v>2.2830903218365997</v>
      </c>
      <c r="G11">
        <f t="shared" si="3"/>
        <v>5.2125014176639484</v>
      </c>
    </row>
    <row r="12" spans="1:7" x14ac:dyDescent="0.35">
      <c r="A12" s="137">
        <f t="shared" si="4"/>
        <v>9</v>
      </c>
      <c r="B12" s="137">
        <v>51</v>
      </c>
      <c r="C12" s="1">
        <f t="shared" si="0"/>
        <v>33.035477294398788</v>
      </c>
      <c r="D12" s="1">
        <f t="shared" si="1"/>
        <v>8.2078934641121393</v>
      </c>
      <c r="E12">
        <f t="shared" si="5"/>
        <v>28.558004592796742</v>
      </c>
      <c r="F12">
        <f t="shared" si="2"/>
        <v>22.441995407203258</v>
      </c>
      <c r="G12">
        <f t="shared" si="3"/>
        <v>503.64315785693213</v>
      </c>
    </row>
    <row r="13" spans="1:7" x14ac:dyDescent="0.35">
      <c r="A13" s="137">
        <f t="shared" si="4"/>
        <v>10</v>
      </c>
      <c r="B13" s="137">
        <v>41</v>
      </c>
      <c r="C13" s="1">
        <f t="shared" si="0"/>
        <v>41.194815097223739</v>
      </c>
      <c r="D13" s="1">
        <f t="shared" si="1"/>
        <v>8.1593378028249504</v>
      </c>
      <c r="E13">
        <f t="shared" si="5"/>
        <v>41.243370758510927</v>
      </c>
      <c r="F13">
        <f t="shared" si="2"/>
        <v>0.24337075851092749</v>
      </c>
      <c r="G13">
        <f t="shared" si="3"/>
        <v>5.9229326098184182E-2</v>
      </c>
    </row>
    <row r="14" spans="1:7" x14ac:dyDescent="0.35">
      <c r="A14" s="137">
        <f t="shared" si="4"/>
        <v>11</v>
      </c>
      <c r="B14" s="137">
        <v>56</v>
      </c>
      <c r="C14" s="1">
        <f t="shared" si="0"/>
        <v>50.68008664297701</v>
      </c>
      <c r="D14" s="1">
        <f t="shared" si="1"/>
        <v>9.485271545753271</v>
      </c>
      <c r="E14">
        <f t="shared" si="5"/>
        <v>49.354152900048689</v>
      </c>
      <c r="F14">
        <f t="shared" si="2"/>
        <v>6.6458470999513111</v>
      </c>
      <c r="G14">
        <f t="shared" si="3"/>
        <v>44.167283675931252</v>
      </c>
    </row>
    <row r="15" spans="1:7" x14ac:dyDescent="0.35">
      <c r="A15" s="137">
        <f t="shared" si="4"/>
        <v>12</v>
      </c>
      <c r="B15" s="137">
        <v>75</v>
      </c>
      <c r="C15" s="1">
        <f t="shared" si="0"/>
        <v>63.125063978826155</v>
      </c>
      <c r="D15" s="1">
        <f t="shared" si="1"/>
        <v>12.444977335849146</v>
      </c>
      <c r="E15">
        <f t="shared" si="5"/>
        <v>60.165358188730281</v>
      </c>
      <c r="F15">
        <f t="shared" si="2"/>
        <v>14.834641811269719</v>
      </c>
      <c r="G15">
        <f t="shared" si="3"/>
        <v>220.06659766867173</v>
      </c>
    </row>
    <row r="16" spans="1:7" x14ac:dyDescent="0.35">
      <c r="A16" s="137">
        <f t="shared" si="4"/>
        <v>13</v>
      </c>
      <c r="B16" s="137">
        <v>60</v>
      </c>
      <c r="C16" s="1">
        <f t="shared" si="0"/>
        <v>72.463613669346657</v>
      </c>
      <c r="D16" s="1">
        <f t="shared" si="1"/>
        <v>9.3385496905205017</v>
      </c>
      <c r="E16">
        <f t="shared" si="5"/>
        <v>75.570041314675308</v>
      </c>
      <c r="F16">
        <f t="shared" si="2"/>
        <v>15.570041314675308</v>
      </c>
      <c r="G16">
        <f t="shared" si="3"/>
        <v>242.42618654069599</v>
      </c>
    </row>
    <row r="17" spans="1:7" x14ac:dyDescent="0.35">
      <c r="A17" s="137">
        <f t="shared" si="4"/>
        <v>14</v>
      </c>
      <c r="B17" s="137">
        <v>75</v>
      </c>
      <c r="C17" s="1">
        <f t="shared" si="0"/>
        <v>80.445042470970307</v>
      </c>
      <c r="D17" s="1">
        <f t="shared" si="1"/>
        <v>7.9814288016236503</v>
      </c>
      <c r="E17">
        <f t="shared" si="5"/>
        <v>81.802163359867166</v>
      </c>
      <c r="F17">
        <f t="shared" si="2"/>
        <v>6.8021633598671656</v>
      </c>
      <c r="G17">
        <f t="shared" si="3"/>
        <v>46.269426374319366</v>
      </c>
    </row>
    <row r="18" spans="1:7" x14ac:dyDescent="0.35">
      <c r="A18" s="10">
        <f t="shared" si="4"/>
        <v>15</v>
      </c>
      <c r="B18" s="10">
        <v>88</v>
      </c>
      <c r="C18" s="2">
        <f t="shared" si="0"/>
        <v>88.341384655008966</v>
      </c>
      <c r="D18" s="2">
        <f t="shared" si="1"/>
        <v>7.8963421840386587</v>
      </c>
      <c r="E18" s="4">
        <f t="shared" si="5"/>
        <v>88.426471272593957</v>
      </c>
      <c r="F18" s="4">
        <f t="shared" si="2"/>
        <v>0.42647127259395745</v>
      </c>
      <c r="G18" s="4">
        <f t="shared" si="3"/>
        <v>0.18187774634790957</v>
      </c>
    </row>
    <row r="19" spans="1:7" x14ac:dyDescent="0.35">
      <c r="E19" s="13"/>
    </row>
    <row r="20" spans="1:7" x14ac:dyDescent="0.35">
      <c r="B20" s="11" t="s">
        <v>10</v>
      </c>
      <c r="C20" s="17" t="s">
        <v>16</v>
      </c>
      <c r="D20" s="13"/>
      <c r="E20" s="137" t="s">
        <v>12</v>
      </c>
      <c r="F20" s="137" t="s">
        <v>4</v>
      </c>
      <c r="G20" s="137" t="s">
        <v>13</v>
      </c>
    </row>
    <row r="21" spans="1:7" x14ac:dyDescent="0.35">
      <c r="B21" s="5">
        <v>0.19951312797100496</v>
      </c>
      <c r="C21" s="6">
        <v>1</v>
      </c>
      <c r="E21" s="5">
        <f>AVERAGE(F4:F18)</f>
        <v>6.6144796905515451</v>
      </c>
      <c r="F21" s="15">
        <f>AVERAGE(G4:G18)</f>
        <v>91.729752482434805</v>
      </c>
      <c r="G21" s="6">
        <f>SQRT(F21)</f>
        <v>9.577565060203705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3"/>
  <dimension ref="A1:B245"/>
  <sheetViews>
    <sheetView workbookViewId="0"/>
  </sheetViews>
  <sheetFormatPr defaultRowHeight="14.5" x14ac:dyDescent="0.35"/>
  <cols>
    <col min="1" max="1" width="4" customWidth="1"/>
    <col min="2" max="2" width="85.54296875" customWidth="1"/>
  </cols>
  <sheetData>
    <row r="1" spans="1:2" ht="15" customHeight="1" x14ac:dyDescent="0.35">
      <c r="A1" s="7" t="s">
        <v>268</v>
      </c>
      <c r="B1" s="7"/>
    </row>
    <row r="2" spans="1:2" x14ac:dyDescent="0.35">
      <c r="A2" s="7" t="s">
        <v>701</v>
      </c>
    </row>
    <row r="3" spans="1:2" ht="15" customHeight="1" x14ac:dyDescent="0.35">
      <c r="A3" s="7"/>
      <c r="B3" s="7"/>
    </row>
    <row r="4" spans="1:2" ht="15" customHeight="1" x14ac:dyDescent="0.35">
      <c r="A4" s="39" t="s">
        <v>674</v>
      </c>
    </row>
    <row r="6" spans="1:2" ht="15" customHeight="1" x14ac:dyDescent="0.35">
      <c r="A6" s="7" t="s">
        <v>270</v>
      </c>
    </row>
    <row r="7" spans="1:2" ht="15" customHeight="1" x14ac:dyDescent="0.35">
      <c r="A7" s="7"/>
    </row>
    <row r="8" spans="1:2" ht="15" customHeight="1" x14ac:dyDescent="0.35">
      <c r="A8" s="7" t="s">
        <v>491</v>
      </c>
    </row>
    <row r="9" spans="1:2" ht="15" customHeight="1" x14ac:dyDescent="0.35">
      <c r="A9" s="7"/>
    </row>
    <row r="10" spans="1:2" ht="15" customHeight="1" x14ac:dyDescent="0.35">
      <c r="A10" s="103" t="s">
        <v>492</v>
      </c>
    </row>
    <row r="11" spans="1:2" ht="15" customHeight="1" x14ac:dyDescent="0.35">
      <c r="A11" s="7"/>
      <c r="B11" s="102" t="s">
        <v>495</v>
      </c>
    </row>
    <row r="12" spans="1:2" ht="15" customHeight="1" x14ac:dyDescent="0.35">
      <c r="A12" s="7"/>
    </row>
    <row r="13" spans="1:2" ht="15" customHeight="1" x14ac:dyDescent="0.35">
      <c r="A13" s="103" t="s">
        <v>496</v>
      </c>
    </row>
    <row r="14" spans="1:2" ht="15" customHeight="1" x14ac:dyDescent="0.35">
      <c r="A14" s="7"/>
      <c r="B14" s="102" t="s">
        <v>510</v>
      </c>
    </row>
    <row r="15" spans="1:2" ht="15" customHeight="1" x14ac:dyDescent="0.35">
      <c r="A15" s="7"/>
      <c r="B15" s="102" t="s">
        <v>506</v>
      </c>
    </row>
    <row r="16" spans="1:2" ht="15" customHeight="1" x14ac:dyDescent="0.35">
      <c r="A16" s="7"/>
      <c r="B16" s="102"/>
    </row>
    <row r="17" spans="1:2" ht="15" customHeight="1" x14ac:dyDescent="0.35">
      <c r="A17" s="103" t="s">
        <v>511</v>
      </c>
      <c r="B17" s="102"/>
    </row>
    <row r="18" spans="1:2" ht="15" customHeight="1" x14ac:dyDescent="0.35">
      <c r="A18" s="7"/>
      <c r="B18" s="102" t="s">
        <v>511</v>
      </c>
    </row>
    <row r="19" spans="1:2" ht="15" customHeight="1" x14ac:dyDescent="0.35">
      <c r="A19" s="7"/>
    </row>
    <row r="20" spans="1:2" ht="15" customHeight="1" x14ac:dyDescent="0.35">
      <c r="A20" s="7" t="s">
        <v>271</v>
      </c>
    </row>
    <row r="21" spans="1:2" ht="15" customHeight="1" x14ac:dyDescent="0.35">
      <c r="B21" s="102"/>
    </row>
    <row r="22" spans="1:2" ht="15" customHeight="1" x14ac:dyDescent="0.35">
      <c r="A22" s="103" t="s">
        <v>0</v>
      </c>
      <c r="B22" s="102"/>
    </row>
    <row r="23" spans="1:2" x14ac:dyDescent="0.35">
      <c r="B23" s="102" t="s">
        <v>272</v>
      </c>
    </row>
    <row r="24" spans="1:2" x14ac:dyDescent="0.35">
      <c r="B24" s="102" t="s">
        <v>273</v>
      </c>
    </row>
    <row r="25" spans="1:2" x14ac:dyDescent="0.35">
      <c r="B25" s="102" t="s">
        <v>274</v>
      </c>
    </row>
    <row r="27" spans="1:2" x14ac:dyDescent="0.35">
      <c r="A27" t="s">
        <v>7</v>
      </c>
    </row>
    <row r="28" spans="1:2" x14ac:dyDescent="0.35">
      <c r="B28" s="102" t="s">
        <v>275</v>
      </c>
    </row>
    <row r="29" spans="1:2" x14ac:dyDescent="0.35">
      <c r="B29" s="102" t="s">
        <v>283</v>
      </c>
    </row>
    <row r="31" spans="1:2" x14ac:dyDescent="0.35">
      <c r="A31" t="s">
        <v>276</v>
      </c>
    </row>
    <row r="32" spans="1:2" x14ac:dyDescent="0.35">
      <c r="B32" s="102" t="s">
        <v>277</v>
      </c>
    </row>
    <row r="33" spans="1:2" x14ac:dyDescent="0.35">
      <c r="B33" s="102" t="s">
        <v>278</v>
      </c>
    </row>
    <row r="34" spans="1:2" x14ac:dyDescent="0.35">
      <c r="B34" s="102" t="s">
        <v>279</v>
      </c>
    </row>
    <row r="35" spans="1:2" x14ac:dyDescent="0.35">
      <c r="B35" s="102" t="s">
        <v>284</v>
      </c>
    </row>
    <row r="36" spans="1:2" x14ac:dyDescent="0.35">
      <c r="B36" s="102" t="s">
        <v>666</v>
      </c>
    </row>
    <row r="38" spans="1:2" x14ac:dyDescent="0.35">
      <c r="A38" t="s">
        <v>281</v>
      </c>
    </row>
    <row r="39" spans="1:2" x14ac:dyDescent="0.35">
      <c r="B39" s="102" t="s">
        <v>280</v>
      </c>
    </row>
    <row r="40" spans="1:2" x14ac:dyDescent="0.35">
      <c r="B40" s="102" t="s">
        <v>282</v>
      </c>
    </row>
    <row r="41" spans="1:2" x14ac:dyDescent="0.35">
      <c r="B41" s="102" t="s">
        <v>478</v>
      </c>
    </row>
    <row r="42" spans="1:2" x14ac:dyDescent="0.35">
      <c r="B42" s="102" t="s">
        <v>285</v>
      </c>
    </row>
    <row r="43" spans="1:2" x14ac:dyDescent="0.35">
      <c r="B43" s="102" t="s">
        <v>286</v>
      </c>
    </row>
    <row r="44" spans="1:2" x14ac:dyDescent="0.35">
      <c r="B44" s="102" t="s">
        <v>668</v>
      </c>
    </row>
    <row r="45" spans="1:2" x14ac:dyDescent="0.35">
      <c r="B45" s="102"/>
    </row>
    <row r="46" spans="1:2" x14ac:dyDescent="0.35">
      <c r="A46" t="s">
        <v>287</v>
      </c>
    </row>
    <row r="47" spans="1:2" x14ac:dyDescent="0.35">
      <c r="B47" s="102" t="s">
        <v>608</v>
      </c>
    </row>
    <row r="48" spans="1:2" x14ac:dyDescent="0.35">
      <c r="B48" s="102" t="s">
        <v>606</v>
      </c>
    </row>
    <row r="49" spans="1:2" x14ac:dyDescent="0.35">
      <c r="B49" s="102" t="s">
        <v>609</v>
      </c>
    </row>
    <row r="50" spans="1:2" x14ac:dyDescent="0.35">
      <c r="B50" s="102" t="s">
        <v>610</v>
      </c>
    </row>
    <row r="51" spans="1:2" x14ac:dyDescent="0.35">
      <c r="B51" s="102" t="s">
        <v>669</v>
      </c>
    </row>
    <row r="52" spans="1:2" x14ac:dyDescent="0.35">
      <c r="B52" s="102"/>
    </row>
    <row r="53" spans="1:2" x14ac:dyDescent="0.35">
      <c r="A53" t="s">
        <v>288</v>
      </c>
    </row>
    <row r="54" spans="1:2" x14ac:dyDescent="0.35">
      <c r="B54" s="102" t="s">
        <v>603</v>
      </c>
    </row>
    <row r="55" spans="1:2" x14ac:dyDescent="0.35">
      <c r="B55" s="102" t="s">
        <v>604</v>
      </c>
    </row>
    <row r="56" spans="1:2" x14ac:dyDescent="0.35">
      <c r="B56" s="102" t="s">
        <v>605</v>
      </c>
    </row>
    <row r="58" spans="1:2" x14ac:dyDescent="0.35">
      <c r="A58" s="7" t="s">
        <v>310</v>
      </c>
    </row>
    <row r="60" spans="1:2" x14ac:dyDescent="0.35">
      <c r="A60" t="s">
        <v>311</v>
      </c>
    </row>
    <row r="61" spans="1:2" x14ac:dyDescent="0.35">
      <c r="B61" s="102" t="s">
        <v>312</v>
      </c>
    </row>
    <row r="62" spans="1:2" x14ac:dyDescent="0.35">
      <c r="B62" s="102" t="s">
        <v>313</v>
      </c>
    </row>
    <row r="64" spans="1:2" x14ac:dyDescent="0.35">
      <c r="A64" t="s">
        <v>314</v>
      </c>
    </row>
    <row r="65" spans="1:2" x14ac:dyDescent="0.35">
      <c r="B65" s="102" t="s">
        <v>315</v>
      </c>
    </row>
    <row r="66" spans="1:2" x14ac:dyDescent="0.35">
      <c r="B66" s="102" t="s">
        <v>316</v>
      </c>
    </row>
    <row r="67" spans="1:2" x14ac:dyDescent="0.35">
      <c r="B67" s="102" t="s">
        <v>317</v>
      </c>
    </row>
    <row r="68" spans="1:2" x14ac:dyDescent="0.35">
      <c r="B68" s="102" t="s">
        <v>318</v>
      </c>
    </row>
    <row r="69" spans="1:2" x14ac:dyDescent="0.35">
      <c r="B69" s="102" t="s">
        <v>319</v>
      </c>
    </row>
    <row r="71" spans="1:2" x14ac:dyDescent="0.35">
      <c r="A71" t="s">
        <v>320</v>
      </c>
    </row>
    <row r="72" spans="1:2" x14ac:dyDescent="0.35">
      <c r="B72" s="102" t="s">
        <v>321</v>
      </c>
    </row>
    <row r="73" spans="1:2" x14ac:dyDescent="0.35">
      <c r="B73" s="102" t="s">
        <v>322</v>
      </c>
    </row>
    <row r="74" spans="1:2" x14ac:dyDescent="0.35">
      <c r="B74" s="102" t="s">
        <v>323</v>
      </c>
    </row>
    <row r="75" spans="1:2" x14ac:dyDescent="0.35">
      <c r="B75" s="102"/>
    </row>
    <row r="76" spans="1:2" x14ac:dyDescent="0.35">
      <c r="A76" t="s">
        <v>521</v>
      </c>
      <c r="B76" s="102"/>
    </row>
    <row r="77" spans="1:2" x14ac:dyDescent="0.35">
      <c r="B77" s="102" t="s">
        <v>524</v>
      </c>
    </row>
    <row r="78" spans="1:2" x14ac:dyDescent="0.35">
      <c r="B78" s="102" t="s">
        <v>525</v>
      </c>
    </row>
    <row r="80" spans="1:2" x14ac:dyDescent="0.35">
      <c r="A80" t="s">
        <v>324</v>
      </c>
    </row>
    <row r="81" spans="1:2" x14ac:dyDescent="0.35">
      <c r="B81" s="102" t="s">
        <v>325</v>
      </c>
    </row>
    <row r="82" spans="1:2" x14ac:dyDescent="0.35">
      <c r="B82" s="102" t="s">
        <v>326</v>
      </c>
    </row>
    <row r="84" spans="1:2" x14ac:dyDescent="0.35">
      <c r="A84" t="s">
        <v>126</v>
      </c>
    </row>
    <row r="85" spans="1:2" x14ac:dyDescent="0.35">
      <c r="B85" s="102" t="s">
        <v>327</v>
      </c>
    </row>
    <row r="86" spans="1:2" x14ac:dyDescent="0.35">
      <c r="B86" s="102" t="s">
        <v>328</v>
      </c>
    </row>
    <row r="88" spans="1:2" x14ac:dyDescent="0.35">
      <c r="A88" t="s">
        <v>211</v>
      </c>
    </row>
    <row r="89" spans="1:2" x14ac:dyDescent="0.35">
      <c r="B89" s="102" t="s">
        <v>329</v>
      </c>
    </row>
    <row r="90" spans="1:2" x14ac:dyDescent="0.35">
      <c r="B90" s="102" t="s">
        <v>330</v>
      </c>
    </row>
    <row r="91" spans="1:2" x14ac:dyDescent="0.35">
      <c r="B91" s="102"/>
    </row>
    <row r="92" spans="1:2" x14ac:dyDescent="0.35">
      <c r="A92" t="s">
        <v>408</v>
      </c>
    </row>
    <row r="93" spans="1:2" x14ac:dyDescent="0.35">
      <c r="B93" s="102" t="s">
        <v>427</v>
      </c>
    </row>
    <row r="94" spans="1:2" x14ac:dyDescent="0.35">
      <c r="B94" s="102" t="s">
        <v>428</v>
      </c>
    </row>
    <row r="95" spans="1:2" x14ac:dyDescent="0.35">
      <c r="B95" s="102" t="s">
        <v>429</v>
      </c>
    </row>
    <row r="97" spans="1:2" x14ac:dyDescent="0.35">
      <c r="A97" t="s">
        <v>331</v>
      </c>
    </row>
    <row r="98" spans="1:2" x14ac:dyDescent="0.35">
      <c r="B98" s="102" t="s">
        <v>332</v>
      </c>
    </row>
    <row r="99" spans="1:2" x14ac:dyDescent="0.35">
      <c r="B99" s="102" t="s">
        <v>333</v>
      </c>
    </row>
    <row r="100" spans="1:2" x14ac:dyDescent="0.35">
      <c r="B100" s="102"/>
    </row>
    <row r="101" spans="1:2" x14ac:dyDescent="0.35">
      <c r="A101" t="s">
        <v>617</v>
      </c>
      <c r="B101" s="102"/>
    </row>
    <row r="102" spans="1:2" x14ac:dyDescent="0.35">
      <c r="B102" s="102" t="s">
        <v>618</v>
      </c>
    </row>
    <row r="103" spans="1:2" x14ac:dyDescent="0.35">
      <c r="B103" s="102" t="s">
        <v>632</v>
      </c>
    </row>
    <row r="104" spans="1:2" x14ac:dyDescent="0.35">
      <c r="B104" s="102" t="s">
        <v>645</v>
      </c>
    </row>
    <row r="105" spans="1:2" x14ac:dyDescent="0.35">
      <c r="B105" s="102" t="s">
        <v>646</v>
      </c>
    </row>
    <row r="107" spans="1:2" x14ac:dyDescent="0.35">
      <c r="A107" s="7" t="s">
        <v>334</v>
      </c>
    </row>
    <row r="109" spans="1:2" x14ac:dyDescent="0.35">
      <c r="A109" t="s">
        <v>335</v>
      </c>
    </row>
    <row r="110" spans="1:2" x14ac:dyDescent="0.35">
      <c r="B110" s="102" t="s">
        <v>336</v>
      </c>
    </row>
    <row r="111" spans="1:2" x14ac:dyDescent="0.35">
      <c r="B111" s="102" t="s">
        <v>337</v>
      </c>
    </row>
    <row r="112" spans="1:2" x14ac:dyDescent="0.35">
      <c r="B112" s="102"/>
    </row>
    <row r="113" spans="1:2" x14ac:dyDescent="0.35">
      <c r="A113" t="s">
        <v>338</v>
      </c>
      <c r="B113" s="102"/>
    </row>
    <row r="114" spans="1:2" x14ac:dyDescent="0.35">
      <c r="B114" s="102" t="s">
        <v>339</v>
      </c>
    </row>
    <row r="115" spans="1:2" x14ac:dyDescent="0.35">
      <c r="B115" s="102" t="s">
        <v>340</v>
      </c>
    </row>
    <row r="117" spans="1:2" x14ac:dyDescent="0.35">
      <c r="A117" t="s">
        <v>341</v>
      </c>
    </row>
    <row r="118" spans="1:2" x14ac:dyDescent="0.35">
      <c r="B118" s="102" t="s">
        <v>342</v>
      </c>
    </row>
    <row r="119" spans="1:2" x14ac:dyDescent="0.35">
      <c r="B119" s="102" t="s">
        <v>343</v>
      </c>
    </row>
    <row r="121" spans="1:2" x14ac:dyDescent="0.35">
      <c r="A121" t="s">
        <v>344</v>
      </c>
    </row>
    <row r="122" spans="1:2" x14ac:dyDescent="0.35">
      <c r="B122" s="102" t="s">
        <v>342</v>
      </c>
    </row>
    <row r="123" spans="1:2" x14ac:dyDescent="0.35">
      <c r="B123" s="102" t="s">
        <v>343</v>
      </c>
    </row>
    <row r="124" spans="1:2" x14ac:dyDescent="0.35">
      <c r="B124" s="102" t="s">
        <v>345</v>
      </c>
    </row>
    <row r="125" spans="1:2" x14ac:dyDescent="0.35">
      <c r="B125" s="102" t="s">
        <v>346</v>
      </c>
    </row>
    <row r="126" spans="1:2" x14ac:dyDescent="0.35">
      <c r="B126" s="102" t="s">
        <v>347</v>
      </c>
    </row>
    <row r="127" spans="1:2" x14ac:dyDescent="0.35">
      <c r="B127" s="102"/>
    </row>
    <row r="128" spans="1:2" x14ac:dyDescent="0.35">
      <c r="A128" t="s">
        <v>469</v>
      </c>
      <c r="B128" s="102"/>
    </row>
    <row r="129" spans="1:2" x14ac:dyDescent="0.35">
      <c r="B129" s="102" t="s">
        <v>470</v>
      </c>
    </row>
    <row r="130" spans="1:2" x14ac:dyDescent="0.35">
      <c r="B130" s="102"/>
    </row>
    <row r="131" spans="1:2" x14ac:dyDescent="0.35">
      <c r="A131" t="s">
        <v>485</v>
      </c>
      <c r="B131" s="102"/>
    </row>
    <row r="132" spans="1:2" x14ac:dyDescent="0.35">
      <c r="B132" s="102" t="s">
        <v>486</v>
      </c>
    </row>
    <row r="133" spans="1:2" x14ac:dyDescent="0.35">
      <c r="B133" s="102"/>
    </row>
    <row r="134" spans="1:2" x14ac:dyDescent="0.35">
      <c r="A134" s="7" t="s">
        <v>348</v>
      </c>
    </row>
    <row r="136" spans="1:2" x14ac:dyDescent="0.35">
      <c r="A136" t="s">
        <v>335</v>
      </c>
    </row>
    <row r="137" spans="1:2" x14ac:dyDescent="0.35">
      <c r="B137" s="102" t="s">
        <v>351</v>
      </c>
    </row>
    <row r="138" spans="1:2" x14ac:dyDescent="0.35">
      <c r="B138" s="102" t="s">
        <v>349</v>
      </c>
    </row>
    <row r="139" spans="1:2" x14ac:dyDescent="0.35">
      <c r="B139" s="102" t="s">
        <v>350</v>
      </c>
    </row>
    <row r="140" spans="1:2" x14ac:dyDescent="0.35">
      <c r="B140" s="102"/>
    </row>
    <row r="141" spans="1:2" x14ac:dyDescent="0.35">
      <c r="A141" t="s">
        <v>352</v>
      </c>
      <c r="B141" s="102"/>
    </row>
    <row r="142" spans="1:2" x14ac:dyDescent="0.35">
      <c r="B142" s="102" t="s">
        <v>440</v>
      </c>
    </row>
    <row r="143" spans="1:2" x14ac:dyDescent="0.35">
      <c r="B143" s="102" t="s">
        <v>439</v>
      </c>
    </row>
    <row r="144" spans="1:2" x14ac:dyDescent="0.35">
      <c r="B144" s="102"/>
    </row>
    <row r="145" spans="1:2" x14ac:dyDescent="0.35">
      <c r="A145" t="s">
        <v>437</v>
      </c>
      <c r="B145" s="102"/>
    </row>
    <row r="146" spans="1:2" x14ac:dyDescent="0.35">
      <c r="B146" s="102" t="s">
        <v>438</v>
      </c>
    </row>
    <row r="147" spans="1:2" x14ac:dyDescent="0.35">
      <c r="B147" s="102"/>
    </row>
    <row r="148" spans="1:2" x14ac:dyDescent="0.35">
      <c r="A148" t="s">
        <v>441</v>
      </c>
      <c r="B148" s="102"/>
    </row>
    <row r="149" spans="1:2" x14ac:dyDescent="0.35">
      <c r="B149" s="102" t="s">
        <v>442</v>
      </c>
    </row>
    <row r="150" spans="1:2" x14ac:dyDescent="0.35">
      <c r="B150" s="102" t="s">
        <v>443</v>
      </c>
    </row>
    <row r="151" spans="1:2" x14ac:dyDescent="0.35">
      <c r="B151" s="102"/>
    </row>
    <row r="152" spans="1:2" x14ac:dyDescent="0.35">
      <c r="A152" t="s">
        <v>444</v>
      </c>
      <c r="B152" s="102"/>
    </row>
    <row r="153" spans="1:2" x14ac:dyDescent="0.35">
      <c r="B153" s="102" t="s">
        <v>442</v>
      </c>
    </row>
    <row r="154" spans="1:2" x14ac:dyDescent="0.35">
      <c r="B154" s="102" t="s">
        <v>445</v>
      </c>
    </row>
    <row r="155" spans="1:2" x14ac:dyDescent="0.35">
      <c r="B155" s="102" t="s">
        <v>446</v>
      </c>
    </row>
    <row r="156" spans="1:2" x14ac:dyDescent="0.35">
      <c r="B156" s="102"/>
    </row>
    <row r="157" spans="1:2" x14ac:dyDescent="0.35">
      <c r="A157" s="7" t="s">
        <v>426</v>
      </c>
      <c r="B157" s="102"/>
    </row>
    <row r="158" spans="1:2" x14ac:dyDescent="0.35">
      <c r="A158" s="7"/>
      <c r="B158" s="102"/>
    </row>
    <row r="159" spans="1:2" x14ac:dyDescent="0.35">
      <c r="A159" s="103" t="s">
        <v>447</v>
      </c>
      <c r="B159" s="102"/>
    </row>
    <row r="160" spans="1:2" x14ac:dyDescent="0.35">
      <c r="A160" s="7"/>
      <c r="B160" s="102" t="s">
        <v>449</v>
      </c>
    </row>
    <row r="161" spans="1:2" x14ac:dyDescent="0.35">
      <c r="A161" s="7"/>
      <c r="B161" s="102" t="s">
        <v>450</v>
      </c>
    </row>
    <row r="162" spans="1:2" x14ac:dyDescent="0.35">
      <c r="A162" s="7"/>
      <c r="B162" s="102" t="s">
        <v>451</v>
      </c>
    </row>
    <row r="163" spans="1:2" x14ac:dyDescent="0.35">
      <c r="A163" s="7"/>
      <c r="B163" s="102"/>
    </row>
    <row r="164" spans="1:2" x14ac:dyDescent="0.35">
      <c r="A164" t="s">
        <v>452</v>
      </c>
      <c r="B164" s="102"/>
    </row>
    <row r="165" spans="1:2" x14ac:dyDescent="0.35">
      <c r="A165" s="7"/>
      <c r="B165" s="102" t="s">
        <v>453</v>
      </c>
    </row>
    <row r="166" spans="1:2" x14ac:dyDescent="0.35">
      <c r="B166" s="102" t="s">
        <v>454</v>
      </c>
    </row>
    <row r="167" spans="1:2" x14ac:dyDescent="0.35">
      <c r="B167" s="102"/>
    </row>
    <row r="168" spans="1:2" x14ac:dyDescent="0.35">
      <c r="A168" t="s">
        <v>455</v>
      </c>
      <c r="B168" s="102"/>
    </row>
    <row r="169" spans="1:2" x14ac:dyDescent="0.35">
      <c r="B169" s="102" t="s">
        <v>453</v>
      </c>
    </row>
    <row r="170" spans="1:2" x14ac:dyDescent="0.35">
      <c r="B170" s="102" t="s">
        <v>454</v>
      </c>
    </row>
    <row r="171" spans="1:2" x14ac:dyDescent="0.35">
      <c r="B171" s="102"/>
    </row>
    <row r="172" spans="1:2" x14ac:dyDescent="0.35">
      <c r="A172" t="s">
        <v>456</v>
      </c>
      <c r="B172" s="102"/>
    </row>
    <row r="173" spans="1:2" x14ac:dyDescent="0.35">
      <c r="B173" s="102" t="s">
        <v>453</v>
      </c>
    </row>
    <row r="174" spans="1:2" x14ac:dyDescent="0.35">
      <c r="B174" s="102" t="s">
        <v>454</v>
      </c>
    </row>
    <row r="175" spans="1:2" x14ac:dyDescent="0.35">
      <c r="B175" s="102" t="s">
        <v>490</v>
      </c>
    </row>
    <row r="176" spans="1:2" x14ac:dyDescent="0.35">
      <c r="B176" s="102" t="s">
        <v>459</v>
      </c>
    </row>
    <row r="177" spans="1:2" x14ac:dyDescent="0.35">
      <c r="B177" s="102"/>
    </row>
    <row r="178" spans="1:2" x14ac:dyDescent="0.35">
      <c r="A178" t="s">
        <v>457</v>
      </c>
      <c r="B178" s="102"/>
    </row>
    <row r="179" spans="1:2" x14ac:dyDescent="0.35">
      <c r="B179" s="102" t="s">
        <v>458</v>
      </c>
    </row>
    <row r="180" spans="1:2" x14ac:dyDescent="0.35">
      <c r="B180" s="102"/>
    </row>
    <row r="181" spans="1:2" x14ac:dyDescent="0.35">
      <c r="A181" s="7" t="s">
        <v>432</v>
      </c>
      <c r="B181" s="102"/>
    </row>
    <row r="182" spans="1:2" x14ac:dyDescent="0.35">
      <c r="B182" s="102"/>
    </row>
    <row r="183" spans="1:2" x14ac:dyDescent="0.35">
      <c r="A183" t="s">
        <v>460</v>
      </c>
      <c r="B183" s="102"/>
    </row>
    <row r="184" spans="1:2" x14ac:dyDescent="0.35">
      <c r="B184" s="102" t="s">
        <v>461</v>
      </c>
    </row>
    <row r="185" spans="1:2" x14ac:dyDescent="0.35">
      <c r="B185" s="102"/>
    </row>
    <row r="186" spans="1:2" x14ac:dyDescent="0.35">
      <c r="A186" t="s">
        <v>462</v>
      </c>
      <c r="B186" s="102"/>
    </row>
    <row r="187" spans="1:2" x14ac:dyDescent="0.35">
      <c r="B187" s="102" t="s">
        <v>465</v>
      </c>
    </row>
    <row r="188" spans="1:2" x14ac:dyDescent="0.35">
      <c r="B188" s="102" t="s">
        <v>466</v>
      </c>
    </row>
    <row r="189" spans="1:2" x14ac:dyDescent="0.35">
      <c r="B189" s="102" t="s">
        <v>467</v>
      </c>
    </row>
    <row r="190" spans="1:2" x14ac:dyDescent="0.35">
      <c r="B190" s="102"/>
    </row>
    <row r="191" spans="1:2" x14ac:dyDescent="0.35">
      <c r="A191" t="s">
        <v>463</v>
      </c>
      <c r="B191" s="102"/>
    </row>
    <row r="192" spans="1:2" x14ac:dyDescent="0.35">
      <c r="B192" s="102" t="s">
        <v>464</v>
      </c>
    </row>
    <row r="193" spans="1:2" x14ac:dyDescent="0.35">
      <c r="B193" s="102"/>
    </row>
    <row r="194" spans="1:2" x14ac:dyDescent="0.35">
      <c r="A194" t="s">
        <v>455</v>
      </c>
      <c r="B194" s="102"/>
    </row>
    <row r="195" spans="1:2" x14ac:dyDescent="0.35">
      <c r="B195" s="102" t="s">
        <v>468</v>
      </c>
    </row>
    <row r="196" spans="1:2" x14ac:dyDescent="0.35">
      <c r="B196" s="102"/>
    </row>
    <row r="197" spans="1:2" x14ac:dyDescent="0.35">
      <c r="A197" s="7" t="s">
        <v>528</v>
      </c>
      <c r="B197" s="102"/>
    </row>
    <row r="198" spans="1:2" x14ac:dyDescent="0.35">
      <c r="A198" s="7"/>
      <c r="B198" s="102" t="s">
        <v>616</v>
      </c>
    </row>
    <row r="199" spans="1:2" x14ac:dyDescent="0.35">
      <c r="B199" s="102" t="s">
        <v>615</v>
      </c>
    </row>
    <row r="200" spans="1:2" x14ac:dyDescent="0.35">
      <c r="B200" s="102"/>
    </row>
    <row r="201" spans="1:2" s="7" customFormat="1" x14ac:dyDescent="0.35">
      <c r="A201" s="7" t="s">
        <v>675</v>
      </c>
      <c r="B201" s="268"/>
    </row>
    <row r="202" spans="1:2" x14ac:dyDescent="0.35">
      <c r="B202" s="102"/>
    </row>
    <row r="203" spans="1:2" x14ac:dyDescent="0.35">
      <c r="A203" t="s">
        <v>693</v>
      </c>
      <c r="B203" s="102"/>
    </row>
    <row r="204" spans="1:2" x14ac:dyDescent="0.35">
      <c r="B204" s="102" t="s">
        <v>694</v>
      </c>
    </row>
    <row r="205" spans="1:2" x14ac:dyDescent="0.35">
      <c r="B205" s="102"/>
    </row>
    <row r="206" spans="1:2" x14ac:dyDescent="0.35">
      <c r="A206" t="s">
        <v>695</v>
      </c>
      <c r="B206" s="102"/>
    </row>
    <row r="207" spans="1:2" x14ac:dyDescent="0.35">
      <c r="B207" s="102" t="s">
        <v>460</v>
      </c>
    </row>
    <row r="208" spans="1:2" x14ac:dyDescent="0.35">
      <c r="B208" s="102" t="s">
        <v>696</v>
      </c>
    </row>
    <row r="209" spans="1:2" x14ac:dyDescent="0.35">
      <c r="B209" s="102"/>
    </row>
    <row r="210" spans="1:2" x14ac:dyDescent="0.35">
      <c r="A210" t="s">
        <v>697</v>
      </c>
      <c r="B210" s="102"/>
    </row>
    <row r="211" spans="1:2" x14ac:dyDescent="0.35">
      <c r="B211" s="276" t="s">
        <v>460</v>
      </c>
    </row>
    <row r="212" spans="1:2" x14ac:dyDescent="0.35">
      <c r="B212" s="276" t="s">
        <v>696</v>
      </c>
    </row>
    <row r="213" spans="1:2" x14ac:dyDescent="0.35">
      <c r="B213" s="102" t="s">
        <v>698</v>
      </c>
    </row>
    <row r="214" spans="1:2" x14ac:dyDescent="0.35">
      <c r="B214" s="102"/>
    </row>
    <row r="215" spans="1:2" x14ac:dyDescent="0.35">
      <c r="A215" t="s">
        <v>699</v>
      </c>
      <c r="B215" s="102"/>
    </row>
    <row r="216" spans="1:2" x14ac:dyDescent="0.35">
      <c r="B216" s="102" t="s">
        <v>700</v>
      </c>
    </row>
    <row r="217" spans="1:2" x14ac:dyDescent="0.35">
      <c r="B217" s="102"/>
    </row>
    <row r="218" spans="1:2" x14ac:dyDescent="0.35">
      <c r="A218" s="7" t="s">
        <v>529</v>
      </c>
      <c r="B218" s="102"/>
    </row>
    <row r="219" spans="1:2" x14ac:dyDescent="0.35">
      <c r="A219" s="7"/>
      <c r="B219" s="102"/>
    </row>
    <row r="220" spans="1:2" x14ac:dyDescent="0.35">
      <c r="A220" s="103" t="s">
        <v>566</v>
      </c>
      <c r="B220" s="102"/>
    </row>
    <row r="221" spans="1:2" x14ac:dyDescent="0.35">
      <c r="A221" s="7"/>
      <c r="B221" s="102" t="s">
        <v>567</v>
      </c>
    </row>
    <row r="222" spans="1:2" x14ac:dyDescent="0.35">
      <c r="A222" s="7"/>
      <c r="B222" s="102" t="s">
        <v>568</v>
      </c>
    </row>
    <row r="223" spans="1:2" x14ac:dyDescent="0.35">
      <c r="A223" s="7"/>
      <c r="B223" s="102" t="s">
        <v>650</v>
      </c>
    </row>
    <row r="224" spans="1:2" x14ac:dyDescent="0.35">
      <c r="A224" s="7"/>
      <c r="B224" s="102" t="s">
        <v>569</v>
      </c>
    </row>
    <row r="225" spans="1:2" x14ac:dyDescent="0.35">
      <c r="A225" s="7"/>
      <c r="B225" s="102"/>
    </row>
    <row r="226" spans="1:2" x14ac:dyDescent="0.35">
      <c r="A226" s="103" t="s">
        <v>545</v>
      </c>
      <c r="B226" s="102"/>
    </row>
    <row r="227" spans="1:2" x14ac:dyDescent="0.35">
      <c r="A227" s="7"/>
      <c r="B227" s="102" t="s">
        <v>546</v>
      </c>
    </row>
    <row r="228" spans="1:2" x14ac:dyDescent="0.35">
      <c r="A228" s="7"/>
      <c r="B228" s="102" t="s">
        <v>547</v>
      </c>
    </row>
    <row r="229" spans="1:2" x14ac:dyDescent="0.35">
      <c r="A229" s="7"/>
      <c r="B229" s="102" t="s">
        <v>601</v>
      </c>
    </row>
    <row r="230" spans="1:2" x14ac:dyDescent="0.35">
      <c r="A230" s="7"/>
      <c r="B230" s="102" t="s">
        <v>602</v>
      </c>
    </row>
    <row r="231" spans="1:2" x14ac:dyDescent="0.35">
      <c r="B231" s="102"/>
    </row>
    <row r="232" spans="1:2" x14ac:dyDescent="0.35">
      <c r="A232" t="s">
        <v>530</v>
      </c>
      <c r="B232" s="102"/>
    </row>
    <row r="233" spans="1:2" x14ac:dyDescent="0.35">
      <c r="B233" s="102" t="s">
        <v>531</v>
      </c>
    </row>
    <row r="234" spans="1:2" x14ac:dyDescent="0.35">
      <c r="B234" s="102"/>
    </row>
    <row r="235" spans="1:2" x14ac:dyDescent="0.35">
      <c r="A235" t="s">
        <v>651</v>
      </c>
      <c r="B235" s="102"/>
    </row>
    <row r="236" spans="1:2" x14ac:dyDescent="0.35">
      <c r="B236" s="102" t="s">
        <v>652</v>
      </c>
    </row>
    <row r="237" spans="1:2" x14ac:dyDescent="0.35">
      <c r="B237" s="102"/>
    </row>
    <row r="238" spans="1:2" x14ac:dyDescent="0.35">
      <c r="A238" t="s">
        <v>634</v>
      </c>
      <c r="B238" s="102"/>
    </row>
    <row r="239" spans="1:2" x14ac:dyDescent="0.35">
      <c r="B239" s="102" t="s">
        <v>635</v>
      </c>
    </row>
    <row r="240" spans="1:2" x14ac:dyDescent="0.35">
      <c r="B240" s="102" t="s">
        <v>648</v>
      </c>
    </row>
    <row r="242" spans="1:2" x14ac:dyDescent="0.35">
      <c r="A242" s="7" t="s">
        <v>564</v>
      </c>
    </row>
    <row r="243" spans="1:2" x14ac:dyDescent="0.35">
      <c r="A243" s="7"/>
    </row>
    <row r="244" spans="1:2" x14ac:dyDescent="0.35">
      <c r="B244" s="102" t="s">
        <v>563</v>
      </c>
    </row>
    <row r="245" spans="1:2" x14ac:dyDescent="0.35">
      <c r="B245" s="102" t="s">
        <v>565</v>
      </c>
    </row>
  </sheetData>
  <hyperlinks>
    <hyperlink ref="B23" location="Moving!A1" display="Moving Average Forecast (Example 1)" xr:uid="{00000000-0004-0000-0100-000000000000}"/>
    <hyperlink ref="B24" location="'Moving 1'!A1" display="Excel's Moving Average data analysis tool" xr:uid="{00000000-0004-0000-0100-000001000000}"/>
    <hyperlink ref="B25" location="'Moving 1a'!A1" display="Real Statistics Moving Average  data analysis tool" xr:uid="{00000000-0004-0000-0100-000002000000}"/>
    <hyperlink ref="B28" location="Weighted!A1" display="Weighted Moving Average (Example 1)" xr:uid="{00000000-0004-0000-0100-000003000000}"/>
    <hyperlink ref="B29" location="'Weighted 2'!A1" display="Weighted Moving Average using Solver (Example 2)" xr:uid="{00000000-0004-0000-0100-000004000000}"/>
    <hyperlink ref="B32" location="Exp!A1" display="Simple Exponential Smoothing (Example 1)" xr:uid="{00000000-0004-0000-0100-000005000000}"/>
    <hyperlink ref="B33" location="'Exp 1'!A1" display="Excel's Exponential Smoothing data analysis tool" xr:uid="{00000000-0004-0000-0100-000006000000}"/>
    <hyperlink ref="B34" location="'Exp 1a'!A1" display="Real Statistics Single Exponential Smoothing data analysis tool" xr:uid="{00000000-0004-0000-0100-000007000000}"/>
    <hyperlink ref="B35" location="'Exp 2'!A1" display="Simple Exponential Smoothing using Solver (Example 2)" xr:uid="{00000000-0004-0000-0100-000008000000}"/>
    <hyperlink ref="B39" location="Holt!A1" display="Holt's Linear Trend (Example 1)" xr:uid="{00000000-0004-0000-0100-000009000000}"/>
    <hyperlink ref="B40" location="'Holt 2'!A1" display="Optimization of Holt's Method using Solver (Example 2)" xr:uid="{00000000-0004-0000-0100-00000A000000}"/>
    <hyperlink ref="B42" location="'Holt 2'!Q1" display="Forecasting using Holt's Linear Trend (Example 3)" xr:uid="{00000000-0004-0000-0100-00000B000000}"/>
    <hyperlink ref="B43" location="'Holt 3'!A1" display="Real Statistics Holt's Linear Trend data analysis tool" xr:uid="{00000000-0004-0000-0100-00000C000000}"/>
    <hyperlink ref="B47" location="'Holt-Winter'!A1" display="Holt-Winters (Example 1)" xr:uid="{00000000-0004-0000-0100-00000D000000}"/>
    <hyperlink ref="B48" location="'Holt-Winter 1'!A1" display="Holt-Winters Trend (Example 2)" xr:uid="{00000000-0004-0000-0100-00000E000000}"/>
    <hyperlink ref="B49" location="'Holt-Winter 2'!A1" display="Optimization of Holt-Winters using Solver (Example 3)" xr:uid="{00000000-0004-0000-0100-00000F000000}"/>
    <hyperlink ref="B54" location="'Holt-Winter 3'!A1" display="Holt-Winters Tool" xr:uid="{00000000-0004-0000-0100-000010000000}"/>
    <hyperlink ref="B61" location="Stationary!A1" display="Dow Jones Time Series (Example 1)" xr:uid="{00000000-0004-0000-0100-000011000000}"/>
    <hyperlink ref="B62" location="Stationary!L1" display="Lag 1 Differencing" xr:uid="{00000000-0004-0000-0100-000012000000}"/>
    <hyperlink ref="B65" location="'ACF 0'!A1" display="Autocorrelation Function (Example 1)" xr:uid="{00000000-0004-0000-0100-000013000000}"/>
    <hyperlink ref="B66" location="ACF!A1" display="ACF and Correlogram (Example 2)" xr:uid="{00000000-0004-0000-0100-000014000000}"/>
    <hyperlink ref="B67" location="ACF!O1" display="Bartlett's Test (Example 3)" xr:uid="{00000000-0004-0000-0100-000015000000}"/>
    <hyperlink ref="B68" location="ACF!T1" display="Box-Pierce Test (Example 4)" xr:uid="{00000000-0004-0000-0100-000016000000}"/>
    <hyperlink ref="B69" location="ACF!Y1" display="Ljung-Box Test (Example 5)" xr:uid="{00000000-0004-0000-0100-000017000000}"/>
    <hyperlink ref="B72" location="'PACF 1'!A1" display="PACF (Example 1)" xr:uid="{00000000-0004-0000-0100-000018000000}"/>
    <hyperlink ref="B73" location="'PACF 1'!R1" display="Calculation of PACF(4)" xr:uid="{00000000-0004-0000-0100-000019000000}"/>
    <hyperlink ref="B74" location="'PACF 1'!J27" display="Bartlett's test for PACF" xr:uid="{00000000-0004-0000-0100-00001A000000}"/>
    <hyperlink ref="B81" location="'WN 1'!A1" display="White Noise (Example 1)" xr:uid="{00000000-0004-0000-0100-00001B000000}"/>
    <hyperlink ref="B82" location="'WN 1'!A1" display="ACF and PACF for white noise" xr:uid="{00000000-0004-0000-0100-00001C000000}"/>
    <hyperlink ref="B85" location="'RW 1'!A1" display="Random Walk simulation (Example 1)" xr:uid="{00000000-0004-0000-0100-00001D000000}"/>
    <hyperlink ref="B86" location="'RW 1a'!A1" display="First differences" xr:uid="{00000000-0004-0000-0100-00001E000000}"/>
    <hyperlink ref="B89" location="'DT 1'!A1" display="Simulation (Example 1)" xr:uid="{00000000-0004-0000-0100-00001F000000}"/>
    <hyperlink ref="B90" location="'DT 1a'!A1" display="Detrending" xr:uid="{00000000-0004-0000-0100-000020000000}"/>
    <hyperlink ref="B98" location="'Test 1'!A1" display="Testing tool (Example 1)" xr:uid="{00000000-0004-0000-0100-000021000000}"/>
    <hyperlink ref="B99" location="'Test 2'!A1" display="Testing tool (Example 2)" xr:uid="{00000000-0004-0000-0100-000022000000}"/>
    <hyperlink ref="B110" location="'AR 1'!A1" display="Simulated AR(1) Process (Example 1)" xr:uid="{00000000-0004-0000-0100-000023000000}"/>
    <hyperlink ref="B111" location="'AR 1'!A1" display="ACF for AR(1) Process" xr:uid="{00000000-0004-0000-0100-000024000000}"/>
    <hyperlink ref="B114" location="'AR 1a'!A1" display="PACF for AR(1) Process" xr:uid="{00000000-0004-0000-0100-000025000000}"/>
    <hyperlink ref="B115" location="'AR 2'!A1" display="ACF and PACF for AR(2) Process" xr:uid="{00000000-0004-0000-0100-000026000000}"/>
    <hyperlink ref="B118" location="'AR 1d'!A1" display="Calculating coefficients for AR(1) process using ACF/PACF (Example 1)" xr:uid="{00000000-0004-0000-0100-000027000000}"/>
    <hyperlink ref="B119" location="'AR 2d'!A1" display="Calculating coefficients for AR(2) process (Example 2)" xr:uid="{00000000-0004-0000-0100-000028000000}"/>
    <hyperlink ref="B122" location="'AR 1b'!A1" display="Calculating coefficients for AR(1) process (Example 1)" xr:uid="{00000000-0004-0000-0100-000029000000}"/>
    <hyperlink ref="B123" location="'AR 2b'!A1" display="Calculating coefficients for AR(2) process (Example 2)" xr:uid="{00000000-0004-0000-0100-00002A000000}"/>
    <hyperlink ref="B124" location="'AR 2b'!AB1" display="Calculating coefficients for AR(2) process using Regression" xr:uid="{00000000-0004-0000-0100-00002B000000}"/>
    <hyperlink ref="B125" location="'AR 1c'!A1" display="Calculating coefficients for AR(1) process using Solver" xr:uid="{00000000-0004-0000-0100-00002C000000}"/>
    <hyperlink ref="B126" location="'AR 2c'!A1" display="Calculating coefficients for AR(2) process using Solver" xr:uid="{00000000-0004-0000-0100-00002D000000}"/>
    <hyperlink ref="B137" location="MA!A1" display="Simulated MA(1) Process (Example 1)" xr:uid="{00000000-0004-0000-0100-00002E000000}"/>
    <hyperlink ref="B138" location="'MA 1'!A1" display="ACF for MA(1) Process" xr:uid="{00000000-0004-0000-0100-00002F000000}"/>
    <hyperlink ref="B139" location="'MA 2'!A1" display="PACF for MA(1) Process (Example 2)" xr:uid="{00000000-0004-0000-0100-000030000000}"/>
    <hyperlink ref="B142" location="'MA 3'!A1" display="Represent AR(1) process as an MA(∞) process" xr:uid="{00000000-0004-0000-0100-000031000000}"/>
    <hyperlink ref="B244" location="'ADF Table'!A1" display="Table" xr:uid="{00000000-0004-0000-0100-000037000000}"/>
    <hyperlink ref="B93" location="'DF 0'!A1" display="Example 1 (no constant, no trend)" xr:uid="{00000000-0004-0000-0100-000038000000}"/>
    <hyperlink ref="B94" location="'DF 1'!A1" display="Example 1 (constant, no trend)" xr:uid="{00000000-0004-0000-0100-000039000000}"/>
    <hyperlink ref="B95" location="'DF 2'!A1" display="Example 1 (constant, trend)" xr:uid="{00000000-0004-0000-0100-00003A000000}"/>
    <hyperlink ref="B143" location="'MA 3'!E1" display="Represent AR(1) process as an MA(∞) process" xr:uid="{00000000-0004-0000-0100-00003B000000}"/>
    <hyperlink ref="B146" location="'MA 8'!A1" display="Roots of the characteristic equation for MA(3) process (Example 1)" xr:uid="{00000000-0004-0000-0100-00003C000000}"/>
    <hyperlink ref="B149" location="'MA 4'!A1" display="Estimating MA(1) coefficients (Example 1)" xr:uid="{00000000-0004-0000-0100-00003D000000}"/>
    <hyperlink ref="B150" location="'MA 4'!AB1" display="Confidence interval" xr:uid="{00000000-0004-0000-0100-00003E000000}"/>
    <hyperlink ref="B153" location="'MA 5'!A1" display="Estimating MA(1) coefficients (Example 1)" xr:uid="{00000000-0004-0000-0100-00003F000000}"/>
    <hyperlink ref="B154" location="'MA 6'!A1" display="Estimating MA(2) coefficients (Example 2)" xr:uid="{00000000-0004-0000-0100-000040000000}"/>
    <hyperlink ref="B155" location="'MA 7'!A1" display="Estimating MA(3) coefficients (extra example)" xr:uid="{00000000-0004-0000-0100-000041000000}"/>
    <hyperlink ref="B160" location="'ARMA 1.1f'!A1" display="Psi coefficients for ARMA(1,1) process" xr:uid="{00000000-0004-0000-0100-000042000000}"/>
    <hyperlink ref="B161" location="'ARMA 1.1'!A1" display="Simulate ARMA(1,1) process without constant (Example 2)" xr:uid="{00000000-0004-0000-0100-000043000000}"/>
    <hyperlink ref="B162" location="'ARMA 1.1a'!A1" display="Simulate ARMA(1,1) process with constant (Example 3)" xr:uid="{00000000-0004-0000-0100-000044000000}"/>
    <hyperlink ref="B165" location="'ARMA 1.1b'!A1" display="ARMA(1,1) process without constant" xr:uid="{00000000-0004-0000-0100-000045000000}"/>
    <hyperlink ref="B166" location="'ARMA 1.1c'!A1" display="ARMA(1,1) process without constant" xr:uid="{00000000-0004-0000-0100-000046000000}"/>
    <hyperlink ref="B169" location="'ARMA 1.1b'!A1" display="ARMA(1,1) process without constant" xr:uid="{00000000-0004-0000-0100-000047000000}"/>
    <hyperlink ref="B173" location="'ARMA 1.1d'!A1" display="ARMA(1,1) process without constant" xr:uid="{00000000-0004-0000-0100-000048000000}"/>
    <hyperlink ref="B174" location="'ARMA 1.1cc'!V1" display="ARMA(1,1) process with constant" xr:uid="{00000000-0004-0000-0100-000049000000}"/>
    <hyperlink ref="B173:B174" location="'ARMA 1.1d'!V1" display="ARMA(1,1) process without constant" xr:uid="{00000000-0004-0000-0100-00004A000000}"/>
    <hyperlink ref="B179" location="'AR 4'!A1" display="Linear regression option (Example 1)" xr:uid="{00000000-0004-0000-0100-00004B000000}"/>
    <hyperlink ref="B176" location="'ARMA 2.2'!A1" display="ARMA(2,2) process" xr:uid="{00000000-0004-0000-0100-000050000000}"/>
    <hyperlink ref="B184" location="Diff!A1" display="Differencing (Example 1)" xr:uid="{00000000-0004-0000-0100-000051000000}"/>
    <hyperlink ref="B187" location="'ARIMA 1'!A1" display="Finding ARIMA(2,1,1) coefficients (Example 1)" xr:uid="{00000000-0004-0000-0100-000052000000}"/>
    <hyperlink ref="B192" location="'ARIMA 1'!H1" display="AIC and BIC (Example 1)" xr:uid="{00000000-0004-0000-0100-000053000000}"/>
    <hyperlink ref="B188:B189" location="'ARIMA 1'!A1" display="Finding ARIMA(2,1,1) coefficients (Example 1)" xr:uid="{00000000-0004-0000-0100-000054000000}"/>
    <hyperlink ref="B188" location="'ARIMA 2'!A1" display="Finding ARIMA(2,1,1) coefficients with constant" xr:uid="{00000000-0004-0000-0100-000055000000}"/>
    <hyperlink ref="B189" location="'ARIMA 3'!A1" display="Finding ARIMA(2,1,2) coefficients" xr:uid="{00000000-0004-0000-0100-000056000000}"/>
    <hyperlink ref="B41" location="'Holt 4'!A1" display="Optimization of Holt's Method using Solver (minimize MSE)" xr:uid="{00000000-0004-0000-0100-000057000000}"/>
    <hyperlink ref="B132" location="'PP KPSS'!A1" display="PP and KPSS Test example" xr:uid="{00000000-0004-0000-0100-000058000000}"/>
    <hyperlink ref="B129" location="ADF!A1" display="ADF Test (Example 1)" xr:uid="{00000000-0004-0000-0100-000059000000}"/>
    <hyperlink ref="B170" location="'ARMA 1.1e'!V1" display="ARMA(1,1) process with constant" xr:uid="{00000000-0004-0000-0100-00005A000000}"/>
    <hyperlink ref="B175" location="'ARMA 2.1'!A1" display="ARMA(2,1) process" xr:uid="{00000000-0004-0000-0100-00005B000000}"/>
    <hyperlink ref="B11" location="Error!A1" display="Error statistics" xr:uid="{00000000-0004-0000-0100-00005C000000}"/>
    <hyperlink ref="B14" location="DM!A1" display="Diebold-Mariano Test and Comparison of Forecasts" xr:uid="{00000000-0004-0000-0100-00005D000000}"/>
    <hyperlink ref="B15" location="DM!M6" display="HLN Test" xr:uid="{00000000-0004-0000-0100-00005E000000}"/>
    <hyperlink ref="B18" location="PT!A1" display="Pesaran-Timmermann Test" xr:uid="{00000000-0004-0000-0100-00005F000000}"/>
    <hyperlink ref="B77" location="Correlogram!A1" display="Correlogram ACF" xr:uid="{00000000-0004-0000-0100-000060000000}"/>
    <hyperlink ref="B78" location="Correlogram!P1" display="Correlogram PACF" xr:uid="{00000000-0004-0000-0100-000061000000}"/>
    <hyperlink ref="B227" location="'Granger 1'!A1" display="Before differencing" xr:uid="{00000000-0004-0000-0100-000065000000}"/>
    <hyperlink ref="B228" location="'Granger 2'!A1" display="After differencing" xr:uid="{00000000-0004-0000-0100-000066000000}"/>
    <hyperlink ref="B233" location="Engle!A1" display="Engle-Granger Test" xr:uid="{00000000-0004-0000-0100-000067000000}"/>
    <hyperlink ref="B198" location="SARIMA!A1" display="Amazon Example" xr:uid="{00000000-0004-0000-0100-000068000000}"/>
    <hyperlink ref="B245" location="'EG Table'!A1" display="Engle-Granger Table" xr:uid="{00000000-0004-0000-0100-000069000000}"/>
    <hyperlink ref="B221" location="MK!A1" display="Mann-Kendall Test" xr:uid="{00000000-0004-0000-0100-00006A000000}"/>
    <hyperlink ref="B222" location="Sen!A1" display="Sen's Slope" xr:uid="{00000000-0004-0000-0100-00006B000000}"/>
    <hyperlink ref="B224" location="'MK + Sen'!A1" display="MK Test and Sen's Slope" xr:uid="{00000000-0004-0000-0100-00006C000000}"/>
    <hyperlink ref="B229" location="'Granger 3'!A1" display="Test in one direction" xr:uid="{00000000-0004-0000-0100-00006D000000}"/>
    <hyperlink ref="B230" location="'Granger 4'!A1" display="Test in other direction" xr:uid="{00000000-0004-0000-0100-00006E000000}"/>
    <hyperlink ref="B55" location="'Holt-Winters 4'!A1" display="Holt-Winters Multiplicative Tool with optimization" xr:uid="{00000000-0004-0000-0100-000070000000}"/>
    <hyperlink ref="B56" location="'Holt-Winters 4a'!A1" display="Holt-Winters Multiplicative Tool using MultiStart" xr:uid="{00000000-0004-0000-0100-000071000000}"/>
    <hyperlink ref="B50" location="'Holt-Winters 5'!A1" display="Holt-Winters Additive" xr:uid="{00000000-0004-0000-0100-000072000000}"/>
    <hyperlink ref="B199" location="'SARIMA 1'!A1" display="Amazon Example using Levenberg-Marquardt" xr:uid="{00000000-0004-0000-0100-000073000000}"/>
    <hyperlink ref="B102" location="'Missing 1'!A1" display="Imputation techniques" xr:uid="{00000000-0004-0000-0100-000074000000}"/>
    <hyperlink ref="B103" location="'Missing 2'!A1" display="Imputation techniques for seasonal time series" xr:uid="{00000000-0004-0000-0100-000075000000}"/>
    <hyperlink ref="B239" location="ARIMAX!A1" display="ARIMAX Example" xr:uid="{00000000-0004-0000-0100-000076000000}"/>
    <hyperlink ref="B104" location="'Missing 3'!A1" display="Split seasonality" xr:uid="{00000000-0004-0000-0100-000077000000}"/>
    <hyperlink ref="B105" location="'Missing 4'!A1" display="Deseasonality" xr:uid="{00000000-0004-0000-0100-000078000000}"/>
    <hyperlink ref="B240" location="'ARIMAX 1'!A1" display="Real Statistics example with forecast" xr:uid="{00000000-0004-0000-0100-000079000000}"/>
    <hyperlink ref="B223" location="'MK Tool'!A1" display="Real Statistics Tool for MK Tests and Sen's Slope" xr:uid="{00000000-0004-0000-0100-00007A000000}"/>
    <hyperlink ref="B236" location="Cross!A1" display="Cross correlation example" xr:uid="{00000000-0004-0000-0100-00007B000000}"/>
    <hyperlink ref="B36" location="'Exp 3'!A1" display="Real Statistics EMA data analysis tool with optimization" xr:uid="{9F28E936-2A27-4122-B6C9-5570DB6F1357}"/>
    <hyperlink ref="B44" location="'Holt 5'!A1" display="Real Statistics Holt's Linear Trend data analysis tool with optimization" xr:uid="{1AE8543C-DC60-487E-9B41-108970D7A8D5}"/>
    <hyperlink ref="B51" location="'Holt Winters 6'!A1" display="Holt-Winters Additive data analysis tool" xr:uid="{5E79175B-A70D-4A02-AAF0-F4F87B137218}"/>
    <hyperlink ref="B204" location="Crime!A1" display="Panel data format" xr:uid="{7B40D541-8845-44A9-8248-7E174799C7BE}"/>
    <hyperlink ref="B207" location="'Diff 2'!A1" display="Differencing" xr:uid="{11F34933-C847-417B-A825-BA3C6924BCD6}"/>
    <hyperlink ref="B208" location="'Demean 2'!A1" display="Demeaning" xr:uid="{C477CE56-01E8-4163-B6D8-155CCE380FD9}"/>
    <hyperlink ref="B211" location="'Diff 3'!A1" display="Differencing" xr:uid="{FCFEE87B-3486-4357-BDEF-078E24B32928}"/>
    <hyperlink ref="B212" location="'Demean 3'!A1" display="Demeaning" xr:uid="{90694760-5A6C-4D5B-8CBA-7128054A896F}"/>
    <hyperlink ref="B213" location="LSDV!A1" display="LSDV" xr:uid="{C4498A75-6900-4784-AD2C-D75265250A0F}"/>
    <hyperlink ref="B216" location="REM!A1" display="REM" xr:uid="{CDF83470-933C-449E-AB29-3BEE7B61906D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E00F7-2B70-4028-BE20-314E9A590AEE}">
  <dimension ref="A1:K27"/>
  <sheetViews>
    <sheetView workbookViewId="0"/>
  </sheetViews>
  <sheetFormatPr defaultRowHeight="14.5" x14ac:dyDescent="0.35"/>
  <cols>
    <col min="1" max="2" width="6.08984375" customWidth="1"/>
    <col min="4" max="4" width="3.36328125" customWidth="1"/>
  </cols>
  <sheetData>
    <row r="1" spans="1:11" x14ac:dyDescent="0.35">
      <c r="A1" s="7" t="s">
        <v>667</v>
      </c>
    </row>
    <row r="3" spans="1:11" x14ac:dyDescent="0.35">
      <c r="A3" s="266" t="s">
        <v>3</v>
      </c>
      <c r="B3" s="266" t="s">
        <v>1</v>
      </c>
      <c r="D3" t="s">
        <v>281</v>
      </c>
      <c r="H3" t="s">
        <v>665</v>
      </c>
      <c r="I3" s="119">
        <v>0.05</v>
      </c>
    </row>
    <row r="4" spans="1:11" ht="15" thickBot="1" x14ac:dyDescent="0.4">
      <c r="A4">
        <v>1</v>
      </c>
      <c r="B4">
        <v>3</v>
      </c>
    </row>
    <row r="5" spans="1:11" ht="15" thickTop="1" x14ac:dyDescent="0.35">
      <c r="A5">
        <f>A4+1</f>
        <v>2</v>
      </c>
      <c r="B5">
        <v>5</v>
      </c>
      <c r="D5" s="45" t="str">
        <f>A3</f>
        <v>t</v>
      </c>
      <c r="E5" s="45" t="str">
        <f>B3</f>
        <v>y</v>
      </c>
      <c r="F5" s="45" t="s">
        <v>17</v>
      </c>
      <c r="G5" s="45" t="s">
        <v>18</v>
      </c>
      <c r="H5" s="45" t="s">
        <v>179</v>
      </c>
      <c r="I5" s="45" t="s">
        <v>81</v>
      </c>
      <c r="J5" s="45" t="s">
        <v>127</v>
      </c>
      <c r="K5" s="45" t="s">
        <v>128</v>
      </c>
    </row>
    <row r="6" spans="1:11" x14ac:dyDescent="0.35">
      <c r="A6">
        <f t="shared" ref="A6:A18" si="0">A5+1</f>
        <v>3</v>
      </c>
      <c r="B6">
        <v>9</v>
      </c>
      <c r="D6">
        <f>A4</f>
        <v>1</v>
      </c>
      <c r="E6">
        <f>B4</f>
        <v>3</v>
      </c>
      <c r="F6">
        <f>E6</f>
        <v>3</v>
      </c>
      <c r="G6">
        <v>0</v>
      </c>
    </row>
    <row r="7" spans="1:11" x14ac:dyDescent="0.35">
      <c r="A7">
        <f t="shared" si="0"/>
        <v>4</v>
      </c>
      <c r="B7">
        <v>20</v>
      </c>
      <c r="D7">
        <f t="shared" ref="D7:E20" si="1">A5</f>
        <v>2</v>
      </c>
      <c r="E7">
        <f t="shared" si="1"/>
        <v>5</v>
      </c>
      <c r="F7">
        <f>$E$27*E7+(1-$E$27)*(F6+G6)</f>
        <v>3.4304107842233211</v>
      </c>
      <c r="G7">
        <f>$F$27*(F7-F6)+(1-$F$27)*G6</f>
        <v>0.37875059402655031</v>
      </c>
      <c r="H7">
        <f>F6+G6</f>
        <v>3</v>
      </c>
    </row>
    <row r="8" spans="1:11" x14ac:dyDescent="0.35">
      <c r="A8">
        <f t="shared" si="0"/>
        <v>5</v>
      </c>
      <c r="B8">
        <v>12</v>
      </c>
      <c r="D8">
        <f t="shared" si="1"/>
        <v>3</v>
      </c>
      <c r="E8">
        <f t="shared" si="1"/>
        <v>9</v>
      </c>
      <c r="F8">
        <f t="shared" ref="F8:F20" si="2">$E$27*E8+(1-$E$27)*(F7+G7)</f>
        <v>4.9262578392319583</v>
      </c>
      <c r="G8">
        <f t="shared" ref="G8:G20" si="3">$F$27*(F8-F7)+(1-$F$27)*G7</f>
        <v>1.3617671997684597</v>
      </c>
      <c r="H8">
        <f t="shared" ref="H8:H20" si="4">F7+G7</f>
        <v>3.8091613782498714</v>
      </c>
      <c r="I8">
        <f>SQRT(SUMXMY2(E$7:E7,H$7:H7)/COUNT(H$7:H7))</f>
        <v>2</v>
      </c>
      <c r="J8">
        <f>H8-_xlfn.NORM.S.INV(1-I$3/2)*I8</f>
        <v>-0.11076659083023577</v>
      </c>
      <c r="K8">
        <f>H8+_xlfn.NORM.S.INV(1-I$3/2)*I8</f>
        <v>7.7290893473299782</v>
      </c>
    </row>
    <row r="9" spans="1:11" x14ac:dyDescent="0.35">
      <c r="A9">
        <f t="shared" si="0"/>
        <v>6</v>
      </c>
      <c r="B9">
        <v>17</v>
      </c>
      <c r="D9">
        <f t="shared" si="1"/>
        <v>4</v>
      </c>
      <c r="E9">
        <f t="shared" si="1"/>
        <v>20</v>
      </c>
      <c r="F9">
        <f t="shared" si="2"/>
        <v>9.2389159871076014</v>
      </c>
      <c r="G9">
        <f t="shared" si="3"/>
        <v>3.9584765306463447</v>
      </c>
      <c r="H9">
        <f t="shared" si="4"/>
        <v>6.2880250390004182</v>
      </c>
      <c r="I9">
        <f>SQRT(SUMXMY2(E$7:E8,H$7:H8)/COUNT(H$7:H8))</f>
        <v>3.9334975274590405</v>
      </c>
      <c r="J9">
        <f t="shared" ref="J9:J24" si="5">H9-_xlfn.NORM.S.INV(1-I$3/2)*I9</f>
        <v>-1.4214884480966514</v>
      </c>
      <c r="K9">
        <f t="shared" ref="K9:K24" si="6">H9+_xlfn.NORM.S.INV(1-I$3/2)*I9</f>
        <v>13.997538526097488</v>
      </c>
    </row>
    <row r="10" spans="1:11" x14ac:dyDescent="0.35">
      <c r="A10">
        <f t="shared" si="0"/>
        <v>7</v>
      </c>
      <c r="B10">
        <v>22</v>
      </c>
      <c r="D10">
        <f t="shared" si="1"/>
        <v>5</v>
      </c>
      <c r="E10">
        <f t="shared" si="1"/>
        <v>12</v>
      </c>
      <c r="F10">
        <f t="shared" si="2"/>
        <v>12.939707191459142</v>
      </c>
      <c r="G10">
        <f t="shared" si="3"/>
        <v>3.7317199669552199</v>
      </c>
      <c r="H10">
        <f t="shared" si="4"/>
        <v>13.197392517753947</v>
      </c>
      <c r="I10">
        <f>SQRT(SUMXMY2(E$7:E9,H$7:H9)/COUNT(H$7:H9))</f>
        <v>8.5432831887226328</v>
      </c>
      <c r="J10">
        <f t="shared" si="5"/>
        <v>-3.5471348418689175</v>
      </c>
      <c r="K10">
        <f t="shared" si="6"/>
        <v>29.941919877376812</v>
      </c>
    </row>
    <row r="11" spans="1:11" x14ac:dyDescent="0.35">
      <c r="A11">
        <f t="shared" si="0"/>
        <v>8</v>
      </c>
      <c r="B11">
        <v>23</v>
      </c>
      <c r="D11">
        <f t="shared" si="1"/>
        <v>6</v>
      </c>
      <c r="E11">
        <f t="shared" si="1"/>
        <v>17</v>
      </c>
      <c r="F11">
        <f t="shared" si="2"/>
        <v>16.742137805625042</v>
      </c>
      <c r="G11">
        <f t="shared" si="3"/>
        <v>3.7939435464209961</v>
      </c>
      <c r="H11">
        <f t="shared" si="4"/>
        <v>16.67142715841436</v>
      </c>
      <c r="I11">
        <f>SQRT(SUMXMY2(E$7:E10,H$7:H10)/COUNT(H$7:H10))</f>
        <v>7.4228837349392958</v>
      </c>
      <c r="J11">
        <f t="shared" si="5"/>
        <v>2.1228423765051829</v>
      </c>
      <c r="K11">
        <f t="shared" si="6"/>
        <v>31.220011940323538</v>
      </c>
    </row>
    <row r="12" spans="1:11" x14ac:dyDescent="0.35">
      <c r="A12">
        <f t="shared" si="0"/>
        <v>9</v>
      </c>
      <c r="B12">
        <v>51</v>
      </c>
      <c r="D12">
        <f t="shared" si="1"/>
        <v>7</v>
      </c>
      <c r="E12">
        <f t="shared" si="1"/>
        <v>22</v>
      </c>
      <c r="F12">
        <f t="shared" si="2"/>
        <v>20.851124538698542</v>
      </c>
      <c r="G12">
        <f t="shared" si="3"/>
        <v>4.0711735751805502</v>
      </c>
      <c r="H12">
        <f t="shared" si="4"/>
        <v>20.53608135204604</v>
      </c>
      <c r="I12">
        <f>SQRT(SUMXMY2(E$7:E11,H$7:H11)/COUNT(H$7:H11))</f>
        <v>6.640854943182136</v>
      </c>
      <c r="J12">
        <f t="shared" si="5"/>
        <v>7.5202448368542694</v>
      </c>
      <c r="K12">
        <f t="shared" si="6"/>
        <v>33.551917867237812</v>
      </c>
    </row>
    <row r="13" spans="1:11" x14ac:dyDescent="0.35">
      <c r="A13">
        <f t="shared" si="0"/>
        <v>10</v>
      </c>
      <c r="B13">
        <v>41</v>
      </c>
      <c r="D13">
        <f t="shared" si="1"/>
        <v>8</v>
      </c>
      <c r="E13">
        <f t="shared" si="1"/>
        <v>23</v>
      </c>
      <c r="F13">
        <f t="shared" si="2"/>
        <v>24.508609194526237</v>
      </c>
      <c r="G13">
        <f t="shared" si="3"/>
        <v>3.7071377989166385</v>
      </c>
      <c r="H13">
        <f t="shared" si="4"/>
        <v>24.922298113879094</v>
      </c>
      <c r="I13">
        <f>SQRT(SUMXMY2(E$7:E12,H$7:H12)/COUNT(H$7:H12))</f>
        <v>6.0916312770029073</v>
      </c>
      <c r="J13">
        <f t="shared" si="5"/>
        <v>12.982920203855661</v>
      </c>
      <c r="K13">
        <f t="shared" si="6"/>
        <v>36.861676023902525</v>
      </c>
    </row>
    <row r="14" spans="1:11" x14ac:dyDescent="0.35">
      <c r="A14">
        <f t="shared" si="0"/>
        <v>11</v>
      </c>
      <c r="B14">
        <v>56</v>
      </c>
      <c r="D14">
        <f t="shared" si="1"/>
        <v>9</v>
      </c>
      <c r="E14">
        <f t="shared" si="1"/>
        <v>51</v>
      </c>
      <c r="F14">
        <f t="shared" si="2"/>
        <v>33.119041095690278</v>
      </c>
      <c r="G14">
        <f t="shared" si="3"/>
        <v>8.0219124792589973</v>
      </c>
      <c r="H14">
        <f t="shared" si="4"/>
        <v>28.215746993442874</v>
      </c>
      <c r="I14">
        <f>SQRT(SUMXMY2(E$7:E13,H$7:H13)/COUNT(H$7:H13))</f>
        <v>5.6863628813452012</v>
      </c>
      <c r="J14">
        <f t="shared" si="5"/>
        <v>17.070680542980874</v>
      </c>
      <c r="K14">
        <f t="shared" si="6"/>
        <v>39.360813443904874</v>
      </c>
    </row>
    <row r="15" spans="1:11" x14ac:dyDescent="0.35">
      <c r="A15">
        <f t="shared" si="0"/>
        <v>12</v>
      </c>
      <c r="B15">
        <v>75</v>
      </c>
      <c r="D15">
        <f t="shared" si="1"/>
        <v>10</v>
      </c>
      <c r="E15">
        <f t="shared" si="1"/>
        <v>41</v>
      </c>
      <c r="F15">
        <f t="shared" si="2"/>
        <v>41.110619605582777</v>
      </c>
      <c r="G15">
        <f t="shared" si="3"/>
        <v>7.9952193541378955</v>
      </c>
      <c r="H15">
        <f t="shared" si="4"/>
        <v>41.140953574949279</v>
      </c>
      <c r="I15">
        <f>SQRT(SUMXMY2(E$7:E14,H$7:H14)/COUNT(H$7:H14))</f>
        <v>9.653142265573365</v>
      </c>
      <c r="J15">
        <f t="shared" si="5"/>
        <v>22.221142396784106</v>
      </c>
      <c r="K15">
        <f t="shared" si="6"/>
        <v>60.060764753114455</v>
      </c>
    </row>
    <row r="16" spans="1:11" x14ac:dyDescent="0.35">
      <c r="A16">
        <f t="shared" si="0"/>
        <v>13</v>
      </c>
      <c r="B16">
        <v>60</v>
      </c>
      <c r="D16">
        <f t="shared" si="1"/>
        <v>11</v>
      </c>
      <c r="E16">
        <f t="shared" si="1"/>
        <v>56</v>
      </c>
      <c r="F16">
        <f t="shared" si="2"/>
        <v>50.589499589674915</v>
      </c>
      <c r="G16">
        <f t="shared" si="3"/>
        <v>9.3008031487981402</v>
      </c>
      <c r="H16">
        <f t="shared" si="4"/>
        <v>49.105838959720671</v>
      </c>
      <c r="I16">
        <f>SQRT(SUMXMY2(E$7:E15,H$7:H15)/COUNT(H$7:H15))</f>
        <v>9.1011910863083187</v>
      </c>
      <c r="J16">
        <f t="shared" si="5"/>
        <v>31.2678322141394</v>
      </c>
      <c r="K16">
        <f t="shared" si="6"/>
        <v>66.943845705301939</v>
      </c>
    </row>
    <row r="17" spans="1:11" x14ac:dyDescent="0.35">
      <c r="A17">
        <f t="shared" si="0"/>
        <v>14</v>
      </c>
      <c r="B17">
        <v>75</v>
      </c>
      <c r="D17">
        <f t="shared" si="1"/>
        <v>12</v>
      </c>
      <c r="E17">
        <f t="shared" si="1"/>
        <v>75</v>
      </c>
      <c r="F17">
        <f t="shared" si="2"/>
        <v>63.141991062328444</v>
      </c>
      <c r="G17">
        <f t="shared" si="3"/>
        <v>12.162206555480473</v>
      </c>
      <c r="H17">
        <f t="shared" si="4"/>
        <v>59.890302738473054</v>
      </c>
      <c r="I17">
        <f>SQRT(SUMXMY2(E$7:E16,H$7:H16)/COUNT(H$7:H16))</f>
        <v>8.9051365467059913</v>
      </c>
      <c r="J17">
        <f t="shared" si="5"/>
        <v>42.436555829517928</v>
      </c>
      <c r="K17">
        <f t="shared" si="6"/>
        <v>77.344049647428179</v>
      </c>
    </row>
    <row r="18" spans="1:11" x14ac:dyDescent="0.35">
      <c r="A18" s="4">
        <f t="shared" si="0"/>
        <v>15</v>
      </c>
      <c r="B18" s="4">
        <v>88</v>
      </c>
      <c r="D18">
        <f t="shared" si="1"/>
        <v>13</v>
      </c>
      <c r="E18">
        <f t="shared" si="1"/>
        <v>60</v>
      </c>
      <c r="F18">
        <f t="shared" si="2"/>
        <v>72.010651768514009</v>
      </c>
      <c r="G18">
        <f t="shared" si="3"/>
        <v>9.2639695860580531</v>
      </c>
      <c r="H18">
        <f t="shared" si="4"/>
        <v>75.30419761780891</v>
      </c>
      <c r="I18">
        <f>SQRT(SUMXMY2(E$7:E17,H$7:H17)/COUNT(H$7:H17))</f>
        <v>9.6357172705125027</v>
      </c>
      <c r="J18">
        <f t="shared" si="5"/>
        <v>56.418538802393812</v>
      </c>
      <c r="K18">
        <f t="shared" si="6"/>
        <v>94.189856433224008</v>
      </c>
    </row>
    <row r="19" spans="1:11" x14ac:dyDescent="0.35">
      <c r="D19">
        <f t="shared" si="1"/>
        <v>14</v>
      </c>
      <c r="E19">
        <f t="shared" si="1"/>
        <v>75</v>
      </c>
      <c r="F19">
        <f t="shared" si="2"/>
        <v>79.924289005609182</v>
      </c>
      <c r="G19">
        <f t="shared" si="3"/>
        <v>8.0757113033901291</v>
      </c>
      <c r="H19">
        <f t="shared" si="4"/>
        <v>81.274621354572062</v>
      </c>
      <c r="I19">
        <f>SQRT(SUMXMY2(E$7:E18,H$7:H18)/COUNT(H$7:H18))</f>
        <v>10.228782858575803</v>
      </c>
      <c r="J19">
        <f t="shared" si="5"/>
        <v>61.226575346082832</v>
      </c>
      <c r="K19">
        <f t="shared" si="6"/>
        <v>101.3226673630613</v>
      </c>
    </row>
    <row r="20" spans="1:11" x14ac:dyDescent="0.35">
      <c r="D20" s="4">
        <f t="shared" si="1"/>
        <v>15</v>
      </c>
      <c r="E20" s="4">
        <f t="shared" si="1"/>
        <v>88</v>
      </c>
      <c r="F20" s="4">
        <f t="shared" si="2"/>
        <v>88.000000242501002</v>
      </c>
      <c r="G20" s="4">
        <f t="shared" si="3"/>
        <v>8.0757112448733004</v>
      </c>
      <c r="H20" s="4">
        <f t="shared" si="4"/>
        <v>88.000000308999319</v>
      </c>
      <c r="I20" s="4">
        <f>SQRT(SUMXMY2(E$7:E19,H$7:H19)/COUNT(H$7:H19))</f>
        <v>9.9803917695494757</v>
      </c>
      <c r="J20" s="4">
        <f t="shared" si="5"/>
        <v>68.438791889082367</v>
      </c>
      <c r="K20" s="4">
        <f t="shared" si="6"/>
        <v>107.56120872891627</v>
      </c>
    </row>
    <row r="21" spans="1:11" x14ac:dyDescent="0.35">
      <c r="D21" s="1" t="s">
        <v>180</v>
      </c>
      <c r="H21">
        <f>$F$20+$G$20*(ROW(F21)-ROW($F$20))</f>
        <v>96.075711487374306</v>
      </c>
      <c r="I21">
        <f>SQRT(SUMXMY2(E$7:E20,H$7:H20)/COUNT(H$7:H20))</f>
        <v>9.6173461529452151</v>
      </c>
      <c r="J21">
        <f t="shared" si="5"/>
        <v>77.226059400746848</v>
      </c>
      <c r="K21">
        <f t="shared" si="6"/>
        <v>114.92536357400176</v>
      </c>
    </row>
    <row r="22" spans="1:11" x14ac:dyDescent="0.35">
      <c r="D22" s="1" t="s">
        <v>180</v>
      </c>
      <c r="H22">
        <f t="shared" ref="H22:H24" si="7">$F$20+$G$20*(ROW(F22)-ROW($F$20))</f>
        <v>104.1514227322476</v>
      </c>
      <c r="I22">
        <f>I$21*SQRT((I21/I$21)^2-1+(E$27*(1+(ROW(H22)-ROW(H$21))*F$27))^2+1)</f>
        <v>10.374640713108214</v>
      </c>
      <c r="J22">
        <f t="shared" si="5"/>
        <v>83.817500582012556</v>
      </c>
      <c r="K22">
        <f t="shared" si="6"/>
        <v>124.48534488248264</v>
      </c>
    </row>
    <row r="23" spans="1:11" x14ac:dyDescent="0.35">
      <c r="D23" s="1" t="s">
        <v>180</v>
      </c>
      <c r="H23">
        <f t="shared" si="7"/>
        <v>112.2271339771209</v>
      </c>
      <c r="I23">
        <f t="shared" ref="I23:I24" si="8">I$21*SQRT((I22/I$21)^2-1+(E$27*(1+(ROW(H23)-ROW(H$21))*F$27))^2+1)</f>
        <v>11.843281486183562</v>
      </c>
      <c r="J23">
        <f t="shared" si="5"/>
        <v>89.014728805431119</v>
      </c>
      <c r="K23">
        <f t="shared" si="6"/>
        <v>135.4395391488107</v>
      </c>
    </row>
    <row r="24" spans="1:11" x14ac:dyDescent="0.35">
      <c r="D24" s="1" t="s">
        <v>180</v>
      </c>
      <c r="H24">
        <f t="shared" si="7"/>
        <v>120.3028452219942</v>
      </c>
      <c r="I24">
        <f t="shared" si="8"/>
        <v>14.036308799537089</v>
      </c>
      <c r="J24">
        <f t="shared" si="5"/>
        <v>92.792185499018871</v>
      </c>
      <c r="K24">
        <f t="shared" si="6"/>
        <v>147.81350494496954</v>
      </c>
    </row>
    <row r="26" spans="1:11" x14ac:dyDescent="0.35">
      <c r="E26" s="265" t="s">
        <v>10</v>
      </c>
      <c r="F26" s="265" t="s">
        <v>16</v>
      </c>
      <c r="G26" s="265" t="s">
        <v>12</v>
      </c>
      <c r="H26" s="265" t="s">
        <v>4</v>
      </c>
      <c r="I26" s="265" t="s">
        <v>611</v>
      </c>
    </row>
    <row r="27" spans="1:11" x14ac:dyDescent="0.35">
      <c r="E27" s="46">
        <v>0.21520539211166034</v>
      </c>
      <c r="F27" s="47">
        <v>0.87997468444014026</v>
      </c>
      <c r="G27" s="231">
        <f>SUMPRODUCT(ABS(E7:E20-H7:H20))/COUNT(H7:H20)</f>
        <v>6.5944914191868085</v>
      </c>
      <c r="H27" s="50">
        <f>SUMXMY2(E7:E20,H7:H20)/COUNT(H7:H20)</f>
        <v>92.493347025570145</v>
      </c>
      <c r="I27" s="47">
        <f>SUMPRODUCT(ABS(1-H7:H20/E7:E20))/COUNT(H7:H20)</f>
        <v>0.21750580258197263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I22"/>
  <sheetViews>
    <sheetView workbookViewId="0"/>
  </sheetViews>
  <sheetFormatPr defaultRowHeight="14.5" x14ac:dyDescent="0.35"/>
  <cols>
    <col min="1" max="1" width="6.7265625" customWidth="1"/>
    <col min="2" max="2" width="5.81640625" customWidth="1"/>
  </cols>
  <sheetData>
    <row r="1" spans="1:9" x14ac:dyDescent="0.35">
      <c r="A1" s="7" t="s">
        <v>607</v>
      </c>
    </row>
    <row r="3" spans="1:9" x14ac:dyDescent="0.35">
      <c r="A3" s="8" t="s">
        <v>52</v>
      </c>
      <c r="B3" s="8" t="s">
        <v>3</v>
      </c>
      <c r="C3" s="8" t="s">
        <v>1</v>
      </c>
      <c r="D3" s="8" t="s">
        <v>17</v>
      </c>
      <c r="E3" s="8" t="s">
        <v>18</v>
      </c>
      <c r="F3" s="8" t="s">
        <v>27</v>
      </c>
      <c r="G3" s="8" t="s">
        <v>138</v>
      </c>
      <c r="H3" s="9" t="s">
        <v>6</v>
      </c>
      <c r="I3" s="9" t="s">
        <v>5</v>
      </c>
    </row>
    <row r="4" spans="1:9" x14ac:dyDescent="0.35">
      <c r="A4" s="3" t="s">
        <v>32</v>
      </c>
      <c r="B4" s="3">
        <v>1</v>
      </c>
      <c r="C4" s="3">
        <v>10</v>
      </c>
      <c r="D4" s="1"/>
      <c r="E4" s="1"/>
      <c r="F4" s="1">
        <f>C4/AVERAGE(C$4:C$7)</f>
        <v>0.70175438596491224</v>
      </c>
    </row>
    <row r="5" spans="1:9" x14ac:dyDescent="0.35">
      <c r="A5" s="3" t="s">
        <v>33</v>
      </c>
      <c r="B5" s="3">
        <f>B4+1</f>
        <v>2</v>
      </c>
      <c r="C5" s="3">
        <v>14</v>
      </c>
      <c r="D5" s="1"/>
      <c r="E5" s="1"/>
      <c r="F5" s="1">
        <f>C5/AVERAGE(C$4:C$7)</f>
        <v>0.98245614035087714</v>
      </c>
      <c r="G5" s="1"/>
      <c r="H5" s="1"/>
      <c r="I5" s="1"/>
    </row>
    <row r="6" spans="1:9" x14ac:dyDescent="0.35">
      <c r="A6" s="3" t="s">
        <v>34</v>
      </c>
      <c r="B6" s="3">
        <f t="shared" ref="B6:B19" si="0">B5+1</f>
        <v>3</v>
      </c>
      <c r="C6" s="3">
        <v>8</v>
      </c>
      <c r="D6" s="1"/>
      <c r="E6" s="1"/>
      <c r="F6" s="1">
        <f>C6/AVERAGE(C$4:C$7)</f>
        <v>0.56140350877192979</v>
      </c>
      <c r="G6" s="1"/>
      <c r="H6" s="1"/>
      <c r="I6" s="1"/>
    </row>
    <row r="7" spans="1:9" x14ac:dyDescent="0.35">
      <c r="A7" s="3" t="s">
        <v>35</v>
      </c>
      <c r="B7" s="3">
        <f t="shared" si="0"/>
        <v>4</v>
      </c>
      <c r="C7" s="3">
        <v>25</v>
      </c>
      <c r="D7" s="1">
        <f>C7/F7</f>
        <v>14.25</v>
      </c>
      <c r="E7" s="1">
        <v>0</v>
      </c>
      <c r="F7" s="1">
        <f>C7/AVERAGE(C$4:C$7)</f>
        <v>1.7543859649122806</v>
      </c>
      <c r="G7" s="1"/>
      <c r="H7" s="1"/>
      <c r="I7" s="1"/>
    </row>
    <row r="8" spans="1:9" x14ac:dyDescent="0.35">
      <c r="A8" s="3" t="s">
        <v>36</v>
      </c>
      <c r="B8" s="3">
        <f t="shared" si="0"/>
        <v>5</v>
      </c>
      <c r="C8" s="3">
        <v>16</v>
      </c>
      <c r="D8" s="1">
        <f>C$22*C8/F4+(1-C$22)*(D7+E7)</f>
        <v>18.524999999999999</v>
      </c>
      <c r="E8" s="1">
        <f>D$22*(D8-D7)+(1-D$22)*E7</f>
        <v>2.1374999999999993</v>
      </c>
      <c r="F8" s="1">
        <f>E$22*(C8/D8)+(1-E$22)*F4</f>
        <v>0.78272604588394068</v>
      </c>
      <c r="G8">
        <f>(D7+E7)*F4</f>
        <v>10</v>
      </c>
      <c r="H8">
        <f>ABS(C8-G8)</f>
        <v>6</v>
      </c>
      <c r="I8">
        <f>(C8-G8)^2</f>
        <v>36</v>
      </c>
    </row>
    <row r="9" spans="1:9" x14ac:dyDescent="0.35">
      <c r="A9" s="3" t="s">
        <v>37</v>
      </c>
      <c r="B9" s="3">
        <f t="shared" si="0"/>
        <v>6</v>
      </c>
      <c r="C9" s="3">
        <v>22</v>
      </c>
      <c r="D9" s="1">
        <f t="shared" ref="D9:D18" si="1">C$22*C9/F5+(1-C$22)*(D8+E8)</f>
        <v>21.52767857142857</v>
      </c>
      <c r="E9" s="1">
        <f t="shared" ref="E9:E19" si="2">D$22*(D9-D8)+(1-D$22)*E8</f>
        <v>2.5700892857142854</v>
      </c>
      <c r="F9" s="1">
        <f t="shared" ref="F9:F18" si="3">E$22*(C9/D9)+(1-E$22)*F5</f>
        <v>1.0021981668118287</v>
      </c>
      <c r="G9">
        <f t="shared" ref="G9:G18" si="4">(D8+E8)*F5</f>
        <v>20.299999999999997</v>
      </c>
      <c r="H9">
        <f t="shared" ref="H9:H18" si="5">ABS(C9-G9)</f>
        <v>1.7000000000000028</v>
      </c>
      <c r="I9">
        <f t="shared" ref="I9:I18" si="6">(C9-G9)^2</f>
        <v>2.8900000000000095</v>
      </c>
    </row>
    <row r="10" spans="1:9" x14ac:dyDescent="0.35">
      <c r="A10" s="3" t="s">
        <v>38</v>
      </c>
      <c r="B10" s="3">
        <f t="shared" si="0"/>
        <v>7</v>
      </c>
      <c r="C10" s="3">
        <v>14</v>
      </c>
      <c r="D10" s="1">
        <f t="shared" si="1"/>
        <v>24.517633928571428</v>
      </c>
      <c r="E10" s="1">
        <f t="shared" si="2"/>
        <v>2.7800223214285715</v>
      </c>
      <c r="F10" s="1">
        <f t="shared" si="3"/>
        <v>0.56621054452425823</v>
      </c>
      <c r="G10">
        <f t="shared" si="4"/>
        <v>13.528571428571427</v>
      </c>
      <c r="H10">
        <f t="shared" si="5"/>
        <v>0.47142857142857331</v>
      </c>
      <c r="I10">
        <f t="shared" si="6"/>
        <v>0.22224489795918545</v>
      </c>
    </row>
    <row r="11" spans="1:9" x14ac:dyDescent="0.35">
      <c r="A11" s="3" t="s">
        <v>39</v>
      </c>
      <c r="B11" s="3">
        <f t="shared" si="0"/>
        <v>8</v>
      </c>
      <c r="C11" s="3">
        <v>35</v>
      </c>
      <c r="D11" s="1">
        <f t="shared" si="1"/>
        <v>23.623828125000003</v>
      </c>
      <c r="E11" s="1">
        <f t="shared" si="2"/>
        <v>0.94310825892857331</v>
      </c>
      <c r="F11" s="1">
        <f t="shared" si="3"/>
        <v>1.6179704681118441</v>
      </c>
      <c r="G11">
        <f t="shared" si="4"/>
        <v>47.890624999999993</v>
      </c>
      <c r="H11">
        <f t="shared" si="5"/>
        <v>12.890624999999993</v>
      </c>
      <c r="I11">
        <f t="shared" si="6"/>
        <v>166.16821289062483</v>
      </c>
    </row>
    <row r="12" spans="1:9" x14ac:dyDescent="0.35">
      <c r="A12" s="3" t="s">
        <v>40</v>
      </c>
      <c r="B12" s="3">
        <f t="shared" si="0"/>
        <v>9</v>
      </c>
      <c r="C12" s="3">
        <v>15</v>
      </c>
      <c r="D12" s="1">
        <f t="shared" si="1"/>
        <v>21.865364743688424</v>
      </c>
      <c r="E12" s="1">
        <f t="shared" si="2"/>
        <v>-0.40767756119150267</v>
      </c>
      <c r="F12" s="1">
        <f t="shared" si="3"/>
        <v>0.73437125024194816</v>
      </c>
      <c r="G12">
        <f t="shared" si="4"/>
        <v>19.229180975274733</v>
      </c>
      <c r="H12">
        <f t="shared" si="5"/>
        <v>4.2291809752747334</v>
      </c>
      <c r="I12">
        <f t="shared" si="6"/>
        <v>17.885971721625744</v>
      </c>
    </row>
    <row r="13" spans="1:9" x14ac:dyDescent="0.35">
      <c r="A13" s="3" t="s">
        <v>41</v>
      </c>
      <c r="B13" s="3">
        <f t="shared" si="0"/>
        <v>10</v>
      </c>
      <c r="C13" s="3">
        <v>27</v>
      </c>
      <c r="D13" s="1">
        <f t="shared" si="1"/>
        <v>24.199233427368306</v>
      </c>
      <c r="E13" s="1">
        <f t="shared" si="2"/>
        <v>0.96309556124418938</v>
      </c>
      <c r="F13" s="1">
        <f t="shared" si="3"/>
        <v>1.0589679944405952</v>
      </c>
      <c r="G13">
        <f t="shared" si="4"/>
        <v>21.504854758320089</v>
      </c>
      <c r="H13">
        <f t="shared" si="5"/>
        <v>5.4951452416799107</v>
      </c>
      <c r="I13">
        <f t="shared" si="6"/>
        <v>30.196621227157365</v>
      </c>
    </row>
    <row r="14" spans="1:9" x14ac:dyDescent="0.35">
      <c r="A14" s="3" t="s">
        <v>42</v>
      </c>
      <c r="B14" s="3">
        <f t="shared" si="0"/>
        <v>11</v>
      </c>
      <c r="C14" s="3">
        <v>18</v>
      </c>
      <c r="D14" s="1">
        <f t="shared" si="1"/>
        <v>28.476311780130793</v>
      </c>
      <c r="E14" s="1">
        <f t="shared" si="2"/>
        <v>2.6200869570033385</v>
      </c>
      <c r="F14" s="1">
        <f t="shared" si="3"/>
        <v>0.59915743763699014</v>
      </c>
      <c r="G14">
        <f t="shared" si="4"/>
        <v>14.247175998140808</v>
      </c>
      <c r="H14">
        <f t="shared" si="5"/>
        <v>3.7528240018591923</v>
      </c>
      <c r="I14">
        <f t="shared" si="6"/>
        <v>14.083687988930443</v>
      </c>
    </row>
    <row r="15" spans="1:9" x14ac:dyDescent="0.35">
      <c r="A15" s="3" t="s">
        <v>43</v>
      </c>
      <c r="B15" s="3">
        <f t="shared" si="0"/>
        <v>12</v>
      </c>
      <c r="C15" s="3">
        <v>40</v>
      </c>
      <c r="D15" s="1">
        <f t="shared" si="1"/>
        <v>27.909364417110755</v>
      </c>
      <c r="E15" s="1">
        <f t="shared" si="2"/>
        <v>1.0265697969916503</v>
      </c>
      <c r="F15" s="1">
        <f t="shared" si="3"/>
        <v>1.5255905892011055</v>
      </c>
      <c r="G15">
        <f t="shared" si="4"/>
        <v>50.313054821313465</v>
      </c>
      <c r="H15">
        <f t="shared" si="5"/>
        <v>10.313054821313465</v>
      </c>
      <c r="I15">
        <f t="shared" si="6"/>
        <v>106.35909974741689</v>
      </c>
    </row>
    <row r="16" spans="1:9" x14ac:dyDescent="0.35">
      <c r="A16" s="3" t="s">
        <v>44</v>
      </c>
      <c r="B16" s="3">
        <f t="shared" si="0"/>
        <v>13</v>
      </c>
      <c r="C16" s="3">
        <v>28</v>
      </c>
      <c r="D16" s="1">
        <f t="shared" si="1"/>
        <v>33.531894235717417</v>
      </c>
      <c r="E16" s="1">
        <f t="shared" si="2"/>
        <v>3.3245498077991558</v>
      </c>
      <c r="F16" s="1">
        <f t="shared" si="3"/>
        <v>0.7846985726921708</v>
      </c>
      <c r="G16">
        <f t="shared" si="4"/>
        <v>21.249718185729147</v>
      </c>
      <c r="H16">
        <f t="shared" si="5"/>
        <v>6.7502818142708527</v>
      </c>
      <c r="I16">
        <f t="shared" si="6"/>
        <v>45.566304572075794</v>
      </c>
    </row>
    <row r="17" spans="1:9" x14ac:dyDescent="0.35">
      <c r="A17" s="3" t="s">
        <v>45</v>
      </c>
      <c r="B17" s="3">
        <f t="shared" si="0"/>
        <v>14</v>
      </c>
      <c r="C17" s="3">
        <v>40</v>
      </c>
      <c r="D17" s="1">
        <f t="shared" si="1"/>
        <v>37.314534077454638</v>
      </c>
      <c r="E17" s="1">
        <f t="shared" si="2"/>
        <v>3.5535948247681888</v>
      </c>
      <c r="F17" s="1">
        <f t="shared" si="3"/>
        <v>1.0654681785713374</v>
      </c>
      <c r="G17">
        <f t="shared" si="4"/>
        <v>39.02979463097477</v>
      </c>
      <c r="H17">
        <f t="shared" si="5"/>
        <v>0.97020536902522991</v>
      </c>
      <c r="I17">
        <f t="shared" si="6"/>
        <v>0.94129845808538259</v>
      </c>
    </row>
    <row r="18" spans="1:9" x14ac:dyDescent="0.35">
      <c r="A18" s="3" t="s">
        <v>46</v>
      </c>
      <c r="B18" s="3">
        <f t="shared" si="0"/>
        <v>15</v>
      </c>
      <c r="C18" s="3">
        <v>25</v>
      </c>
      <c r="D18" s="1">
        <f t="shared" si="1"/>
        <v>41.296694562653713</v>
      </c>
      <c r="E18" s="1">
        <f t="shared" si="2"/>
        <v>3.7678776549836313</v>
      </c>
      <c r="F18" s="1">
        <f t="shared" si="3"/>
        <v>0.6022663826225676</v>
      </c>
      <c r="G18">
        <f t="shared" si="4"/>
        <v>24.486443394074048</v>
      </c>
      <c r="H18">
        <f t="shared" si="5"/>
        <v>0.51355660592595243</v>
      </c>
      <c r="I18">
        <f t="shared" si="6"/>
        <v>0.26374038749018397</v>
      </c>
    </row>
    <row r="19" spans="1:9" x14ac:dyDescent="0.35">
      <c r="A19" s="10" t="s">
        <v>47</v>
      </c>
      <c r="B19" s="10">
        <f t="shared" si="0"/>
        <v>16</v>
      </c>
      <c r="C19" s="10">
        <v>65</v>
      </c>
      <c r="D19" s="2">
        <f>C$22*C19/F15+(1-C$22)*(D18+E18)</f>
        <v>43.835511384361979</v>
      </c>
      <c r="E19" s="2">
        <f t="shared" si="2"/>
        <v>3.1533472383459489</v>
      </c>
      <c r="F19" s="2">
        <f>E$22*(C19/D19)+(1-E$22)*F15</f>
        <v>1.5042033214176906</v>
      </c>
      <c r="G19" s="4">
        <f>(D18+E18)*F15</f>
        <v>68.750087281601125</v>
      </c>
      <c r="H19" s="4">
        <f>ABS(C19-G19)</f>
        <v>3.7500872816011253</v>
      </c>
      <c r="I19" s="4">
        <f>(C19-G19)^2</f>
        <v>14.063154619626518</v>
      </c>
    </row>
    <row r="21" spans="1:9" x14ac:dyDescent="0.35">
      <c r="C21" s="42" t="s">
        <v>10</v>
      </c>
      <c r="D21" s="42" t="s">
        <v>16</v>
      </c>
      <c r="E21" s="42" t="s">
        <v>26</v>
      </c>
      <c r="H21" s="3" t="s">
        <v>12</v>
      </c>
      <c r="I21" s="3" t="s">
        <v>4</v>
      </c>
    </row>
    <row r="22" spans="1:9" x14ac:dyDescent="0.35">
      <c r="C22" s="5">
        <v>0.5</v>
      </c>
      <c r="D22" s="15">
        <v>0.5</v>
      </c>
      <c r="E22" s="6">
        <v>0.5</v>
      </c>
      <c r="H22" s="5">
        <f>AVERAGE(H4:H19)</f>
        <v>4.7363658068649199</v>
      </c>
      <c r="I22" s="6">
        <f>AVERAGE(I4:I19)</f>
        <v>36.220028042582697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N23"/>
  <sheetViews>
    <sheetView workbookViewId="0"/>
  </sheetViews>
  <sheetFormatPr defaultRowHeight="14.5" x14ac:dyDescent="0.35"/>
  <cols>
    <col min="1" max="1" width="7.54296875" customWidth="1"/>
    <col min="12" max="13" width="9.1796875" style="3"/>
  </cols>
  <sheetData>
    <row r="1" spans="1:14" x14ac:dyDescent="0.35">
      <c r="A1" s="7" t="s">
        <v>25</v>
      </c>
    </row>
    <row r="3" spans="1:14" x14ac:dyDescent="0.35">
      <c r="A3" s="8" t="s">
        <v>52</v>
      </c>
      <c r="B3" s="8" t="s">
        <v>3</v>
      </c>
      <c r="C3" s="8" t="s">
        <v>1</v>
      </c>
      <c r="D3" s="8" t="s">
        <v>17</v>
      </c>
      <c r="E3" s="8" t="s">
        <v>18</v>
      </c>
      <c r="F3" s="8" t="s">
        <v>27</v>
      </c>
      <c r="G3" s="8" t="s">
        <v>138</v>
      </c>
      <c r="H3" s="9" t="s">
        <v>6</v>
      </c>
      <c r="I3" s="9" t="s">
        <v>5</v>
      </c>
      <c r="K3" s="8" t="s">
        <v>24</v>
      </c>
      <c r="L3" s="8" t="s">
        <v>3</v>
      </c>
      <c r="M3" s="8" t="s">
        <v>1</v>
      </c>
      <c r="N3" s="8" t="s">
        <v>138</v>
      </c>
    </row>
    <row r="4" spans="1:14" x14ac:dyDescent="0.35">
      <c r="A4" s="3" t="s">
        <v>32</v>
      </c>
      <c r="B4" s="3">
        <v>1</v>
      </c>
      <c r="C4" s="3">
        <v>10</v>
      </c>
      <c r="D4" s="1"/>
      <c r="E4" s="1"/>
      <c r="F4" s="1">
        <f>C4/AVERAGE(C$4:C$7)</f>
        <v>0.70175438596491224</v>
      </c>
      <c r="K4" s="3" t="s">
        <v>32</v>
      </c>
      <c r="L4" s="3">
        <v>1</v>
      </c>
      <c r="M4" s="3">
        <v>10</v>
      </c>
      <c r="N4" s="1"/>
    </row>
    <row r="5" spans="1:14" x14ac:dyDescent="0.35">
      <c r="A5" s="3" t="s">
        <v>33</v>
      </c>
      <c r="B5" s="3">
        <f>B4+1</f>
        <v>2</v>
      </c>
      <c r="C5" s="3">
        <v>14</v>
      </c>
      <c r="D5" s="1"/>
      <c r="E5" s="1"/>
      <c r="F5" s="1">
        <f>C5/AVERAGE(C$4:C$7)</f>
        <v>0.98245614035087714</v>
      </c>
      <c r="G5" s="1"/>
      <c r="H5" s="1"/>
      <c r="I5" s="1"/>
      <c r="K5" s="3" t="s">
        <v>33</v>
      </c>
      <c r="L5" s="3">
        <f>L4+1</f>
        <v>2</v>
      </c>
      <c r="M5" s="3">
        <v>14</v>
      </c>
      <c r="N5" s="1"/>
    </row>
    <row r="6" spans="1:14" x14ac:dyDescent="0.35">
      <c r="A6" s="3" t="s">
        <v>34</v>
      </c>
      <c r="B6" s="3">
        <f t="shared" ref="B6:B19" si="0">B5+1</f>
        <v>3</v>
      </c>
      <c r="C6" s="3">
        <v>8</v>
      </c>
      <c r="D6" s="1"/>
      <c r="E6" s="1"/>
      <c r="F6" s="1">
        <f>C6/AVERAGE(C$4:C$7)</f>
        <v>0.56140350877192979</v>
      </c>
      <c r="G6" s="1"/>
      <c r="H6" s="1"/>
      <c r="I6" s="1"/>
      <c r="K6" s="3" t="s">
        <v>34</v>
      </c>
      <c r="L6" s="3">
        <f t="shared" ref="L6:L23" si="1">L5+1</f>
        <v>3</v>
      </c>
      <c r="M6" s="3">
        <v>8</v>
      </c>
      <c r="N6" s="1"/>
    </row>
    <row r="7" spans="1:14" x14ac:dyDescent="0.35">
      <c r="A7" s="3" t="s">
        <v>35</v>
      </c>
      <c r="B7" s="3">
        <f t="shared" si="0"/>
        <v>4</v>
      </c>
      <c r="C7" s="3">
        <v>25</v>
      </c>
      <c r="D7" s="1">
        <f>C7/F7</f>
        <v>14.25</v>
      </c>
      <c r="E7" s="1">
        <v>0</v>
      </c>
      <c r="F7" s="1">
        <f>C7/AVERAGE(C$4:C$7)</f>
        <v>1.7543859649122806</v>
      </c>
      <c r="G7" s="1"/>
      <c r="H7" s="1"/>
      <c r="I7" s="1"/>
      <c r="K7" s="3" t="s">
        <v>35</v>
      </c>
      <c r="L7" s="3">
        <f t="shared" si="1"/>
        <v>4</v>
      </c>
      <c r="M7" s="3">
        <v>25</v>
      </c>
      <c r="N7" s="1"/>
    </row>
    <row r="8" spans="1:14" x14ac:dyDescent="0.35">
      <c r="A8" s="3" t="s">
        <v>36</v>
      </c>
      <c r="B8" s="3">
        <f t="shared" si="0"/>
        <v>5</v>
      </c>
      <c r="C8" s="3">
        <v>16</v>
      </c>
      <c r="D8" s="1">
        <f>C$22*C8/F4+(1-C$22)*(D7+E7)</f>
        <v>18.524999999999999</v>
      </c>
      <c r="E8" s="1">
        <f>D$22*(D8-D7)+(1-D$22)*E7</f>
        <v>2.1374999999999993</v>
      </c>
      <c r="F8" s="1">
        <f>E$22*(C8/D8)+(1-E$22)*F4</f>
        <v>0.78272604588394068</v>
      </c>
      <c r="G8">
        <f>(D7+E7)*F4</f>
        <v>10</v>
      </c>
      <c r="H8">
        <f t="shared" ref="H8:H19" si="2">ABS(C8-G8)</f>
        <v>6</v>
      </c>
      <c r="I8">
        <f t="shared" ref="I8:I19" si="3">(C8-G8)^2</f>
        <v>36</v>
      </c>
      <c r="K8" s="3" t="s">
        <v>36</v>
      </c>
      <c r="L8" s="3">
        <f t="shared" si="1"/>
        <v>5</v>
      </c>
      <c r="M8" s="3">
        <v>16</v>
      </c>
      <c r="N8" s="1">
        <f>G8</f>
        <v>10</v>
      </c>
    </row>
    <row r="9" spans="1:14" x14ac:dyDescent="0.35">
      <c r="A9" s="3" t="s">
        <v>37</v>
      </c>
      <c r="B9" s="3">
        <f t="shared" si="0"/>
        <v>6</v>
      </c>
      <c r="C9" s="3">
        <v>22</v>
      </c>
      <c r="D9" s="1">
        <f t="shared" ref="D9:D19" si="4">C$22*C9/F5+(1-C$22)*(D8+E8)</f>
        <v>21.52767857142857</v>
      </c>
      <c r="E9" s="1">
        <f t="shared" ref="E9:E19" si="5">D$22*(D9-D8)+(1-D$22)*E8</f>
        <v>2.5700892857142854</v>
      </c>
      <c r="F9" s="1">
        <f>E$22*(C9/D9)+(1-E$22)*F5</f>
        <v>1.0021981668118287</v>
      </c>
      <c r="G9">
        <f t="shared" ref="G9:G18" si="6">(D8+E8)*F5</f>
        <v>20.299999999999997</v>
      </c>
      <c r="H9">
        <f t="shared" si="2"/>
        <v>1.7000000000000028</v>
      </c>
      <c r="I9">
        <f t="shared" si="3"/>
        <v>2.8900000000000095</v>
      </c>
      <c r="K9" s="3" t="s">
        <v>37</v>
      </c>
      <c r="L9" s="3">
        <f t="shared" si="1"/>
        <v>6</v>
      </c>
      <c r="M9" s="3">
        <v>22</v>
      </c>
      <c r="N9" s="1">
        <f t="shared" ref="N9:N18" si="7">G9</f>
        <v>20.299999999999997</v>
      </c>
    </row>
    <row r="10" spans="1:14" x14ac:dyDescent="0.35">
      <c r="A10" s="3" t="s">
        <v>38</v>
      </c>
      <c r="B10" s="3">
        <f t="shared" si="0"/>
        <v>7</v>
      </c>
      <c r="C10" s="3">
        <v>14</v>
      </c>
      <c r="D10" s="1">
        <f t="shared" si="4"/>
        <v>24.517633928571428</v>
      </c>
      <c r="E10" s="1">
        <f t="shared" si="5"/>
        <v>2.7800223214285715</v>
      </c>
      <c r="F10" s="1">
        <f t="shared" ref="F10:F19" si="8">E$22*(C10/D10)+(1-E$22)*F6</f>
        <v>0.56621054452425823</v>
      </c>
      <c r="G10">
        <f t="shared" si="6"/>
        <v>13.528571428571427</v>
      </c>
      <c r="H10">
        <f t="shared" si="2"/>
        <v>0.47142857142857331</v>
      </c>
      <c r="I10">
        <f t="shared" si="3"/>
        <v>0.22224489795918545</v>
      </c>
      <c r="K10" s="3" t="s">
        <v>38</v>
      </c>
      <c r="L10" s="3">
        <f t="shared" si="1"/>
        <v>7</v>
      </c>
      <c r="M10" s="3">
        <v>14</v>
      </c>
      <c r="N10" s="1">
        <f t="shared" si="7"/>
        <v>13.528571428571427</v>
      </c>
    </row>
    <row r="11" spans="1:14" x14ac:dyDescent="0.35">
      <c r="A11" s="3" t="s">
        <v>39</v>
      </c>
      <c r="B11" s="3">
        <f t="shared" si="0"/>
        <v>8</v>
      </c>
      <c r="C11" s="3">
        <v>35</v>
      </c>
      <c r="D11" s="1">
        <f t="shared" si="4"/>
        <v>23.623828125000003</v>
      </c>
      <c r="E11" s="1">
        <f t="shared" si="5"/>
        <v>0.94310825892857331</v>
      </c>
      <c r="F11" s="1">
        <f t="shared" si="8"/>
        <v>1.6179704681118441</v>
      </c>
      <c r="G11">
        <f t="shared" si="6"/>
        <v>47.890624999999993</v>
      </c>
      <c r="H11">
        <f t="shared" si="2"/>
        <v>12.890624999999993</v>
      </c>
      <c r="I11">
        <f t="shared" si="3"/>
        <v>166.16821289062483</v>
      </c>
      <c r="K11" s="3" t="s">
        <v>39</v>
      </c>
      <c r="L11" s="3">
        <f t="shared" si="1"/>
        <v>8</v>
      </c>
      <c r="M11" s="3">
        <v>35</v>
      </c>
      <c r="N11" s="1">
        <f t="shared" si="7"/>
        <v>47.890624999999993</v>
      </c>
    </row>
    <row r="12" spans="1:14" x14ac:dyDescent="0.35">
      <c r="A12" s="3" t="s">
        <v>40</v>
      </c>
      <c r="B12" s="3">
        <f t="shared" si="0"/>
        <v>9</v>
      </c>
      <c r="C12" s="3">
        <v>15</v>
      </c>
      <c r="D12" s="1">
        <f t="shared" si="4"/>
        <v>21.865364743688424</v>
      </c>
      <c r="E12" s="1">
        <f t="shared" si="5"/>
        <v>-0.40767756119150267</v>
      </c>
      <c r="F12" s="1">
        <f t="shared" si="8"/>
        <v>0.73437125024194816</v>
      </c>
      <c r="G12">
        <f t="shared" si="6"/>
        <v>19.229180975274733</v>
      </c>
      <c r="H12">
        <f t="shared" si="2"/>
        <v>4.2291809752747334</v>
      </c>
      <c r="I12">
        <f t="shared" si="3"/>
        <v>17.885971721625744</v>
      </c>
      <c r="K12" s="3" t="s">
        <v>40</v>
      </c>
      <c r="L12" s="3">
        <f t="shared" si="1"/>
        <v>9</v>
      </c>
      <c r="M12" s="3">
        <v>15</v>
      </c>
      <c r="N12" s="1">
        <f t="shared" si="7"/>
        <v>19.229180975274733</v>
      </c>
    </row>
    <row r="13" spans="1:14" x14ac:dyDescent="0.35">
      <c r="A13" s="3" t="s">
        <v>41</v>
      </c>
      <c r="B13" s="3">
        <f t="shared" si="0"/>
        <v>10</v>
      </c>
      <c r="C13" s="3">
        <v>27</v>
      </c>
      <c r="D13" s="1">
        <f t="shared" si="4"/>
        <v>24.199233427368306</v>
      </c>
      <c r="E13" s="1">
        <f t="shared" si="5"/>
        <v>0.96309556124418938</v>
      </c>
      <c r="F13" s="1">
        <f t="shared" si="8"/>
        <v>1.0589679944405952</v>
      </c>
      <c r="G13">
        <f t="shared" si="6"/>
        <v>21.504854758320089</v>
      </c>
      <c r="H13">
        <f t="shared" si="2"/>
        <v>5.4951452416799107</v>
      </c>
      <c r="I13">
        <f t="shared" si="3"/>
        <v>30.196621227157365</v>
      </c>
      <c r="K13" s="3" t="s">
        <v>41</v>
      </c>
      <c r="L13" s="3">
        <f t="shared" si="1"/>
        <v>10</v>
      </c>
      <c r="M13" s="3">
        <v>27</v>
      </c>
      <c r="N13" s="1">
        <f t="shared" si="7"/>
        <v>21.504854758320089</v>
      </c>
    </row>
    <row r="14" spans="1:14" x14ac:dyDescent="0.35">
      <c r="A14" s="3" t="s">
        <v>42</v>
      </c>
      <c r="B14" s="3">
        <f t="shared" si="0"/>
        <v>11</v>
      </c>
      <c r="C14" s="3">
        <v>18</v>
      </c>
      <c r="D14" s="1">
        <f t="shared" si="4"/>
        <v>28.476311780130793</v>
      </c>
      <c r="E14" s="1">
        <f t="shared" si="5"/>
        <v>2.6200869570033385</v>
      </c>
      <c r="F14" s="1">
        <f t="shared" si="8"/>
        <v>0.59915743763699014</v>
      </c>
      <c r="G14">
        <f t="shared" si="6"/>
        <v>14.247175998140808</v>
      </c>
      <c r="H14">
        <f t="shared" si="2"/>
        <v>3.7528240018591923</v>
      </c>
      <c r="I14">
        <f t="shared" si="3"/>
        <v>14.083687988930443</v>
      </c>
      <c r="K14" s="3" t="s">
        <v>42</v>
      </c>
      <c r="L14" s="3">
        <f t="shared" si="1"/>
        <v>11</v>
      </c>
      <c r="M14" s="3">
        <v>18</v>
      </c>
      <c r="N14" s="1">
        <f t="shared" si="7"/>
        <v>14.247175998140808</v>
      </c>
    </row>
    <row r="15" spans="1:14" x14ac:dyDescent="0.35">
      <c r="A15" s="3" t="s">
        <v>43</v>
      </c>
      <c r="B15" s="3">
        <f t="shared" si="0"/>
        <v>12</v>
      </c>
      <c r="C15" s="3">
        <v>40</v>
      </c>
      <c r="D15" s="1">
        <f t="shared" si="4"/>
        <v>27.909364417110755</v>
      </c>
      <c r="E15" s="1">
        <f t="shared" si="5"/>
        <v>1.0265697969916503</v>
      </c>
      <c r="F15" s="1">
        <f t="shared" si="8"/>
        <v>1.5255905892011055</v>
      </c>
      <c r="G15">
        <f t="shared" si="6"/>
        <v>50.313054821313465</v>
      </c>
      <c r="H15">
        <f t="shared" si="2"/>
        <v>10.313054821313465</v>
      </c>
      <c r="I15">
        <f t="shared" si="3"/>
        <v>106.35909974741689</v>
      </c>
      <c r="K15" s="3" t="s">
        <v>43</v>
      </c>
      <c r="L15" s="3">
        <f t="shared" si="1"/>
        <v>12</v>
      </c>
      <c r="M15" s="3">
        <v>40</v>
      </c>
      <c r="N15" s="1">
        <f t="shared" si="7"/>
        <v>50.313054821313465</v>
      </c>
    </row>
    <row r="16" spans="1:14" x14ac:dyDescent="0.35">
      <c r="A16" s="3" t="s">
        <v>44</v>
      </c>
      <c r="B16" s="3">
        <f t="shared" si="0"/>
        <v>13</v>
      </c>
      <c r="C16" s="3">
        <v>28</v>
      </c>
      <c r="D16" s="1">
        <f t="shared" si="4"/>
        <v>33.531894235717417</v>
      </c>
      <c r="E16" s="1">
        <f t="shared" si="5"/>
        <v>3.3245498077991558</v>
      </c>
      <c r="F16" s="1">
        <f t="shared" si="8"/>
        <v>0.7846985726921708</v>
      </c>
      <c r="G16">
        <f t="shared" si="6"/>
        <v>21.249718185729147</v>
      </c>
      <c r="H16">
        <f t="shared" si="2"/>
        <v>6.7502818142708527</v>
      </c>
      <c r="I16">
        <f t="shared" si="3"/>
        <v>45.566304572075794</v>
      </c>
      <c r="K16" s="3" t="s">
        <v>44</v>
      </c>
      <c r="L16" s="3">
        <f t="shared" si="1"/>
        <v>13</v>
      </c>
      <c r="M16" s="3">
        <v>28</v>
      </c>
      <c r="N16" s="1">
        <f t="shared" si="7"/>
        <v>21.249718185729147</v>
      </c>
    </row>
    <row r="17" spans="1:14" x14ac:dyDescent="0.35">
      <c r="A17" s="3" t="s">
        <v>45</v>
      </c>
      <c r="B17" s="3">
        <f t="shared" si="0"/>
        <v>14</v>
      </c>
      <c r="C17" s="3">
        <v>40</v>
      </c>
      <c r="D17" s="1">
        <f t="shared" si="4"/>
        <v>37.314534077454638</v>
      </c>
      <c r="E17" s="1">
        <f t="shared" si="5"/>
        <v>3.5535948247681888</v>
      </c>
      <c r="F17" s="1">
        <f t="shared" si="8"/>
        <v>1.0654681785713374</v>
      </c>
      <c r="G17">
        <f t="shared" si="6"/>
        <v>39.02979463097477</v>
      </c>
      <c r="H17">
        <f t="shared" si="2"/>
        <v>0.97020536902522991</v>
      </c>
      <c r="I17">
        <f t="shared" si="3"/>
        <v>0.94129845808538259</v>
      </c>
      <c r="K17" s="3" t="s">
        <v>45</v>
      </c>
      <c r="L17" s="17">
        <f t="shared" si="1"/>
        <v>14</v>
      </c>
      <c r="M17" s="17">
        <v>40</v>
      </c>
      <c r="N17" s="1">
        <f t="shared" si="7"/>
        <v>39.02979463097477</v>
      </c>
    </row>
    <row r="18" spans="1:14" x14ac:dyDescent="0.35">
      <c r="A18" s="3" t="s">
        <v>46</v>
      </c>
      <c r="B18" s="3">
        <f t="shared" si="0"/>
        <v>15</v>
      </c>
      <c r="C18" s="3">
        <v>25</v>
      </c>
      <c r="D18" s="1">
        <f t="shared" si="4"/>
        <v>41.296694562653713</v>
      </c>
      <c r="E18" s="1">
        <f t="shared" si="5"/>
        <v>3.7678776549836313</v>
      </c>
      <c r="F18" s="1">
        <f t="shared" si="8"/>
        <v>0.6022663826225676</v>
      </c>
      <c r="G18">
        <f t="shared" si="6"/>
        <v>24.486443394074048</v>
      </c>
      <c r="H18">
        <f t="shared" si="2"/>
        <v>0.51355660592595243</v>
      </c>
      <c r="I18">
        <f t="shared" si="3"/>
        <v>0.26374038749018397</v>
      </c>
      <c r="K18" s="3" t="s">
        <v>46</v>
      </c>
      <c r="L18" s="17">
        <f t="shared" si="1"/>
        <v>15</v>
      </c>
      <c r="M18" s="17">
        <v>25</v>
      </c>
      <c r="N18" s="1">
        <f t="shared" si="7"/>
        <v>24.486443394074048</v>
      </c>
    </row>
    <row r="19" spans="1:14" x14ac:dyDescent="0.35">
      <c r="A19" s="10" t="s">
        <v>47</v>
      </c>
      <c r="B19" s="10">
        <f t="shared" si="0"/>
        <v>16</v>
      </c>
      <c r="C19" s="10">
        <v>65</v>
      </c>
      <c r="D19" s="2">
        <f t="shared" si="4"/>
        <v>43.835511384361979</v>
      </c>
      <c r="E19" s="2">
        <f t="shared" si="5"/>
        <v>3.1533472383459489</v>
      </c>
      <c r="F19" s="2">
        <f t="shared" si="8"/>
        <v>1.5042033214176906</v>
      </c>
      <c r="G19" s="4">
        <f>(D18+E18)*F15</f>
        <v>68.750087281601125</v>
      </c>
      <c r="H19" s="4">
        <f t="shared" si="2"/>
        <v>3.7500872816011253</v>
      </c>
      <c r="I19" s="4">
        <f t="shared" si="3"/>
        <v>14.063154619626518</v>
      </c>
      <c r="K19" s="3" t="s">
        <v>47</v>
      </c>
      <c r="L19" s="17">
        <f t="shared" si="1"/>
        <v>16</v>
      </c>
      <c r="M19" s="17">
        <v>65</v>
      </c>
      <c r="N19" s="1">
        <f>(D18+E18)*F15</f>
        <v>68.750087281601125</v>
      </c>
    </row>
    <row r="20" spans="1:14" x14ac:dyDescent="0.35">
      <c r="K20" s="3" t="s">
        <v>48</v>
      </c>
      <c r="L20" s="17">
        <f t="shared" si="1"/>
        <v>17</v>
      </c>
      <c r="M20" s="17"/>
      <c r="N20" s="1">
        <f>(D$19+(L20-L$19)*E$19)*F16</f>
        <v>36.872090293673118</v>
      </c>
    </row>
    <row r="21" spans="1:14" x14ac:dyDescent="0.35">
      <c r="C21" s="42" t="s">
        <v>10</v>
      </c>
      <c r="D21" s="42" t="s">
        <v>16</v>
      </c>
      <c r="E21" s="42" t="s">
        <v>26</v>
      </c>
      <c r="H21" s="3" t="s">
        <v>12</v>
      </c>
      <c r="I21" s="3" t="s">
        <v>4</v>
      </c>
      <c r="K21" s="3" t="s">
        <v>49</v>
      </c>
      <c r="L21" s="17">
        <f t="shared" si="1"/>
        <v>18</v>
      </c>
      <c r="M21" s="17"/>
      <c r="N21" s="1">
        <f>(D$19+(L21-L$19)*E$19)*F17</f>
        <v>53.424924748326106</v>
      </c>
    </row>
    <row r="22" spans="1:14" x14ac:dyDescent="0.35">
      <c r="C22" s="5">
        <v>0.5</v>
      </c>
      <c r="D22" s="15">
        <v>0.5</v>
      </c>
      <c r="E22" s="6">
        <v>0.5</v>
      </c>
      <c r="H22" s="5">
        <f>AVERAGE(H4:H19)</f>
        <v>4.7363658068649199</v>
      </c>
      <c r="I22" s="6">
        <f>AVERAGE(I4:I19)</f>
        <v>36.220028042582697</v>
      </c>
      <c r="K22" s="3" t="s">
        <v>50</v>
      </c>
      <c r="L22" s="17">
        <f t="shared" si="1"/>
        <v>19</v>
      </c>
      <c r="M22" s="17"/>
      <c r="N22" s="1">
        <f>(D$19+(L22-L$19)*E$19)*F18</f>
        <v>32.098119975044504</v>
      </c>
    </row>
    <row r="23" spans="1:14" x14ac:dyDescent="0.35">
      <c r="K23" s="10" t="s">
        <v>51</v>
      </c>
      <c r="L23" s="10">
        <f t="shared" si="1"/>
        <v>20</v>
      </c>
      <c r="M23" s="10"/>
      <c r="N23" s="2">
        <f>(D$19+(L23-L$19)*E$19)*F19</f>
        <v>84.910623378413391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I22"/>
  <sheetViews>
    <sheetView workbookViewId="0"/>
  </sheetViews>
  <sheetFormatPr defaultRowHeight="14.5" x14ac:dyDescent="0.35"/>
  <cols>
    <col min="1" max="1" width="7.54296875" customWidth="1"/>
    <col min="2" max="2" width="6.1796875" customWidth="1"/>
  </cols>
  <sheetData>
    <row r="1" spans="1:9" x14ac:dyDescent="0.35">
      <c r="A1" s="7" t="s">
        <v>25</v>
      </c>
    </row>
    <row r="3" spans="1:9" x14ac:dyDescent="0.35">
      <c r="A3" s="8" t="s">
        <v>52</v>
      </c>
      <c r="B3" s="8" t="s">
        <v>3</v>
      </c>
      <c r="C3" s="8" t="s">
        <v>1</v>
      </c>
      <c r="D3" s="8" t="s">
        <v>17</v>
      </c>
      <c r="E3" s="8" t="s">
        <v>18</v>
      </c>
      <c r="F3" s="8" t="s">
        <v>27</v>
      </c>
      <c r="G3" s="8" t="s">
        <v>138</v>
      </c>
      <c r="H3" s="9" t="s">
        <v>6</v>
      </c>
      <c r="I3" s="9" t="s">
        <v>5</v>
      </c>
    </row>
    <row r="4" spans="1:9" x14ac:dyDescent="0.35">
      <c r="A4" s="3" t="s">
        <v>28</v>
      </c>
      <c r="B4" s="3">
        <v>1</v>
      </c>
      <c r="C4" s="3">
        <v>10</v>
      </c>
      <c r="D4" s="1"/>
      <c r="E4" s="1"/>
      <c r="F4" s="1">
        <f>C4/AVERAGE(C$4:C$7)</f>
        <v>0.70175438596491224</v>
      </c>
    </row>
    <row r="5" spans="1:9" x14ac:dyDescent="0.35">
      <c r="A5" s="3" t="s">
        <v>29</v>
      </c>
      <c r="B5" s="3">
        <f>B4+1</f>
        <v>2</v>
      </c>
      <c r="C5" s="3">
        <v>14</v>
      </c>
      <c r="D5" s="1"/>
      <c r="E5" s="1"/>
      <c r="F5" s="1">
        <f>C5/AVERAGE(C$4:C$7)</f>
        <v>0.98245614035087714</v>
      </c>
      <c r="G5" s="1"/>
      <c r="H5" s="1"/>
      <c r="I5" s="1"/>
    </row>
    <row r="6" spans="1:9" x14ac:dyDescent="0.35">
      <c r="A6" s="3" t="s">
        <v>30</v>
      </c>
      <c r="B6" s="3">
        <f t="shared" ref="B6:B19" si="0">B5+1</f>
        <v>3</v>
      </c>
      <c r="C6" s="3">
        <v>8</v>
      </c>
      <c r="D6" s="1"/>
      <c r="E6" s="1"/>
      <c r="F6" s="1">
        <f>C6/AVERAGE(C$4:C$7)</f>
        <v>0.56140350877192979</v>
      </c>
      <c r="G6" s="1"/>
      <c r="H6" s="1"/>
      <c r="I6" s="1"/>
    </row>
    <row r="7" spans="1:9" x14ac:dyDescent="0.35">
      <c r="A7" s="3" t="s">
        <v>31</v>
      </c>
      <c r="B7" s="3">
        <f t="shared" si="0"/>
        <v>4</v>
      </c>
      <c r="C7" s="3">
        <v>25</v>
      </c>
      <c r="D7" s="1">
        <f>C7/F7</f>
        <v>14.25</v>
      </c>
      <c r="E7" s="1">
        <v>0</v>
      </c>
      <c r="F7" s="1">
        <f>C7/AVERAGE(C$4:C$7)</f>
        <v>1.7543859649122806</v>
      </c>
      <c r="G7" s="1"/>
      <c r="H7" s="1"/>
      <c r="I7" s="1"/>
    </row>
    <row r="8" spans="1:9" x14ac:dyDescent="0.35">
      <c r="A8" s="3" t="s">
        <v>28</v>
      </c>
      <c r="B8" s="3">
        <f t="shared" si="0"/>
        <v>5</v>
      </c>
      <c r="C8" s="3">
        <v>16</v>
      </c>
      <c r="D8" s="1">
        <f>C$22*C8/F4+(1-C$22)*(D7+E7)</f>
        <v>15.824264435918867</v>
      </c>
      <c r="E8" s="1">
        <f>D$22*(D8-D7)+(1-D$22)*E7</f>
        <v>0.69229210282652887</v>
      </c>
      <c r="F8" s="1">
        <f>E$22*(C8/D8)+(1-E$22)*F4</f>
        <v>0.83105522227948736</v>
      </c>
      <c r="G8">
        <f>(D7+E7)*F4</f>
        <v>10</v>
      </c>
      <c r="H8">
        <f t="shared" ref="H8:H19" si="1">ABS(C8-G8)</f>
        <v>6</v>
      </c>
      <c r="I8">
        <f t="shared" ref="I8:I19" si="2">(C8-G8)^2</f>
        <v>36</v>
      </c>
    </row>
    <row r="9" spans="1:9" x14ac:dyDescent="0.35">
      <c r="A9" s="3" t="s">
        <v>29</v>
      </c>
      <c r="B9" s="3">
        <f t="shared" si="0"/>
        <v>6</v>
      </c>
      <c r="C9" s="3">
        <v>22</v>
      </c>
      <c r="D9" s="1">
        <f t="shared" ref="D9:D19" si="3">C$22*C9/F5+(1-C$22)*(D8+E8)</f>
        <v>17.598527422467228</v>
      </c>
      <c r="E9" s="1">
        <f t="shared" ref="E9:E19" si="4">D$22*(D9-D8)+(1-D$22)*E8</f>
        <v>1.1680952024828237</v>
      </c>
      <c r="F9" s="1">
        <f t="shared" ref="F9:F19" si="5">E$22*(C9/D9)+(1-E$22)*F5</f>
        <v>1.0943263524545683</v>
      </c>
      <c r="G9">
        <f t="shared" ref="G9:G19" si="6">(D8+E8)*F5</f>
        <v>16.226792388942844</v>
      </c>
      <c r="H9">
        <f t="shared" si="1"/>
        <v>5.7732076110571562</v>
      </c>
      <c r="I9">
        <f t="shared" si="2"/>
        <v>33.329926120368278</v>
      </c>
    </row>
    <row r="10" spans="1:9" x14ac:dyDescent="0.35">
      <c r="A10" s="3" t="s">
        <v>30</v>
      </c>
      <c r="B10" s="3">
        <f t="shared" si="0"/>
        <v>7</v>
      </c>
      <c r="C10" s="3">
        <v>14</v>
      </c>
      <c r="D10" s="1">
        <f t="shared" si="3"/>
        <v>19.902832307986021</v>
      </c>
      <c r="E10" s="1">
        <f t="shared" si="4"/>
        <v>1.6677501351445774</v>
      </c>
      <c r="F10" s="1">
        <f t="shared" si="5"/>
        <v>0.62076171528409418</v>
      </c>
      <c r="G10">
        <f t="shared" si="6"/>
        <v>10.535647789445642</v>
      </c>
      <c r="H10">
        <f t="shared" si="1"/>
        <v>3.4643522105543578</v>
      </c>
      <c r="I10">
        <f t="shared" si="2"/>
        <v>12.001736238772866</v>
      </c>
    </row>
    <row r="11" spans="1:9" x14ac:dyDescent="0.35">
      <c r="A11" s="3" t="s">
        <v>31</v>
      </c>
      <c r="B11" s="3">
        <f t="shared" si="0"/>
        <v>8</v>
      </c>
      <c r="C11" s="3">
        <v>35</v>
      </c>
      <c r="D11" s="1">
        <f t="shared" si="3"/>
        <v>21.272193518487907</v>
      </c>
      <c r="E11" s="1">
        <f t="shared" si="4"/>
        <v>1.536531839547076</v>
      </c>
      <c r="F11" s="1">
        <f t="shared" si="5"/>
        <v>1.7088077183010313</v>
      </c>
      <c r="G11">
        <f t="shared" si="6"/>
        <v>37.843127093211571</v>
      </c>
      <c r="H11">
        <f t="shared" si="1"/>
        <v>2.8431270932115709</v>
      </c>
      <c r="I11">
        <f t="shared" si="2"/>
        <v>8.083371668153676</v>
      </c>
    </row>
    <row r="12" spans="1:9" x14ac:dyDescent="0.35">
      <c r="A12" s="3" t="s">
        <v>28</v>
      </c>
      <c r="B12" s="3">
        <f t="shared" si="0"/>
        <v>9</v>
      </c>
      <c r="C12" s="3">
        <v>15</v>
      </c>
      <c r="D12" s="1">
        <f t="shared" si="3"/>
        <v>21.9324063146775</v>
      </c>
      <c r="E12" s="1">
        <f t="shared" si="4"/>
        <v>1.1511653538214532</v>
      </c>
      <c r="F12" s="1">
        <f t="shared" si="5"/>
        <v>0.7695562448009905</v>
      </c>
      <c r="G12">
        <f t="shared" si="6"/>
        <v>18.955310322333542</v>
      </c>
      <c r="H12">
        <f t="shared" si="1"/>
        <v>3.955310322333542</v>
      </c>
      <c r="I12">
        <f t="shared" si="2"/>
        <v>15.644479745958268</v>
      </c>
    </row>
    <row r="13" spans="1:9" x14ac:dyDescent="0.35">
      <c r="A13" s="3" t="s">
        <v>29</v>
      </c>
      <c r="B13" s="3">
        <f t="shared" si="0"/>
        <v>10</v>
      </c>
      <c r="C13" s="3">
        <v>27</v>
      </c>
      <c r="D13" s="1">
        <f t="shared" si="3"/>
        <v>23.376171510550094</v>
      </c>
      <c r="E13" s="1">
        <f t="shared" si="4"/>
        <v>1.2798378660871967</v>
      </c>
      <c r="F13" s="1">
        <f t="shared" si="5"/>
        <v>1.1196957179539009</v>
      </c>
      <c r="G13">
        <f t="shared" si="6"/>
        <v>25.260960785612074</v>
      </c>
      <c r="H13">
        <f t="shared" si="1"/>
        <v>1.7390392143879261</v>
      </c>
      <c r="I13">
        <f t="shared" si="2"/>
        <v>3.0242573891789752</v>
      </c>
    </row>
    <row r="14" spans="1:9" x14ac:dyDescent="0.35">
      <c r="A14" s="3" t="s">
        <v>30</v>
      </c>
      <c r="B14" s="3">
        <f t="shared" si="0"/>
        <v>11</v>
      </c>
      <c r="C14" s="3">
        <v>18</v>
      </c>
      <c r="D14" s="1">
        <f t="shared" si="3"/>
        <v>25.455224618348474</v>
      </c>
      <c r="E14" s="1">
        <f t="shared" si="4"/>
        <v>1.6312974987074962</v>
      </c>
      <c r="F14" s="1">
        <f t="shared" si="5"/>
        <v>0.6568589384177792</v>
      </c>
      <c r="G14">
        <f t="shared" si="6"/>
        <v>15.305506672702073</v>
      </c>
      <c r="H14">
        <f t="shared" si="1"/>
        <v>2.694493327297927</v>
      </c>
      <c r="I14">
        <f t="shared" si="2"/>
        <v>7.2602942908530537</v>
      </c>
    </row>
    <row r="15" spans="1:9" x14ac:dyDescent="0.35">
      <c r="A15" s="3" t="s">
        <v>31</v>
      </c>
      <c r="B15" s="3">
        <f t="shared" si="0"/>
        <v>12</v>
      </c>
      <c r="C15" s="3">
        <v>40</v>
      </c>
      <c r="D15" s="1">
        <f t="shared" si="3"/>
        <v>26.40924075559888</v>
      </c>
      <c r="E15" s="1">
        <f t="shared" si="4"/>
        <v>1.3334590115827651</v>
      </c>
      <c r="F15" s="1">
        <f t="shared" si="5"/>
        <v>1.6276427822445303</v>
      </c>
      <c r="G15">
        <f t="shared" si="6"/>
        <v>46.28565805555683</v>
      </c>
      <c r="H15">
        <f t="shared" si="1"/>
        <v>6.28565805555683</v>
      </c>
      <c r="I15">
        <f t="shared" si="2"/>
        <v>39.509497191386465</v>
      </c>
    </row>
    <row r="16" spans="1:9" x14ac:dyDescent="0.35">
      <c r="A16" s="3" t="s">
        <v>28</v>
      </c>
      <c r="B16" s="3">
        <f t="shared" si="0"/>
        <v>13</v>
      </c>
      <c r="C16" s="3">
        <v>28</v>
      </c>
      <c r="D16" s="1">
        <f t="shared" si="3"/>
        <v>29.333886209546684</v>
      </c>
      <c r="E16" s="1">
        <f t="shared" si="4"/>
        <v>2.0331926668952502</v>
      </c>
      <c r="F16" s="1">
        <f t="shared" si="5"/>
        <v>0.84686948572977871</v>
      </c>
      <c r="G16">
        <f t="shared" si="6"/>
        <v>21.349567853473619</v>
      </c>
      <c r="H16">
        <f t="shared" si="1"/>
        <v>6.6504321465263807</v>
      </c>
      <c r="I16">
        <f t="shared" si="2"/>
        <v>44.228247735551484</v>
      </c>
    </row>
    <row r="17" spans="1:9" x14ac:dyDescent="0.35">
      <c r="A17" s="3" t="s">
        <v>29</v>
      </c>
      <c r="B17" s="3">
        <f t="shared" si="0"/>
        <v>14</v>
      </c>
      <c r="C17" s="3">
        <v>40</v>
      </c>
      <c r="D17" s="1">
        <f t="shared" si="3"/>
        <v>32.169293163779514</v>
      </c>
      <c r="E17" s="1">
        <f t="shared" si="4"/>
        <v>2.3859711475793182</v>
      </c>
      <c r="F17" s="1">
        <f t="shared" si="5"/>
        <v>1.1714100520438095</v>
      </c>
      <c r="G17">
        <f t="shared" si="6"/>
        <v>35.121583902674288</v>
      </c>
      <c r="H17">
        <f t="shared" si="1"/>
        <v>4.8784160973257116</v>
      </c>
      <c r="I17">
        <f t="shared" si="2"/>
        <v>23.798943618646625</v>
      </c>
    </row>
    <row r="18" spans="1:9" x14ac:dyDescent="0.35">
      <c r="A18" s="3" t="s">
        <v>30</v>
      </c>
      <c r="B18" s="3">
        <f t="shared" si="0"/>
        <v>15</v>
      </c>
      <c r="C18" s="3">
        <v>25</v>
      </c>
      <c r="D18" s="1">
        <f t="shared" si="3"/>
        <v>35.200557650812314</v>
      </c>
      <c r="E18" s="1">
        <f t="shared" si="4"/>
        <v>2.6697427127099607</v>
      </c>
      <c r="F18" s="1">
        <f t="shared" si="5"/>
        <v>0.67916083504104507</v>
      </c>
      <c r="G18">
        <f t="shared" si="6"/>
        <v>22.697934232304934</v>
      </c>
      <c r="H18">
        <f t="shared" si="1"/>
        <v>2.3020657676950655</v>
      </c>
      <c r="I18">
        <f t="shared" si="2"/>
        <v>5.2995067987934714</v>
      </c>
    </row>
    <row r="19" spans="1:9" x14ac:dyDescent="0.35">
      <c r="A19" s="10" t="s">
        <v>31</v>
      </c>
      <c r="B19" s="10">
        <f t="shared" si="0"/>
        <v>16</v>
      </c>
      <c r="C19" s="10">
        <v>65</v>
      </c>
      <c r="D19" s="2">
        <f t="shared" si="3"/>
        <v>38.250471813341825</v>
      </c>
      <c r="E19" s="2">
        <f t="shared" si="4"/>
        <v>2.8369253577759199</v>
      </c>
      <c r="F19" s="2">
        <f t="shared" si="5"/>
        <v>1.6576043024262992</v>
      </c>
      <c r="G19" s="4">
        <f t="shared" si="6"/>
        <v>61.639321048119442</v>
      </c>
      <c r="H19" s="4">
        <f t="shared" si="1"/>
        <v>3.3606789518805584</v>
      </c>
      <c r="I19" s="4">
        <f t="shared" si="2"/>
        <v>11.294163017613009</v>
      </c>
    </row>
    <row r="21" spans="1:9" x14ac:dyDescent="0.35">
      <c r="C21" s="42" t="s">
        <v>10</v>
      </c>
      <c r="D21" s="42" t="s">
        <v>16</v>
      </c>
      <c r="E21" s="42" t="s">
        <v>26</v>
      </c>
      <c r="F21" s="35" t="s">
        <v>475</v>
      </c>
      <c r="H21" s="3" t="s">
        <v>12</v>
      </c>
      <c r="I21" s="3" t="s">
        <v>4</v>
      </c>
    </row>
    <row r="22" spans="1:9" x14ac:dyDescent="0.35">
      <c r="C22" s="142">
        <v>0.18412449542910739</v>
      </c>
      <c r="D22" s="143">
        <v>0.43975591840290279</v>
      </c>
      <c r="E22" s="144">
        <v>0.41797443649270022</v>
      </c>
      <c r="F22" s="19">
        <f>C22+E22</f>
        <v>0.60209893192180763</v>
      </c>
      <c r="H22" s="5">
        <f>AVERAGE(H4:H19)</f>
        <v>4.1622317331522529</v>
      </c>
      <c r="I22" s="6">
        <f>AVERAGE(I4:I19)</f>
        <v>19.956201984606349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92"/>
  <dimension ref="A1:K29"/>
  <sheetViews>
    <sheetView topLeftCell="E1" zoomScale="95" zoomScaleNormal="95" workbookViewId="0">
      <selection activeCell="Z32" sqref="Z32"/>
    </sheetView>
  </sheetViews>
  <sheetFormatPr defaultRowHeight="14.5" x14ac:dyDescent="0.35"/>
  <cols>
    <col min="2" max="2" width="7.54296875" customWidth="1"/>
  </cols>
  <sheetData>
    <row r="1" spans="1:10" x14ac:dyDescent="0.35">
      <c r="A1" s="7" t="s">
        <v>182</v>
      </c>
      <c r="E1" t="s">
        <v>613</v>
      </c>
    </row>
    <row r="2" spans="1:10" ht="15" thickBot="1" x14ac:dyDescent="0.4"/>
    <row r="3" spans="1:10" ht="15" thickTop="1" x14ac:dyDescent="0.35">
      <c r="A3" s="229" t="s">
        <v>3</v>
      </c>
      <c r="B3" s="229" t="s">
        <v>52</v>
      </c>
      <c r="C3" s="229" t="s">
        <v>1</v>
      </c>
      <c r="E3" s="45" t="str">
        <f>B3</f>
        <v>qtr</v>
      </c>
      <c r="F3" s="45" t="str">
        <f>C3</f>
        <v>y</v>
      </c>
      <c r="G3" s="45" t="s">
        <v>17</v>
      </c>
      <c r="H3" s="45" t="s">
        <v>18</v>
      </c>
      <c r="I3" s="45" t="s">
        <v>27</v>
      </c>
      <c r="J3" s="45" t="s">
        <v>179</v>
      </c>
    </row>
    <row r="4" spans="1:10" x14ac:dyDescent="0.35">
      <c r="A4" s="137">
        <v>1</v>
      </c>
      <c r="B4" s="137" t="s">
        <v>32</v>
      </c>
      <c r="C4" s="137">
        <v>10</v>
      </c>
      <c r="E4" s="137" t="str">
        <f>B4</f>
        <v>10 Q1</v>
      </c>
      <c r="F4" s="137">
        <f>C4</f>
        <v>10</v>
      </c>
      <c r="I4">
        <f>F4/AVERAGE($F$4:$F$7)</f>
        <v>0.70175438596491224</v>
      </c>
    </row>
    <row r="5" spans="1:10" x14ac:dyDescent="0.35">
      <c r="A5" s="137">
        <f>A4+1</f>
        <v>2</v>
      </c>
      <c r="B5" s="137" t="s">
        <v>33</v>
      </c>
      <c r="C5" s="137">
        <v>14</v>
      </c>
      <c r="E5" s="137" t="str">
        <f t="shared" ref="E5:F19" si="0">B5</f>
        <v>10 Q2</v>
      </c>
      <c r="F5" s="137">
        <f t="shared" si="0"/>
        <v>14</v>
      </c>
      <c r="I5">
        <f>F5/AVERAGE($F$4:$F$7)</f>
        <v>0.98245614035087714</v>
      </c>
    </row>
    <row r="6" spans="1:10" x14ac:dyDescent="0.35">
      <c r="A6" s="137">
        <f t="shared" ref="A6:A19" si="1">A5+1</f>
        <v>3</v>
      </c>
      <c r="B6" s="137" t="s">
        <v>34</v>
      </c>
      <c r="C6" s="137">
        <v>8</v>
      </c>
      <c r="E6" s="137" t="str">
        <f t="shared" si="0"/>
        <v>10 Q3</v>
      </c>
      <c r="F6" s="137">
        <f t="shared" si="0"/>
        <v>8</v>
      </c>
      <c r="I6">
        <f>F6/AVERAGE($F$4:$F$7)</f>
        <v>0.56140350877192979</v>
      </c>
    </row>
    <row r="7" spans="1:10" x14ac:dyDescent="0.35">
      <c r="A7" s="137">
        <f t="shared" si="1"/>
        <v>4</v>
      </c>
      <c r="B7" s="137" t="s">
        <v>35</v>
      </c>
      <c r="C7" s="137">
        <v>25</v>
      </c>
      <c r="E7" s="137" t="str">
        <f t="shared" si="0"/>
        <v>10 Q4</v>
      </c>
      <c r="F7" s="137">
        <f t="shared" si="0"/>
        <v>25</v>
      </c>
      <c r="G7">
        <f>F7/I7</f>
        <v>14.25</v>
      </c>
      <c r="H7">
        <f>(AVERAGE(F8:F11)-AVERAGE(F4:F7))/4</f>
        <v>1.875</v>
      </c>
      <c r="I7">
        <f>F7/AVERAGE($F$4:$F$7)</f>
        <v>1.7543859649122806</v>
      </c>
    </row>
    <row r="8" spans="1:10" x14ac:dyDescent="0.35">
      <c r="A8" s="137">
        <f t="shared" si="1"/>
        <v>5</v>
      </c>
      <c r="B8" s="137" t="s">
        <v>36</v>
      </c>
      <c r="C8" s="137">
        <v>16</v>
      </c>
      <c r="E8" s="137" t="str">
        <f t="shared" si="0"/>
        <v>11 Q1</v>
      </c>
      <c r="F8" s="137">
        <f t="shared" si="0"/>
        <v>16</v>
      </c>
      <c r="G8">
        <f t="shared" ref="G8:G19" si="2">$F$28*F8/I4+(1-$F$28)*(G7+H7)</f>
        <v>19.462499999999999</v>
      </c>
      <c r="H8">
        <f>$G$28*(G8-G7)+(1-$G$28)*H7</f>
        <v>3.5437499999999993</v>
      </c>
      <c r="I8">
        <f>$H$28*(F8/G8)+(1-$H$28)*I4</f>
        <v>0.7619240780177805</v>
      </c>
      <c r="J8">
        <f>(G7+H7)*I4</f>
        <v>11.315789473684211</v>
      </c>
    </row>
    <row r="9" spans="1:10" x14ac:dyDescent="0.35">
      <c r="A9" s="137">
        <f t="shared" si="1"/>
        <v>6</v>
      </c>
      <c r="B9" s="137" t="s">
        <v>37</v>
      </c>
      <c r="C9" s="137">
        <v>22</v>
      </c>
      <c r="E9" s="137" t="str">
        <f t="shared" si="0"/>
        <v>11 Q2</v>
      </c>
      <c r="F9" s="137">
        <f t="shared" si="0"/>
        <v>22</v>
      </c>
      <c r="G9">
        <f t="shared" si="2"/>
        <v>22.69955357142857</v>
      </c>
      <c r="H9">
        <f t="shared" ref="H9:H19" si="3">$G$28*(G9-G8)+(1-$G$28)*H8</f>
        <v>3.3904017857142854</v>
      </c>
      <c r="I9">
        <f t="shared" ref="I9:I19" si="4">$H$28*(F9/G9)+(1-$H$28)*I5</f>
        <v>0.97581909816135715</v>
      </c>
      <c r="J9">
        <f t="shared" ref="J9:J19" si="5">(G8+H8)*I5</f>
        <v>22.602631578947364</v>
      </c>
    </row>
    <row r="10" spans="1:10" x14ac:dyDescent="0.35">
      <c r="A10" s="137">
        <f t="shared" si="1"/>
        <v>7</v>
      </c>
      <c r="B10" s="137" t="s">
        <v>38</v>
      </c>
      <c r="C10" s="137">
        <v>14</v>
      </c>
      <c r="E10" s="137" t="str">
        <f t="shared" si="0"/>
        <v>11 Q3</v>
      </c>
      <c r="F10" s="137">
        <f t="shared" si="0"/>
        <v>14</v>
      </c>
      <c r="G10">
        <f t="shared" si="2"/>
        <v>25.513727678571428</v>
      </c>
      <c r="H10">
        <f t="shared" si="3"/>
        <v>3.1022879464285715</v>
      </c>
      <c r="I10">
        <f t="shared" si="4"/>
        <v>0.55506385812038661</v>
      </c>
      <c r="J10">
        <f t="shared" si="5"/>
        <v>14.646992481203005</v>
      </c>
    </row>
    <row r="11" spans="1:10" x14ac:dyDescent="0.35">
      <c r="A11" s="137">
        <f t="shared" si="1"/>
        <v>8</v>
      </c>
      <c r="B11" s="137" t="s">
        <v>39</v>
      </c>
      <c r="C11" s="137">
        <v>35</v>
      </c>
      <c r="E11" s="137" t="str">
        <f t="shared" si="0"/>
        <v>11 Q4</v>
      </c>
      <c r="F11" s="137">
        <f t="shared" si="0"/>
        <v>35</v>
      </c>
      <c r="G11">
        <f t="shared" si="2"/>
        <v>24.283007812500003</v>
      </c>
      <c r="H11">
        <f t="shared" si="3"/>
        <v>0.93578404017857331</v>
      </c>
      <c r="I11">
        <f t="shared" si="4"/>
        <v>1.5978615312259365</v>
      </c>
      <c r="J11">
        <f t="shared" si="5"/>
        <v>50.20353618421052</v>
      </c>
    </row>
    <row r="12" spans="1:10" x14ac:dyDescent="0.35">
      <c r="A12" s="137">
        <f t="shared" si="1"/>
        <v>9</v>
      </c>
      <c r="B12" s="137" t="s">
        <v>40</v>
      </c>
      <c r="C12" s="137">
        <v>15</v>
      </c>
      <c r="E12" s="137" t="str">
        <f t="shared" si="0"/>
        <v>12 Q1</v>
      </c>
      <c r="F12" s="137">
        <f t="shared" si="0"/>
        <v>15</v>
      </c>
      <c r="G12">
        <f t="shared" si="2"/>
        <v>22.45289636999501</v>
      </c>
      <c r="H12">
        <f t="shared" si="3"/>
        <v>-0.44716370116320991</v>
      </c>
      <c r="I12">
        <f t="shared" si="4"/>
        <v>0.71499466786930954</v>
      </c>
      <c r="J12">
        <f t="shared" si="5"/>
        <v>19.214804731074441</v>
      </c>
    </row>
    <row r="13" spans="1:10" x14ac:dyDescent="0.35">
      <c r="A13" s="137">
        <f t="shared" si="1"/>
        <v>10</v>
      </c>
      <c r="B13" s="137" t="s">
        <v>41</v>
      </c>
      <c r="C13" s="137">
        <v>27</v>
      </c>
      <c r="E13" s="137" t="str">
        <f t="shared" si="0"/>
        <v>12 Q2</v>
      </c>
      <c r="F13" s="137">
        <f t="shared" si="0"/>
        <v>27</v>
      </c>
      <c r="G13">
        <f t="shared" si="2"/>
        <v>24.837397781317037</v>
      </c>
      <c r="H13">
        <f t="shared" si="3"/>
        <v>0.9686688550794087</v>
      </c>
      <c r="I13">
        <f t="shared" si="4"/>
        <v>1.0314447502664827</v>
      </c>
      <c r="J13">
        <f t="shared" si="5"/>
        <v>21.473614207279361</v>
      </c>
    </row>
    <row r="14" spans="1:10" x14ac:dyDescent="0.35">
      <c r="A14" s="137">
        <f t="shared" si="1"/>
        <v>11</v>
      </c>
      <c r="B14" s="137" t="s">
        <v>42</v>
      </c>
      <c r="C14" s="137">
        <v>18</v>
      </c>
      <c r="E14" s="137" t="str">
        <f t="shared" si="0"/>
        <v>12 Q3</v>
      </c>
      <c r="F14" s="137">
        <f t="shared" si="0"/>
        <v>18</v>
      </c>
      <c r="G14">
        <f t="shared" si="2"/>
        <v>29.117383916482012</v>
      </c>
      <c r="H14">
        <f t="shared" si="3"/>
        <v>2.6243274951221922</v>
      </c>
      <c r="I14">
        <f t="shared" si="4"/>
        <v>0.5866256314963354</v>
      </c>
      <c r="J14">
        <f t="shared" si="5"/>
        <v>14.324014910109998</v>
      </c>
    </row>
    <row r="15" spans="1:10" x14ac:dyDescent="0.35">
      <c r="A15" s="137">
        <f t="shared" si="1"/>
        <v>12</v>
      </c>
      <c r="B15" s="137" t="s">
        <v>43</v>
      </c>
      <c r="C15" s="137">
        <v>40</v>
      </c>
      <c r="E15" s="137" t="str">
        <f t="shared" si="0"/>
        <v>12 Q4</v>
      </c>
      <c r="F15" s="137">
        <f t="shared" si="0"/>
        <v>40</v>
      </c>
      <c r="G15">
        <f t="shared" si="2"/>
        <v>28.387584852322881</v>
      </c>
      <c r="H15">
        <f t="shared" si="3"/>
        <v>0.9472642154815305</v>
      </c>
      <c r="I15">
        <f t="shared" si="4"/>
        <v>1.5034641066507302</v>
      </c>
      <c r="J15">
        <f t="shared" si="5"/>
        <v>50.718859599877675</v>
      </c>
    </row>
    <row r="16" spans="1:10" x14ac:dyDescent="0.35">
      <c r="A16" s="137">
        <f t="shared" si="1"/>
        <v>13</v>
      </c>
      <c r="B16" s="137" t="s">
        <v>44</v>
      </c>
      <c r="C16" s="137">
        <v>28</v>
      </c>
      <c r="E16" s="137" t="str">
        <f t="shared" si="0"/>
        <v>13 Q1</v>
      </c>
      <c r="F16" s="137">
        <f t="shared" si="0"/>
        <v>28</v>
      </c>
      <c r="G16">
        <f t="shared" si="2"/>
        <v>34.247990136887921</v>
      </c>
      <c r="H16">
        <f t="shared" si="3"/>
        <v>3.4038347500232851</v>
      </c>
      <c r="I16">
        <f t="shared" si="4"/>
        <v>0.7662804462878916</v>
      </c>
      <c r="J16">
        <f t="shared" si="5"/>
        <v>20.974260666231142</v>
      </c>
    </row>
    <row r="17" spans="1:11" x14ac:dyDescent="0.35">
      <c r="A17" s="137">
        <f t="shared" si="1"/>
        <v>14</v>
      </c>
      <c r="B17" s="137" t="s">
        <v>45</v>
      </c>
      <c r="C17" s="137">
        <v>40</v>
      </c>
      <c r="E17" s="137" t="str">
        <f t="shared" si="0"/>
        <v>13 Q2</v>
      </c>
      <c r="F17" s="137">
        <f t="shared" si="0"/>
        <v>40</v>
      </c>
      <c r="G17">
        <f t="shared" si="2"/>
        <v>38.216190007845576</v>
      </c>
      <c r="H17">
        <f t="shared" si="3"/>
        <v>3.6860173104904699</v>
      </c>
      <c r="I17">
        <f t="shared" si="4"/>
        <v>1.0390607821249929</v>
      </c>
      <c r="J17">
        <f t="shared" si="5"/>
        <v>38.83577711755747</v>
      </c>
    </row>
    <row r="18" spans="1:11" x14ac:dyDescent="0.35">
      <c r="A18" s="137">
        <f t="shared" si="1"/>
        <v>15</v>
      </c>
      <c r="B18" s="137" t="s">
        <v>46</v>
      </c>
      <c r="C18" s="137">
        <v>25</v>
      </c>
      <c r="E18" s="137" t="str">
        <f t="shared" si="0"/>
        <v>13 Q3</v>
      </c>
      <c r="F18" s="137">
        <f t="shared" si="0"/>
        <v>25</v>
      </c>
      <c r="G18">
        <f t="shared" si="2"/>
        <v>42.259412278611777</v>
      </c>
      <c r="H18">
        <f t="shared" si="3"/>
        <v>3.8646197906283355</v>
      </c>
      <c r="I18">
        <f t="shared" si="4"/>
        <v>0.58910490858629894</v>
      </c>
      <c r="J18">
        <f t="shared" si="5"/>
        <v>24.58090882920925</v>
      </c>
    </row>
    <row r="19" spans="1:11" x14ac:dyDescent="0.35">
      <c r="A19" s="10">
        <f t="shared" si="1"/>
        <v>16</v>
      </c>
      <c r="B19" s="10" t="s">
        <v>47</v>
      </c>
      <c r="C19" s="10">
        <v>65</v>
      </c>
      <c r="E19" s="10" t="str">
        <f t="shared" si="0"/>
        <v>13 Q4</v>
      </c>
      <c r="F19" s="10">
        <f t="shared" si="0"/>
        <v>65</v>
      </c>
      <c r="G19" s="4">
        <f t="shared" si="2"/>
        <v>44.678760894861725</v>
      </c>
      <c r="H19" s="4">
        <f t="shared" si="3"/>
        <v>3.1419842034391419</v>
      </c>
      <c r="I19" s="4">
        <f t="shared" si="4"/>
        <v>1.4791470341588568</v>
      </c>
      <c r="J19" s="4">
        <f t="shared" si="5"/>
        <v>69.345826670109716</v>
      </c>
    </row>
    <row r="20" spans="1:11" x14ac:dyDescent="0.35">
      <c r="E20" s="137" t="s">
        <v>180</v>
      </c>
      <c r="F20" s="137"/>
      <c r="I20">
        <f t="shared" ref="I20:I25" si="6">I16</f>
        <v>0.7662804462878916</v>
      </c>
      <c r="J20">
        <f t="shared" ref="J20:J25" si="7">($G$19+$H$19*(ROW(G20)-ROW($G$19)))*I20</f>
        <v>36.644101895745493</v>
      </c>
    </row>
    <row r="21" spans="1:11" x14ac:dyDescent="0.35">
      <c r="E21" s="137" t="s">
        <v>180</v>
      </c>
      <c r="F21" s="137"/>
      <c r="I21">
        <f t="shared" si="6"/>
        <v>1.0390607821249929</v>
      </c>
      <c r="J21">
        <f t="shared" si="7"/>
        <v>52.953373367490265</v>
      </c>
    </row>
    <row r="22" spans="1:11" x14ac:dyDescent="0.35">
      <c r="E22" s="137" t="s">
        <v>180</v>
      </c>
      <c r="F22" s="137"/>
      <c r="I22">
        <f t="shared" si="6"/>
        <v>0.58910490858629894</v>
      </c>
      <c r="J22">
        <f t="shared" si="7"/>
        <v>31.873352303556455</v>
      </c>
    </row>
    <row r="23" spans="1:11" x14ac:dyDescent="0.35">
      <c r="E23" s="137" t="s">
        <v>180</v>
      </c>
      <c r="F23" s="137"/>
      <c r="I23">
        <f t="shared" si="6"/>
        <v>1.4791470341588568</v>
      </c>
      <c r="J23">
        <f t="shared" si="7"/>
        <v>84.676283131091367</v>
      </c>
    </row>
    <row r="24" spans="1:11" x14ac:dyDescent="0.35">
      <c r="E24" s="137" t="s">
        <v>180</v>
      </c>
      <c r="I24">
        <f t="shared" si="6"/>
        <v>0.7662804462878916</v>
      </c>
      <c r="J24">
        <f t="shared" si="7"/>
        <v>46.274666126308901</v>
      </c>
    </row>
    <row r="25" spans="1:11" x14ac:dyDescent="0.35">
      <c r="E25" s="137" t="s">
        <v>180</v>
      </c>
      <c r="I25">
        <f t="shared" si="6"/>
        <v>1.0390607821249929</v>
      </c>
      <c r="J25">
        <f t="shared" si="7"/>
        <v>66.01222362288965</v>
      </c>
    </row>
    <row r="27" spans="1:11" x14ac:dyDescent="0.35">
      <c r="F27" s="230" t="s">
        <v>10</v>
      </c>
      <c r="G27" s="230" t="s">
        <v>16</v>
      </c>
      <c r="H27" s="230" t="s">
        <v>26</v>
      </c>
      <c r="I27" s="230" t="s">
        <v>12</v>
      </c>
      <c r="J27" s="230" t="s">
        <v>4</v>
      </c>
      <c r="K27" s="230" t="s">
        <v>611</v>
      </c>
    </row>
    <row r="28" spans="1:11" x14ac:dyDescent="0.35">
      <c r="F28" s="46">
        <v>0.5</v>
      </c>
      <c r="G28" s="50">
        <v>0.5</v>
      </c>
      <c r="H28" s="47">
        <v>0.5</v>
      </c>
      <c r="I28" s="46">
        <f>SUMPRODUCT(ABS(F8:F19-J8:J19))/COUNT(J8:J19)</f>
        <v>4.8523571701126071</v>
      </c>
      <c r="J28" s="47">
        <f>SUMXMY2(F8:F19,J8:J19)/COUNT(J8:J19)</f>
        <v>41.696809680526727</v>
      </c>
      <c r="K28" s="47">
        <f>SUMPRODUCT(ABS(1-J8:J19/F8:F19))/COUNT(J8:J19)</f>
        <v>0.17685534775567938</v>
      </c>
    </row>
    <row r="29" spans="1:11" x14ac:dyDescent="0.35">
      <c r="G29" s="1" t="s">
        <v>475</v>
      </c>
      <c r="H29">
        <f>F28+H28</f>
        <v>1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6B7B7-44E2-4B6B-BC47-C05CE4A1D0C6}">
  <dimension ref="A1:K23"/>
  <sheetViews>
    <sheetView workbookViewId="0"/>
  </sheetViews>
  <sheetFormatPr defaultRowHeight="14.5" x14ac:dyDescent="0.35"/>
  <cols>
    <col min="1" max="1" width="5.1796875" customWidth="1"/>
    <col min="2" max="2" width="7.54296875" customWidth="1"/>
    <col min="3" max="3" width="6.90625" customWidth="1"/>
    <col min="5" max="5" width="6.36328125" customWidth="1"/>
  </cols>
  <sheetData>
    <row r="1" spans="1:10" x14ac:dyDescent="0.35">
      <c r="A1" s="7" t="s">
        <v>182</v>
      </c>
      <c r="E1" t="s">
        <v>613</v>
      </c>
    </row>
    <row r="2" spans="1:10" ht="15" thickBot="1" x14ac:dyDescent="0.4"/>
    <row r="3" spans="1:10" ht="15" thickTop="1" x14ac:dyDescent="0.35">
      <c r="A3" s="267" t="s">
        <v>3</v>
      </c>
      <c r="B3" s="267" t="s">
        <v>52</v>
      </c>
      <c r="C3" s="267" t="s">
        <v>1</v>
      </c>
      <c r="E3" s="45" t="str">
        <f>B3</f>
        <v>qtr</v>
      </c>
      <c r="F3" s="45" t="str">
        <f>C3</f>
        <v>y</v>
      </c>
      <c r="G3" s="45" t="s">
        <v>17</v>
      </c>
      <c r="H3" s="45" t="s">
        <v>18</v>
      </c>
      <c r="I3" s="45" t="s">
        <v>27</v>
      </c>
      <c r="J3" s="45" t="s">
        <v>179</v>
      </c>
    </row>
    <row r="4" spans="1:10" x14ac:dyDescent="0.35">
      <c r="A4" s="137">
        <v>1</v>
      </c>
      <c r="B4" s="137" t="s">
        <v>32</v>
      </c>
      <c r="C4" s="137">
        <v>10</v>
      </c>
      <c r="E4" t="str">
        <f>B4</f>
        <v>10 Q1</v>
      </c>
      <c r="F4">
        <f>C4</f>
        <v>10</v>
      </c>
      <c r="I4">
        <f>F4/AVERAGE($F$4:$F$7)</f>
        <v>0.70175438596491224</v>
      </c>
    </row>
    <row r="5" spans="1:10" x14ac:dyDescent="0.35">
      <c r="A5" s="137">
        <f>A4+1</f>
        <v>2</v>
      </c>
      <c r="B5" s="137" t="s">
        <v>33</v>
      </c>
      <c r="C5" s="137">
        <v>14</v>
      </c>
      <c r="E5" t="str">
        <f t="shared" ref="E5:F19" si="0">B5</f>
        <v>10 Q2</v>
      </c>
      <c r="F5">
        <f t="shared" si="0"/>
        <v>14</v>
      </c>
      <c r="I5">
        <f t="shared" ref="I5:I7" si="1">F5/AVERAGE($F$4:$F$7)</f>
        <v>0.98245614035087714</v>
      </c>
    </row>
    <row r="6" spans="1:10" x14ac:dyDescent="0.35">
      <c r="A6" s="137">
        <f t="shared" ref="A6:A19" si="2">A5+1</f>
        <v>3</v>
      </c>
      <c r="B6" s="137" t="s">
        <v>34</v>
      </c>
      <c r="C6" s="137">
        <v>8</v>
      </c>
      <c r="E6" t="str">
        <f t="shared" si="0"/>
        <v>10 Q3</v>
      </c>
      <c r="F6">
        <f t="shared" si="0"/>
        <v>8</v>
      </c>
      <c r="I6">
        <f t="shared" si="1"/>
        <v>0.56140350877192979</v>
      </c>
    </row>
    <row r="7" spans="1:10" x14ac:dyDescent="0.35">
      <c r="A7" s="137">
        <f t="shared" si="2"/>
        <v>4</v>
      </c>
      <c r="B7" s="137" t="s">
        <v>35</v>
      </c>
      <c r="C7" s="137">
        <v>25</v>
      </c>
      <c r="E7" t="str">
        <f t="shared" si="0"/>
        <v>10 Q4</v>
      </c>
      <c r="F7">
        <f t="shared" si="0"/>
        <v>25</v>
      </c>
      <c r="G7">
        <f>F7/I7</f>
        <v>14.25</v>
      </c>
      <c r="H7">
        <f>(AVERAGE(F8:F11)-AVERAGE(F4:F7))/4</f>
        <v>1.875</v>
      </c>
      <c r="I7">
        <f t="shared" si="1"/>
        <v>1.7543859649122806</v>
      </c>
    </row>
    <row r="8" spans="1:10" x14ac:dyDescent="0.35">
      <c r="A8" s="137">
        <f t="shared" si="2"/>
        <v>5</v>
      </c>
      <c r="B8" s="137" t="s">
        <v>36</v>
      </c>
      <c r="C8" s="137">
        <v>16</v>
      </c>
      <c r="E8" t="str">
        <f t="shared" si="0"/>
        <v>11 Q1</v>
      </c>
      <c r="F8">
        <f t="shared" si="0"/>
        <v>16</v>
      </c>
      <c r="G8">
        <f>$F$23*F8/I4+(1-$F$23)*(G7+H7)</f>
        <v>16.276960133618669</v>
      </c>
      <c r="H8">
        <f>$G$23*(G8-G7)+(1-$G$23)*H7</f>
        <v>1.9871646624567803</v>
      </c>
      <c r="I8">
        <f>$H$23*(F8/G8)+(1-$H$23)*I4</f>
        <v>0.74521376020797236</v>
      </c>
      <c r="J8">
        <f>(G7+H7)*I4</f>
        <v>11.315789473684211</v>
      </c>
    </row>
    <row r="9" spans="1:10" x14ac:dyDescent="0.35">
      <c r="A9" s="137">
        <f t="shared" si="2"/>
        <v>6</v>
      </c>
      <c r="B9" s="137" t="s">
        <v>37</v>
      </c>
      <c r="C9" s="137">
        <v>22</v>
      </c>
      <c r="E9" t="str">
        <f t="shared" si="0"/>
        <v>11 Q2</v>
      </c>
      <c r="F9">
        <f t="shared" si="0"/>
        <v>22</v>
      </c>
      <c r="G9">
        <f t="shared" ref="G9:G19" si="3">$F$23*F9/I5+(1-$F$23)*(G8+H8)</f>
        <v>18.358117712793455</v>
      </c>
      <c r="H9">
        <f t="shared" ref="H9:H19" si="4">$G$23*(G9-G8)+(1-$G$23)*H8</f>
        <v>2.0565426205168809</v>
      </c>
      <c r="I9">
        <f t="shared" ref="I9:I19" si="5">$H$23*(F9/G9)+(1-$H$23)*I5</f>
        <v>1.0158235208481294</v>
      </c>
      <c r="J9">
        <f t="shared" ref="J9:J19" si="6">(G8+H8)*I5</f>
        <v>17.943701554039038</v>
      </c>
    </row>
    <row r="10" spans="1:10" x14ac:dyDescent="0.35">
      <c r="A10" s="137">
        <f t="shared" si="2"/>
        <v>7</v>
      </c>
      <c r="B10" s="137" t="s">
        <v>38</v>
      </c>
      <c r="C10" s="137">
        <v>14</v>
      </c>
      <c r="E10" t="str">
        <f t="shared" si="0"/>
        <v>11 Q3</v>
      </c>
      <c r="F10">
        <f t="shared" si="0"/>
        <v>14</v>
      </c>
      <c r="G10">
        <f t="shared" si="3"/>
        <v>20.517625325083518</v>
      </c>
      <c r="H10">
        <f t="shared" si="4"/>
        <v>2.1325430376794872</v>
      </c>
      <c r="I10">
        <f t="shared" si="5"/>
        <v>0.58009222987909947</v>
      </c>
      <c r="J10">
        <f t="shared" si="6"/>
        <v>11.460861941507558</v>
      </c>
    </row>
    <row r="11" spans="1:10" x14ac:dyDescent="0.35">
      <c r="A11" s="137">
        <f t="shared" si="2"/>
        <v>8</v>
      </c>
      <c r="B11" s="137" t="s">
        <v>39</v>
      </c>
      <c r="C11" s="137">
        <v>35</v>
      </c>
      <c r="E11" t="str">
        <f t="shared" si="0"/>
        <v>11 Q4</v>
      </c>
      <c r="F11">
        <f t="shared" si="0"/>
        <v>35</v>
      </c>
      <c r="G11">
        <f t="shared" si="3"/>
        <v>22.588697509549768</v>
      </c>
      <c r="H11">
        <f t="shared" si="4"/>
        <v>2.0871702327377966</v>
      </c>
      <c r="I11">
        <f t="shared" si="5"/>
        <v>1.7227161764948653</v>
      </c>
      <c r="J11">
        <f t="shared" si="6"/>
        <v>39.737137478531587</v>
      </c>
    </row>
    <row r="12" spans="1:10" x14ac:dyDescent="0.35">
      <c r="A12" s="137">
        <f t="shared" si="2"/>
        <v>9</v>
      </c>
      <c r="B12" s="137" t="s">
        <v>40</v>
      </c>
      <c r="C12" s="137">
        <v>15</v>
      </c>
      <c r="E12" t="str">
        <f t="shared" si="0"/>
        <v>12 Q1</v>
      </c>
      <c r="F12">
        <f t="shared" si="0"/>
        <v>15</v>
      </c>
      <c r="G12">
        <f t="shared" si="3"/>
        <v>24.57234328058059</v>
      </c>
      <c r="H12">
        <f t="shared" si="4"/>
        <v>2.0107568601849568</v>
      </c>
      <c r="I12">
        <f t="shared" si="5"/>
        <v>0.72438711883455309</v>
      </c>
      <c r="J12">
        <f t="shared" si="6"/>
        <v>18.388796186624727</v>
      </c>
    </row>
    <row r="13" spans="1:10" x14ac:dyDescent="0.35">
      <c r="A13" s="137">
        <f t="shared" si="2"/>
        <v>10</v>
      </c>
      <c r="B13" s="137" t="s">
        <v>41</v>
      </c>
      <c r="C13" s="137">
        <v>27</v>
      </c>
      <c r="E13" t="str">
        <f t="shared" si="0"/>
        <v>12 Q2</v>
      </c>
      <c r="F13">
        <f t="shared" si="0"/>
        <v>27</v>
      </c>
      <c r="G13">
        <f t="shared" si="3"/>
        <v>26.583016360143073</v>
      </c>
      <c r="H13">
        <f t="shared" si="4"/>
        <v>2.0106950201153517</v>
      </c>
      <c r="I13">
        <f t="shared" si="5"/>
        <v>1.0158022835357661</v>
      </c>
      <c r="J13">
        <f t="shared" si="6"/>
        <v>27.003738380050862</v>
      </c>
    </row>
    <row r="14" spans="1:10" x14ac:dyDescent="0.35">
      <c r="A14" s="137">
        <f t="shared" si="2"/>
        <v>11</v>
      </c>
      <c r="B14" s="137" t="s">
        <v>42</v>
      </c>
      <c r="C14" s="137">
        <v>18</v>
      </c>
      <c r="E14" t="str">
        <f t="shared" si="0"/>
        <v>12 Q3</v>
      </c>
      <c r="F14">
        <f t="shared" si="0"/>
        <v>18</v>
      </c>
      <c r="G14">
        <f t="shared" si="3"/>
        <v>28.649164584608052</v>
      </c>
      <c r="H14">
        <f t="shared" si="4"/>
        <v>2.0516260840721063</v>
      </c>
      <c r="I14">
        <f t="shared" si="5"/>
        <v>0.58754047050801428</v>
      </c>
      <c r="J14">
        <f t="shared" si="6"/>
        <v>16.586989795093494</v>
      </c>
    </row>
    <row r="15" spans="1:10" x14ac:dyDescent="0.35">
      <c r="A15" s="137">
        <f t="shared" si="2"/>
        <v>12</v>
      </c>
      <c r="B15" s="137" t="s">
        <v>43</v>
      </c>
      <c r="C15" s="137">
        <v>40</v>
      </c>
      <c r="E15" t="str">
        <f t="shared" si="0"/>
        <v>12 Q4</v>
      </c>
      <c r="F15">
        <f t="shared" si="0"/>
        <v>40</v>
      </c>
      <c r="G15">
        <f t="shared" si="3"/>
        <v>30.530466835864427</v>
      </c>
      <c r="H15">
        <f t="shared" si="4"/>
        <v>1.9259068262563548</v>
      </c>
      <c r="I15">
        <f t="shared" si="5"/>
        <v>1.6589636097803797</v>
      </c>
      <c r="J15">
        <f t="shared" si="6"/>
        <v>52.888748716117917</v>
      </c>
    </row>
    <row r="16" spans="1:10" x14ac:dyDescent="0.35">
      <c r="A16" s="137">
        <f t="shared" si="2"/>
        <v>13</v>
      </c>
      <c r="B16" s="137" t="s">
        <v>44</v>
      </c>
      <c r="C16" s="137">
        <v>28</v>
      </c>
      <c r="E16" t="str">
        <f t="shared" si="0"/>
        <v>13 Q1</v>
      </c>
      <c r="F16">
        <f t="shared" si="0"/>
        <v>28</v>
      </c>
      <c r="G16">
        <f t="shared" si="3"/>
        <v>32.597451668636772</v>
      </c>
      <c r="H16">
        <f t="shared" si="4"/>
        <v>2.0300391838959602</v>
      </c>
      <c r="I16">
        <f t="shared" si="5"/>
        <v>0.74518352780213815</v>
      </c>
      <c r="J16">
        <f t="shared" si="6"/>
        <v>23.510979004921346</v>
      </c>
    </row>
    <row r="17" spans="1:11" x14ac:dyDescent="0.35">
      <c r="A17" s="137">
        <f t="shared" si="2"/>
        <v>14</v>
      </c>
      <c r="B17" s="137" t="s">
        <v>45</v>
      </c>
      <c r="C17" s="137">
        <v>40</v>
      </c>
      <c r="E17" t="str">
        <f t="shared" si="0"/>
        <v>13 Q2</v>
      </c>
      <c r="F17">
        <f t="shared" si="0"/>
        <v>40</v>
      </c>
      <c r="G17">
        <f t="shared" si="3"/>
        <v>34.735632989248479</v>
      </c>
      <c r="H17">
        <f t="shared" si="4"/>
        <v>2.1098609501265377</v>
      </c>
      <c r="I17">
        <f t="shared" si="5"/>
        <v>1.0367806119400194</v>
      </c>
      <c r="J17">
        <f t="shared" si="6"/>
        <v>35.174684281116598</v>
      </c>
    </row>
    <row r="18" spans="1:11" x14ac:dyDescent="0.35">
      <c r="A18" s="137">
        <f t="shared" si="2"/>
        <v>15</v>
      </c>
      <c r="B18" s="137" t="s">
        <v>46</v>
      </c>
      <c r="C18" s="137">
        <v>25</v>
      </c>
      <c r="E18" t="str">
        <f t="shared" si="0"/>
        <v>13 Q3</v>
      </c>
      <c r="F18">
        <f t="shared" si="0"/>
        <v>25</v>
      </c>
      <c r="G18">
        <f t="shared" si="3"/>
        <v>36.975366159535476</v>
      </c>
      <c r="H18">
        <f t="shared" si="4"/>
        <v>2.2057221039036548</v>
      </c>
      <c r="I18">
        <f t="shared" si="5"/>
        <v>0.60122984279001623</v>
      </c>
      <c r="J18">
        <f t="shared" si="6"/>
        <v>21.648218845240585</v>
      </c>
    </row>
    <row r="19" spans="1:11" x14ac:dyDescent="0.35">
      <c r="A19" s="10">
        <f t="shared" si="2"/>
        <v>16</v>
      </c>
      <c r="B19" s="10" t="s">
        <v>47</v>
      </c>
      <c r="C19" s="10">
        <v>65</v>
      </c>
      <c r="E19" s="4" t="str">
        <f t="shared" si="0"/>
        <v>13 Q4</v>
      </c>
      <c r="F19" s="4">
        <f t="shared" si="0"/>
        <v>65</v>
      </c>
      <c r="G19" s="4">
        <f t="shared" si="3"/>
        <v>39.181088268645013</v>
      </c>
      <c r="H19" s="4">
        <f t="shared" si="4"/>
        <v>2.2057221077462152</v>
      </c>
      <c r="I19" s="4">
        <f t="shared" si="5"/>
        <v>1.6589636112425465</v>
      </c>
      <c r="J19" s="4">
        <f t="shared" si="6"/>
        <v>64.999999620638647</v>
      </c>
    </row>
    <row r="20" spans="1:11" x14ac:dyDescent="0.35">
      <c r="E20" s="1" t="s">
        <v>180</v>
      </c>
      <c r="I20">
        <f>I16</f>
        <v>0.74518352780213815</v>
      </c>
      <c r="J20">
        <f>($G$19+$H$19*(ROW(G20)-ROW($G$19)))*I20</f>
        <v>30.840769360757349</v>
      </c>
    </row>
    <row r="22" spans="1:11" x14ac:dyDescent="0.35">
      <c r="F22" s="265" t="s">
        <v>10</v>
      </c>
      <c r="G22" s="265" t="s">
        <v>16</v>
      </c>
      <c r="H22" s="265" t="s">
        <v>26</v>
      </c>
      <c r="I22" s="265" t="s">
        <v>12</v>
      </c>
      <c r="J22" s="265" t="s">
        <v>4</v>
      </c>
      <c r="K22" s="265" t="s">
        <v>611</v>
      </c>
    </row>
    <row r="23" spans="1:11" x14ac:dyDescent="0.35">
      <c r="F23" s="46">
        <v>2.2765563088939234E-2</v>
      </c>
      <c r="G23" s="50">
        <v>0.7381190038845844</v>
      </c>
      <c r="H23" s="47">
        <v>0.15453312964185315</v>
      </c>
      <c r="I23" s="231">
        <f>SUMPRODUCT(ABS(F8:F19-J8:J19))/COUNT(J8:J19)</f>
        <v>3.8647663537569681</v>
      </c>
      <c r="J23" s="50">
        <f>SUMXMY2(F8:F19,J8:J19)/COUNT(J8:J19)</f>
        <v>25.129407664589664</v>
      </c>
      <c r="K23" s="47">
        <f>SUMPRODUCT(ABS(1-J8:J19/F8:F19))/COUNT(J8:J19)</f>
        <v>0.15297149681623701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5"/>
  <dimension ref="A1:K24"/>
  <sheetViews>
    <sheetView workbookViewId="0"/>
  </sheetViews>
  <sheetFormatPr defaultRowHeight="14.5" x14ac:dyDescent="0.35"/>
  <cols>
    <col min="2" max="2" width="7.54296875" customWidth="1"/>
  </cols>
  <sheetData>
    <row r="1" spans="1:10" x14ac:dyDescent="0.35">
      <c r="A1" s="7" t="s">
        <v>182</v>
      </c>
      <c r="E1" t="s">
        <v>613</v>
      </c>
    </row>
    <row r="2" spans="1:10" ht="15" thickBot="1" x14ac:dyDescent="0.4"/>
    <row r="3" spans="1:10" ht="15" thickTop="1" x14ac:dyDescent="0.35">
      <c r="A3" s="229" t="s">
        <v>3</v>
      </c>
      <c r="B3" s="229" t="s">
        <v>52</v>
      </c>
      <c r="C3" s="229" t="s">
        <v>1</v>
      </c>
      <c r="E3" s="45" t="str">
        <f>B3</f>
        <v>qtr</v>
      </c>
      <c r="F3" s="45" t="str">
        <f>C3</f>
        <v>y</v>
      </c>
      <c r="G3" s="45" t="s">
        <v>17</v>
      </c>
      <c r="H3" s="45" t="s">
        <v>18</v>
      </c>
      <c r="I3" s="45" t="s">
        <v>27</v>
      </c>
      <c r="J3" s="45" t="s">
        <v>179</v>
      </c>
    </row>
    <row r="4" spans="1:10" x14ac:dyDescent="0.35">
      <c r="A4" s="137">
        <v>1</v>
      </c>
      <c r="B4" s="137" t="s">
        <v>32</v>
      </c>
      <c r="C4" s="137">
        <v>10</v>
      </c>
      <c r="E4" t="str">
        <f>B4</f>
        <v>10 Q1</v>
      </c>
      <c r="F4">
        <f>C4</f>
        <v>10</v>
      </c>
      <c r="I4">
        <f>F4/AVERAGE($F$4:$F$7)</f>
        <v>0.70175438596491224</v>
      </c>
    </row>
    <row r="5" spans="1:10" x14ac:dyDescent="0.35">
      <c r="A5" s="137">
        <f>A4+1</f>
        <v>2</v>
      </c>
      <c r="B5" s="137" t="s">
        <v>33</v>
      </c>
      <c r="C5" s="137">
        <v>14</v>
      </c>
      <c r="E5" t="str">
        <f t="shared" ref="E5:F19" si="0">B5</f>
        <v>10 Q2</v>
      </c>
      <c r="F5">
        <f t="shared" si="0"/>
        <v>14</v>
      </c>
      <c r="I5">
        <f t="shared" ref="I5:I7" si="1">F5/AVERAGE($F$4:$F$7)</f>
        <v>0.98245614035087714</v>
      </c>
    </row>
    <row r="6" spans="1:10" x14ac:dyDescent="0.35">
      <c r="A6" s="137">
        <f t="shared" ref="A6:A19" si="2">A5+1</f>
        <v>3</v>
      </c>
      <c r="B6" s="137" t="s">
        <v>34</v>
      </c>
      <c r="C6" s="137">
        <v>8</v>
      </c>
      <c r="E6" t="str">
        <f t="shared" si="0"/>
        <v>10 Q3</v>
      </c>
      <c r="F6">
        <f t="shared" si="0"/>
        <v>8</v>
      </c>
      <c r="I6">
        <f t="shared" si="1"/>
        <v>0.56140350877192979</v>
      </c>
    </row>
    <row r="7" spans="1:10" x14ac:dyDescent="0.35">
      <c r="A7" s="137">
        <f t="shared" si="2"/>
        <v>4</v>
      </c>
      <c r="B7" s="137" t="s">
        <v>35</v>
      </c>
      <c r="C7" s="137">
        <v>25</v>
      </c>
      <c r="E7" t="str">
        <f t="shared" si="0"/>
        <v>10 Q4</v>
      </c>
      <c r="F7">
        <f t="shared" si="0"/>
        <v>25</v>
      </c>
      <c r="G7">
        <f>F7/I7</f>
        <v>14.25</v>
      </c>
      <c r="H7">
        <f>(AVERAGE(F8:F11)-AVERAGE(F4:F7))/4</f>
        <v>1.875</v>
      </c>
      <c r="I7">
        <f t="shared" si="1"/>
        <v>1.7543859649122806</v>
      </c>
    </row>
    <row r="8" spans="1:10" x14ac:dyDescent="0.35">
      <c r="A8" s="137">
        <f t="shared" si="2"/>
        <v>5</v>
      </c>
      <c r="B8" s="137" t="s">
        <v>36</v>
      </c>
      <c r="C8" s="137">
        <v>16</v>
      </c>
      <c r="E8" t="str">
        <f t="shared" si="0"/>
        <v>11 Q1</v>
      </c>
      <c r="F8">
        <f t="shared" si="0"/>
        <v>16</v>
      </c>
      <c r="G8">
        <f>$F$23*F8/I4+(1-$F$23)*(G7+H7)</f>
        <v>16.409663890959376</v>
      </c>
      <c r="H8">
        <f>$G$23*(G8-G7)+(1-$G$23)*H7</f>
        <v>1.9759729329919167</v>
      </c>
      <c r="I8">
        <f>$H$23*(F8/G8)+(1-$H$23)*I4</f>
        <v>0.745763100902612</v>
      </c>
      <c r="J8">
        <f>(G7+H7)*I4</f>
        <v>11.315789473684211</v>
      </c>
    </row>
    <row r="9" spans="1:10" x14ac:dyDescent="0.35">
      <c r="A9" s="137">
        <f t="shared" si="2"/>
        <v>6</v>
      </c>
      <c r="B9" s="137" t="s">
        <v>37</v>
      </c>
      <c r="C9" s="137">
        <v>22</v>
      </c>
      <c r="E9" t="str">
        <f t="shared" si="0"/>
        <v>11 Q2</v>
      </c>
      <c r="F9">
        <f t="shared" si="0"/>
        <v>22</v>
      </c>
      <c r="G9">
        <f t="shared" ref="G9:G19" si="3">$F$23*F9/I5+(1-$F$23)*(G8+H8)</f>
        <v>18.556529846859338</v>
      </c>
      <c r="H9">
        <f t="shared" ref="H9:H19" si="4">$G$23*(G9-G8)+(1-$G$23)*H8</f>
        <v>2.0365902796203397</v>
      </c>
      <c r="I9">
        <f t="shared" ref="I9:I19" si="5">$H$23*(F9/G9)+(1-$H$23)*I5</f>
        <v>1.0151647131796984</v>
      </c>
      <c r="J9">
        <f t="shared" ref="J9:J19" si="6">(G8+H8)*I5</f>
        <v>18.063081791952143</v>
      </c>
    </row>
    <row r="10" spans="1:10" x14ac:dyDescent="0.35">
      <c r="A10" s="137">
        <f t="shared" si="2"/>
        <v>7</v>
      </c>
      <c r="B10" s="137" t="s">
        <v>38</v>
      </c>
      <c r="C10" s="137">
        <v>14</v>
      </c>
      <c r="E10" t="str">
        <f t="shared" si="0"/>
        <v>11 Q3</v>
      </c>
      <c r="F10">
        <f t="shared" si="0"/>
        <v>14</v>
      </c>
      <c r="G10">
        <f t="shared" si="3"/>
        <v>20.778391748742131</v>
      </c>
      <c r="H10">
        <f t="shared" si="4"/>
        <v>2.1023078493372522</v>
      </c>
      <c r="I10">
        <f t="shared" si="5"/>
        <v>0.57949994067812316</v>
      </c>
      <c r="J10">
        <f t="shared" si="6"/>
        <v>11.561049895567537</v>
      </c>
    </row>
    <row r="11" spans="1:10" x14ac:dyDescent="0.35">
      <c r="A11" s="137">
        <f t="shared" si="2"/>
        <v>8</v>
      </c>
      <c r="B11" s="137" t="s">
        <v>39</v>
      </c>
      <c r="C11" s="137">
        <v>35</v>
      </c>
      <c r="E11" t="str">
        <f t="shared" si="0"/>
        <v>11 Q4</v>
      </c>
      <c r="F11">
        <f t="shared" si="0"/>
        <v>35</v>
      </c>
      <c r="G11">
        <f t="shared" si="3"/>
        <v>22.755716174735205</v>
      </c>
      <c r="H11">
        <f t="shared" si="4"/>
        <v>2.0579750651969801</v>
      </c>
      <c r="I11">
        <f t="shared" si="5"/>
        <v>1.7195515991109875</v>
      </c>
      <c r="J11">
        <f t="shared" si="6"/>
        <v>40.141578242244528</v>
      </c>
    </row>
    <row r="12" spans="1:10" x14ac:dyDescent="0.35">
      <c r="A12" s="137">
        <f t="shared" si="2"/>
        <v>9</v>
      </c>
      <c r="B12" s="137" t="s">
        <v>40</v>
      </c>
      <c r="C12" s="137">
        <v>15</v>
      </c>
      <c r="E12" t="str">
        <f t="shared" si="0"/>
        <v>12 Q1</v>
      </c>
      <c r="F12">
        <f t="shared" si="0"/>
        <v>15</v>
      </c>
      <c r="G12">
        <f t="shared" si="3"/>
        <v>24.613250955937382</v>
      </c>
      <c r="H12">
        <f t="shared" si="4"/>
        <v>1.9868770299088434</v>
      </c>
      <c r="I12">
        <f t="shared" si="5"/>
        <v>0.72380788171760146</v>
      </c>
      <c r="J12">
        <f t="shared" si="6"/>
        <v>18.505135323931807</v>
      </c>
    </row>
    <row r="13" spans="1:10" x14ac:dyDescent="0.35">
      <c r="A13" s="137">
        <f t="shared" si="2"/>
        <v>10</v>
      </c>
      <c r="B13" s="137" t="s">
        <v>41</v>
      </c>
      <c r="C13" s="137">
        <v>27</v>
      </c>
      <c r="E13" t="str">
        <f t="shared" si="0"/>
        <v>12 Q2</v>
      </c>
      <c r="F13">
        <f t="shared" si="0"/>
        <v>27</v>
      </c>
      <c r="G13">
        <f t="shared" si="3"/>
        <v>26.599980478992507</v>
      </c>
      <c r="H13">
        <f t="shared" si="4"/>
        <v>1.9868247078542052</v>
      </c>
      <c r="I13">
        <f t="shared" si="5"/>
        <v>1.0151443620626868</v>
      </c>
      <c r="J13">
        <f t="shared" si="6"/>
        <v>27.00351129729485</v>
      </c>
    </row>
    <row r="14" spans="1:10" x14ac:dyDescent="0.35">
      <c r="A14" s="137">
        <f t="shared" si="2"/>
        <v>11</v>
      </c>
      <c r="B14" s="137" t="s">
        <v>42</v>
      </c>
      <c r="C14" s="137">
        <v>18</v>
      </c>
      <c r="E14" t="str">
        <f t="shared" si="0"/>
        <v>12 Q3</v>
      </c>
      <c r="F14">
        <f t="shared" si="0"/>
        <v>18</v>
      </c>
      <c r="G14">
        <f t="shared" si="3"/>
        <v>28.69233159235106</v>
      </c>
      <c r="H14">
        <f t="shared" si="4"/>
        <v>2.0242559065775763</v>
      </c>
      <c r="I14">
        <f t="shared" si="5"/>
        <v>0.58720488590820108</v>
      </c>
      <c r="J14">
        <f t="shared" si="6"/>
        <v>16.566051909954734</v>
      </c>
    </row>
    <row r="15" spans="1:10" x14ac:dyDescent="0.35">
      <c r="A15" s="137">
        <f t="shared" si="2"/>
        <v>12</v>
      </c>
      <c r="B15" s="137" t="s">
        <v>43</v>
      </c>
      <c r="C15" s="137">
        <v>40</v>
      </c>
      <c r="E15" t="str">
        <f t="shared" si="0"/>
        <v>12 Q4</v>
      </c>
      <c r="F15">
        <f t="shared" si="0"/>
        <v>40</v>
      </c>
      <c r="G15">
        <f t="shared" si="3"/>
        <v>30.398671913707147</v>
      </c>
      <c r="H15">
        <f t="shared" si="4"/>
        <v>1.9114882879819448</v>
      </c>
      <c r="I15">
        <f t="shared" si="5"/>
        <v>1.6545396364516589</v>
      </c>
      <c r="J15">
        <f t="shared" si="6"/>
        <v>52.818757153015305</v>
      </c>
    </row>
    <row r="16" spans="1:10" x14ac:dyDescent="0.35">
      <c r="A16" s="137">
        <f t="shared" si="2"/>
        <v>13</v>
      </c>
      <c r="B16" s="137" t="s">
        <v>44</v>
      </c>
      <c r="C16" s="137">
        <v>28</v>
      </c>
      <c r="E16" t="str">
        <f t="shared" si="0"/>
        <v>13 Q1</v>
      </c>
      <c r="F16">
        <f t="shared" si="0"/>
        <v>28</v>
      </c>
      <c r="G16">
        <f t="shared" si="3"/>
        <v>32.581993452525211</v>
      </c>
      <c r="H16">
        <f t="shared" si="4"/>
        <v>2.0079100734396844</v>
      </c>
      <c r="I16">
        <f t="shared" si="5"/>
        <v>0.74563865356315784</v>
      </c>
      <c r="J16">
        <f t="shared" si="6"/>
        <v>23.386348613540935</v>
      </c>
    </row>
    <row r="17" spans="1:11" x14ac:dyDescent="0.35">
      <c r="A17" s="137">
        <f t="shared" si="2"/>
        <v>14</v>
      </c>
      <c r="B17" s="137" t="s">
        <v>45</v>
      </c>
      <c r="C17" s="137">
        <v>40</v>
      </c>
      <c r="E17" t="str">
        <f t="shared" si="0"/>
        <v>13 Q2</v>
      </c>
      <c r="F17">
        <f t="shared" si="0"/>
        <v>40</v>
      </c>
      <c r="G17">
        <f t="shared" si="3"/>
        <v>34.795175369796674</v>
      </c>
      <c r="H17">
        <f t="shared" si="4"/>
        <v>2.0807219079948132</v>
      </c>
      <c r="I17">
        <f t="shared" si="5"/>
        <v>1.0367944176973949</v>
      </c>
      <c r="J17">
        <f t="shared" si="6"/>
        <v>35.11374554867551</v>
      </c>
    </row>
    <row r="18" spans="1:11" x14ac:dyDescent="0.35">
      <c r="A18" s="137">
        <f t="shared" si="2"/>
        <v>15</v>
      </c>
      <c r="B18" s="137" t="s">
        <v>46</v>
      </c>
      <c r="C18" s="137">
        <v>25</v>
      </c>
      <c r="E18" t="str">
        <f t="shared" si="0"/>
        <v>13 Q3</v>
      </c>
      <c r="F18">
        <f t="shared" si="0"/>
        <v>25</v>
      </c>
      <c r="G18">
        <f t="shared" si="3"/>
        <v>37.118924771796515</v>
      </c>
      <c r="H18">
        <f t="shared" si="4"/>
        <v>2.1669260232574161</v>
      </c>
      <c r="I18">
        <f t="shared" si="5"/>
        <v>0.60110346931994929</v>
      </c>
      <c r="J18">
        <f t="shared" si="6"/>
        <v>21.653707053768095</v>
      </c>
    </row>
    <row r="19" spans="1:11" x14ac:dyDescent="0.35">
      <c r="A19" s="10">
        <f t="shared" si="2"/>
        <v>16</v>
      </c>
      <c r="B19" s="10" t="s">
        <v>47</v>
      </c>
      <c r="C19" s="10">
        <v>65</v>
      </c>
      <c r="E19" s="4" t="str">
        <f t="shared" si="0"/>
        <v>13 Q4</v>
      </c>
      <c r="F19" s="4">
        <f t="shared" si="0"/>
        <v>65</v>
      </c>
      <c r="G19" s="4">
        <f t="shared" si="3"/>
        <v>39.285850864849799</v>
      </c>
      <c r="H19" s="4">
        <f t="shared" si="4"/>
        <v>2.1669260480146608</v>
      </c>
      <c r="I19" s="4">
        <f t="shared" si="5"/>
        <v>1.6545396470781917</v>
      </c>
      <c r="J19" s="4">
        <f t="shared" si="6"/>
        <v>64.999997292142652</v>
      </c>
    </row>
    <row r="20" spans="1:11" x14ac:dyDescent="0.35">
      <c r="E20" t="s">
        <v>180</v>
      </c>
      <c r="I20">
        <f>I16</f>
        <v>0.74563865356315784</v>
      </c>
      <c r="J20">
        <f>($G$19+$H$19*(ROW(G20)-ROW($G$19)))*I20</f>
        <v>30.908792763762207</v>
      </c>
    </row>
    <row r="22" spans="1:11" x14ac:dyDescent="0.35">
      <c r="F22" s="230" t="s">
        <v>10</v>
      </c>
      <c r="G22" s="230" t="s">
        <v>16</v>
      </c>
      <c r="H22" s="230" t="s">
        <v>26</v>
      </c>
      <c r="I22" s="230" t="s">
        <v>12</v>
      </c>
      <c r="J22" s="230" t="s">
        <v>4</v>
      </c>
      <c r="K22" s="230" t="s">
        <v>611</v>
      </c>
    </row>
    <row r="23" spans="1:11" x14ac:dyDescent="0.35">
      <c r="F23" s="46">
        <v>4.264627579915755E-2</v>
      </c>
      <c r="G23" s="50">
        <v>0.35470931227566999</v>
      </c>
      <c r="H23" s="47">
        <v>0.16103843311388638</v>
      </c>
      <c r="I23" s="231">
        <f>SUMPRODUCT(ABS(F8:F19-J8:J19))/COUNT(J8:J19)</f>
        <v>3.9007675364333889</v>
      </c>
      <c r="J23" s="50">
        <f>SUMXMY2(F8:F19,J8:J19)/COUNT(J8:J19)</f>
        <v>25.403926988901777</v>
      </c>
      <c r="K23" s="47">
        <f>SUMPRODUCT(ABS(1-J8:J19/F8:F19))/COUNT(J8:J19)</f>
        <v>0.15396223127339559</v>
      </c>
    </row>
    <row r="24" spans="1:11" x14ac:dyDescent="0.35">
      <c r="G24" s="1" t="s">
        <v>475</v>
      </c>
      <c r="H24">
        <f>F23+H23</f>
        <v>0.20368470891304394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93"/>
  <dimension ref="A1:K27"/>
  <sheetViews>
    <sheetView workbookViewId="0"/>
  </sheetViews>
  <sheetFormatPr defaultRowHeight="14.5" x14ac:dyDescent="0.35"/>
  <cols>
    <col min="2" max="2" width="7.54296875" customWidth="1"/>
    <col min="5" max="5" width="6.453125" customWidth="1"/>
  </cols>
  <sheetData>
    <row r="1" spans="1:10" x14ac:dyDescent="0.35">
      <c r="A1" s="7" t="s">
        <v>182</v>
      </c>
      <c r="E1" t="s">
        <v>614</v>
      </c>
    </row>
    <row r="2" spans="1:10" ht="15" thickBot="1" x14ac:dyDescent="0.4"/>
    <row r="3" spans="1:10" ht="15" thickTop="1" x14ac:dyDescent="0.35">
      <c r="A3" s="229" t="s">
        <v>3</v>
      </c>
      <c r="B3" s="229" t="s">
        <v>52</v>
      </c>
      <c r="C3" s="229" t="s">
        <v>1</v>
      </c>
      <c r="E3" s="45" t="str">
        <f>B3</f>
        <v>qtr</v>
      </c>
      <c r="F3" s="45" t="str">
        <f>C3</f>
        <v>y</v>
      </c>
      <c r="G3" s="45" t="s">
        <v>17</v>
      </c>
      <c r="H3" s="45" t="s">
        <v>18</v>
      </c>
      <c r="I3" s="45" t="s">
        <v>27</v>
      </c>
      <c r="J3" s="45" t="s">
        <v>179</v>
      </c>
    </row>
    <row r="4" spans="1:10" x14ac:dyDescent="0.35">
      <c r="A4" s="137">
        <v>1</v>
      </c>
      <c r="B4" s="137" t="s">
        <v>32</v>
      </c>
      <c r="C4" s="137">
        <v>10</v>
      </c>
      <c r="E4" s="137" t="str">
        <f>B4</f>
        <v>10 Q1</v>
      </c>
      <c r="F4" s="137">
        <f>C4</f>
        <v>10</v>
      </c>
      <c r="I4">
        <f>F4-AVERAGE($F$4:$F$7)</f>
        <v>-4.25</v>
      </c>
    </row>
    <row r="5" spans="1:10" x14ac:dyDescent="0.35">
      <c r="A5" s="137">
        <f>A4+1</f>
        <v>2</v>
      </c>
      <c r="B5" s="137" t="s">
        <v>33</v>
      </c>
      <c r="C5" s="137">
        <v>14</v>
      </c>
      <c r="E5" s="137" t="str">
        <f t="shared" ref="E5:F19" si="0">B5</f>
        <v>10 Q2</v>
      </c>
      <c r="F5" s="137">
        <f t="shared" si="0"/>
        <v>14</v>
      </c>
      <c r="I5">
        <f t="shared" ref="I5:I7" si="1">F5-AVERAGE($F$4:$F$7)</f>
        <v>-0.25</v>
      </c>
    </row>
    <row r="6" spans="1:10" x14ac:dyDescent="0.35">
      <c r="A6" s="137">
        <f t="shared" ref="A6:A19" si="2">A5+1</f>
        <v>3</v>
      </c>
      <c r="B6" s="137" t="s">
        <v>34</v>
      </c>
      <c r="C6" s="137">
        <v>8</v>
      </c>
      <c r="E6" s="137" t="str">
        <f t="shared" si="0"/>
        <v>10 Q3</v>
      </c>
      <c r="F6" s="137">
        <f t="shared" si="0"/>
        <v>8</v>
      </c>
      <c r="I6">
        <f t="shared" si="1"/>
        <v>-6.25</v>
      </c>
    </row>
    <row r="7" spans="1:10" x14ac:dyDescent="0.35">
      <c r="A7" s="137">
        <f t="shared" si="2"/>
        <v>4</v>
      </c>
      <c r="B7" s="137" t="s">
        <v>35</v>
      </c>
      <c r="C7" s="137">
        <v>25</v>
      </c>
      <c r="E7" s="137" t="str">
        <f t="shared" si="0"/>
        <v>10 Q4</v>
      </c>
      <c r="F7" s="137">
        <f t="shared" si="0"/>
        <v>25</v>
      </c>
      <c r="G7">
        <f>F7-I7</f>
        <v>14.25</v>
      </c>
      <c r="H7">
        <f>(AVERAGE(F8:F11)-AVERAGE(F4:F7))/4</f>
        <v>1.875</v>
      </c>
      <c r="I7">
        <f t="shared" si="1"/>
        <v>10.75</v>
      </c>
    </row>
    <row r="8" spans="1:10" x14ac:dyDescent="0.35">
      <c r="A8" s="137">
        <f t="shared" si="2"/>
        <v>5</v>
      </c>
      <c r="B8" s="137" t="s">
        <v>36</v>
      </c>
      <c r="C8" s="137">
        <v>16</v>
      </c>
      <c r="E8" s="137" t="str">
        <f t="shared" si="0"/>
        <v>11 Q1</v>
      </c>
      <c r="F8" s="137">
        <f t="shared" si="0"/>
        <v>16</v>
      </c>
      <c r="G8">
        <f>$F$26*(F8-I4)+(1-$F$26)*(G7+H7)</f>
        <v>16.18907036947255</v>
      </c>
      <c r="H8">
        <f>$G$26*(G8-G7)+(1-$G$26)*H7</f>
        <v>1.9390703694725495</v>
      </c>
      <c r="I8">
        <f>$H$26*(F8-G8)+(1-$H$26)*I4</f>
        <v>-3.3124053774155002</v>
      </c>
      <c r="J8">
        <f>G7+H7+I4</f>
        <v>11.875</v>
      </c>
    </row>
    <row r="9" spans="1:10" x14ac:dyDescent="0.35">
      <c r="A9" s="137">
        <f t="shared" si="2"/>
        <v>6</v>
      </c>
      <c r="B9" s="137" t="s">
        <v>37</v>
      </c>
      <c r="C9" s="137">
        <v>22</v>
      </c>
      <c r="E9" s="137" t="str">
        <f t="shared" si="0"/>
        <v>11 Q2</v>
      </c>
      <c r="F9" s="137">
        <f t="shared" si="0"/>
        <v>22</v>
      </c>
      <c r="G9">
        <f t="shared" ref="G9:G19" si="3">$F$26*(F9-I5)+(1-$F$26)*(G8+H8)</f>
        <v>18.192162325798343</v>
      </c>
      <c r="H9">
        <f t="shared" ref="H9:H19" si="4">$G$26*(G9-G8)+(1-$G$26)*H8</f>
        <v>2.0030919563257932</v>
      </c>
      <c r="I9">
        <f t="shared" ref="I9:I19" si="5">$H$26*(F9-G9)+(1-$H$26)*I5</f>
        <v>0.68688074623398698</v>
      </c>
      <c r="J9">
        <f t="shared" ref="J9:J19" si="6">G8+H8+I5</f>
        <v>17.878140738945099</v>
      </c>
    </row>
    <row r="10" spans="1:10" x14ac:dyDescent="0.35">
      <c r="A10" s="137">
        <f t="shared" si="2"/>
        <v>7</v>
      </c>
      <c r="B10" s="137" t="s">
        <v>38</v>
      </c>
      <c r="C10" s="137">
        <v>14</v>
      </c>
      <c r="E10" s="137" t="str">
        <f t="shared" si="0"/>
        <v>11 Q3</v>
      </c>
      <c r="F10" s="137">
        <f t="shared" si="0"/>
        <v>14</v>
      </c>
      <c r="G10">
        <f t="shared" si="3"/>
        <v>20.196104604153554</v>
      </c>
      <c r="H10">
        <f t="shared" si="4"/>
        <v>2.0039422783552112</v>
      </c>
      <c r="I10">
        <f t="shared" si="5"/>
        <v>-6.2375565355903184</v>
      </c>
      <c r="J10">
        <f t="shared" si="6"/>
        <v>13.945254282124136</v>
      </c>
    </row>
    <row r="11" spans="1:10" x14ac:dyDescent="0.35">
      <c r="A11" s="137">
        <f t="shared" si="2"/>
        <v>8</v>
      </c>
      <c r="B11" s="137" t="s">
        <v>39</v>
      </c>
      <c r="C11" s="137">
        <v>35</v>
      </c>
      <c r="E11" s="137" t="str">
        <f t="shared" si="0"/>
        <v>11 Q4</v>
      </c>
      <c r="F11" s="137">
        <f t="shared" si="0"/>
        <v>35</v>
      </c>
      <c r="G11">
        <f t="shared" si="3"/>
        <v>22.231887186421268</v>
      </c>
      <c r="H11">
        <f t="shared" si="4"/>
        <v>2.0357825822677142</v>
      </c>
      <c r="I11">
        <f t="shared" si="5"/>
        <v>11.215945459275179</v>
      </c>
      <c r="J11">
        <f t="shared" si="6"/>
        <v>32.950046882508765</v>
      </c>
    </row>
    <row r="12" spans="1:10" x14ac:dyDescent="0.35">
      <c r="A12" s="137">
        <f t="shared" si="2"/>
        <v>9</v>
      </c>
      <c r="B12" s="137" t="s">
        <v>40</v>
      </c>
      <c r="C12" s="137">
        <v>15</v>
      </c>
      <c r="E12" s="137" t="str">
        <f t="shared" si="0"/>
        <v>12 Q1</v>
      </c>
      <c r="F12" s="137">
        <f t="shared" si="0"/>
        <v>15</v>
      </c>
      <c r="G12">
        <f t="shared" si="3"/>
        <v>24.17517134690581</v>
      </c>
      <c r="H12">
        <f t="shared" si="4"/>
        <v>1.9432841604845414</v>
      </c>
      <c r="I12">
        <f t="shared" si="5"/>
        <v>-4.6660111639190092</v>
      </c>
      <c r="J12">
        <f t="shared" si="6"/>
        <v>20.955264391273481</v>
      </c>
    </row>
    <row r="13" spans="1:10" x14ac:dyDescent="0.35">
      <c r="A13" s="137">
        <f t="shared" si="2"/>
        <v>10</v>
      </c>
      <c r="B13" s="137" t="s">
        <v>41</v>
      </c>
      <c r="C13" s="137">
        <v>27</v>
      </c>
      <c r="E13" s="137" t="str">
        <f t="shared" si="0"/>
        <v>12 Q2</v>
      </c>
      <c r="F13" s="137">
        <f t="shared" si="0"/>
        <v>27</v>
      </c>
      <c r="G13">
        <f t="shared" si="3"/>
        <v>26.121479065730522</v>
      </c>
      <c r="H13">
        <f t="shared" si="4"/>
        <v>1.9463077188247127</v>
      </c>
      <c r="I13">
        <f t="shared" si="5"/>
        <v>0.73112697212828326</v>
      </c>
      <c r="J13">
        <f t="shared" si="6"/>
        <v>26.80533625362434</v>
      </c>
    </row>
    <row r="14" spans="1:10" x14ac:dyDescent="0.35">
      <c r="A14" s="137">
        <f t="shared" si="2"/>
        <v>11</v>
      </c>
      <c r="B14" s="137" t="s">
        <v>42</v>
      </c>
      <c r="C14" s="137">
        <v>18</v>
      </c>
      <c r="E14" s="137" t="str">
        <f t="shared" si="0"/>
        <v>12 Q3</v>
      </c>
      <c r="F14" s="137">
        <f t="shared" si="0"/>
        <v>18</v>
      </c>
      <c r="G14">
        <f t="shared" si="3"/>
        <v>28.008294840987695</v>
      </c>
      <c r="H14">
        <f t="shared" si="4"/>
        <v>1.8868157752571726</v>
      </c>
      <c r="I14">
        <f t="shared" si="5"/>
        <v>-7.1081512712727424</v>
      </c>
      <c r="J14">
        <f t="shared" si="6"/>
        <v>21.830230248964916</v>
      </c>
    </row>
    <row r="15" spans="1:10" x14ac:dyDescent="0.35">
      <c r="A15" s="137">
        <f t="shared" si="2"/>
        <v>12</v>
      </c>
      <c r="B15" s="137" t="s">
        <v>43</v>
      </c>
      <c r="C15" s="137">
        <v>40</v>
      </c>
      <c r="E15" s="137" t="str">
        <f t="shared" si="0"/>
        <v>12 Q4</v>
      </c>
      <c r="F15" s="137">
        <f t="shared" si="0"/>
        <v>40</v>
      </c>
      <c r="G15">
        <f t="shared" si="3"/>
        <v>29.877853459090133</v>
      </c>
      <c r="H15">
        <f t="shared" si="4"/>
        <v>1.8695586181024382</v>
      </c>
      <c r="I15">
        <f t="shared" si="5"/>
        <v>10.963407228536408</v>
      </c>
      <c r="J15">
        <f t="shared" si="6"/>
        <v>41.111056075520047</v>
      </c>
    </row>
    <row r="16" spans="1:10" x14ac:dyDescent="0.35">
      <c r="A16" s="137">
        <f t="shared" si="2"/>
        <v>13</v>
      </c>
      <c r="B16" s="137" t="s">
        <v>44</v>
      </c>
      <c r="C16" s="137">
        <v>28</v>
      </c>
      <c r="E16" s="137" t="str">
        <f t="shared" si="0"/>
        <v>13 Q1</v>
      </c>
      <c r="F16" s="137">
        <f t="shared" si="0"/>
        <v>28</v>
      </c>
      <c r="G16">
        <f t="shared" si="3"/>
        <v>31.761679951831049</v>
      </c>
      <c r="H16">
        <f t="shared" si="4"/>
        <v>1.8838264927409156</v>
      </c>
      <c r="I16">
        <f t="shared" si="5"/>
        <v>-4.457217572640042</v>
      </c>
      <c r="J16">
        <f t="shared" si="6"/>
        <v>27.081400913273562</v>
      </c>
    </row>
    <row r="17" spans="1:11" x14ac:dyDescent="0.35">
      <c r="A17" s="137">
        <f t="shared" si="2"/>
        <v>14</v>
      </c>
      <c r="B17" s="137" t="s">
        <v>45</v>
      </c>
      <c r="C17" s="137">
        <v>40</v>
      </c>
      <c r="E17" s="137" t="str">
        <f t="shared" si="0"/>
        <v>13 Q2</v>
      </c>
      <c r="F17" s="137">
        <f t="shared" si="0"/>
        <v>40</v>
      </c>
      <c r="G17">
        <f t="shared" si="3"/>
        <v>33.732849759643869</v>
      </c>
      <c r="H17">
        <f t="shared" si="4"/>
        <v>1.9711698078128208</v>
      </c>
      <c r="I17">
        <f t="shared" si="5"/>
        <v>2.0092938252975481</v>
      </c>
      <c r="J17">
        <f t="shared" si="6"/>
        <v>34.376633416700244</v>
      </c>
    </row>
    <row r="18" spans="1:11" x14ac:dyDescent="0.35">
      <c r="A18" s="137">
        <f t="shared" si="2"/>
        <v>15</v>
      </c>
      <c r="B18" s="137" t="s">
        <v>46</v>
      </c>
      <c r="C18" s="137">
        <v>25</v>
      </c>
      <c r="E18" s="137" t="str">
        <f t="shared" si="0"/>
        <v>13 Q3</v>
      </c>
      <c r="F18" s="137">
        <f t="shared" si="0"/>
        <v>25</v>
      </c>
      <c r="G18">
        <f t="shared" si="3"/>
        <v>35.648167783138838</v>
      </c>
      <c r="H18">
        <f t="shared" si="4"/>
        <v>1.9153180234949687</v>
      </c>
      <c r="I18">
        <f t="shared" si="5"/>
        <v>-7.9254765507937499</v>
      </c>
      <c r="J18">
        <f t="shared" si="6"/>
        <v>28.595868296183948</v>
      </c>
    </row>
    <row r="19" spans="1:11" x14ac:dyDescent="0.35">
      <c r="A19" s="10">
        <f t="shared" si="2"/>
        <v>16</v>
      </c>
      <c r="B19" s="10" t="s">
        <v>47</v>
      </c>
      <c r="C19" s="10">
        <v>65</v>
      </c>
      <c r="E19" s="10" t="str">
        <f t="shared" si="0"/>
        <v>13 Q4</v>
      </c>
      <c r="F19" s="10">
        <f t="shared" si="0"/>
        <v>65</v>
      </c>
      <c r="G19" s="4">
        <f t="shared" si="3"/>
        <v>37.819349576233186</v>
      </c>
      <c r="H19" s="4">
        <f t="shared" si="4"/>
        <v>2.1711817930943482</v>
      </c>
      <c r="I19" s="4">
        <f t="shared" si="5"/>
        <v>14.707673048532452</v>
      </c>
      <c r="J19" s="4">
        <f t="shared" si="6"/>
        <v>48.526893035170218</v>
      </c>
    </row>
    <row r="20" spans="1:11" x14ac:dyDescent="0.35">
      <c r="E20" s="137" t="s">
        <v>48</v>
      </c>
      <c r="I20">
        <f>I16</f>
        <v>-4.457217572640042</v>
      </c>
      <c r="J20">
        <f>$G$19+$H$19*(ROW(G20)-ROW($G$19))+I20</f>
        <v>35.533313796687494</v>
      </c>
    </row>
    <row r="21" spans="1:11" x14ac:dyDescent="0.35">
      <c r="E21" s="137" t="s">
        <v>49</v>
      </c>
      <c r="I21">
        <f t="shared" ref="I21:I23" si="7">I17</f>
        <v>2.0092938252975481</v>
      </c>
      <c r="J21">
        <f t="shared" ref="J21:J23" si="8">$G$19+$H$19*(ROW(G21)-ROW($G$19))+I21</f>
        <v>44.17100698771943</v>
      </c>
    </row>
    <row r="22" spans="1:11" x14ac:dyDescent="0.35">
      <c r="E22" s="137" t="s">
        <v>50</v>
      </c>
      <c r="I22">
        <f t="shared" si="7"/>
        <v>-7.9254765507937499</v>
      </c>
      <c r="J22">
        <f t="shared" si="8"/>
        <v>36.407418404722478</v>
      </c>
    </row>
    <row r="23" spans="1:11" x14ac:dyDescent="0.35">
      <c r="E23" s="10" t="s">
        <v>51</v>
      </c>
      <c r="F23" s="4"/>
      <c r="G23" s="4"/>
      <c r="H23" s="4"/>
      <c r="I23" s="4">
        <f t="shared" si="7"/>
        <v>14.707673048532452</v>
      </c>
      <c r="J23" s="4">
        <f t="shared" si="8"/>
        <v>61.211749797143028</v>
      </c>
    </row>
    <row r="25" spans="1:11" x14ac:dyDescent="0.35">
      <c r="F25" s="230" t="s">
        <v>10</v>
      </c>
      <c r="G25" s="230" t="s">
        <v>16</v>
      </c>
      <c r="H25" s="230" t="s">
        <v>26</v>
      </c>
      <c r="I25" s="230" t="s">
        <v>12</v>
      </c>
      <c r="J25" s="230" t="s">
        <v>4</v>
      </c>
      <c r="K25" s="230" t="s">
        <v>611</v>
      </c>
    </row>
    <row r="26" spans="1:11" x14ac:dyDescent="0.35">
      <c r="F26" s="46">
        <v>1.5532210781223502E-2</v>
      </c>
      <c r="G26" s="50">
        <v>1</v>
      </c>
      <c r="H26" s="47">
        <v>0.2308817704045566</v>
      </c>
      <c r="I26" s="46">
        <f>SUMPRODUCT(ABS(F8:F19-J8:J19))/COUNT(J8:J19)</f>
        <v>4.004476124133002</v>
      </c>
      <c r="J26" s="232">
        <f>SUMXMY2(F8:F19,J8:J19)/COUNT(J8:J19)</f>
        <v>33.864869070264326</v>
      </c>
      <c r="K26" s="47">
        <f>SUMPRODUCT(ABS(1-J8:J19/F8:F19))/COUNT(J8:J19)</f>
        <v>0.14359191865729018</v>
      </c>
    </row>
    <row r="27" spans="1:11" x14ac:dyDescent="0.35">
      <c r="G27" s="1" t="s">
        <v>475</v>
      </c>
      <c r="H27">
        <f>F26+H26</f>
        <v>0.24641398118578009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26B2-1C70-4E58-A892-B2A5F4E4AB32}">
  <dimension ref="A1:M30"/>
  <sheetViews>
    <sheetView workbookViewId="0"/>
  </sheetViews>
  <sheetFormatPr defaultRowHeight="14.5" x14ac:dyDescent="0.35"/>
  <cols>
    <col min="1" max="1" width="5.6328125" customWidth="1"/>
    <col min="2" max="3" width="6.81640625" customWidth="1"/>
    <col min="5" max="5" width="6.6328125" customWidth="1"/>
  </cols>
  <sheetData>
    <row r="1" spans="1:13" x14ac:dyDescent="0.35">
      <c r="A1" s="7" t="s">
        <v>670</v>
      </c>
    </row>
    <row r="3" spans="1:13" x14ac:dyDescent="0.35">
      <c r="A3" s="267" t="s">
        <v>3</v>
      </c>
      <c r="B3" s="267" t="s">
        <v>52</v>
      </c>
      <c r="C3" s="267" t="s">
        <v>1</v>
      </c>
      <c r="E3" t="s">
        <v>614</v>
      </c>
      <c r="J3" t="s">
        <v>665</v>
      </c>
      <c r="K3" s="119">
        <v>0.05</v>
      </c>
    </row>
    <row r="4" spans="1:13" ht="15" thickBot="1" x14ac:dyDescent="0.4">
      <c r="A4" s="137">
        <v>1</v>
      </c>
      <c r="B4" s="137" t="s">
        <v>32</v>
      </c>
      <c r="C4" s="137">
        <v>10</v>
      </c>
    </row>
    <row r="5" spans="1:13" ht="15" thickTop="1" x14ac:dyDescent="0.35">
      <c r="A5" s="137">
        <f t="shared" ref="A5:A19" si="0">A4+1</f>
        <v>2</v>
      </c>
      <c r="B5" s="137" t="s">
        <v>33</v>
      </c>
      <c r="C5" s="137">
        <v>14</v>
      </c>
      <c r="E5" s="45" t="str">
        <f t="shared" ref="E5:E21" si="1">B3</f>
        <v>qtr</v>
      </c>
      <c r="F5" s="45" t="str">
        <f t="shared" ref="F5:F21" si="2">C3</f>
        <v>y</v>
      </c>
      <c r="G5" s="45" t="s">
        <v>17</v>
      </c>
      <c r="H5" s="45" t="s">
        <v>18</v>
      </c>
      <c r="I5" s="45" t="s">
        <v>27</v>
      </c>
      <c r="J5" s="45" t="s">
        <v>179</v>
      </c>
      <c r="K5" s="45" t="s">
        <v>81</v>
      </c>
      <c r="L5" s="45" t="s">
        <v>127</v>
      </c>
      <c r="M5" s="45" t="s">
        <v>128</v>
      </c>
    </row>
    <row r="6" spans="1:13" x14ac:dyDescent="0.35">
      <c r="A6" s="137">
        <f t="shared" si="0"/>
        <v>3</v>
      </c>
      <c r="B6" s="137" t="s">
        <v>34</v>
      </c>
      <c r="C6" s="137">
        <v>8</v>
      </c>
      <c r="E6" t="str">
        <f t="shared" si="1"/>
        <v>10 Q1</v>
      </c>
      <c r="F6">
        <f t="shared" si="2"/>
        <v>10</v>
      </c>
      <c r="I6">
        <f>F6-AVERAGE($F$6:$F$9)</f>
        <v>-4.25</v>
      </c>
    </row>
    <row r="7" spans="1:13" x14ac:dyDescent="0.35">
      <c r="A7" s="137">
        <f t="shared" si="0"/>
        <v>4</v>
      </c>
      <c r="B7" s="137" t="s">
        <v>35</v>
      </c>
      <c r="C7" s="137">
        <v>25</v>
      </c>
      <c r="E7" t="str">
        <f t="shared" si="1"/>
        <v>10 Q2</v>
      </c>
      <c r="F7">
        <f t="shared" si="2"/>
        <v>14</v>
      </c>
      <c r="I7">
        <f>F7-AVERAGE($F$6:$F$9)</f>
        <v>-0.25</v>
      </c>
    </row>
    <row r="8" spans="1:13" x14ac:dyDescent="0.35">
      <c r="A8" s="137">
        <f t="shared" si="0"/>
        <v>5</v>
      </c>
      <c r="B8" s="137" t="s">
        <v>36</v>
      </c>
      <c r="C8" s="137">
        <v>16</v>
      </c>
      <c r="E8" t="str">
        <f t="shared" si="1"/>
        <v>10 Q3</v>
      </c>
      <c r="F8">
        <f t="shared" si="2"/>
        <v>8</v>
      </c>
      <c r="I8">
        <f>F8-AVERAGE($F$6:$F$9)</f>
        <v>-6.25</v>
      </c>
    </row>
    <row r="9" spans="1:13" x14ac:dyDescent="0.35">
      <c r="A9" s="137">
        <f t="shared" si="0"/>
        <v>6</v>
      </c>
      <c r="B9" s="137" t="s">
        <v>37</v>
      </c>
      <c r="C9" s="137">
        <v>22</v>
      </c>
      <c r="E9" t="str">
        <f t="shared" si="1"/>
        <v>10 Q4</v>
      </c>
      <c r="F9">
        <f t="shared" si="2"/>
        <v>25</v>
      </c>
      <c r="G9">
        <f>F9-I9</f>
        <v>14.25</v>
      </c>
      <c r="H9">
        <f>(AVERAGE(F10:F13)-AVERAGE(F6:F9))/4</f>
        <v>1.875</v>
      </c>
      <c r="I9">
        <f>F9-AVERAGE($F$6:$F$9)</f>
        <v>10.75</v>
      </c>
    </row>
    <row r="10" spans="1:13" x14ac:dyDescent="0.35">
      <c r="A10" s="137">
        <f t="shared" si="0"/>
        <v>7</v>
      </c>
      <c r="B10" s="137" t="s">
        <v>38</v>
      </c>
      <c r="C10" s="137">
        <v>14</v>
      </c>
      <c r="E10" t="str">
        <f t="shared" si="1"/>
        <v>11 Q1</v>
      </c>
      <c r="F10">
        <f t="shared" si="2"/>
        <v>16</v>
      </c>
      <c r="G10">
        <f t="shared" ref="G10:G21" si="3">$F$30*(F10-I6)+(1-$F$30)*(G9+H9)</f>
        <v>16.189070198353864</v>
      </c>
      <c r="H10">
        <f t="shared" ref="H10:H21" si="4">$G$30*(G10-G9)+(1-$G$30)*H9</f>
        <v>1.9390701983538641</v>
      </c>
      <c r="I10">
        <f t="shared" ref="I10:I21" si="5">$H$30*(F10-G10)+(1-$H$30)*I6</f>
        <v>-3.3124030167620941</v>
      </c>
      <c r="J10">
        <f t="shared" ref="J10:J21" si="6">G9+H9+I6</f>
        <v>11.875</v>
      </c>
    </row>
    <row r="11" spans="1:13" x14ac:dyDescent="0.35">
      <c r="A11" s="137">
        <f t="shared" si="0"/>
        <v>8</v>
      </c>
      <c r="B11" s="137" t="s">
        <v>39</v>
      </c>
      <c r="C11" s="137">
        <v>35</v>
      </c>
      <c r="E11" t="str">
        <f t="shared" si="1"/>
        <v>11 Q2</v>
      </c>
      <c r="F11">
        <f t="shared" si="2"/>
        <v>22</v>
      </c>
      <c r="G11">
        <f t="shared" si="3"/>
        <v>18.192161817888266</v>
      </c>
      <c r="H11">
        <f t="shared" si="4"/>
        <v>2.003091619534402</v>
      </c>
      <c r="I11">
        <f t="shared" si="5"/>
        <v>0.68688318287927874</v>
      </c>
      <c r="J11">
        <f t="shared" si="6"/>
        <v>17.878140396707728</v>
      </c>
      <c r="K11">
        <f>SQRT(SUMXMY2(F$10:F10,J$10:J10)/COUNT(J$10:J10))</f>
        <v>4.125</v>
      </c>
      <c r="L11">
        <f t="shared" ref="L11:L27" si="7">J11-_xlfn.NORM.S.INV(1-K$3/2)*K11</f>
        <v>9.7932889604800071</v>
      </c>
      <c r="M11">
        <f t="shared" ref="M11:M27" si="8">J11+_xlfn.NORM.S.INV(1-K$3/2)*K11</f>
        <v>25.962991832935451</v>
      </c>
    </row>
    <row r="12" spans="1:13" x14ac:dyDescent="0.35">
      <c r="A12" s="137">
        <f t="shared" si="0"/>
        <v>9</v>
      </c>
      <c r="B12" s="137" t="s">
        <v>40</v>
      </c>
      <c r="C12" s="137">
        <v>15</v>
      </c>
      <c r="E12" t="str">
        <f t="shared" si="1"/>
        <v>11 Q3</v>
      </c>
      <c r="F12">
        <f t="shared" si="2"/>
        <v>14</v>
      </c>
      <c r="G12">
        <f t="shared" si="3"/>
        <v>20.1961037703011</v>
      </c>
      <c r="H12">
        <f t="shared" si="4"/>
        <v>2.0039419524128341</v>
      </c>
      <c r="I12">
        <f t="shared" si="5"/>
        <v>-6.2375563122629938</v>
      </c>
      <c r="J12">
        <f t="shared" si="6"/>
        <v>13.945253437422668</v>
      </c>
      <c r="K12">
        <f>SQRT(SUMXMY2(F$10:F11,J$10:J11)/COUNT(J$10:J11))</f>
        <v>4.1234301006111842</v>
      </c>
      <c r="L12">
        <f t="shared" si="7"/>
        <v>5.8634789474563771</v>
      </c>
      <c r="M12">
        <f t="shared" si="8"/>
        <v>22.027027927388957</v>
      </c>
    </row>
    <row r="13" spans="1:13" x14ac:dyDescent="0.35">
      <c r="A13" s="137">
        <f t="shared" si="0"/>
        <v>10</v>
      </c>
      <c r="B13" s="137" t="s">
        <v>41</v>
      </c>
      <c r="C13" s="137">
        <v>27</v>
      </c>
      <c r="E13" t="str">
        <f t="shared" si="1"/>
        <v>11 Q4</v>
      </c>
      <c r="F13">
        <f t="shared" si="2"/>
        <v>35</v>
      </c>
      <c r="G13">
        <f t="shared" si="3"/>
        <v>22.231885959601708</v>
      </c>
      <c r="H13">
        <f t="shared" si="4"/>
        <v>2.0357821893006083</v>
      </c>
      <c r="I13">
        <f t="shared" si="5"/>
        <v>11.215946896038558</v>
      </c>
      <c r="J13">
        <f t="shared" si="6"/>
        <v>32.950045722713938</v>
      </c>
      <c r="K13">
        <f>SQRT(SUMXMY2(F$10:F12,J$10:J12)/COUNT(J$10:J12))</f>
        <v>3.3669149467213435</v>
      </c>
      <c r="L13">
        <f t="shared" si="7"/>
        <v>26.351013688130511</v>
      </c>
      <c r="M13">
        <f t="shared" si="8"/>
        <v>39.549077757297368</v>
      </c>
    </row>
    <row r="14" spans="1:13" x14ac:dyDescent="0.35">
      <c r="A14" s="137">
        <f t="shared" si="0"/>
        <v>11</v>
      </c>
      <c r="B14" s="137" t="s">
        <v>42</v>
      </c>
      <c r="C14" s="137">
        <v>18</v>
      </c>
      <c r="E14" t="str">
        <f t="shared" si="1"/>
        <v>12 Q1</v>
      </c>
      <c r="F14">
        <f t="shared" si="2"/>
        <v>15</v>
      </c>
      <c r="G14">
        <f t="shared" si="3"/>
        <v>24.175169962656</v>
      </c>
      <c r="H14">
        <f t="shared" si="4"/>
        <v>1.9432840030542913</v>
      </c>
      <c r="I14">
        <f t="shared" si="5"/>
        <v>-4.6660123797382305</v>
      </c>
      <c r="J14">
        <f t="shared" si="6"/>
        <v>20.955265132140223</v>
      </c>
      <c r="K14">
        <f>SQRT(SUMXMY2(F$10:F13,J$10:J13)/COUNT(J$10:J13))</f>
        <v>3.0907386380253095</v>
      </c>
      <c r="L14">
        <f t="shared" si="7"/>
        <v>14.89752871598424</v>
      </c>
      <c r="M14">
        <f t="shared" si="8"/>
        <v>27.013001548296206</v>
      </c>
    </row>
    <row r="15" spans="1:13" x14ac:dyDescent="0.35">
      <c r="A15" s="137">
        <f t="shared" si="0"/>
        <v>12</v>
      </c>
      <c r="B15" s="137" t="s">
        <v>43</v>
      </c>
      <c r="C15" s="137">
        <v>40</v>
      </c>
      <c r="E15" t="str">
        <f t="shared" si="1"/>
        <v>12 Q2</v>
      </c>
      <c r="F15">
        <f t="shared" si="2"/>
        <v>27</v>
      </c>
      <c r="G15">
        <f t="shared" si="3"/>
        <v>26.121477502074413</v>
      </c>
      <c r="H15">
        <f t="shared" si="4"/>
        <v>1.9463075394184131</v>
      </c>
      <c r="I15">
        <f t="shared" si="5"/>
        <v>0.73112931675343784</v>
      </c>
      <c r="J15">
        <f t="shared" si="6"/>
        <v>26.805337148589569</v>
      </c>
      <c r="K15">
        <f>SQRT(SUMXMY2(F$10:F14,J$10:J14)/COUNT(J$10:J14))</f>
        <v>3.8386415333660757</v>
      </c>
      <c r="L15">
        <f t="shared" si="7"/>
        <v>19.281737993632454</v>
      </c>
      <c r="M15">
        <f t="shared" si="8"/>
        <v>34.328936303546683</v>
      </c>
    </row>
    <row r="16" spans="1:13" x14ac:dyDescent="0.35">
      <c r="A16" s="137">
        <f t="shared" si="0"/>
        <v>13</v>
      </c>
      <c r="B16" s="137" t="s">
        <v>44</v>
      </c>
      <c r="C16" s="137">
        <v>28</v>
      </c>
      <c r="E16" t="str">
        <f t="shared" si="1"/>
        <v>12 Q3</v>
      </c>
      <c r="F16">
        <f t="shared" si="2"/>
        <v>18</v>
      </c>
      <c r="G16">
        <f t="shared" si="3"/>
        <v>28.008293280420727</v>
      </c>
      <c r="H16">
        <f t="shared" si="4"/>
        <v>1.886815778346314</v>
      </c>
      <c r="I16">
        <f t="shared" si="5"/>
        <v>-7.1081528944780361</v>
      </c>
      <c r="J16">
        <f t="shared" si="6"/>
        <v>21.83022872922983</v>
      </c>
      <c r="K16">
        <f>SQRT(SUMXMY2(F$10:F15,J$10:J15)/COUNT(J$10:J15))</f>
        <v>3.5050852993456645</v>
      </c>
      <c r="L16">
        <f t="shared" si="7"/>
        <v>14.960387779771535</v>
      </c>
      <c r="M16">
        <f t="shared" si="8"/>
        <v>28.700069678688124</v>
      </c>
    </row>
    <row r="17" spans="1:13" x14ac:dyDescent="0.35">
      <c r="A17" s="137">
        <f t="shared" si="0"/>
        <v>14</v>
      </c>
      <c r="B17" s="137" t="s">
        <v>45</v>
      </c>
      <c r="C17" s="137">
        <v>40</v>
      </c>
      <c r="E17" t="str">
        <f t="shared" si="1"/>
        <v>12 Q4</v>
      </c>
      <c r="F17">
        <f t="shared" si="2"/>
        <v>40</v>
      </c>
      <c r="G17">
        <f t="shared" si="3"/>
        <v>29.877851949577558</v>
      </c>
      <c r="H17">
        <f t="shared" si="4"/>
        <v>1.8695586691568309</v>
      </c>
      <c r="I17">
        <f t="shared" si="5"/>
        <v>10.963408056902981</v>
      </c>
      <c r="J17">
        <f t="shared" si="6"/>
        <v>41.1110559548056</v>
      </c>
      <c r="K17">
        <f>SQRT(SUMXMY2(F$10:F16,J$10:J16)/COUNT(J$10:J16))</f>
        <v>3.5533563580759626</v>
      </c>
      <c r="L17">
        <f t="shared" si="7"/>
        <v>34.146605468740304</v>
      </c>
      <c r="M17">
        <f t="shared" si="8"/>
        <v>48.075506440870896</v>
      </c>
    </row>
    <row r="18" spans="1:13" x14ac:dyDescent="0.35">
      <c r="A18" s="137">
        <f t="shared" si="0"/>
        <v>15</v>
      </c>
      <c r="B18" s="137" t="s">
        <v>46</v>
      </c>
      <c r="C18" s="137">
        <v>25</v>
      </c>
      <c r="E18" t="str">
        <f t="shared" si="1"/>
        <v>13 Q1</v>
      </c>
      <c r="F18">
        <f t="shared" si="2"/>
        <v>28</v>
      </c>
      <c r="G18">
        <f t="shared" si="3"/>
        <v>31.761678496803658</v>
      </c>
      <c r="H18">
        <f t="shared" si="4"/>
        <v>1.8838265472261</v>
      </c>
      <c r="I18">
        <f t="shared" si="5"/>
        <v>-4.4572176549105382</v>
      </c>
      <c r="J18">
        <f t="shared" si="6"/>
        <v>27.081398238996158</v>
      </c>
      <c r="K18">
        <f>SQRT(SUMXMY2(F$10:F17,J$10:J17)/COUNT(J$10:J17))</f>
        <v>3.3469918431903345</v>
      </c>
      <c r="L18">
        <f t="shared" si="7"/>
        <v>20.521414769793772</v>
      </c>
      <c r="M18">
        <f t="shared" si="8"/>
        <v>33.641381708198544</v>
      </c>
    </row>
    <row r="19" spans="1:13" x14ac:dyDescent="0.35">
      <c r="A19" s="10">
        <f t="shared" si="0"/>
        <v>16</v>
      </c>
      <c r="B19" s="10" t="s">
        <v>47</v>
      </c>
      <c r="C19" s="10">
        <v>65</v>
      </c>
      <c r="E19" t="str">
        <f t="shared" si="1"/>
        <v>13 Q2</v>
      </c>
      <c r="F19">
        <f t="shared" si="2"/>
        <v>40</v>
      </c>
      <c r="G19">
        <f t="shared" si="3"/>
        <v>33.732848111162106</v>
      </c>
      <c r="H19">
        <f t="shared" si="4"/>
        <v>1.9711696143584483</v>
      </c>
      <c r="I19">
        <f t="shared" si="5"/>
        <v>2.0092991734742549</v>
      </c>
      <c r="J19">
        <f t="shared" si="6"/>
        <v>34.3766343607832</v>
      </c>
      <c r="K19">
        <f>SQRT(SUMXMY2(F$10:F18,J$10:J18)/COUNT(J$10:J18))</f>
        <v>3.1703954254316331</v>
      </c>
      <c r="L19">
        <f t="shared" si="7"/>
        <v>28.162773510186657</v>
      </c>
      <c r="M19">
        <f t="shared" si="8"/>
        <v>40.590495211379739</v>
      </c>
    </row>
    <row r="20" spans="1:13" x14ac:dyDescent="0.35">
      <c r="E20" t="str">
        <f t="shared" si="1"/>
        <v>13 Q3</v>
      </c>
      <c r="F20">
        <f t="shared" si="2"/>
        <v>25</v>
      </c>
      <c r="G20">
        <f t="shared" si="3"/>
        <v>35.648166144192423</v>
      </c>
      <c r="H20">
        <f t="shared" si="4"/>
        <v>1.9153180330303172</v>
      </c>
      <c r="I20">
        <f t="shared" si="5"/>
        <v>-7.9254794442275518</v>
      </c>
      <c r="J20">
        <f t="shared" si="6"/>
        <v>28.595864831042523</v>
      </c>
      <c r="K20">
        <f>SQRT(SUMXMY2(F$10:F19,J$10:J19)/COUNT(J$10:J19))</f>
        <v>3.4940650465425596</v>
      </c>
      <c r="L20">
        <f t="shared" si="7"/>
        <v>21.747623180178842</v>
      </c>
      <c r="M20">
        <f t="shared" si="8"/>
        <v>35.444106481906203</v>
      </c>
    </row>
    <row r="21" spans="1:13" x14ac:dyDescent="0.35">
      <c r="E21" s="4" t="str">
        <f t="shared" si="1"/>
        <v>13 Q4</v>
      </c>
      <c r="F21" s="4">
        <f t="shared" si="2"/>
        <v>65</v>
      </c>
      <c r="G21" s="4">
        <f t="shared" si="3"/>
        <v>37.819347275904946</v>
      </c>
      <c r="H21" s="4">
        <f t="shared" si="4"/>
        <v>2.1711811317125225</v>
      </c>
      <c r="I21" s="4">
        <f t="shared" si="5"/>
        <v>14.707683486196714</v>
      </c>
      <c r="J21" s="4">
        <f t="shared" si="6"/>
        <v>48.526892234125725</v>
      </c>
      <c r="K21" s="4">
        <f>SQRT(SUMXMY2(F$10:F20,J$10:J20)/COUNT(J$10:J20))</f>
        <v>3.5034418061235035</v>
      </c>
      <c r="L21" s="4">
        <f t="shared" si="7"/>
        <v>41.6602724721917</v>
      </c>
      <c r="M21" s="4">
        <f t="shared" si="8"/>
        <v>55.39351199605975</v>
      </c>
    </row>
    <row r="22" spans="1:13" x14ac:dyDescent="0.35">
      <c r="E22" t="s">
        <v>48</v>
      </c>
      <c r="I22">
        <f t="shared" ref="I22:I27" si="9">I18</f>
        <v>-4.4572176549105382</v>
      </c>
      <c r="J22">
        <f t="shared" ref="J22:J27" si="10">$G$21+$H$21*(ROW(G22)-ROW($G$21))+I22</f>
        <v>35.533310752706932</v>
      </c>
      <c r="K22">
        <f>SQRT(SUMXMY2(F$10:F21,J$10:J21)/COUNT(J$10:J21))</f>
        <v>5.8193529769492729</v>
      </c>
      <c r="L22">
        <f t="shared" si="7"/>
        <v>24.127588504560414</v>
      </c>
      <c r="M22">
        <f t="shared" si="8"/>
        <v>46.939033000853449</v>
      </c>
    </row>
    <row r="23" spans="1:13" x14ac:dyDescent="0.35">
      <c r="E23" t="s">
        <v>49</v>
      </c>
      <c r="I23">
        <f t="shared" si="9"/>
        <v>2.0092991734742549</v>
      </c>
      <c r="J23">
        <f t="shared" si="10"/>
        <v>44.171008712804245</v>
      </c>
      <c r="K23">
        <f>K$22*SQRT((K22/K$22)^2-1+(F$30*(1+(ROW(J23)-ROW(J$22))*G$30))^2+1)</f>
        <v>5.8221601177235494</v>
      </c>
      <c r="L23">
        <f t="shared" si="7"/>
        <v>32.759784569840612</v>
      </c>
      <c r="M23">
        <f t="shared" si="8"/>
        <v>55.582232855767877</v>
      </c>
    </row>
    <row r="24" spans="1:13" x14ac:dyDescent="0.35">
      <c r="E24" t="s">
        <v>50</v>
      </c>
      <c r="I24">
        <f t="shared" si="9"/>
        <v>-7.9254794442275518</v>
      </c>
      <c r="J24">
        <f t="shared" si="10"/>
        <v>36.407411226814958</v>
      </c>
      <c r="K24">
        <f>K$22*SQRT((K23/K$22)^2-1+(F$30*(1+(ROW(J24)-ROW(J$22))*G$30))^2+1)</f>
        <v>5.8284712412515125</v>
      </c>
      <c r="L24">
        <f t="shared" si="7"/>
        <v>24.98381750903453</v>
      </c>
      <c r="M24">
        <f t="shared" si="8"/>
        <v>47.831004944595385</v>
      </c>
    </row>
    <row r="25" spans="1:13" x14ac:dyDescent="0.35">
      <c r="E25" t="s">
        <v>51</v>
      </c>
      <c r="I25">
        <f t="shared" si="9"/>
        <v>14.707683486196714</v>
      </c>
      <c r="J25">
        <f t="shared" si="10"/>
        <v>61.21175528895175</v>
      </c>
      <c r="K25">
        <f>K$22*SQRT((K24/K$22)^2-1+(F$30*(1+(ROW(J25)-ROW(J$22))*G$30))^2+1)</f>
        <v>5.8396741753650314</v>
      </c>
      <c r="L25">
        <f t="shared" si="7"/>
        <v>49.766204223787653</v>
      </c>
      <c r="M25">
        <f t="shared" si="8"/>
        <v>72.657306354115846</v>
      </c>
    </row>
    <row r="26" spans="1:13" x14ac:dyDescent="0.35">
      <c r="E26" t="s">
        <v>671</v>
      </c>
      <c r="I26">
        <f t="shared" si="9"/>
        <v>-4.4572176549105382</v>
      </c>
      <c r="J26">
        <f t="shared" si="10"/>
        <v>44.218035279557022</v>
      </c>
      <c r="K26">
        <f>K$22*SQRT((K25/K$22)^2-1+(F$30*(1+(ROW(J26)-ROW(J$22))*G$30+(1-F$30)*H$30))^2+1)</f>
        <v>5.8587568935873175</v>
      </c>
      <c r="L26">
        <f t="shared" si="7"/>
        <v>32.735082773950111</v>
      </c>
      <c r="M26">
        <f t="shared" si="8"/>
        <v>55.700987785163932</v>
      </c>
    </row>
    <row r="27" spans="1:13" x14ac:dyDescent="0.35">
      <c r="E27" t="s">
        <v>672</v>
      </c>
      <c r="I27">
        <f t="shared" si="9"/>
        <v>2.0092991734742549</v>
      </c>
      <c r="J27">
        <f t="shared" si="10"/>
        <v>52.855733239654334</v>
      </c>
      <c r="K27">
        <f>K$22*SQRT((K26/K$22)^2-1+(F$30*(1+(ROW(J27)-ROW(J$22))*G$30))^2+1)</f>
        <v>5.8838037554712752</v>
      </c>
      <c r="L27">
        <f t="shared" si="7"/>
        <v>41.323689786829121</v>
      </c>
      <c r="M27">
        <f t="shared" si="8"/>
        <v>64.387776692479548</v>
      </c>
    </row>
    <row r="29" spans="1:13" x14ac:dyDescent="0.35">
      <c r="F29" s="265" t="s">
        <v>10</v>
      </c>
      <c r="G29" s="265" t="s">
        <v>16</v>
      </c>
      <c r="H29" s="265" t="s">
        <v>26</v>
      </c>
      <c r="I29" s="265" t="s">
        <v>12</v>
      </c>
      <c r="J29" s="265" t="s">
        <v>4</v>
      </c>
      <c r="K29" s="265" t="s">
        <v>611</v>
      </c>
    </row>
    <row r="30" spans="1:13" x14ac:dyDescent="0.35">
      <c r="F30" s="46">
        <v>1.5532169297905837E-2</v>
      </c>
      <c r="G30" s="50">
        <v>1</v>
      </c>
      <c r="H30" s="47">
        <v>0.23088234198430174</v>
      </c>
      <c r="I30" s="46">
        <f>SUMPRODUCT(ABS(F10:F21-J10:J21))/COUNT(J10:J21)</f>
        <v>4.0044760923232658</v>
      </c>
      <c r="J30" s="232">
        <f>SUMXMY2(F10:F21,J10:J21)/COUNT(J10:J21)</f>
        <v>33.864869070328361</v>
      </c>
      <c r="K30" s="47">
        <f>SUMPRODUCT(ABS(1-J10:J21/F10:F21))/COUNT(J10:J21)</f>
        <v>0.14359191727826218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/>
  <dimension ref="A1:N25"/>
  <sheetViews>
    <sheetView workbookViewId="0"/>
  </sheetViews>
  <sheetFormatPr defaultRowHeight="14.5" x14ac:dyDescent="0.35"/>
  <sheetData>
    <row r="1" spans="1:14" x14ac:dyDescent="0.35">
      <c r="A1" s="7" t="s">
        <v>183</v>
      </c>
    </row>
    <row r="2" spans="1:14" ht="15" customHeight="1" x14ac:dyDescent="0.35"/>
    <row r="3" spans="1:14" x14ac:dyDescent="0.35">
      <c r="A3" s="8" t="s">
        <v>75</v>
      </c>
      <c r="B3" s="8" t="s">
        <v>76</v>
      </c>
      <c r="L3" s="8" t="s">
        <v>75</v>
      </c>
      <c r="M3" s="8" t="s">
        <v>76</v>
      </c>
      <c r="N3" s="8" t="s">
        <v>184</v>
      </c>
    </row>
    <row r="4" spans="1:14" x14ac:dyDescent="0.35">
      <c r="A4" s="53">
        <v>37165</v>
      </c>
      <c r="B4" s="21">
        <v>16272.01</v>
      </c>
      <c r="L4" s="53">
        <v>37165</v>
      </c>
      <c r="M4" s="21">
        <v>16272.01</v>
      </c>
    </row>
    <row r="5" spans="1:14" x14ac:dyDescent="0.35">
      <c r="A5" s="53">
        <v>37530</v>
      </c>
      <c r="B5" s="21">
        <v>16472.37</v>
      </c>
      <c r="L5" s="53">
        <v>37530</v>
      </c>
      <c r="M5" s="21">
        <v>16472.37</v>
      </c>
      <c r="N5" s="21">
        <f>M5-M4</f>
        <v>200.35999999999876</v>
      </c>
    </row>
    <row r="6" spans="1:14" x14ac:dyDescent="0.35">
      <c r="A6" s="53">
        <v>38626</v>
      </c>
      <c r="B6" s="21">
        <v>16776.43</v>
      </c>
      <c r="L6" s="53">
        <v>38626</v>
      </c>
      <c r="M6" s="21">
        <v>16776.43</v>
      </c>
      <c r="N6" s="21">
        <f t="shared" ref="N6:N25" si="0">M6-M5</f>
        <v>304.06000000000131</v>
      </c>
    </row>
    <row r="7" spans="1:14" x14ac:dyDescent="0.35">
      <c r="A7" s="53">
        <v>38991</v>
      </c>
      <c r="B7" s="21">
        <v>16790.189999999999</v>
      </c>
      <c r="L7" s="53">
        <v>38991</v>
      </c>
      <c r="M7" s="21">
        <v>16790.189999999999</v>
      </c>
      <c r="N7" s="21">
        <f t="shared" si="0"/>
        <v>13.759999999998399</v>
      </c>
    </row>
    <row r="8" spans="1:14" x14ac:dyDescent="0.35">
      <c r="A8" s="53">
        <v>39356</v>
      </c>
      <c r="B8" s="21">
        <v>16912.29</v>
      </c>
      <c r="L8" s="53">
        <v>39356</v>
      </c>
      <c r="M8" s="21">
        <v>16912.29</v>
      </c>
      <c r="N8" s="21">
        <f t="shared" si="0"/>
        <v>122.10000000000218</v>
      </c>
    </row>
    <row r="9" spans="1:14" x14ac:dyDescent="0.35">
      <c r="A9" s="53">
        <v>39722</v>
      </c>
      <c r="B9" s="21">
        <v>17050.75</v>
      </c>
      <c r="L9" s="53">
        <v>39722</v>
      </c>
      <c r="M9" s="21">
        <v>17050.75</v>
      </c>
      <c r="N9" s="21">
        <f t="shared" si="0"/>
        <v>138.45999999999913</v>
      </c>
    </row>
    <row r="10" spans="1:14" x14ac:dyDescent="0.35">
      <c r="A10" s="53">
        <v>40087</v>
      </c>
      <c r="B10" s="21">
        <v>17084.490000000002</v>
      </c>
      <c r="L10" s="53">
        <v>40087</v>
      </c>
      <c r="M10" s="21">
        <v>17084.490000000002</v>
      </c>
      <c r="N10" s="21">
        <f t="shared" si="0"/>
        <v>33.740000000001601</v>
      </c>
    </row>
    <row r="11" spans="1:14" x14ac:dyDescent="0.35">
      <c r="A11" s="53">
        <v>41183</v>
      </c>
      <c r="B11" s="21">
        <v>17131.86</v>
      </c>
      <c r="L11" s="53">
        <v>41183</v>
      </c>
      <c r="M11" s="21">
        <v>17131.86</v>
      </c>
      <c r="N11" s="21">
        <f t="shared" si="0"/>
        <v>47.369999999998981</v>
      </c>
    </row>
    <row r="12" spans="1:14" x14ac:dyDescent="0.35">
      <c r="A12" s="53">
        <v>41548</v>
      </c>
      <c r="B12" s="21">
        <v>17081.89</v>
      </c>
      <c r="L12" s="53">
        <v>41548</v>
      </c>
      <c r="M12" s="21">
        <v>17081.89</v>
      </c>
      <c r="N12" s="21">
        <f t="shared" si="0"/>
        <v>-49.970000000001164</v>
      </c>
    </row>
    <row r="13" spans="1:14" x14ac:dyDescent="0.35">
      <c r="A13" s="53">
        <v>41913</v>
      </c>
      <c r="B13" s="21">
        <v>16924.75</v>
      </c>
      <c r="L13" s="53">
        <v>41913</v>
      </c>
      <c r="M13" s="21">
        <v>16924.75</v>
      </c>
      <c r="N13" s="21">
        <f t="shared" si="0"/>
        <v>-157.13999999999942</v>
      </c>
    </row>
    <row r="14" spans="1:14" x14ac:dyDescent="0.35">
      <c r="A14" s="53">
        <v>42278</v>
      </c>
      <c r="B14" s="21">
        <v>17141.75</v>
      </c>
      <c r="L14" s="53">
        <v>42278</v>
      </c>
      <c r="M14" s="21">
        <v>17141.75</v>
      </c>
      <c r="N14" s="21">
        <f t="shared" si="0"/>
        <v>217</v>
      </c>
    </row>
    <row r="15" spans="1:14" x14ac:dyDescent="0.35">
      <c r="A15" s="53">
        <v>42644</v>
      </c>
      <c r="B15" s="21">
        <v>17215.97</v>
      </c>
      <c r="L15" s="53">
        <v>42644</v>
      </c>
      <c r="M15" s="21">
        <v>17215.97</v>
      </c>
      <c r="N15" s="21">
        <f t="shared" si="0"/>
        <v>74.220000000001164</v>
      </c>
    </row>
    <row r="16" spans="1:14" x14ac:dyDescent="0.35">
      <c r="A16" s="53">
        <v>43739</v>
      </c>
      <c r="B16" s="21">
        <v>17230.54</v>
      </c>
      <c r="L16" s="53">
        <v>43739</v>
      </c>
      <c r="M16" s="21">
        <v>17230.54</v>
      </c>
      <c r="N16" s="21">
        <f t="shared" si="0"/>
        <v>14.569999999999709</v>
      </c>
    </row>
    <row r="17" spans="1:14" x14ac:dyDescent="0.35">
      <c r="A17" s="53">
        <v>44105</v>
      </c>
      <c r="B17" s="21">
        <v>17217.11</v>
      </c>
      <c r="L17" s="53">
        <v>44105</v>
      </c>
      <c r="M17" s="21">
        <v>17217.11</v>
      </c>
      <c r="N17" s="21">
        <f t="shared" si="0"/>
        <v>-13.430000000000291</v>
      </c>
    </row>
    <row r="18" spans="1:14" x14ac:dyDescent="0.35">
      <c r="A18" s="53">
        <v>44470</v>
      </c>
      <c r="B18" s="21">
        <v>17168.61</v>
      </c>
      <c r="L18" s="53">
        <v>44470</v>
      </c>
      <c r="M18" s="21">
        <v>17168.61</v>
      </c>
      <c r="N18" s="21">
        <f t="shared" si="0"/>
        <v>-48.5</v>
      </c>
    </row>
    <row r="19" spans="1:14" x14ac:dyDescent="0.35">
      <c r="A19" s="53">
        <v>44835</v>
      </c>
      <c r="B19" s="21">
        <v>17489.16</v>
      </c>
      <c r="L19" s="53">
        <v>44835</v>
      </c>
      <c r="M19" s="21">
        <v>17489.16</v>
      </c>
      <c r="N19" s="21">
        <f t="shared" si="0"/>
        <v>320.54999999999927</v>
      </c>
    </row>
    <row r="20" spans="1:14" x14ac:dyDescent="0.35">
      <c r="A20" s="53">
        <v>45200</v>
      </c>
      <c r="B20" s="21">
        <v>17646.7</v>
      </c>
      <c r="L20" s="53">
        <v>45200</v>
      </c>
      <c r="M20" s="21">
        <v>17646.7</v>
      </c>
      <c r="N20" s="21">
        <f t="shared" si="0"/>
        <v>157.54000000000087</v>
      </c>
    </row>
    <row r="21" spans="1:14" x14ac:dyDescent="0.35">
      <c r="A21" s="53">
        <v>46296</v>
      </c>
      <c r="B21" s="21">
        <v>17623.05</v>
      </c>
      <c r="L21" s="53">
        <v>46296</v>
      </c>
      <c r="M21" s="21">
        <v>17623.05</v>
      </c>
      <c r="N21" s="21">
        <f t="shared" si="0"/>
        <v>-23.650000000001455</v>
      </c>
    </row>
    <row r="22" spans="1:14" x14ac:dyDescent="0.35">
      <c r="A22" s="53">
        <v>46661</v>
      </c>
      <c r="B22" s="21">
        <v>17581.43</v>
      </c>
      <c r="L22" s="53">
        <v>46661</v>
      </c>
      <c r="M22" s="21">
        <v>17581.43</v>
      </c>
      <c r="N22" s="21">
        <f t="shared" si="0"/>
        <v>-41.619999999998981</v>
      </c>
    </row>
    <row r="23" spans="1:14" x14ac:dyDescent="0.35">
      <c r="A23" s="53">
        <v>47027</v>
      </c>
      <c r="B23" s="21">
        <v>17779.52</v>
      </c>
      <c r="L23" s="53">
        <v>47027</v>
      </c>
      <c r="M23" s="21">
        <v>17779.52</v>
      </c>
      <c r="N23" s="21">
        <f t="shared" si="0"/>
        <v>198.09000000000015</v>
      </c>
    </row>
    <row r="24" spans="1:14" x14ac:dyDescent="0.35">
      <c r="A24" s="53">
        <v>47392</v>
      </c>
      <c r="B24" s="21">
        <v>17755.8</v>
      </c>
      <c r="L24" s="53">
        <v>47392</v>
      </c>
      <c r="M24" s="21">
        <v>17755.8</v>
      </c>
      <c r="N24" s="21">
        <f t="shared" si="0"/>
        <v>-23.720000000001164</v>
      </c>
    </row>
    <row r="25" spans="1:14" x14ac:dyDescent="0.35">
      <c r="A25" s="54">
        <v>11232</v>
      </c>
      <c r="B25" s="22">
        <v>17663.54</v>
      </c>
      <c r="L25" s="54">
        <v>11232</v>
      </c>
      <c r="M25" s="22">
        <v>17663.54</v>
      </c>
      <c r="N25" s="22">
        <f t="shared" si="0"/>
        <v>-92.259999999998399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2"/>
  <dimension ref="A1:K25"/>
  <sheetViews>
    <sheetView workbookViewId="0">
      <selection activeCell="K14" sqref="K14"/>
    </sheetView>
  </sheetViews>
  <sheetFormatPr defaultRowHeight="14.5" x14ac:dyDescent="0.35"/>
  <cols>
    <col min="1" max="1" width="8.453125" customWidth="1"/>
    <col min="2" max="3" width="9.7265625" customWidth="1"/>
    <col min="10" max="10" width="3.453125" customWidth="1"/>
    <col min="11" max="11" width="40.26953125" customWidth="1"/>
  </cols>
  <sheetData>
    <row r="1" spans="1:11" x14ac:dyDescent="0.35">
      <c r="A1" s="7" t="s">
        <v>492</v>
      </c>
    </row>
    <row r="3" spans="1:11" x14ac:dyDescent="0.35">
      <c r="A3" s="163" t="s">
        <v>194</v>
      </c>
      <c r="B3" s="163" t="s">
        <v>493</v>
      </c>
      <c r="C3" s="163" t="s">
        <v>494</v>
      </c>
      <c r="E3" t="s">
        <v>492</v>
      </c>
    </row>
    <row r="4" spans="1:11" x14ac:dyDescent="0.35">
      <c r="A4">
        <v>1.2288378220245906</v>
      </c>
      <c r="B4">
        <v>0.90283699128653705</v>
      </c>
      <c r="C4">
        <v>0.89454343974205996</v>
      </c>
    </row>
    <row r="5" spans="1:11" x14ac:dyDescent="0.35">
      <c r="A5">
        <v>2.6684005524939507</v>
      </c>
      <c r="B5">
        <v>2.44926778751723</v>
      </c>
      <c r="C5">
        <v>2.3213520553880973</v>
      </c>
      <c r="E5" t="e">
        <f t="array" aca="1" ref="E5:F13" ca="1">Forecast_Error(A4:A23,B4:B23,TRUE)</f>
        <v>#NAME?</v>
      </c>
      <c r="F5" s="164" t="e">
        <f ca="1"/>
        <v>#NAME?</v>
      </c>
      <c r="G5" s="167" t="e">
        <f t="array" aca="1" ref="G5:G13" ca="1">Forecast_Error(A4:A23,C4:C23)</f>
        <v>#NAME?</v>
      </c>
      <c r="I5" s="139" t="e" cm="1">
        <f t="array" aca="1" ref="I5" ca="1">ForecastError($A$4:$A$23,$B$4:$B$23,E5)</f>
        <v>#NAME?</v>
      </c>
      <c r="K5" t="e" cm="1">
        <f t="array" aca="1" ref="K5" ca="1">FTEXT(I5)</f>
        <v>#NAME?</v>
      </c>
    </row>
    <row r="6" spans="1:11" x14ac:dyDescent="0.35">
      <c r="A6">
        <v>3.417728063820773</v>
      </c>
      <c r="B6">
        <v>3.20755808146358</v>
      </c>
      <c r="C6">
        <v>2.5208157426997539</v>
      </c>
      <c r="E6" t="e">
        <f ca="1"/>
        <v>#NAME?</v>
      </c>
      <c r="F6" s="165" t="e">
        <f ca="1"/>
        <v>#NAME?</v>
      </c>
      <c r="G6" s="168" t="e">
        <f ca="1"/>
        <v>#NAME?</v>
      </c>
      <c r="I6" s="24" t="e" cm="1">
        <f t="array" aca="1" ref="I6" ca="1">ForecastError($A$4:$A$23,$B$4:$B$23,E6)</f>
        <v>#NAME?</v>
      </c>
      <c r="K6" t="e" cm="1">
        <f t="array" aca="1" ref="K6" ca="1">FTEXT(I6)</f>
        <v>#NAME?</v>
      </c>
    </row>
    <row r="7" spans="1:11" x14ac:dyDescent="0.35">
      <c r="A7">
        <v>2.2391971568137397</v>
      </c>
      <c r="B7">
        <v>2.4383221461131046</v>
      </c>
      <c r="C7">
        <v>1.9080749545417499</v>
      </c>
      <c r="E7" t="e">
        <f ca="1"/>
        <v>#NAME?</v>
      </c>
      <c r="F7" s="165" t="e">
        <f ca="1"/>
        <v>#NAME?</v>
      </c>
      <c r="G7" s="168" t="e">
        <f ca="1"/>
        <v>#NAME?</v>
      </c>
      <c r="I7" s="24" t="e" cm="1">
        <f t="array" aca="1" ref="I7" ca="1">ForecastError($A$4:$A$23,$B$4:$B$23,E7)</f>
        <v>#NAME?</v>
      </c>
      <c r="K7" t="e" cm="1">
        <f t="array" aca="1" ref="K7" ca="1">FTEXT(I7)</f>
        <v>#NAME?</v>
      </c>
    </row>
    <row r="8" spans="1:11" x14ac:dyDescent="0.35">
      <c r="A8">
        <v>2.1225599146000729</v>
      </c>
      <c r="B8">
        <v>2.7751085910428213</v>
      </c>
      <c r="C8">
        <v>0.95078208307608969</v>
      </c>
      <c r="E8" t="e">
        <f ca="1"/>
        <v>#NAME?</v>
      </c>
      <c r="F8" s="165" t="e">
        <f ca="1"/>
        <v>#NAME?</v>
      </c>
      <c r="G8" s="168" t="e">
        <f ca="1"/>
        <v>#NAME?</v>
      </c>
      <c r="I8" s="24" t="e" cm="1">
        <f t="array" aca="1" ref="I8" ca="1">ForecastError($A$4:$A$23,$B$4:$B$23,E8)</f>
        <v>#NAME?</v>
      </c>
      <c r="K8" t="e" cm="1">
        <f t="array" aca="1" ref="K8" ca="1">FTEXT(I8)</f>
        <v>#NAME?</v>
      </c>
    </row>
    <row r="9" spans="1:11" x14ac:dyDescent="0.35">
      <c r="A9">
        <v>0.46379871540949502</v>
      </c>
      <c r="B9">
        <v>0.59316171174485999</v>
      </c>
      <c r="C9">
        <v>-0.61066482988763893</v>
      </c>
      <c r="E9" t="e">
        <f ca="1"/>
        <v>#NAME?</v>
      </c>
      <c r="F9" s="165" t="e">
        <f ca="1"/>
        <v>#NAME?</v>
      </c>
      <c r="G9" s="168" t="e">
        <f ca="1"/>
        <v>#NAME?</v>
      </c>
      <c r="I9" s="24" t="e" cm="1">
        <f t="array" aca="1" ref="I9" ca="1">ForecastError($A$4:$A$23,$B$4:$B$23,E9)</f>
        <v>#NAME?</v>
      </c>
      <c r="K9" t="e" cm="1">
        <f t="array" aca="1" ref="K9" ca="1">FTEXT(I9)</f>
        <v>#NAME?</v>
      </c>
    </row>
    <row r="10" spans="1:11" x14ac:dyDescent="0.35">
      <c r="A10">
        <v>-0.55080545418476379</v>
      </c>
      <c r="B10">
        <v>0.10851859560777</v>
      </c>
      <c r="C10">
        <v>-1.1154503364189121</v>
      </c>
      <c r="E10" t="e">
        <f ca="1"/>
        <v>#NAME?</v>
      </c>
      <c r="F10" s="165" t="e">
        <f ca="1"/>
        <v>#NAME?</v>
      </c>
      <c r="G10" s="168" t="e">
        <f ca="1"/>
        <v>#NAME?</v>
      </c>
      <c r="I10" s="24" t="e" cm="1">
        <f t="array" aca="1" ref="I10" ca="1">ForecastError($A$4:$A$23,$B$4:$B$23,E10)</f>
        <v>#NAME?</v>
      </c>
      <c r="K10" t="e" cm="1">
        <f t="array" aca="1" ref="K10" ca="1">FTEXT(I10)</f>
        <v>#NAME?</v>
      </c>
    </row>
    <row r="11" spans="1:11" x14ac:dyDescent="0.35">
      <c r="A11">
        <v>1.182946247108128</v>
      </c>
      <c r="B11">
        <v>0.87851772527493499</v>
      </c>
      <c r="C11">
        <v>1.1116308674749247</v>
      </c>
      <c r="E11" t="e">
        <f ca="1"/>
        <v>#NAME?</v>
      </c>
      <c r="F11" s="165" t="e">
        <f ca="1"/>
        <v>#NAME?</v>
      </c>
      <c r="G11" s="168" t="e">
        <f ca="1"/>
        <v>#NAME?</v>
      </c>
      <c r="I11" s="24" t="e" cm="1">
        <f t="array" aca="1" ref="I11" ca="1">ForecastError($A$4:$A$23,$B$4:$B$23,E11)</f>
        <v>#NAME?</v>
      </c>
      <c r="K11" t="e" cm="1">
        <f t="array" aca="1" ref="K11" ca="1">FTEXT(I11)</f>
        <v>#NAME?</v>
      </c>
    </row>
    <row r="12" spans="1:11" x14ac:dyDescent="0.35">
      <c r="A12">
        <v>-2.4132987150346601</v>
      </c>
      <c r="B12">
        <v>-1.16531316944428</v>
      </c>
      <c r="C12">
        <v>-2.7776482160325666</v>
      </c>
      <c r="E12" t="e">
        <f ca="1"/>
        <v>#NAME?</v>
      </c>
      <c r="F12" s="165" t="e">
        <f ca="1"/>
        <v>#NAME?</v>
      </c>
      <c r="G12" s="168" t="e">
        <f ca="1"/>
        <v>#NAME?</v>
      </c>
      <c r="I12" s="24" t="e" cm="1">
        <f t="array" aca="1" ref="I12" ca="1">ForecastError($A$4:$A$23,$B$4:$B$23,E12)</f>
        <v>#NAME?</v>
      </c>
      <c r="K12" t="e" cm="1">
        <f t="array" aca="1" ref="K12" ca="1">FTEXT(I12)</f>
        <v>#NAME?</v>
      </c>
    </row>
    <row r="13" spans="1:11" x14ac:dyDescent="0.35">
      <c r="A13">
        <v>0.97947060944543229</v>
      </c>
      <c r="B13">
        <v>0.59371930737043199</v>
      </c>
      <c r="C13">
        <v>1.5172799903636889</v>
      </c>
      <c r="E13" t="e">
        <f ca="1"/>
        <v>#NAME?</v>
      </c>
      <c r="F13" s="166" t="e">
        <f ca="1"/>
        <v>#NAME?</v>
      </c>
      <c r="G13" s="169" t="e">
        <f ca="1"/>
        <v>#NAME?</v>
      </c>
      <c r="I13" s="34" t="e" cm="1">
        <f t="array" aca="1" ref="I13" ca="1">ForecastError($A$4:$A$23,$B$4:$B$23,E13)</f>
        <v>#NAME?</v>
      </c>
      <c r="K13" t="e" cm="1">
        <f t="array" aca="1" ref="K13" ca="1">FTEXT(I13)</f>
        <v>#NAME?</v>
      </c>
    </row>
    <row r="14" spans="1:11" x14ac:dyDescent="0.35">
      <c r="A14">
        <v>0.55088233224937044</v>
      </c>
      <c r="B14">
        <v>-3.6272861603666002E-3</v>
      </c>
      <c r="C14">
        <v>0.48976791274636922</v>
      </c>
    </row>
    <row r="15" spans="1:11" x14ac:dyDescent="0.35">
      <c r="A15">
        <v>1.2279214175815407</v>
      </c>
      <c r="B15">
        <v>0.994315257779952</v>
      </c>
      <c r="C15">
        <v>1.0470020473746882</v>
      </c>
    </row>
    <row r="16" spans="1:11" x14ac:dyDescent="0.35">
      <c r="A16">
        <v>-0.92350668389273016</v>
      </c>
      <c r="B16">
        <v>0.51942478642544798</v>
      </c>
      <c r="C16">
        <v>-1.3447917922332853</v>
      </c>
    </row>
    <row r="17" spans="1:3" x14ac:dyDescent="0.35">
      <c r="A17">
        <v>-9.0278955688554874E-2</v>
      </c>
      <c r="B17">
        <v>0.28509902197939363</v>
      </c>
      <c r="C17">
        <v>1.9235426427811619E-3</v>
      </c>
    </row>
    <row r="18" spans="1:3" x14ac:dyDescent="0.35">
      <c r="A18">
        <v>1.6837933463631751</v>
      </c>
      <c r="B18">
        <v>0.57137859266675095</v>
      </c>
      <c r="C18">
        <v>1.7465680978124012</v>
      </c>
    </row>
    <row r="19" spans="1:3" x14ac:dyDescent="0.35">
      <c r="A19">
        <v>-0.61077144818691864</v>
      </c>
      <c r="B19">
        <v>0.22333590226063005</v>
      </c>
      <c r="C19">
        <v>-1.0631677605753751</v>
      </c>
    </row>
    <row r="20" spans="1:3" x14ac:dyDescent="0.35">
      <c r="A20">
        <v>1.2810446629007595</v>
      </c>
      <c r="B20">
        <v>0.32758098082923387</v>
      </c>
      <c r="C20">
        <v>1.2719837372609173</v>
      </c>
    </row>
    <row r="21" spans="1:3" x14ac:dyDescent="0.35">
      <c r="A21">
        <v>-0.92224582870659311</v>
      </c>
      <c r="B21">
        <v>8.4688853692339E-2</v>
      </c>
      <c r="C21">
        <v>-1.2893344521031778</v>
      </c>
    </row>
    <row r="22" spans="1:3" x14ac:dyDescent="0.35">
      <c r="A22">
        <v>-0.57811003842058217</v>
      </c>
      <c r="B22">
        <v>-8.3990871330917427E-2</v>
      </c>
      <c r="C22">
        <v>-0.4644212990881289</v>
      </c>
    </row>
    <row r="23" spans="1:3" x14ac:dyDescent="0.35">
      <c r="A23" s="4">
        <v>0.76869728403468252</v>
      </c>
      <c r="B23" s="4">
        <v>-7.3103734742138604E-2</v>
      </c>
      <c r="C23" s="4">
        <v>0.97853137898300324</v>
      </c>
    </row>
    <row r="25" spans="1:3" x14ac:dyDescent="0.35">
      <c r="A25" s="137" t="s">
        <v>80</v>
      </c>
      <c r="B25" s="170">
        <f>COUNT(A4:A23)</f>
        <v>20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8"/>
  <dimension ref="A1:G23"/>
  <sheetViews>
    <sheetView workbookViewId="0"/>
  </sheetViews>
  <sheetFormatPr defaultRowHeight="14.5" x14ac:dyDescent="0.35"/>
  <cols>
    <col min="6" max="6" width="4" customWidth="1"/>
    <col min="7" max="7" width="37.453125" customWidth="1"/>
  </cols>
  <sheetData>
    <row r="1" spans="1:7" x14ac:dyDescent="0.35">
      <c r="A1" s="7" t="s">
        <v>118</v>
      </c>
    </row>
    <row r="3" spans="1:7" x14ac:dyDescent="0.35">
      <c r="A3" s="8" t="s">
        <v>3</v>
      </c>
      <c r="B3" s="8" t="s">
        <v>1</v>
      </c>
    </row>
    <row r="4" spans="1:7" ht="15" customHeight="1" x14ac:dyDescent="0.45">
      <c r="A4" s="43">
        <v>1</v>
      </c>
      <c r="B4" s="12">
        <v>23.4</v>
      </c>
      <c r="D4" t="s">
        <v>188</v>
      </c>
      <c r="E4" s="23" t="e" cm="1">
        <f t="array" aca="1" ref="E4" ca="1">COVARS(B4:B21,B6:B23)</f>
        <v>#NAME?</v>
      </c>
      <c r="G4" s="20" t="s">
        <v>186</v>
      </c>
    </row>
    <row r="5" spans="1:7" ht="15" customHeight="1" x14ac:dyDescent="0.45">
      <c r="A5" s="43">
        <f>A4+1</f>
        <v>2</v>
      </c>
      <c r="B5" s="12">
        <v>24.1</v>
      </c>
      <c r="D5" t="s">
        <v>189</v>
      </c>
      <c r="E5" s="34">
        <f>CORREL(B4:B21,B6:B23)</f>
        <v>0.33869118001727011</v>
      </c>
      <c r="G5" t="e" cm="1">
        <f t="array" aca="1" ref="G5" ca="1">FTEXT(E5)</f>
        <v>#NAME?</v>
      </c>
    </row>
    <row r="6" spans="1:7" x14ac:dyDescent="0.35">
      <c r="A6" s="43">
        <f t="shared" ref="A6:A23" si="0">A5+1</f>
        <v>3</v>
      </c>
      <c r="B6" s="12">
        <v>44.4</v>
      </c>
    </row>
    <row r="7" spans="1:7" x14ac:dyDescent="0.35">
      <c r="A7" s="43">
        <f t="shared" si="0"/>
        <v>4</v>
      </c>
      <c r="B7" s="12">
        <v>25.5</v>
      </c>
      <c r="D7" t="s">
        <v>120</v>
      </c>
      <c r="E7" s="56">
        <f>AVERAGE(B4:B23)</f>
        <v>49.914999999999999</v>
      </c>
      <c r="G7" t="e" cm="1">
        <f t="array" aca="1" ref="G7" ca="1">FTEXT(E7)</f>
        <v>#NAME?</v>
      </c>
    </row>
    <row r="8" spans="1:7" ht="15" customHeight="1" x14ac:dyDescent="0.45">
      <c r="A8" s="43">
        <f t="shared" si="0"/>
        <v>5</v>
      </c>
      <c r="B8" s="12">
        <v>19.2</v>
      </c>
      <c r="D8" t="s">
        <v>190</v>
      </c>
      <c r="E8" s="24">
        <f>VARP(B4:B23)</f>
        <v>564.36727500000097</v>
      </c>
      <c r="G8" s="20" t="s">
        <v>185</v>
      </c>
    </row>
    <row r="9" spans="1:7" x14ac:dyDescent="0.35">
      <c r="A9" s="43">
        <f t="shared" si="0"/>
        <v>6</v>
      </c>
      <c r="B9" s="12">
        <v>37.1</v>
      </c>
      <c r="D9" t="s">
        <v>140</v>
      </c>
      <c r="E9" s="24">
        <f>DEVSQ(B4:B23)</f>
        <v>11287.345500000003</v>
      </c>
      <c r="G9" t="e" cm="1">
        <f t="array" aca="1" ref="G9" ca="1">FTEXT(E9)</f>
        <v>#NAME?</v>
      </c>
    </row>
    <row r="10" spans="1:7" x14ac:dyDescent="0.35">
      <c r="A10" s="43">
        <f t="shared" si="0"/>
        <v>7</v>
      </c>
      <c r="B10" s="12">
        <v>45</v>
      </c>
      <c r="D10" t="s">
        <v>80</v>
      </c>
      <c r="E10" s="24">
        <f>COUNT(B4:B23)</f>
        <v>20</v>
      </c>
      <c r="G10" t="e" cm="1">
        <f t="array" aca="1" ref="G10" ca="1">FTEXT(E10)</f>
        <v>#NAME?</v>
      </c>
    </row>
    <row r="11" spans="1:7" ht="15" customHeight="1" x14ac:dyDescent="0.45">
      <c r="A11" s="43">
        <f t="shared" si="0"/>
        <v>8</v>
      </c>
      <c r="B11" s="12">
        <v>61.8</v>
      </c>
      <c r="D11" t="s">
        <v>188</v>
      </c>
      <c r="E11" s="24">
        <f>SUMPRODUCT(B4:B21-E7,B6:B23-E7)/E10</f>
        <v>151.94012749999996</v>
      </c>
      <c r="G11" t="e" cm="1">
        <f t="array" aca="1" ref="G11" ca="1">FTEXT(E11)</f>
        <v>#NAME?</v>
      </c>
    </row>
    <row r="12" spans="1:7" ht="15" customHeight="1" x14ac:dyDescent="0.45">
      <c r="A12" s="43">
        <f t="shared" si="0"/>
        <v>9</v>
      </c>
      <c r="B12" s="12">
        <v>56.7</v>
      </c>
      <c r="D12" t="s">
        <v>189</v>
      </c>
      <c r="E12" s="34">
        <f>E11/E8</f>
        <v>0.26922207262991943</v>
      </c>
      <c r="G12" t="e" cm="1">
        <f t="array" aca="1" ref="G12" ca="1">FTEXT(E12)</f>
        <v>#NAME?</v>
      </c>
    </row>
    <row r="13" spans="1:7" x14ac:dyDescent="0.35">
      <c r="A13" s="43">
        <f t="shared" si="0"/>
        <v>10</v>
      </c>
      <c r="B13" s="12">
        <v>62.3</v>
      </c>
      <c r="G13" s="20" t="s">
        <v>187</v>
      </c>
    </row>
    <row r="14" spans="1:7" x14ac:dyDescent="0.35">
      <c r="A14" s="43">
        <f t="shared" si="0"/>
        <v>11</v>
      </c>
      <c r="B14" s="12">
        <v>30.9</v>
      </c>
    </row>
    <row r="15" spans="1:7" x14ac:dyDescent="0.35">
      <c r="A15" s="43">
        <f t="shared" si="0"/>
        <v>12</v>
      </c>
      <c r="B15" s="12">
        <v>69.599999999999994</v>
      </c>
    </row>
    <row r="16" spans="1:7" x14ac:dyDescent="0.35">
      <c r="A16" s="43">
        <f t="shared" si="0"/>
        <v>13</v>
      </c>
      <c r="B16" s="12">
        <v>11</v>
      </c>
    </row>
    <row r="17" spans="1:2" x14ac:dyDescent="0.35">
      <c r="A17" s="43">
        <f t="shared" si="0"/>
        <v>14</v>
      </c>
      <c r="B17" s="12">
        <v>56.6</v>
      </c>
    </row>
    <row r="18" spans="1:2" x14ac:dyDescent="0.35">
      <c r="A18" s="43">
        <f t="shared" si="0"/>
        <v>15</v>
      </c>
      <c r="B18" s="12">
        <v>83.4</v>
      </c>
    </row>
    <row r="19" spans="1:2" x14ac:dyDescent="0.35">
      <c r="A19" s="43">
        <f t="shared" si="0"/>
        <v>16</v>
      </c>
      <c r="B19" s="12">
        <v>33.9</v>
      </c>
    </row>
    <row r="20" spans="1:2" x14ac:dyDescent="0.35">
      <c r="A20" s="43">
        <f t="shared" si="0"/>
        <v>17</v>
      </c>
      <c r="B20" s="12">
        <v>75.5</v>
      </c>
    </row>
    <row r="21" spans="1:2" x14ac:dyDescent="0.35">
      <c r="A21" s="43">
        <f t="shared" si="0"/>
        <v>18</v>
      </c>
      <c r="B21" s="12">
        <v>87.3</v>
      </c>
    </row>
    <row r="22" spans="1:2" x14ac:dyDescent="0.35">
      <c r="A22" s="43">
        <f t="shared" si="0"/>
        <v>19</v>
      </c>
      <c r="B22" s="12">
        <v>55.4</v>
      </c>
    </row>
    <row r="23" spans="1:2" x14ac:dyDescent="0.35">
      <c r="A23" s="10">
        <f t="shared" si="0"/>
        <v>20</v>
      </c>
      <c r="B23" s="55">
        <v>95.2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25"/>
  <sheetViews>
    <sheetView topLeftCell="A6" zoomScale="96" zoomScaleNormal="96" workbookViewId="0">
      <selection activeCell="B4" sqref="B4:B25"/>
    </sheetView>
  </sheetViews>
  <sheetFormatPr defaultRowHeight="14.5" x14ac:dyDescent="0.35"/>
  <cols>
    <col min="1" max="1" width="11.26953125" customWidth="1"/>
    <col min="2" max="2" width="9.54296875" bestFit="1" customWidth="1"/>
    <col min="3" max="3" width="5.1796875" customWidth="1"/>
    <col min="4" max="4" width="8" customWidth="1"/>
    <col min="17" max="17" width="3.7265625" customWidth="1"/>
    <col min="18" max="18" width="27.1796875" customWidth="1"/>
    <col min="19" max="19" width="5.7265625" customWidth="1"/>
    <col min="20" max="20" width="7.26953125" customWidth="1"/>
    <col min="21" max="21" width="9.1796875" customWidth="1"/>
    <col min="22" max="22" width="2.7265625" customWidth="1"/>
    <col min="23" max="23" width="22.26953125" customWidth="1"/>
    <col min="24" max="24" width="5.7265625" customWidth="1"/>
    <col min="25" max="25" width="7.81640625" customWidth="1"/>
    <col min="26" max="26" width="9.1796875" customWidth="1"/>
    <col min="27" max="27" width="2.7265625" customWidth="1"/>
    <col min="28" max="28" width="43.1796875" customWidth="1"/>
  </cols>
  <sheetData>
    <row r="1" spans="1:28" x14ac:dyDescent="0.35">
      <c r="A1" s="7" t="s">
        <v>118</v>
      </c>
      <c r="O1" t="s">
        <v>86</v>
      </c>
      <c r="T1" t="s">
        <v>87</v>
      </c>
      <c r="Y1" t="s">
        <v>89</v>
      </c>
    </row>
    <row r="3" spans="1:28" x14ac:dyDescent="0.35">
      <c r="A3" s="8" t="s">
        <v>75</v>
      </c>
      <c r="B3" s="8" t="s">
        <v>76</v>
      </c>
      <c r="D3" s="8" t="s">
        <v>78</v>
      </c>
      <c r="E3" s="8" t="s">
        <v>77</v>
      </c>
      <c r="O3" t="s">
        <v>80</v>
      </c>
      <c r="P3" s="23">
        <f>COUNTA(A4:A25)</f>
        <v>22</v>
      </c>
      <c r="R3" t="e" cm="1">
        <f t="array" aca="1" ref="R3" ca="1">FTEXT(P3)</f>
        <v>#NAME?</v>
      </c>
      <c r="T3" t="s">
        <v>80</v>
      </c>
      <c r="U3" s="23">
        <f>COUNTA(A4:A25)</f>
        <v>22</v>
      </c>
      <c r="W3" t="e" cm="1">
        <f t="array" aca="1" ref="W3" ca="1">FTEXT(U3)</f>
        <v>#NAME?</v>
      </c>
      <c r="Y3" t="s">
        <v>80</v>
      </c>
      <c r="Z3" s="23">
        <f>COUNTA(A4:A25)</f>
        <v>22</v>
      </c>
      <c r="AB3" t="e" cm="1">
        <f t="array" aca="1" ref="AB3" ca="1">FTEXT(Z3)</f>
        <v>#NAME?</v>
      </c>
    </row>
    <row r="4" spans="1:28" x14ac:dyDescent="0.35">
      <c r="A4" t="s">
        <v>74</v>
      </c>
      <c r="B4" s="21">
        <v>16272.01</v>
      </c>
      <c r="O4" t="s">
        <v>81</v>
      </c>
      <c r="P4" s="24">
        <f>1/SQRT(P3)</f>
        <v>0.21320071635561041</v>
      </c>
      <c r="R4" t="e" cm="1">
        <f t="array" aca="1" ref="R4" ca="1">FTEXT(P4)</f>
        <v>#NAME?</v>
      </c>
      <c r="T4" t="s">
        <v>88</v>
      </c>
      <c r="U4" s="24">
        <v>5</v>
      </c>
      <c r="Y4" t="s">
        <v>88</v>
      </c>
      <c r="Z4" s="24">
        <v>5</v>
      </c>
    </row>
    <row r="5" spans="1:28" x14ac:dyDescent="0.35">
      <c r="A5" t="s">
        <v>73</v>
      </c>
      <c r="B5" s="21">
        <v>16472.37</v>
      </c>
      <c r="C5" s="21"/>
      <c r="D5" s="3">
        <v>1</v>
      </c>
      <c r="E5" t="e" cm="1">
        <f t="array" aca="1" ref="E5" ca="1">ACF($B$4:$B$25,D5)</f>
        <v>#NAME?</v>
      </c>
      <c r="O5" t="s">
        <v>10</v>
      </c>
      <c r="P5" s="24">
        <v>0.05</v>
      </c>
      <c r="T5" t="s">
        <v>10</v>
      </c>
      <c r="U5" s="24">
        <v>0.05</v>
      </c>
      <c r="Y5" t="s">
        <v>10</v>
      </c>
      <c r="Z5" s="24">
        <v>0.05</v>
      </c>
    </row>
    <row r="6" spans="1:28" x14ac:dyDescent="0.35">
      <c r="A6" t="s">
        <v>72</v>
      </c>
      <c r="B6" s="21">
        <v>16776.43</v>
      </c>
      <c r="C6" s="21"/>
      <c r="D6" s="3">
        <f t="shared" ref="D6:D14" si="0">D5+1</f>
        <v>2</v>
      </c>
      <c r="E6" t="e" cm="1">
        <f t="array" aca="1" ref="E6" ca="1">ACF($B$4:$B$25,D6)</f>
        <v>#NAME?</v>
      </c>
      <c r="O6" t="s">
        <v>82</v>
      </c>
      <c r="P6" s="24">
        <f>NORMINV(1-P5/2,0,P4)</f>
        <v>0.41786572553513596</v>
      </c>
      <c r="R6" s="20" t="s">
        <v>85</v>
      </c>
      <c r="T6" t="s">
        <v>82</v>
      </c>
      <c r="U6" s="24">
        <f>CHIINV(U5,U4)</f>
        <v>11.070497693516353</v>
      </c>
      <c r="W6" s="20" t="s">
        <v>526</v>
      </c>
      <c r="Y6" t="s">
        <v>82</v>
      </c>
      <c r="Z6" s="24">
        <f>CHIINV(Z5,Z4)</f>
        <v>11.070497693516353</v>
      </c>
      <c r="AB6" s="20" t="s">
        <v>527</v>
      </c>
    </row>
    <row r="7" spans="1:28" x14ac:dyDescent="0.35">
      <c r="A7" t="s">
        <v>71</v>
      </c>
      <c r="B7" s="21">
        <v>16790.189999999999</v>
      </c>
      <c r="C7" s="21"/>
      <c r="D7" s="3">
        <f t="shared" si="0"/>
        <v>3</v>
      </c>
      <c r="E7" t="e" cm="1">
        <f t="array" aca="1" ref="E7" ca="1">ACF($B$4:$B$25,D7)</f>
        <v>#NAME?</v>
      </c>
      <c r="O7" t="s">
        <v>83</v>
      </c>
      <c r="P7" s="24">
        <v>5</v>
      </c>
      <c r="T7" t="s">
        <v>90</v>
      </c>
      <c r="U7" s="24" t="e">
        <f ca="1">U3*SUMSQ(E5:E9)</f>
        <v>#NAME?</v>
      </c>
      <c r="W7" t="e" cm="1">
        <f t="array" aca="1" ref="W7" ca="1">FTEXT(U7)</f>
        <v>#NAME?</v>
      </c>
      <c r="Y7" t="s">
        <v>91</v>
      </c>
      <c r="Z7" s="24" t="e">
        <f ca="1">Z3*(Z3+2)*SUMPRODUCT((E5:E9)^2/(Z3-D5:D9))</f>
        <v>#NAME?</v>
      </c>
      <c r="AB7" t="e" cm="1">
        <f t="array" aca="1" ref="AB7" ca="1">FTEXT(Z7)</f>
        <v>#NAME?</v>
      </c>
    </row>
    <row r="8" spans="1:28" x14ac:dyDescent="0.35">
      <c r="A8" t="s">
        <v>70</v>
      </c>
      <c r="B8" s="21">
        <v>16912.29</v>
      </c>
      <c r="C8" s="21"/>
      <c r="D8" s="3">
        <f t="shared" si="0"/>
        <v>4</v>
      </c>
      <c r="E8" t="e" cm="1">
        <f t="array" aca="1" ref="E8" ca="1">ACF($B$4:$B$25,D8)</f>
        <v>#NAME?</v>
      </c>
      <c r="O8" t="s">
        <v>77</v>
      </c>
      <c r="P8" s="24" t="e">
        <f ca="1">OFFSET(E4,P7,0)</f>
        <v>#NAME?</v>
      </c>
      <c r="R8" t="e" cm="1">
        <f t="array" aca="1" ref="R8" ca="1">FTEXT(P8)</f>
        <v>#NAME?</v>
      </c>
      <c r="T8" t="s">
        <v>92</v>
      </c>
      <c r="U8" s="24" t="e">
        <f ca="1">CHIDIST(U7,U4)</f>
        <v>#NAME?</v>
      </c>
      <c r="W8" s="20" t="s">
        <v>94</v>
      </c>
      <c r="Y8" t="s">
        <v>92</v>
      </c>
      <c r="Z8" s="24" t="e">
        <f ca="1">CHIDIST(Z7,Z4)</f>
        <v>#NAME?</v>
      </c>
      <c r="AB8" s="20" t="s">
        <v>95</v>
      </c>
    </row>
    <row r="9" spans="1:28" x14ac:dyDescent="0.35">
      <c r="A9" t="s">
        <v>69</v>
      </c>
      <c r="B9" s="21">
        <v>17050.75</v>
      </c>
      <c r="C9" s="21"/>
      <c r="D9" s="3">
        <f t="shared" si="0"/>
        <v>5</v>
      </c>
      <c r="E9" t="e" cm="1">
        <f t="array" aca="1" ref="E9" ca="1">ACF($B$4:$B$25,D9)</f>
        <v>#NAME?</v>
      </c>
      <c r="O9" t="s">
        <v>92</v>
      </c>
      <c r="P9" s="24" t="e">
        <f ca="1">1-NORMDIST(P8,0,P4,TRUE)</f>
        <v>#NAME?</v>
      </c>
      <c r="R9" s="20" t="s">
        <v>93</v>
      </c>
      <c r="T9" t="s">
        <v>84</v>
      </c>
      <c r="U9" s="25" t="e">
        <f ca="1">IF(U8&lt;U5,"yes","no")</f>
        <v>#NAME?</v>
      </c>
      <c r="W9" t="e" cm="1">
        <f t="array" aca="1" ref="W9" ca="1">FTEXT(U9)</f>
        <v>#NAME?</v>
      </c>
      <c r="Y9" t="s">
        <v>84</v>
      </c>
      <c r="Z9" s="25" t="e">
        <f ca="1">IF(Z8&lt;Z5,"yes","no")</f>
        <v>#NAME?</v>
      </c>
      <c r="AB9" t="e" cm="1">
        <f t="array" aca="1" ref="AB9" ca="1">FTEXT(Z9)</f>
        <v>#NAME?</v>
      </c>
    </row>
    <row r="10" spans="1:28" x14ac:dyDescent="0.35">
      <c r="A10" t="s">
        <v>68</v>
      </c>
      <c r="B10" s="21">
        <v>17084.490000000002</v>
      </c>
      <c r="C10" s="21"/>
      <c r="D10" s="3">
        <f t="shared" si="0"/>
        <v>6</v>
      </c>
      <c r="E10" t="e" cm="1">
        <f t="array" aca="1" ref="E10" ca="1">ACF($B$4:$B$25,D10)</f>
        <v>#NAME?</v>
      </c>
      <c r="O10" t="s">
        <v>84</v>
      </c>
      <c r="P10" s="25" t="e">
        <f ca="1">IF(P8&gt;P6,"yes","no")</f>
        <v>#NAME?</v>
      </c>
      <c r="R10" t="e" cm="1">
        <f t="array" aca="1" ref="R10" ca="1">FTEXT(P10)</f>
        <v>#NAME?</v>
      </c>
    </row>
    <row r="11" spans="1:28" x14ac:dyDescent="0.35">
      <c r="A11" t="s">
        <v>67</v>
      </c>
      <c r="B11" s="21">
        <v>17131.86</v>
      </c>
      <c r="C11" s="21"/>
      <c r="D11" s="3">
        <f t="shared" si="0"/>
        <v>7</v>
      </c>
      <c r="E11" t="e" cm="1">
        <f t="array" aca="1" ref="E11" ca="1">ACF($B$4:$B$25,D11)</f>
        <v>#NAME?</v>
      </c>
      <c r="T11" t="s">
        <v>90</v>
      </c>
      <c r="U11" s="23" t="e" cm="1">
        <f t="array" aca="1" ref="U11" ca="1">PIERCE(B4:B25,0,U4)</f>
        <v>#NAME?</v>
      </c>
      <c r="W11" t="e" cm="1">
        <f t="array" aca="1" ref="W11" ca="1">FTEXT(U11)</f>
        <v>#NAME?</v>
      </c>
      <c r="Y11" t="s">
        <v>91</v>
      </c>
      <c r="Z11" s="23" t="e" cm="1">
        <f t="array" aca="1" ref="Z11" ca="1">LJUNG(B4:B25,0,Z4)</f>
        <v>#NAME?</v>
      </c>
      <c r="AB11" t="e" cm="1">
        <f t="array" aca="1" ref="AB11" ca="1">FTEXT(Z11)</f>
        <v>#NAME?</v>
      </c>
    </row>
    <row r="12" spans="1:28" x14ac:dyDescent="0.35">
      <c r="A12" t="s">
        <v>66</v>
      </c>
      <c r="B12" s="21">
        <v>17081.89</v>
      </c>
      <c r="C12" s="21"/>
      <c r="D12" s="3">
        <f t="shared" si="0"/>
        <v>8</v>
      </c>
      <c r="E12" t="e" cm="1">
        <f t="array" aca="1" ref="E12" ca="1">ACF($B$4:$B$25,D12)</f>
        <v>#NAME?</v>
      </c>
      <c r="O12" t="s">
        <v>92</v>
      </c>
      <c r="P12" s="23" t="e" cm="1">
        <f t="array" aca="1" ref="P12" ca="1">BARTEST(B4:B25,0,7)</f>
        <v>#NAME?</v>
      </c>
      <c r="R12" t="e" cm="1">
        <f t="array" aca="1" ref="R12" ca="1">FTEXT(P12)</f>
        <v>#NAME?</v>
      </c>
      <c r="T12" t="s">
        <v>92</v>
      </c>
      <c r="U12" s="34" t="e" cm="1">
        <f t="array" aca="1" ref="U12" ca="1">BPTEST(B4:B25,0,U4)</f>
        <v>#NAME?</v>
      </c>
      <c r="W12" t="e" cm="1">
        <f t="array" aca="1" ref="W12" ca="1">FTEXT(U12)</f>
        <v>#NAME?</v>
      </c>
      <c r="Y12" t="s">
        <v>92</v>
      </c>
      <c r="Z12" s="34" t="e" cm="1">
        <f t="array" aca="1" ref="Z12" ca="1">LBTEST(B4:B25,0,Z4)</f>
        <v>#NAME?</v>
      </c>
      <c r="AB12" t="e" cm="1">
        <f t="array" aca="1" ref="AB12" ca="1">FTEXT(Z12)</f>
        <v>#NAME?</v>
      </c>
    </row>
    <row r="13" spans="1:28" x14ac:dyDescent="0.35">
      <c r="A13" t="s">
        <v>65</v>
      </c>
      <c r="B13" s="21">
        <v>16924.75</v>
      </c>
      <c r="C13" s="21"/>
      <c r="D13" s="3">
        <f t="shared" si="0"/>
        <v>9</v>
      </c>
      <c r="E13" t="e" cm="1">
        <f t="array" aca="1" ref="E13" ca="1">ACF($B$4:$B$25,D13)</f>
        <v>#NAME?</v>
      </c>
      <c r="O13" t="s">
        <v>92</v>
      </c>
      <c r="P13" s="34" t="e" cm="1">
        <f t="array" aca="1" ref="P13" ca="1">BARTEST(P8,P3,P7)</f>
        <v>#NAME?</v>
      </c>
      <c r="R13" t="e" cm="1">
        <f t="array" aca="1" ref="R13" ca="1">FTEXT(P13)</f>
        <v>#NAME?</v>
      </c>
    </row>
    <row r="14" spans="1:28" x14ac:dyDescent="0.35">
      <c r="A14" t="s">
        <v>64</v>
      </c>
      <c r="B14" s="21">
        <v>17141.75</v>
      </c>
      <c r="C14" s="21"/>
      <c r="D14" s="10">
        <f t="shared" si="0"/>
        <v>10</v>
      </c>
      <c r="E14" s="4" t="e" cm="1">
        <f t="array" aca="1" ref="E14" ca="1">ACF($B$4:$B$25,D14)</f>
        <v>#NAME?</v>
      </c>
    </row>
    <row r="15" spans="1:28" x14ac:dyDescent="0.35">
      <c r="A15" t="s">
        <v>63</v>
      </c>
      <c r="B15" s="21">
        <v>17215.97</v>
      </c>
      <c r="C15" s="21"/>
      <c r="D15" s="3"/>
    </row>
    <row r="16" spans="1:28" x14ac:dyDescent="0.35">
      <c r="A16" t="s">
        <v>62</v>
      </c>
      <c r="B16" s="21">
        <v>17230.54</v>
      </c>
      <c r="C16" s="21"/>
      <c r="D16" s="3"/>
    </row>
    <row r="17" spans="1:4" x14ac:dyDescent="0.35">
      <c r="A17" t="s">
        <v>61</v>
      </c>
      <c r="B17" s="21">
        <v>17217.11</v>
      </c>
      <c r="C17" s="21"/>
      <c r="D17" s="3"/>
    </row>
    <row r="18" spans="1:4" x14ac:dyDescent="0.35">
      <c r="A18" t="s">
        <v>60</v>
      </c>
      <c r="B18" s="21">
        <v>17168.61</v>
      </c>
      <c r="C18" s="21"/>
      <c r="D18" s="3"/>
    </row>
    <row r="19" spans="1:4" x14ac:dyDescent="0.35">
      <c r="A19" t="s">
        <v>59</v>
      </c>
      <c r="B19" s="21">
        <v>17489.16</v>
      </c>
      <c r="C19" s="21"/>
      <c r="D19" s="3"/>
    </row>
    <row r="20" spans="1:4" x14ac:dyDescent="0.35">
      <c r="A20" t="s">
        <v>58</v>
      </c>
      <c r="B20" s="21">
        <v>17646.7</v>
      </c>
      <c r="C20" s="21"/>
    </row>
    <row r="21" spans="1:4" x14ac:dyDescent="0.35">
      <c r="A21" t="s">
        <v>57</v>
      </c>
      <c r="B21" s="21">
        <v>17623.05</v>
      </c>
      <c r="C21" s="21"/>
    </row>
    <row r="22" spans="1:4" x14ac:dyDescent="0.35">
      <c r="A22" t="s">
        <v>56</v>
      </c>
      <c r="B22" s="21">
        <v>17581.43</v>
      </c>
      <c r="C22" s="21"/>
    </row>
    <row r="23" spans="1:4" x14ac:dyDescent="0.35">
      <c r="A23" t="s">
        <v>55</v>
      </c>
      <c r="B23" s="21">
        <v>17779.52</v>
      </c>
      <c r="C23" s="21"/>
    </row>
    <row r="24" spans="1:4" x14ac:dyDescent="0.35">
      <c r="A24" t="s">
        <v>54</v>
      </c>
      <c r="B24" s="21">
        <v>17755.8</v>
      </c>
      <c r="C24" s="21"/>
    </row>
    <row r="25" spans="1:4" x14ac:dyDescent="0.35">
      <c r="A25" s="4" t="s">
        <v>53</v>
      </c>
      <c r="B25" s="22">
        <v>17663.54</v>
      </c>
      <c r="C25" s="41"/>
    </row>
  </sheetData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5"/>
  <dimension ref="A1:Z36"/>
  <sheetViews>
    <sheetView topLeftCell="A21" workbookViewId="0">
      <selection activeCell="J27" sqref="J27"/>
    </sheetView>
  </sheetViews>
  <sheetFormatPr defaultRowHeight="14.5" x14ac:dyDescent="0.35"/>
  <cols>
    <col min="1" max="1" width="9.1796875" customWidth="1"/>
    <col min="2" max="2" width="9.54296875" bestFit="1" customWidth="1"/>
    <col min="3" max="3" width="6.26953125" customWidth="1"/>
    <col min="4" max="4" width="9.1796875" customWidth="1"/>
    <col min="11" max="11" width="11" bestFit="1" customWidth="1"/>
    <col min="12" max="13" width="9.1796875" customWidth="1"/>
    <col min="16" max="16" width="9.1796875" customWidth="1"/>
  </cols>
  <sheetData>
    <row r="1" spans="1:26" x14ac:dyDescent="0.35">
      <c r="A1" s="7" t="s">
        <v>117</v>
      </c>
    </row>
    <row r="3" spans="1:26" x14ac:dyDescent="0.35">
      <c r="A3" s="8" t="s">
        <v>75</v>
      </c>
      <c r="B3" s="8" t="s">
        <v>76</v>
      </c>
      <c r="D3" s="8" t="s">
        <v>78</v>
      </c>
      <c r="E3" s="8" t="s">
        <v>175</v>
      </c>
      <c r="F3" s="8" t="s">
        <v>77</v>
      </c>
      <c r="G3" s="8" t="s">
        <v>119</v>
      </c>
      <c r="I3">
        <v>1</v>
      </c>
      <c r="L3">
        <v>2</v>
      </c>
      <c r="P3">
        <v>3</v>
      </c>
      <c r="U3">
        <v>4</v>
      </c>
    </row>
    <row r="4" spans="1:26" x14ac:dyDescent="0.35">
      <c r="A4" s="53">
        <v>37165</v>
      </c>
      <c r="B4" s="21">
        <v>16272.01</v>
      </c>
      <c r="D4" s="43">
        <v>0</v>
      </c>
      <c r="E4" t="e" cm="1">
        <f t="array" aca="1" ref="E4" ca="1">ACVF($B$4:$B$25,D4)</f>
        <v>#NAME?</v>
      </c>
      <c r="G4" t="e" cm="1">
        <f t="array" aca="1" ref="G4" ca="1">PACF($B$4:$B$25,D4)</f>
        <v>#NAME?</v>
      </c>
      <c r="I4" s="19" t="e">
        <f t="array" aca="1" ref="I4" ca="1">ACOV(B4:B25,1)</f>
        <v>#NAME?</v>
      </c>
      <c r="K4" s="57" t="e">
        <f ca="1">E4</f>
        <v>#NAME?</v>
      </c>
      <c r="L4" s="58" t="e">
        <f ca="1">E5</f>
        <v>#NAME?</v>
      </c>
      <c r="N4" s="57" t="e">
        <f ca="1">E4</f>
        <v>#NAME?</v>
      </c>
      <c r="O4" s="59" t="e">
        <f ca="1">E5</f>
        <v>#NAME?</v>
      </c>
      <c r="P4" s="58" t="e">
        <f ca="1">E6</f>
        <v>#NAME?</v>
      </c>
      <c r="R4" s="57" t="e">
        <f ca="1">E4</f>
        <v>#NAME?</v>
      </c>
      <c r="S4" s="59" t="e">
        <f ca="1">E5</f>
        <v>#NAME?</v>
      </c>
      <c r="T4" s="59" t="e">
        <f ca="1">E6</f>
        <v>#NAME?</v>
      </c>
      <c r="U4" s="58" t="e">
        <f ca="1">E7</f>
        <v>#NAME?</v>
      </c>
    </row>
    <row r="5" spans="1:26" x14ac:dyDescent="0.35">
      <c r="A5" s="53">
        <v>37530</v>
      </c>
      <c r="B5" s="21">
        <v>16472.37</v>
      </c>
      <c r="C5" s="21"/>
      <c r="D5" s="43">
        <v>1</v>
      </c>
      <c r="E5" t="e" cm="1">
        <f t="array" aca="1" ref="E5" ca="1">ACVF($B$4:$B$25,D5)</f>
        <v>#NAME?</v>
      </c>
      <c r="F5" t="e" cm="1">
        <f t="array" aca="1" ref="F5" ca="1">ACF($B$4:$B$25,D5)</f>
        <v>#NAME?</v>
      </c>
      <c r="G5" t="e" cm="1">
        <f t="array" aca="1" ref="G5" ca="1">PACF($B$4:$B$25,D5)</f>
        <v>#NAME?</v>
      </c>
      <c r="K5" s="31" t="e">
        <f ca="1">L4</f>
        <v>#NAME?</v>
      </c>
      <c r="L5" s="32" t="e">
        <f ca="1">K4</f>
        <v>#NAME?</v>
      </c>
      <c r="N5" s="29" t="e">
        <f ca="1">O4</f>
        <v>#NAME?</v>
      </c>
      <c r="O5" s="13" t="e">
        <f ca="1">N4</f>
        <v>#NAME?</v>
      </c>
      <c r="P5" s="30" t="e">
        <f ca="1">O4</f>
        <v>#NAME?</v>
      </c>
      <c r="R5" s="29" t="e">
        <f ca="1">S4</f>
        <v>#NAME?</v>
      </c>
      <c r="S5" s="13" t="e">
        <f ca="1">R4</f>
        <v>#NAME?</v>
      </c>
      <c r="T5" s="13" t="e">
        <f ca="1">S4</f>
        <v>#NAME?</v>
      </c>
      <c r="U5" s="30" t="e">
        <f ca="1">T4</f>
        <v>#NAME?</v>
      </c>
    </row>
    <row r="6" spans="1:26" x14ac:dyDescent="0.35">
      <c r="A6" s="53">
        <v>38626</v>
      </c>
      <c r="B6" s="21">
        <v>16776.43</v>
      </c>
      <c r="C6" s="21"/>
      <c r="D6" s="43">
        <f t="shared" ref="D6:D11" si="0">D5+1</f>
        <v>2</v>
      </c>
      <c r="E6" t="e" cm="1">
        <f t="array" aca="1" ref="E6" ca="1">ACVF($B$4:$B$25,D6)</f>
        <v>#NAME?</v>
      </c>
      <c r="F6" t="e" cm="1">
        <f t="array" aca="1" ref="F6" ca="1">ACF($B$4:$B$25,D6)</f>
        <v>#NAME?</v>
      </c>
      <c r="G6" t="e" cm="1">
        <f t="array" aca="1" ref="G6" ca="1">PACF($B$4:$B$25,D6)</f>
        <v>#NAME?</v>
      </c>
      <c r="I6" s="19" t="e">
        <f ca="1">E5</f>
        <v>#NAME?</v>
      </c>
      <c r="N6" s="31" t="e">
        <f ca="1">P4</f>
        <v>#NAME?</v>
      </c>
      <c r="O6" s="4" t="e">
        <f ca="1">P5</f>
        <v>#NAME?</v>
      </c>
      <c r="P6" s="32" t="e">
        <f ca="1">O5</f>
        <v>#NAME?</v>
      </c>
      <c r="R6" s="29" t="e">
        <f ca="1">T4</f>
        <v>#NAME?</v>
      </c>
      <c r="S6" s="13" t="e">
        <f ca="1">T5</f>
        <v>#NAME?</v>
      </c>
      <c r="T6" s="13" t="e">
        <f ca="1">S5</f>
        <v>#NAME?</v>
      </c>
      <c r="U6" s="30" t="e">
        <f ca="1">T5</f>
        <v>#NAME?</v>
      </c>
    </row>
    <row r="7" spans="1:26" x14ac:dyDescent="0.35">
      <c r="A7" s="53">
        <v>38991</v>
      </c>
      <c r="B7" s="21">
        <v>16790.189999999999</v>
      </c>
      <c r="C7" s="21"/>
      <c r="D7" s="43">
        <f t="shared" si="0"/>
        <v>3</v>
      </c>
      <c r="E7" t="e" cm="1">
        <f t="array" aca="1" ref="E7" ca="1">ACVF($B$4:$B$25,D7)</f>
        <v>#NAME?</v>
      </c>
      <c r="F7" t="e" cm="1">
        <f t="array" aca="1" ref="F7" ca="1">ACF($B$4:$B$25,D7)</f>
        <v>#NAME?</v>
      </c>
      <c r="G7" t="e" cm="1">
        <f t="array" aca="1" ref="G7" ca="1">PACF($B$4:$B$25,D7)</f>
        <v>#NAME?</v>
      </c>
      <c r="K7" s="23" t="e">
        <f ca="1">E5</f>
        <v>#NAME?</v>
      </c>
      <c r="R7" s="31" t="e">
        <f ca="1">U4</f>
        <v>#NAME?</v>
      </c>
      <c r="S7" s="4" t="e">
        <f ca="1">U5</f>
        <v>#NAME?</v>
      </c>
      <c r="T7" s="4" t="e">
        <f ca="1">U6</f>
        <v>#NAME?</v>
      </c>
      <c r="U7" s="32" t="e">
        <f ca="1">T6</f>
        <v>#NAME?</v>
      </c>
    </row>
    <row r="8" spans="1:26" x14ac:dyDescent="0.35">
      <c r="A8" s="53">
        <v>39356</v>
      </c>
      <c r="B8" s="21">
        <v>16912.29</v>
      </c>
      <c r="C8" s="21"/>
      <c r="D8" s="43">
        <f t="shared" si="0"/>
        <v>4</v>
      </c>
      <c r="E8" t="e" cm="1">
        <f t="array" aca="1" ref="E8" ca="1">ACVF($B$4:$B$25,D8)</f>
        <v>#NAME?</v>
      </c>
      <c r="F8" t="e" cm="1">
        <f t="array" aca="1" ref="F8" ca="1">ACF($B$4:$B$25,D8)</f>
        <v>#NAME?</v>
      </c>
      <c r="G8" t="e" cm="1">
        <f t="array" aca="1" ref="G8" ca="1">PACF($B$4:$B$25,D8)</f>
        <v>#NAME?</v>
      </c>
      <c r="I8" s="19" t="e">
        <f t="array" aca="1" ref="I8" ca="1">MMULT(MINVERSE(I4),I6)</f>
        <v>#NAME?</v>
      </c>
      <c r="K8" s="34" t="e">
        <f ca="1">E6</f>
        <v>#NAME?</v>
      </c>
      <c r="N8" s="23" t="e">
        <f ca="1">E5</f>
        <v>#NAME?</v>
      </c>
      <c r="P8" s="23" t="e">
        <f t="array" aca="1" ref="P8:P10" ca="1">MMULT(MINVERSE(N4:P6),N8:N10)</f>
        <v>#NAME?</v>
      </c>
    </row>
    <row r="9" spans="1:26" x14ac:dyDescent="0.35">
      <c r="A9" s="53">
        <v>39722</v>
      </c>
      <c r="B9" s="21">
        <v>17050.75</v>
      </c>
      <c r="C9" s="21"/>
      <c r="D9" s="43">
        <f t="shared" si="0"/>
        <v>5</v>
      </c>
      <c r="E9" t="e" cm="1">
        <f t="array" aca="1" ref="E9" ca="1">ACVF($B$4:$B$25,D9)</f>
        <v>#NAME?</v>
      </c>
      <c r="F9" t="e" cm="1">
        <f t="array" aca="1" ref="F9" ca="1">ACF($B$4:$B$25,D9)</f>
        <v>#NAME?</v>
      </c>
      <c r="G9" t="e" cm="1">
        <f t="array" aca="1" ref="G9" ca="1">PACF($B$4:$B$25,D9)</f>
        <v>#NAME?</v>
      </c>
      <c r="N9" s="24" t="e">
        <f ca="1">E6</f>
        <v>#NAME?</v>
      </c>
      <c r="P9" s="24" t="e">
        <f ca="1"/>
        <v>#NAME?</v>
      </c>
      <c r="R9" s="23" t="e">
        <f ca="1">E5</f>
        <v>#NAME?</v>
      </c>
      <c r="T9" s="23" t="e">
        <f t="array" aca="1" ref="T9:T12" ca="1">MMULT(MINVERSE(R4:U7),R9:R12)</f>
        <v>#NAME?</v>
      </c>
    </row>
    <row r="10" spans="1:26" x14ac:dyDescent="0.35">
      <c r="A10" s="53">
        <v>40087</v>
      </c>
      <c r="B10" s="21">
        <v>17084.490000000002</v>
      </c>
      <c r="C10" s="21"/>
      <c r="D10" s="43">
        <f t="shared" si="0"/>
        <v>6</v>
      </c>
      <c r="E10" t="e" cm="1">
        <f t="array" aca="1" ref="E10" ca="1">ACVF($B$4:$B$25,D10)</f>
        <v>#NAME?</v>
      </c>
      <c r="F10" t="e" cm="1">
        <f t="array" aca="1" ref="F10" ca="1">ACF($B$4:$B$25,D10)</f>
        <v>#NAME?</v>
      </c>
      <c r="G10" t="e" cm="1">
        <f t="array" aca="1" ref="G10" ca="1">PACF($B$4:$B$25,D10)</f>
        <v>#NAME?</v>
      </c>
      <c r="K10" s="23" t="e">
        <f t="array" aca="1" ref="K10:K11" ca="1">MMULT(MINVERSE(K4:L5),K7:K8)</f>
        <v>#NAME?</v>
      </c>
      <c r="N10" s="34" t="e">
        <f ca="1">E7</f>
        <v>#NAME?</v>
      </c>
      <c r="P10" s="34" t="e">
        <f ca="1"/>
        <v>#NAME?</v>
      </c>
      <c r="R10" s="24" t="e">
        <f ca="1">E6</f>
        <v>#NAME?</v>
      </c>
      <c r="T10" s="24" t="e">
        <f ca="1"/>
        <v>#NAME?</v>
      </c>
    </row>
    <row r="11" spans="1:26" x14ac:dyDescent="0.35">
      <c r="A11" s="53">
        <v>41183</v>
      </c>
      <c r="B11" s="21">
        <v>17131.86</v>
      </c>
      <c r="C11" s="21"/>
      <c r="D11" s="10">
        <f t="shared" si="0"/>
        <v>7</v>
      </c>
      <c r="E11" s="4" t="e" cm="1">
        <f t="array" aca="1" ref="E11" ca="1">ACVF($B$4:$B$25,D11)</f>
        <v>#NAME?</v>
      </c>
      <c r="F11" s="4" t="e" cm="1">
        <f t="array" aca="1" ref="F11" ca="1">ACF($B$4:$B$25,D11)</f>
        <v>#NAME?</v>
      </c>
      <c r="G11" s="4" t="e" cm="1">
        <f t="array" aca="1" ref="G11" ca="1">PACF($B$4:$B$25,D11)</f>
        <v>#NAME?</v>
      </c>
      <c r="K11" s="34" t="e">
        <f ca="1"/>
        <v>#NAME?</v>
      </c>
      <c r="R11" s="24" t="e">
        <f ca="1">E7</f>
        <v>#NAME?</v>
      </c>
      <c r="T11" s="24" t="e">
        <f ca="1"/>
        <v>#NAME?</v>
      </c>
    </row>
    <row r="12" spans="1:26" x14ac:dyDescent="0.35">
      <c r="A12" s="53">
        <v>41548</v>
      </c>
      <c r="B12" s="21">
        <v>17081.89</v>
      </c>
      <c r="C12" s="21"/>
      <c r="D12" s="21"/>
      <c r="E12" s="21"/>
      <c r="F12" s="21"/>
      <c r="G12" s="21"/>
      <c r="R12" s="34" t="e">
        <f ca="1">E8</f>
        <v>#NAME?</v>
      </c>
      <c r="T12" s="34" t="e">
        <f ca="1"/>
        <v>#NAME?</v>
      </c>
    </row>
    <row r="13" spans="1:26" ht="15" customHeight="1" x14ac:dyDescent="0.45">
      <c r="A13" s="53">
        <v>41913</v>
      </c>
      <c r="B13" s="21">
        <v>16924.75</v>
      </c>
      <c r="C13" s="21"/>
      <c r="D13" s="21"/>
      <c r="E13" s="21"/>
      <c r="F13" t="s">
        <v>191</v>
      </c>
      <c r="G13" s="23" t="e" cm="1">
        <f t="array" aca="1" ref="G13" ca="1">PACF(B4:B25,4)</f>
        <v>#NAME?</v>
      </c>
    </row>
    <row r="14" spans="1:26" ht="15" customHeight="1" x14ac:dyDescent="0.45">
      <c r="A14" s="53">
        <v>42278</v>
      </c>
      <c r="B14" s="21">
        <v>17141.75</v>
      </c>
      <c r="C14" s="21"/>
      <c r="D14" s="21"/>
      <c r="E14" s="21"/>
      <c r="F14" t="s">
        <v>192</v>
      </c>
      <c r="G14" s="34" t="e" cm="1">
        <f t="array" aca="1" ref="G14" ca="1">PACF(B4:B25,2,4)</f>
        <v>#NAME?</v>
      </c>
      <c r="R14" s="57" t="e">
        <f t="array" ref="R14:U17" ca="1">R4:U7/E4</f>
        <v>#NAME?</v>
      </c>
      <c r="S14" s="59" t="e">
        <f ca="1"/>
        <v>#NAME?</v>
      </c>
      <c r="T14" s="59" t="e">
        <f ca="1"/>
        <v>#NAME?</v>
      </c>
      <c r="U14" s="58" t="e">
        <f ca="1"/>
        <v>#NAME?</v>
      </c>
      <c r="W14" s="57" t="e">
        <f t="array" aca="1" ref="W14:Z17" ca="1">ACORR(B4:B25)</f>
        <v>#NAME?</v>
      </c>
      <c r="X14" s="59" t="e">
        <f ca="1"/>
        <v>#NAME?</v>
      </c>
      <c r="Y14" s="59" t="e">
        <f ca="1"/>
        <v>#NAME?</v>
      </c>
      <c r="Z14" s="58" t="e">
        <f ca="1"/>
        <v>#NAME?</v>
      </c>
    </row>
    <row r="15" spans="1:26" x14ac:dyDescent="0.35">
      <c r="A15" s="53">
        <v>42644</v>
      </c>
      <c r="B15" s="21">
        <v>17215.97</v>
      </c>
      <c r="C15" s="21"/>
      <c r="D15" s="21"/>
      <c r="E15" s="21"/>
      <c r="F15" s="21"/>
      <c r="G15" s="21"/>
      <c r="R15" s="29" t="e">
        <f ca="1"/>
        <v>#NAME?</v>
      </c>
      <c r="S15" s="13" t="e">
        <f ca="1"/>
        <v>#NAME?</v>
      </c>
      <c r="T15" s="13" t="e">
        <f ca="1"/>
        <v>#NAME?</v>
      </c>
      <c r="U15" s="30" t="e">
        <f ca="1"/>
        <v>#NAME?</v>
      </c>
      <c r="W15" s="29" t="e">
        <f ca="1"/>
        <v>#NAME?</v>
      </c>
      <c r="X15" s="13" t="e">
        <f ca="1"/>
        <v>#NAME?</v>
      </c>
      <c r="Y15" s="13" t="e">
        <f ca="1"/>
        <v>#NAME?</v>
      </c>
      <c r="Z15" s="30" t="e">
        <f ca="1"/>
        <v>#NAME?</v>
      </c>
    </row>
    <row r="16" spans="1:26" x14ac:dyDescent="0.35">
      <c r="A16" s="53">
        <v>43739</v>
      </c>
      <c r="B16" s="21">
        <v>17230.54</v>
      </c>
      <c r="C16" s="21"/>
      <c r="D16" s="43"/>
      <c r="E16" s="43"/>
      <c r="R16" s="29" t="e">
        <f ca="1"/>
        <v>#NAME?</v>
      </c>
      <c r="S16" s="13" t="e">
        <f ca="1"/>
        <v>#NAME?</v>
      </c>
      <c r="T16" s="13" t="e">
        <f ca="1"/>
        <v>#NAME?</v>
      </c>
      <c r="U16" s="30" t="e">
        <f ca="1"/>
        <v>#NAME?</v>
      </c>
      <c r="W16" s="29" t="e">
        <f ca="1"/>
        <v>#NAME?</v>
      </c>
      <c r="X16" s="13" t="e">
        <f ca="1"/>
        <v>#NAME?</v>
      </c>
      <c r="Y16" s="13" t="e">
        <f ca="1"/>
        <v>#NAME?</v>
      </c>
      <c r="Z16" s="30" t="e">
        <f ca="1"/>
        <v>#NAME?</v>
      </c>
    </row>
    <row r="17" spans="1:26" x14ac:dyDescent="0.35">
      <c r="A17" s="53">
        <v>44105</v>
      </c>
      <c r="B17" s="21">
        <v>17217.11</v>
      </c>
      <c r="C17" s="21"/>
      <c r="D17" s="43"/>
      <c r="E17" s="43"/>
      <c r="R17" s="31" t="e">
        <f ca="1"/>
        <v>#NAME?</v>
      </c>
      <c r="S17" s="4" t="e">
        <f ca="1"/>
        <v>#NAME?</v>
      </c>
      <c r="T17" s="4" t="e">
        <f ca="1"/>
        <v>#NAME?</v>
      </c>
      <c r="U17" s="32" t="e">
        <f ca="1"/>
        <v>#NAME?</v>
      </c>
      <c r="W17" s="31" t="e">
        <f ca="1"/>
        <v>#NAME?</v>
      </c>
      <c r="X17" s="4" t="e">
        <f ca="1"/>
        <v>#NAME?</v>
      </c>
      <c r="Y17" s="4" t="e">
        <f ca="1"/>
        <v>#NAME?</v>
      </c>
      <c r="Z17" s="32" t="e">
        <f ca="1"/>
        <v>#NAME?</v>
      </c>
    </row>
    <row r="18" spans="1:26" x14ac:dyDescent="0.35">
      <c r="A18" s="53">
        <v>44470</v>
      </c>
      <c r="B18" s="21">
        <v>17168.61</v>
      </c>
      <c r="C18" s="21"/>
      <c r="D18" s="43"/>
      <c r="E18" s="43"/>
    </row>
    <row r="19" spans="1:26" ht="15" customHeight="1" x14ac:dyDescent="0.35">
      <c r="A19" s="53">
        <v>44835</v>
      </c>
      <c r="B19" s="21">
        <v>17489.16</v>
      </c>
      <c r="C19" s="21"/>
      <c r="D19" s="43"/>
      <c r="E19" s="43"/>
      <c r="I19" s="19" t="e" cm="1">
        <f t="array" aca="1" ref="I19" ca="1">ACOV(B4:B25,1)</f>
        <v>#NAME?</v>
      </c>
      <c r="K19" s="57" t="e">
        <f t="array" aca="1" ref="K19:L20" ca="1">ACOV(B4:B25,2)</f>
        <v>#NAME?</v>
      </c>
      <c r="L19" s="58" t="e">
        <f ca="1"/>
        <v>#NAME?</v>
      </c>
      <c r="N19" s="57" t="e">
        <f t="array" aca="1" ref="N19:P21" ca="1">ACOV(B4:B25)</f>
        <v>#NAME?</v>
      </c>
      <c r="O19" s="59" t="e">
        <f ca="1"/>
        <v>#NAME?</v>
      </c>
      <c r="P19" s="58" t="e">
        <f ca="1"/>
        <v>#NAME?</v>
      </c>
    </row>
    <row r="20" spans="1:26" ht="15" customHeight="1" x14ac:dyDescent="0.35">
      <c r="A20" s="53">
        <v>45200</v>
      </c>
      <c r="B20" s="21">
        <v>17646.7</v>
      </c>
      <c r="C20" s="21"/>
      <c r="D20" s="43"/>
      <c r="E20" s="43"/>
      <c r="K20" s="31" t="e">
        <f ca="1"/>
        <v>#NAME?</v>
      </c>
      <c r="L20" s="32" t="e">
        <f ca="1"/>
        <v>#NAME?</v>
      </c>
      <c r="N20" s="29" t="e">
        <f ca="1"/>
        <v>#NAME?</v>
      </c>
      <c r="O20" s="13" t="e">
        <f ca="1"/>
        <v>#NAME?</v>
      </c>
      <c r="P20" s="30" t="e">
        <f ca="1"/>
        <v>#NAME?</v>
      </c>
    </row>
    <row r="21" spans="1:26" x14ac:dyDescent="0.35">
      <c r="A21" s="53">
        <v>46296</v>
      </c>
      <c r="B21" s="21">
        <v>17623.05</v>
      </c>
      <c r="C21" s="21"/>
      <c r="D21" s="43"/>
      <c r="E21" s="43"/>
      <c r="I21" t="e" cm="1">
        <f t="array" aca="1" ref="I21" ca="1">PACF(B4:B25,1)</f>
        <v>#NAME?</v>
      </c>
      <c r="N21" s="31" t="e">
        <f ca="1"/>
        <v>#NAME?</v>
      </c>
      <c r="O21" s="4" t="e">
        <f ca="1"/>
        <v>#NAME?</v>
      </c>
      <c r="P21" s="32" t="e">
        <f ca="1"/>
        <v>#NAME?</v>
      </c>
    </row>
    <row r="22" spans="1:26" x14ac:dyDescent="0.35">
      <c r="A22" s="53">
        <v>46661</v>
      </c>
      <c r="B22" s="21">
        <v>17581.43</v>
      </c>
      <c r="C22" s="21"/>
      <c r="D22" s="43"/>
      <c r="E22" s="43"/>
      <c r="K22" t="e" cm="1">
        <f t="array" aca="1" ref="K22" ca="1">PACF(B4:B25,2)</f>
        <v>#NAME?</v>
      </c>
    </row>
    <row r="23" spans="1:26" x14ac:dyDescent="0.35">
      <c r="A23" s="53">
        <v>47027</v>
      </c>
      <c r="B23" s="21">
        <v>17779.52</v>
      </c>
      <c r="C23" s="21"/>
      <c r="D23" s="43"/>
      <c r="E23" s="43"/>
      <c r="N23" t="e" cm="1">
        <f t="array" aca="1" ref="N23" ca="1">PACF(B4:B25,3)</f>
        <v>#NAME?</v>
      </c>
    </row>
    <row r="24" spans="1:26" x14ac:dyDescent="0.35">
      <c r="A24" s="53">
        <v>47392</v>
      </c>
      <c r="B24" s="21">
        <v>17755.8</v>
      </c>
      <c r="C24" s="21"/>
      <c r="D24" s="43"/>
      <c r="E24" s="43"/>
    </row>
    <row r="25" spans="1:26" x14ac:dyDescent="0.35">
      <c r="A25" s="54">
        <v>11232</v>
      </c>
      <c r="B25" s="22">
        <v>17663.54</v>
      </c>
      <c r="C25" s="41"/>
      <c r="D25" s="43"/>
      <c r="E25" s="43"/>
    </row>
    <row r="26" spans="1:26" x14ac:dyDescent="0.35">
      <c r="D26" s="43"/>
      <c r="E26" s="43"/>
    </row>
    <row r="27" spans="1:26" x14ac:dyDescent="0.35">
      <c r="D27" s="43"/>
      <c r="E27" s="43"/>
      <c r="J27" t="s">
        <v>86</v>
      </c>
    </row>
    <row r="28" spans="1:26" x14ac:dyDescent="0.35">
      <c r="D28" s="43"/>
      <c r="E28" s="43"/>
    </row>
    <row r="29" spans="1:26" x14ac:dyDescent="0.35">
      <c r="D29" s="43"/>
      <c r="E29" s="43"/>
      <c r="J29" t="s">
        <v>80</v>
      </c>
      <c r="K29" s="23">
        <f>COUNT(B4:B25)</f>
        <v>22</v>
      </c>
      <c r="M29" t="e" cm="1">
        <f t="array" aca="1" ref="M29" ca="1">FTEXT(K29)</f>
        <v>#NAME?</v>
      </c>
    </row>
    <row r="30" spans="1:26" x14ac:dyDescent="0.35">
      <c r="D30" s="43"/>
      <c r="E30" s="43"/>
      <c r="J30" t="s">
        <v>81</v>
      </c>
      <c r="K30" s="24">
        <f>1/SQRT(K29)</f>
        <v>0.21320071635561041</v>
      </c>
      <c r="M30" t="e" cm="1">
        <f t="array" aca="1" ref="M30" ca="1">FTEXT(K30)</f>
        <v>#NAME?</v>
      </c>
    </row>
    <row r="31" spans="1:26" x14ac:dyDescent="0.35">
      <c r="D31" s="43"/>
      <c r="E31" s="43"/>
      <c r="J31" t="s">
        <v>10</v>
      </c>
      <c r="K31" s="24">
        <v>0.05</v>
      </c>
    </row>
    <row r="32" spans="1:26" x14ac:dyDescent="0.35">
      <c r="D32" s="43"/>
      <c r="E32" s="43"/>
      <c r="J32" t="s">
        <v>82</v>
      </c>
      <c r="K32" s="24">
        <f>NORMINV(1-K31/2,0,K30)</f>
        <v>0.41786572553513596</v>
      </c>
      <c r="M32" s="20" t="s">
        <v>85</v>
      </c>
    </row>
    <row r="33" spans="4:13" x14ac:dyDescent="0.35">
      <c r="D33" s="43"/>
      <c r="E33" s="43"/>
      <c r="J33" t="s">
        <v>83</v>
      </c>
      <c r="K33" s="24">
        <v>2</v>
      </c>
    </row>
    <row r="34" spans="4:13" x14ac:dyDescent="0.35">
      <c r="J34" t="s">
        <v>119</v>
      </c>
      <c r="K34" s="24" t="e">
        <f ca="1">G6</f>
        <v>#NAME?</v>
      </c>
      <c r="M34" t="e" cm="1">
        <f t="array" aca="1" ref="M34" ca="1">FTEXT(K34)</f>
        <v>#NAME?</v>
      </c>
    </row>
    <row r="35" spans="4:13" x14ac:dyDescent="0.35">
      <c r="J35" t="s">
        <v>92</v>
      </c>
      <c r="K35" s="24" t="e">
        <f ca="1">1-NORMDIST(K34,0,K30,TRUE)</f>
        <v>#NAME?</v>
      </c>
      <c r="M35" s="20" t="s">
        <v>193</v>
      </c>
    </row>
    <row r="36" spans="4:13" x14ac:dyDescent="0.35">
      <c r="J36" t="s">
        <v>84</v>
      </c>
      <c r="K36" s="25" t="e">
        <f ca="1">IF(K34&gt;K32,"yes","no")</f>
        <v>#NAME?</v>
      </c>
      <c r="M36" t="e" cm="1">
        <f t="array" aca="1" ref="M36" ca="1">FTEXT(K36)</f>
        <v>#NAME?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3"/>
  <dimension ref="A1:S59"/>
  <sheetViews>
    <sheetView workbookViewId="0"/>
  </sheetViews>
  <sheetFormatPr defaultRowHeight="14.5" x14ac:dyDescent="0.35"/>
  <sheetData>
    <row r="1" spans="1:19" x14ac:dyDescent="0.35">
      <c r="A1" s="7" t="s">
        <v>521</v>
      </c>
    </row>
    <row r="2" spans="1:19" ht="15" thickBot="1" x14ac:dyDescent="0.4"/>
    <row r="3" spans="1:19" ht="15" thickTop="1" x14ac:dyDescent="0.35">
      <c r="A3" s="45" t="s">
        <v>194</v>
      </c>
      <c r="C3" t="s">
        <v>521</v>
      </c>
      <c r="E3" t="s">
        <v>10</v>
      </c>
      <c r="F3" s="150">
        <v>0.05</v>
      </c>
      <c r="P3" t="s">
        <v>521</v>
      </c>
      <c r="R3" t="s">
        <v>10</v>
      </c>
      <c r="S3" s="150">
        <v>0.05</v>
      </c>
    </row>
    <row r="4" spans="1:19" x14ac:dyDescent="0.35">
      <c r="A4">
        <v>10.317780249246972</v>
      </c>
    </row>
    <row r="5" spans="1:19" x14ac:dyDescent="0.35">
      <c r="A5">
        <v>10.292348911477513</v>
      </c>
      <c r="C5" s="162" t="s">
        <v>522</v>
      </c>
      <c r="D5" s="162" t="s">
        <v>294</v>
      </c>
      <c r="E5" s="162" t="s">
        <v>127</v>
      </c>
      <c r="F5" s="162" t="s">
        <v>128</v>
      </c>
      <c r="P5" s="162" t="s">
        <v>522</v>
      </c>
      <c r="Q5" s="162" t="s">
        <v>523</v>
      </c>
      <c r="R5" s="162" t="s">
        <v>127</v>
      </c>
      <c r="S5" s="162" t="s">
        <v>128</v>
      </c>
    </row>
    <row r="6" spans="1:19" x14ac:dyDescent="0.35">
      <c r="A6">
        <v>10.300752464078952</v>
      </c>
      <c r="C6">
        <v>0</v>
      </c>
      <c r="D6" t="e" cm="1">
        <f t="array" aca="1" ref="D6" ca="1">ACF($A$4:$A$59,C6)</f>
        <v>#NAME?</v>
      </c>
      <c r="P6">
        <v>0</v>
      </c>
      <c r="Q6" t="e" cm="1">
        <f t="array" aca="1" ref="Q6" ca="1">PACF($A$4:$A$59,P6)</f>
        <v>#NAME?</v>
      </c>
    </row>
    <row r="7" spans="1:19" x14ac:dyDescent="0.35">
      <c r="A7">
        <v>10.292077743419448</v>
      </c>
      <c r="C7">
        <f>C6+1</f>
        <v>1</v>
      </c>
      <c r="D7" t="e" cm="1">
        <f t="array" aca="1" ref="D7" ca="1">ACF($A$4:$A$59,C7)</f>
        <v>#NAME?</v>
      </c>
      <c r="E7">
        <f>-F7</f>
        <v>-0.26191120430589926</v>
      </c>
      <c r="F7">
        <f>NORMSINV(1-$F$3/2)/SQRT(COUNT($A$4:$A$59))</f>
        <v>0.26191120430589926</v>
      </c>
      <c r="P7">
        <f>P6+1</f>
        <v>1</v>
      </c>
      <c r="Q7" t="e" cm="1">
        <f t="array" aca="1" ref="Q7" ca="1">PACF($A$4:$A$59,P7)</f>
        <v>#NAME?</v>
      </c>
      <c r="R7">
        <f>-S7</f>
        <v>-0.26191120430589926</v>
      </c>
      <c r="S7">
        <f>NORMSINV(1-$S$3/2)/SQRT(COUNT(A4:A59))</f>
        <v>0.26191120430589926</v>
      </c>
    </row>
    <row r="8" spans="1:19" x14ac:dyDescent="0.35">
      <c r="A8">
        <v>10.313044278547546</v>
      </c>
      <c r="C8">
        <f t="shared" ref="C8:C36" si="0">C7+1</f>
        <v>2</v>
      </c>
      <c r="D8" t="e" cm="1">
        <f t="array" aca="1" ref="D8" ca="1">ACF($A$4:$A$59,C8)</f>
        <v>#NAME?</v>
      </c>
      <c r="E8" t="e">
        <f ca="1">-F8</f>
        <v>#NAME?</v>
      </c>
      <c r="F8" t="e">
        <f ca="1">NORMSINV(1-$F$3/2)*SQRT((1+2*SUMSQ(D$7:D7))/COUNT($A$4:$A$59))</f>
        <v>#NAME?</v>
      </c>
      <c r="P8">
        <f t="shared" ref="P8:P36" si="1">P7+1</f>
        <v>2</v>
      </c>
      <c r="Q8" t="e" cm="1">
        <f t="array" aca="1" ref="Q8" ca="1">PACF($A$4:$A$59,P8)</f>
        <v>#NAME?</v>
      </c>
      <c r="R8">
        <f>R7</f>
        <v>-0.26191120430589926</v>
      </c>
      <c r="S8">
        <f>S7</f>
        <v>0.26191120430589926</v>
      </c>
    </row>
    <row r="9" spans="1:19" x14ac:dyDescent="0.35">
      <c r="A9">
        <v>10.320419992085187</v>
      </c>
      <c r="C9">
        <f t="shared" si="0"/>
        <v>3</v>
      </c>
      <c r="D9" t="e" cm="1">
        <f t="array" aca="1" ref="D9" ca="1">ACF($A$4:$A$59,C9)</f>
        <v>#NAME?</v>
      </c>
      <c r="E9" t="e">
        <f t="shared" ref="E9:E36" ca="1" si="2">-F9</f>
        <v>#NAME?</v>
      </c>
      <c r="F9" t="e">
        <f ca="1">NORMSINV(1-$F$3/2)*SQRT((1+2*SUMSQ(D$7:D8))/COUNT($A$4:$A$59))</f>
        <v>#NAME?</v>
      </c>
      <c r="P9">
        <f t="shared" si="1"/>
        <v>3</v>
      </c>
      <c r="Q9" t="e" cm="1">
        <f t="array" aca="1" ref="Q9" ca="1">PACF($A$4:$A$59,P9)</f>
        <v>#NAME?</v>
      </c>
      <c r="R9">
        <f t="shared" ref="R9:S24" si="3">R8</f>
        <v>-0.26191120430589926</v>
      </c>
      <c r="S9">
        <f t="shared" si="3"/>
        <v>0.26191120430589926</v>
      </c>
    </row>
    <row r="10" spans="1:19" x14ac:dyDescent="0.35">
      <c r="A10">
        <v>10.366435096057655</v>
      </c>
      <c r="C10">
        <f t="shared" si="0"/>
        <v>4</v>
      </c>
      <c r="D10" t="e" cm="1">
        <f t="array" aca="1" ref="D10" ca="1">ACF($A$4:$A$59,C10)</f>
        <v>#NAME?</v>
      </c>
      <c r="E10" t="e">
        <f t="shared" ca="1" si="2"/>
        <v>#NAME?</v>
      </c>
      <c r="F10" t="e">
        <f ca="1">NORMSINV(1-$F$3/2)*SQRT((1+2*SUMSQ(D$7:D9))/COUNT($A$4:$A$59))</f>
        <v>#NAME?</v>
      </c>
      <c r="P10">
        <f t="shared" si="1"/>
        <v>4</v>
      </c>
      <c r="Q10" t="e" cm="1">
        <f t="array" aca="1" ref="Q10" ca="1">PACF($A$4:$A$59,P10)</f>
        <v>#NAME?</v>
      </c>
      <c r="R10">
        <f t="shared" si="3"/>
        <v>-0.26191120430589926</v>
      </c>
      <c r="S10">
        <f t="shared" si="3"/>
        <v>0.26191120430589926</v>
      </c>
    </row>
    <row r="11" spans="1:19" x14ac:dyDescent="0.35">
      <c r="A11">
        <v>10.367441670330306</v>
      </c>
      <c r="C11">
        <f t="shared" si="0"/>
        <v>5</v>
      </c>
      <c r="D11" t="e" cm="1">
        <f t="array" aca="1" ref="D11" ca="1">ACF($A$4:$A$59,C11)</f>
        <v>#NAME?</v>
      </c>
      <c r="E11" t="e">
        <f t="shared" ca="1" si="2"/>
        <v>#NAME?</v>
      </c>
      <c r="F11" t="e">
        <f ca="1">NORMSINV(1-$F$3/2)*SQRT((1+2*SUMSQ(D$7:D10))/COUNT($A$4:$A$59))</f>
        <v>#NAME?</v>
      </c>
      <c r="P11">
        <f t="shared" si="1"/>
        <v>5</v>
      </c>
      <c r="Q11" t="e" cm="1">
        <f t="array" aca="1" ref="Q11" ca="1">PACF($A$4:$A$59,P11)</f>
        <v>#NAME?</v>
      </c>
      <c r="R11">
        <f t="shared" si="3"/>
        <v>-0.26191120430589926</v>
      </c>
      <c r="S11">
        <f t="shared" si="3"/>
        <v>0.26191120430589926</v>
      </c>
    </row>
    <row r="12" spans="1:19" x14ac:dyDescent="0.35">
      <c r="A12">
        <v>10.395527831398702</v>
      </c>
      <c r="C12">
        <f t="shared" si="0"/>
        <v>6</v>
      </c>
      <c r="D12" t="e" cm="1">
        <f t="array" aca="1" ref="D12" ca="1">ACF($A$4:$A$59,C12)</f>
        <v>#NAME?</v>
      </c>
      <c r="E12" t="e">
        <f t="shared" ca="1" si="2"/>
        <v>#NAME?</v>
      </c>
      <c r="F12" t="e">
        <f ca="1">NORMSINV(1-$F$3/2)*SQRT((1+2*SUMSQ(D$7:D11))/COUNT($A$4:$A$59))</f>
        <v>#NAME?</v>
      </c>
      <c r="P12">
        <f t="shared" si="1"/>
        <v>6</v>
      </c>
      <c r="Q12" t="e" cm="1">
        <f t="array" aca="1" ref="Q12" ca="1">PACF($A$4:$A$59,P12)</f>
        <v>#NAME?</v>
      </c>
      <c r="R12">
        <f t="shared" si="3"/>
        <v>-0.26191120430589926</v>
      </c>
      <c r="S12">
        <f t="shared" si="3"/>
        <v>0.26191120430589926</v>
      </c>
    </row>
    <row r="13" spans="1:19" x14ac:dyDescent="0.35">
      <c r="A13">
        <v>10.485619369994788</v>
      </c>
      <c r="C13">
        <f t="shared" si="0"/>
        <v>7</v>
      </c>
      <c r="D13" t="e" cm="1">
        <f t="array" aca="1" ref="D13" ca="1">ACF($A$4:$A$59,C13)</f>
        <v>#NAME?</v>
      </c>
      <c r="E13" t="e">
        <f t="shared" ca="1" si="2"/>
        <v>#NAME?</v>
      </c>
      <c r="F13" t="e">
        <f ca="1">NORMSINV(1-$F$3/2)*SQRT((1+2*SUMSQ(D$7:D12))/COUNT($A$4:$A$59))</f>
        <v>#NAME?</v>
      </c>
      <c r="P13">
        <f t="shared" si="1"/>
        <v>7</v>
      </c>
      <c r="Q13" t="e" cm="1">
        <f t="array" aca="1" ref="Q13" ca="1">PACF($A$4:$A$59,P13)</f>
        <v>#NAME?</v>
      </c>
      <c r="R13">
        <f t="shared" si="3"/>
        <v>-0.26191120430589926</v>
      </c>
      <c r="S13">
        <f t="shared" si="3"/>
        <v>0.26191120430589926</v>
      </c>
    </row>
    <row r="14" spans="1:19" x14ac:dyDescent="0.35">
      <c r="A14">
        <v>10.476188780020186</v>
      </c>
      <c r="C14">
        <f t="shared" si="0"/>
        <v>8</v>
      </c>
      <c r="D14" t="e" cm="1">
        <f t="array" aca="1" ref="D14" ca="1">ACF($A$4:$A$59,C14)</f>
        <v>#NAME?</v>
      </c>
      <c r="E14" t="e">
        <f t="shared" ca="1" si="2"/>
        <v>#NAME?</v>
      </c>
      <c r="F14" t="e">
        <f ca="1">NORMSINV(1-$F$3/2)*SQRT((1+2*SUMSQ(D$7:D13))/COUNT($A$4:$A$59))</f>
        <v>#NAME?</v>
      </c>
      <c r="P14">
        <f t="shared" si="1"/>
        <v>8</v>
      </c>
      <c r="Q14" t="e" cm="1">
        <f t="array" aca="1" ref="Q14" ca="1">PACF($A$4:$A$59,P14)</f>
        <v>#NAME?</v>
      </c>
      <c r="R14">
        <f t="shared" si="3"/>
        <v>-0.26191120430589926</v>
      </c>
      <c r="S14">
        <f t="shared" si="3"/>
        <v>0.26191120430589926</v>
      </c>
    </row>
    <row r="15" spans="1:19" x14ac:dyDescent="0.35">
      <c r="A15">
        <v>10.463960116191533</v>
      </c>
      <c r="C15">
        <f t="shared" si="0"/>
        <v>9</v>
      </c>
      <c r="D15" t="e" cm="1">
        <f t="array" aca="1" ref="D15" ca="1">ACF($A$4:$A$59,C15)</f>
        <v>#NAME?</v>
      </c>
      <c r="E15" t="e">
        <f t="shared" ca="1" si="2"/>
        <v>#NAME?</v>
      </c>
      <c r="F15" t="e">
        <f ca="1">NORMSINV(1-$F$3/2)*SQRT((1+2*SUMSQ(D$7:D14))/COUNT($A$4:$A$59))</f>
        <v>#NAME?</v>
      </c>
      <c r="P15">
        <f t="shared" si="1"/>
        <v>9</v>
      </c>
      <c r="Q15" t="e" cm="1">
        <f t="array" aca="1" ref="Q15" ca="1">PACF($A$4:$A$59,P15)</f>
        <v>#NAME?</v>
      </c>
      <c r="R15">
        <f t="shared" si="3"/>
        <v>-0.26191120430589926</v>
      </c>
      <c r="S15">
        <f t="shared" si="3"/>
        <v>0.26191120430589926</v>
      </c>
    </row>
    <row r="16" spans="1:19" x14ac:dyDescent="0.35">
      <c r="A16">
        <v>10.341452118734878</v>
      </c>
      <c r="C16">
        <f t="shared" si="0"/>
        <v>10</v>
      </c>
      <c r="D16" t="e" cm="1">
        <f t="array" aca="1" ref="D16" ca="1">ACF($A$4:$A$59,C16)</f>
        <v>#NAME?</v>
      </c>
      <c r="E16" t="e">
        <f t="shared" ca="1" si="2"/>
        <v>#NAME?</v>
      </c>
      <c r="F16" t="e">
        <f ca="1">NORMSINV(1-$F$3/2)*SQRT((1+2*SUMSQ(D$7:D15))/COUNT($A$4:$A$59))</f>
        <v>#NAME?</v>
      </c>
      <c r="P16">
        <f t="shared" si="1"/>
        <v>10</v>
      </c>
      <c r="Q16" t="e" cm="1">
        <f t="array" aca="1" ref="Q16" ca="1">PACF($A$4:$A$59,P16)</f>
        <v>#NAME?</v>
      </c>
      <c r="R16">
        <f t="shared" si="3"/>
        <v>-0.26191120430589926</v>
      </c>
      <c r="S16">
        <f t="shared" si="3"/>
        <v>0.26191120430589926</v>
      </c>
    </row>
    <row r="17" spans="1:19" x14ac:dyDescent="0.35">
      <c r="A17">
        <v>10.402473361497909</v>
      </c>
      <c r="C17">
        <f t="shared" si="0"/>
        <v>11</v>
      </c>
      <c r="D17" t="e" cm="1">
        <f t="array" aca="1" ref="D17" ca="1">ACF($A$4:$A$59,C17)</f>
        <v>#NAME?</v>
      </c>
      <c r="E17" t="e">
        <f t="shared" ca="1" si="2"/>
        <v>#NAME?</v>
      </c>
      <c r="F17" t="e">
        <f ca="1">NORMSINV(1-$F$3/2)*SQRT((1+2*SUMSQ(D$7:D16))/COUNT($A$4:$A$59))</f>
        <v>#NAME?</v>
      </c>
      <c r="P17">
        <f t="shared" si="1"/>
        <v>11</v>
      </c>
      <c r="Q17" t="e" cm="1">
        <f t="array" aca="1" ref="Q17" ca="1">PACF($A$4:$A$59,P17)</f>
        <v>#NAME?</v>
      </c>
      <c r="R17">
        <f t="shared" si="3"/>
        <v>-0.26191120430589926</v>
      </c>
      <c r="S17">
        <f t="shared" si="3"/>
        <v>0.26191120430589926</v>
      </c>
    </row>
    <row r="18" spans="1:19" x14ac:dyDescent="0.35">
      <c r="A18">
        <v>10.391576649328249</v>
      </c>
      <c r="C18">
        <f t="shared" si="0"/>
        <v>12</v>
      </c>
      <c r="D18" t="e" cm="1">
        <f t="array" aca="1" ref="D18" ca="1">ACF($A$4:$A$59,C18)</f>
        <v>#NAME?</v>
      </c>
      <c r="E18" t="e">
        <f t="shared" ca="1" si="2"/>
        <v>#NAME?</v>
      </c>
      <c r="F18" t="e">
        <f ca="1">NORMSINV(1-$F$3/2)*SQRT((1+2*SUMSQ(D$7:D17))/COUNT($A$4:$A$59))</f>
        <v>#NAME?</v>
      </c>
      <c r="P18">
        <f t="shared" si="1"/>
        <v>12</v>
      </c>
      <c r="Q18" t="e" cm="1">
        <f t="array" aca="1" ref="Q18" ca="1">PACF($A$4:$A$59,P18)</f>
        <v>#NAME?</v>
      </c>
      <c r="R18">
        <f t="shared" si="3"/>
        <v>-0.26191120430589926</v>
      </c>
      <c r="S18">
        <f t="shared" si="3"/>
        <v>0.26191120430589926</v>
      </c>
    </row>
    <row r="19" spans="1:19" x14ac:dyDescent="0.35">
      <c r="A19">
        <v>10.355168084441255</v>
      </c>
      <c r="C19">
        <f t="shared" si="0"/>
        <v>13</v>
      </c>
      <c r="D19" t="e" cm="1">
        <f t="array" aca="1" ref="D19" ca="1">ACF($A$4:$A$59,C19)</f>
        <v>#NAME?</v>
      </c>
      <c r="E19" t="e">
        <f t="shared" ca="1" si="2"/>
        <v>#NAME?</v>
      </c>
      <c r="F19" t="e">
        <f ca="1">NORMSINV(1-$F$3/2)*SQRT((1+2*SUMSQ(D$7:D18))/COUNT($A$4:$A$59))</f>
        <v>#NAME?</v>
      </c>
      <c r="P19">
        <f t="shared" si="1"/>
        <v>13</v>
      </c>
      <c r="Q19" t="e" cm="1">
        <f t="array" aca="1" ref="Q19" ca="1">PACF($A$4:$A$59,P19)</f>
        <v>#NAME?</v>
      </c>
      <c r="R19">
        <f t="shared" si="3"/>
        <v>-0.26191120430589926</v>
      </c>
      <c r="S19">
        <f t="shared" si="3"/>
        <v>0.26191120430589926</v>
      </c>
    </row>
    <row r="20" spans="1:19" x14ac:dyDescent="0.35">
      <c r="A20">
        <v>10.351660875132662</v>
      </c>
      <c r="C20">
        <f t="shared" si="0"/>
        <v>14</v>
      </c>
      <c r="D20" t="e" cm="1">
        <f t="array" aca="1" ref="D20" ca="1">ACF($A$4:$A$59,C20)</f>
        <v>#NAME?</v>
      </c>
      <c r="E20" t="e">
        <f t="shared" ca="1" si="2"/>
        <v>#NAME?</v>
      </c>
      <c r="F20" t="e">
        <f ca="1">NORMSINV(1-$F$3/2)*SQRT((1+2*SUMSQ(D$7:D19))/COUNT($A$4:$A$59))</f>
        <v>#NAME?</v>
      </c>
      <c r="P20">
        <f t="shared" si="1"/>
        <v>14</v>
      </c>
      <c r="Q20" t="e" cm="1">
        <f t="array" aca="1" ref="Q20" ca="1">PACF($A$4:$A$59,P20)</f>
        <v>#NAME?</v>
      </c>
      <c r="R20">
        <f t="shared" si="3"/>
        <v>-0.26191120430589926</v>
      </c>
      <c r="S20">
        <f t="shared" si="3"/>
        <v>0.26191120430589926</v>
      </c>
    </row>
    <row r="21" spans="1:19" x14ac:dyDescent="0.35">
      <c r="A21">
        <v>10.363945768938333</v>
      </c>
      <c r="C21">
        <f t="shared" si="0"/>
        <v>15</v>
      </c>
      <c r="D21" t="e" cm="1">
        <f t="array" aca="1" ref="D21" ca="1">ACF($A$4:$A$59,C21)</f>
        <v>#NAME?</v>
      </c>
      <c r="E21" t="e">
        <f t="shared" ca="1" si="2"/>
        <v>#NAME?</v>
      </c>
      <c r="F21" t="e">
        <f ca="1">NORMSINV(1-$F$3/2)*SQRT((1+2*SUMSQ(D$7:D20))/COUNT($A$4:$A$59))</f>
        <v>#NAME?</v>
      </c>
      <c r="P21">
        <f t="shared" si="1"/>
        <v>15</v>
      </c>
      <c r="Q21" t="e" cm="1">
        <f t="array" aca="1" ref="Q21" ca="1">PACF($A$4:$A$59,P21)</f>
        <v>#NAME?</v>
      </c>
      <c r="R21">
        <f t="shared" si="3"/>
        <v>-0.26191120430589926</v>
      </c>
      <c r="S21">
        <f t="shared" si="3"/>
        <v>0.26191120430589926</v>
      </c>
    </row>
    <row r="22" spans="1:19" x14ac:dyDescent="0.35">
      <c r="A22">
        <v>10.385759368884058</v>
      </c>
      <c r="C22">
        <f t="shared" si="0"/>
        <v>16</v>
      </c>
      <c r="D22" t="e" cm="1">
        <f t="array" aca="1" ref="D22" ca="1">ACF($A$4:$A$59,C22)</f>
        <v>#NAME?</v>
      </c>
      <c r="E22" t="e">
        <f t="shared" ca="1" si="2"/>
        <v>#NAME?</v>
      </c>
      <c r="F22" t="e">
        <f ca="1">NORMSINV(1-$F$3/2)*SQRT((1+2*SUMSQ(D$7:D21))/COUNT($A$4:$A$59))</f>
        <v>#NAME?</v>
      </c>
      <c r="P22">
        <f t="shared" si="1"/>
        <v>16</v>
      </c>
      <c r="Q22" t="e" cm="1">
        <f t="array" aca="1" ref="Q22" ca="1">PACF($A$4:$A$59,P22)</f>
        <v>#NAME?</v>
      </c>
      <c r="R22">
        <f t="shared" si="3"/>
        <v>-0.26191120430589926</v>
      </c>
      <c r="S22">
        <f t="shared" si="3"/>
        <v>0.26191120430589926</v>
      </c>
    </row>
    <row r="23" spans="1:19" x14ac:dyDescent="0.35">
      <c r="A23">
        <v>10.388749184170845</v>
      </c>
      <c r="C23">
        <f t="shared" si="0"/>
        <v>17</v>
      </c>
      <c r="D23" t="e" cm="1">
        <f t="array" aca="1" ref="D23" ca="1">ACF($A$4:$A$59,C23)</f>
        <v>#NAME?</v>
      </c>
      <c r="E23" t="e">
        <f t="shared" ca="1" si="2"/>
        <v>#NAME?</v>
      </c>
      <c r="F23" t="e">
        <f ca="1">NORMSINV(1-$F$3/2)*SQRT((1+2*SUMSQ(D$7:D22))/COUNT($A$4:$A$59))</f>
        <v>#NAME?</v>
      </c>
      <c r="P23">
        <f t="shared" si="1"/>
        <v>17</v>
      </c>
      <c r="Q23" t="e" cm="1">
        <f t="array" aca="1" ref="Q23" ca="1">PACF($A$4:$A$59,P23)</f>
        <v>#NAME?</v>
      </c>
      <c r="R23">
        <f t="shared" si="3"/>
        <v>-0.26191120430589926</v>
      </c>
      <c r="S23">
        <f t="shared" si="3"/>
        <v>0.26191120430589926</v>
      </c>
    </row>
    <row r="24" spans="1:19" x14ac:dyDescent="0.35">
      <c r="A24">
        <v>10.430786738995007</v>
      </c>
      <c r="C24">
        <f t="shared" si="0"/>
        <v>18</v>
      </c>
      <c r="D24" t="e" cm="1">
        <f t="array" aca="1" ref="D24" ca="1">ACF($A$4:$A$59,C24)</f>
        <v>#NAME?</v>
      </c>
      <c r="E24" t="e">
        <f t="shared" ca="1" si="2"/>
        <v>#NAME?</v>
      </c>
      <c r="F24" t="e">
        <f ca="1">NORMSINV(1-$F$3/2)*SQRT((1+2*SUMSQ(D$7:D23))/COUNT($A$4:$A$59))</f>
        <v>#NAME?</v>
      </c>
      <c r="P24">
        <f t="shared" si="1"/>
        <v>18</v>
      </c>
      <c r="Q24" t="e" cm="1">
        <f t="array" aca="1" ref="Q24" ca="1">PACF($A$4:$A$59,P24)</f>
        <v>#NAME?</v>
      </c>
      <c r="R24">
        <f t="shared" si="3"/>
        <v>-0.26191120430589926</v>
      </c>
      <c r="S24">
        <f t="shared" si="3"/>
        <v>0.26191120430589926</v>
      </c>
    </row>
    <row r="25" spans="1:19" x14ac:dyDescent="0.35">
      <c r="A25">
        <v>10.468630892511706</v>
      </c>
      <c r="C25">
        <f t="shared" si="0"/>
        <v>19</v>
      </c>
      <c r="D25" t="e" cm="1">
        <f t="array" aca="1" ref="D25" ca="1">ACF($A$4:$A$59,C25)</f>
        <v>#NAME?</v>
      </c>
      <c r="E25" t="e">
        <f t="shared" ca="1" si="2"/>
        <v>#NAME?</v>
      </c>
      <c r="F25" t="e">
        <f ca="1">NORMSINV(1-$F$3/2)*SQRT((1+2*SUMSQ(D$7:D24))/COUNT($A$4:$A$59))</f>
        <v>#NAME?</v>
      </c>
      <c r="P25">
        <f t="shared" si="1"/>
        <v>19</v>
      </c>
      <c r="Q25" t="e" cm="1">
        <f t="array" aca="1" ref="Q25" ca="1">PACF($A$4:$A$59,P25)</f>
        <v>#NAME?</v>
      </c>
      <c r="R25">
        <f t="shared" ref="R25:S36" si="4">R24</f>
        <v>-0.26191120430589926</v>
      </c>
      <c r="S25">
        <f t="shared" si="4"/>
        <v>0.26191120430589926</v>
      </c>
    </row>
    <row r="26" spans="1:19" x14ac:dyDescent="0.35">
      <c r="A26">
        <v>10.449033392780306</v>
      </c>
      <c r="C26">
        <f t="shared" si="0"/>
        <v>20</v>
      </c>
      <c r="D26" t="e" cm="1">
        <f t="array" aca="1" ref="D26" ca="1">ACF($A$4:$A$59,C26)</f>
        <v>#NAME?</v>
      </c>
      <c r="E26" t="e">
        <f t="shared" ca="1" si="2"/>
        <v>#NAME?</v>
      </c>
      <c r="F26" t="e">
        <f ca="1">NORMSINV(1-$F$3/2)*SQRT((1+2*SUMSQ(D$7:D25))/COUNT($A$4:$A$59))</f>
        <v>#NAME?</v>
      </c>
      <c r="P26">
        <f t="shared" si="1"/>
        <v>20</v>
      </c>
      <c r="Q26" t="e" cm="1">
        <f t="array" aca="1" ref="Q26" ca="1">PACF($A$4:$A$59,P26)</f>
        <v>#NAME?</v>
      </c>
      <c r="R26">
        <f t="shared" si="4"/>
        <v>-0.26191120430589926</v>
      </c>
      <c r="S26">
        <f t="shared" si="4"/>
        <v>0.26191120430589926</v>
      </c>
    </row>
    <row r="27" spans="1:19" x14ac:dyDescent="0.35">
      <c r="A27">
        <v>10.432290609532771</v>
      </c>
      <c r="C27">
        <f t="shared" si="0"/>
        <v>21</v>
      </c>
      <c r="D27" t="e" cm="1">
        <f t="array" aca="1" ref="D27" ca="1">ACF($A$4:$A$59,C27)</f>
        <v>#NAME?</v>
      </c>
      <c r="E27" t="e">
        <f t="shared" ca="1" si="2"/>
        <v>#NAME?</v>
      </c>
      <c r="F27" t="e">
        <f ca="1">NORMSINV(1-$F$3/2)*SQRT((1+2*SUMSQ(D$7:D26))/COUNT($A$4:$A$59))</f>
        <v>#NAME?</v>
      </c>
      <c r="P27">
        <f t="shared" si="1"/>
        <v>21</v>
      </c>
      <c r="Q27" t="e" cm="1">
        <f t="array" aca="1" ref="Q27" ca="1">PACF($A$4:$A$59,P27)</f>
        <v>#NAME?</v>
      </c>
      <c r="R27">
        <f t="shared" si="4"/>
        <v>-0.26191120430589926</v>
      </c>
      <c r="S27">
        <f t="shared" si="4"/>
        <v>0.26191120430589926</v>
      </c>
    </row>
    <row r="28" spans="1:19" x14ac:dyDescent="0.35">
      <c r="A28">
        <v>10.415592357800499</v>
      </c>
      <c r="C28">
        <f t="shared" si="0"/>
        <v>22</v>
      </c>
      <c r="D28" t="e" cm="1">
        <f t="array" aca="1" ref="D28" ca="1">ACF($A$4:$A$59,C28)</f>
        <v>#NAME?</v>
      </c>
      <c r="E28" t="e">
        <f t="shared" ca="1" si="2"/>
        <v>#NAME?</v>
      </c>
      <c r="F28" t="e">
        <f ca="1">NORMSINV(1-$F$3/2)*SQRT((1+2*SUMSQ(D$7:D27))/COUNT($A$4:$A$59))</f>
        <v>#NAME?</v>
      </c>
      <c r="P28">
        <f t="shared" si="1"/>
        <v>22</v>
      </c>
      <c r="Q28" t="e" cm="1">
        <f t="array" aca="1" ref="Q28" ca="1">PACF($A$4:$A$59,P28)</f>
        <v>#NAME?</v>
      </c>
      <c r="R28">
        <f t="shared" si="4"/>
        <v>-0.26191120430589926</v>
      </c>
      <c r="S28">
        <f t="shared" si="4"/>
        <v>0.26191120430589926</v>
      </c>
    </row>
    <row r="29" spans="1:19" x14ac:dyDescent="0.35">
      <c r="A29">
        <v>10.413883083825608</v>
      </c>
      <c r="C29">
        <f t="shared" si="0"/>
        <v>23</v>
      </c>
      <c r="D29" t="e" cm="1">
        <f t="array" aca="1" ref="D29" ca="1">ACF($A$4:$A$59,C29)</f>
        <v>#NAME?</v>
      </c>
      <c r="E29" t="e">
        <f t="shared" ca="1" si="2"/>
        <v>#NAME?</v>
      </c>
      <c r="F29" t="e">
        <f ca="1">NORMSINV(1-$F$3/2)*SQRT((1+2*SUMSQ(D$7:D28))/COUNT($A$4:$A$59))</f>
        <v>#NAME?</v>
      </c>
      <c r="P29">
        <f t="shared" si="1"/>
        <v>23</v>
      </c>
      <c r="Q29" t="e" cm="1">
        <f t="array" aca="1" ref="Q29" ca="1">PACF($A$4:$A$59,P29)</f>
        <v>#NAME?</v>
      </c>
      <c r="R29">
        <f t="shared" si="4"/>
        <v>-0.26191120430589926</v>
      </c>
      <c r="S29">
        <f t="shared" si="4"/>
        <v>0.26191120430589926</v>
      </c>
    </row>
    <row r="30" spans="1:19" x14ac:dyDescent="0.35">
      <c r="A30">
        <v>10.408586811928672</v>
      </c>
      <c r="C30">
        <f t="shared" si="0"/>
        <v>24</v>
      </c>
      <c r="D30" t="e" cm="1">
        <f t="array" aca="1" ref="D30" ca="1">ACF($A$4:$A$59,C30)</f>
        <v>#NAME?</v>
      </c>
      <c r="E30" t="e">
        <f t="shared" ca="1" si="2"/>
        <v>#NAME?</v>
      </c>
      <c r="F30" t="e">
        <f ca="1">NORMSINV(1-$F$3/2)*SQRT((1+2*SUMSQ(D$7:D29))/COUNT($A$4:$A$59))</f>
        <v>#NAME?</v>
      </c>
      <c r="P30">
        <f t="shared" si="1"/>
        <v>24</v>
      </c>
      <c r="Q30" t="e" cm="1">
        <f t="array" aca="1" ref="Q30" ca="1">PACF($A$4:$A$59,P30)</f>
        <v>#NAME?</v>
      </c>
      <c r="R30">
        <f t="shared" si="4"/>
        <v>-0.26191120430589926</v>
      </c>
      <c r="S30">
        <f t="shared" si="4"/>
        <v>0.26191120430589926</v>
      </c>
    </row>
    <row r="31" spans="1:19" x14ac:dyDescent="0.35">
      <c r="A31">
        <v>10.398793364644082</v>
      </c>
      <c r="C31">
        <f t="shared" si="0"/>
        <v>25</v>
      </c>
      <c r="D31" t="e" cm="1">
        <f t="array" aca="1" ref="D31" ca="1">ACF($A$4:$A$59,C31)</f>
        <v>#NAME?</v>
      </c>
      <c r="E31" t="e">
        <f t="shared" ca="1" si="2"/>
        <v>#NAME?</v>
      </c>
      <c r="F31" t="e">
        <f ca="1">NORMSINV(1-$F$3/2)*SQRT((1+2*SUMSQ(D$7:D30))/COUNT($A$4:$A$59))</f>
        <v>#NAME?</v>
      </c>
      <c r="P31">
        <f t="shared" si="1"/>
        <v>25</v>
      </c>
      <c r="Q31" t="e" cm="1">
        <f t="array" aca="1" ref="Q31" ca="1">PACF($A$4:$A$59,P31)</f>
        <v>#NAME?</v>
      </c>
      <c r="R31">
        <f t="shared" si="4"/>
        <v>-0.26191120430589926</v>
      </c>
      <c r="S31">
        <f t="shared" si="4"/>
        <v>0.26191120430589926</v>
      </c>
    </row>
    <row r="32" spans="1:19" x14ac:dyDescent="0.35">
      <c r="A32">
        <v>10.415352635876781</v>
      </c>
      <c r="C32">
        <f t="shared" si="0"/>
        <v>26</v>
      </c>
      <c r="D32" t="e" cm="1">
        <f t="array" aca="1" ref="D32" ca="1">ACF($A$4:$A$59,C32)</f>
        <v>#NAME?</v>
      </c>
      <c r="E32" t="e">
        <f t="shared" ca="1" si="2"/>
        <v>#NAME?</v>
      </c>
      <c r="F32" t="e">
        <f ca="1">NORMSINV(1-$F$3/2)*SQRT((1+2*SUMSQ(D$7:D31))/COUNT($A$4:$A$59))</f>
        <v>#NAME?</v>
      </c>
      <c r="P32">
        <f t="shared" si="1"/>
        <v>26</v>
      </c>
      <c r="Q32" t="e" cm="1">
        <f t="array" aca="1" ref="Q32" ca="1">PACF($A$4:$A$59,P32)</f>
        <v>#NAME?</v>
      </c>
      <c r="R32">
        <f t="shared" si="4"/>
        <v>-0.26191120430589926</v>
      </c>
      <c r="S32">
        <f t="shared" si="4"/>
        <v>0.26191120430589926</v>
      </c>
    </row>
    <row r="33" spans="1:19" x14ac:dyDescent="0.35">
      <c r="A33">
        <v>10.442463219718466</v>
      </c>
      <c r="C33">
        <f t="shared" si="0"/>
        <v>27</v>
      </c>
      <c r="D33" t="e" cm="1">
        <f t="array" aca="1" ref="D33" ca="1">ACF($A$4:$A$59,C33)</f>
        <v>#NAME?</v>
      </c>
      <c r="E33" t="e">
        <f t="shared" ca="1" si="2"/>
        <v>#NAME?</v>
      </c>
      <c r="F33" t="e">
        <f ca="1">NORMSINV(1-$F$3/2)*SQRT((1+2*SUMSQ(D$7:D32))/COUNT($A$4:$A$59))</f>
        <v>#NAME?</v>
      </c>
      <c r="P33">
        <f t="shared" si="1"/>
        <v>27</v>
      </c>
      <c r="Q33" t="e" cm="1">
        <f t="array" aca="1" ref="Q33" ca="1">PACF($A$4:$A$59,P33)</f>
        <v>#NAME?</v>
      </c>
      <c r="R33">
        <f t="shared" si="4"/>
        <v>-0.26191120430589926</v>
      </c>
      <c r="S33">
        <f t="shared" si="4"/>
        <v>0.26191120430589926</v>
      </c>
    </row>
    <row r="34" spans="1:19" x14ac:dyDescent="0.35">
      <c r="A34">
        <v>10.453976099358494</v>
      </c>
      <c r="C34">
        <f t="shared" si="0"/>
        <v>28</v>
      </c>
      <c r="D34" t="e" cm="1">
        <f t="array" aca="1" ref="D34" ca="1">ACF($A$4:$A$59,C34)</f>
        <v>#NAME?</v>
      </c>
      <c r="E34" t="e">
        <f t="shared" ca="1" si="2"/>
        <v>#NAME?</v>
      </c>
      <c r="F34" t="e">
        <f ca="1">NORMSINV(1-$F$3/2)*SQRT((1+2*SUMSQ(D$7:D33))/COUNT($A$4:$A$59))</f>
        <v>#NAME?</v>
      </c>
      <c r="P34">
        <f t="shared" si="1"/>
        <v>28</v>
      </c>
      <c r="Q34" t="e" cm="1">
        <f t="array" aca="1" ref="Q34" ca="1">PACF($A$4:$A$59,P34)</f>
        <v>#NAME?</v>
      </c>
      <c r="R34">
        <f t="shared" si="4"/>
        <v>-0.26191120430589926</v>
      </c>
      <c r="S34">
        <f t="shared" si="4"/>
        <v>0.26191120430589926</v>
      </c>
    </row>
    <row r="35" spans="1:19" x14ac:dyDescent="0.35">
      <c r="A35">
        <v>10.472516044509659</v>
      </c>
      <c r="C35">
        <f t="shared" si="0"/>
        <v>29</v>
      </c>
      <c r="D35" t="e" cm="1">
        <f t="array" aca="1" ref="D35" ca="1">ACF($A$4:$A$59,C35)</f>
        <v>#NAME?</v>
      </c>
      <c r="E35" t="e">
        <f t="shared" ca="1" si="2"/>
        <v>#NAME?</v>
      </c>
      <c r="F35" t="e">
        <f ca="1">NORMSINV(1-$F$3/2)*SQRT((1+2*SUMSQ(D$7:D34))/COUNT($A$4:$A$59))</f>
        <v>#NAME?</v>
      </c>
      <c r="P35">
        <f t="shared" si="1"/>
        <v>29</v>
      </c>
      <c r="Q35" t="e" cm="1">
        <f t="array" aca="1" ref="Q35" ca="1">PACF($A$4:$A$59,P35)</f>
        <v>#NAME?</v>
      </c>
      <c r="R35">
        <f t="shared" si="4"/>
        <v>-0.26191120430589926</v>
      </c>
      <c r="S35">
        <f t="shared" si="4"/>
        <v>0.26191120430589926</v>
      </c>
    </row>
    <row r="36" spans="1:19" x14ac:dyDescent="0.35">
      <c r="A36">
        <v>10.502214157476581</v>
      </c>
      <c r="C36" s="4">
        <f t="shared" si="0"/>
        <v>30</v>
      </c>
      <c r="D36" s="4" t="e" cm="1">
        <f t="array" aca="1" ref="D36" ca="1">ACF($A$4:$A$59,C36)</f>
        <v>#NAME?</v>
      </c>
      <c r="E36" s="4" t="e">
        <f t="shared" ca="1" si="2"/>
        <v>#NAME?</v>
      </c>
      <c r="F36" s="4" t="e">
        <f ca="1">NORMSINV(1-$F$3/2)*SQRT((1+2*SUMSQ(D$7:D35))/COUNT($A$4:$A$59))</f>
        <v>#NAME?</v>
      </c>
      <c r="P36" s="4">
        <f t="shared" si="1"/>
        <v>30</v>
      </c>
      <c r="Q36" s="4" t="e" cm="1">
        <f t="array" aca="1" ref="Q36" ca="1">PACF($A$4:$A$59,P36)</f>
        <v>#NAME?</v>
      </c>
      <c r="R36" s="4">
        <f t="shared" si="4"/>
        <v>-0.26191120430589926</v>
      </c>
      <c r="S36" s="4">
        <f t="shared" si="4"/>
        <v>0.26191120430589926</v>
      </c>
    </row>
    <row r="37" spans="1:19" x14ac:dyDescent="0.35">
      <c r="A37">
        <v>10.511430812581505</v>
      </c>
    </row>
    <row r="38" spans="1:19" x14ac:dyDescent="0.35">
      <c r="A38">
        <v>10.48824184666795</v>
      </c>
    </row>
    <row r="39" spans="1:19" x14ac:dyDescent="0.35">
      <c r="A39">
        <v>10.453456963419745</v>
      </c>
    </row>
    <row r="40" spans="1:19" x14ac:dyDescent="0.35">
      <c r="A40">
        <v>10.461215845988338</v>
      </c>
    </row>
    <row r="41" spans="1:19" x14ac:dyDescent="0.35">
      <c r="A41">
        <v>10.451551155906923</v>
      </c>
    </row>
    <row r="42" spans="1:19" x14ac:dyDescent="0.35">
      <c r="A42">
        <v>10.45429321647827</v>
      </c>
    </row>
    <row r="43" spans="1:19" x14ac:dyDescent="0.35">
      <c r="A43">
        <v>10.464302621047032</v>
      </c>
    </row>
    <row r="44" spans="1:19" x14ac:dyDescent="0.35">
      <c r="A44">
        <v>10.47381717044985</v>
      </c>
    </row>
    <row r="45" spans="1:19" x14ac:dyDescent="0.35">
      <c r="A45">
        <v>10.47928597812618</v>
      </c>
    </row>
    <row r="46" spans="1:19" x14ac:dyDescent="0.35">
      <c r="A46">
        <v>10.488910314508901</v>
      </c>
    </row>
    <row r="47" spans="1:19" x14ac:dyDescent="0.35">
      <c r="A47">
        <v>10.502983177014618</v>
      </c>
    </row>
    <row r="48" spans="1:19" x14ac:dyDescent="0.35">
      <c r="A48">
        <v>10.561862112494815</v>
      </c>
    </row>
    <row r="49" spans="1:1" x14ac:dyDescent="0.35">
      <c r="A49">
        <v>10.59282749475312</v>
      </c>
    </row>
    <row r="50" spans="1:1" x14ac:dyDescent="0.35">
      <c r="A50">
        <v>10.555604383538082</v>
      </c>
    </row>
    <row r="51" spans="1:1" x14ac:dyDescent="0.35">
      <c r="A51">
        <v>10.537972247530657</v>
      </c>
    </row>
    <row r="52" spans="1:1" x14ac:dyDescent="0.35">
      <c r="A52">
        <v>10.556568901025617</v>
      </c>
    </row>
    <row r="53" spans="1:1" x14ac:dyDescent="0.35">
      <c r="A53">
        <v>10.551436188256256</v>
      </c>
    </row>
    <row r="54" spans="1:1" x14ac:dyDescent="0.35">
      <c r="A54">
        <v>10.541756071586084</v>
      </c>
    </row>
    <row r="55" spans="1:1" x14ac:dyDescent="0.35">
      <c r="A55">
        <v>10.554314220524935</v>
      </c>
    </row>
    <row r="56" spans="1:1" x14ac:dyDescent="0.35">
      <c r="A56">
        <v>10.56128508910566</v>
      </c>
    </row>
    <row r="57" spans="1:1" x14ac:dyDescent="0.35">
      <c r="A57">
        <v>10.577390749729313</v>
      </c>
    </row>
    <row r="58" spans="1:1" x14ac:dyDescent="0.35">
      <c r="A58">
        <v>10.600336207512887</v>
      </c>
    </row>
    <row r="59" spans="1:1" x14ac:dyDescent="0.35">
      <c r="A59" s="4">
        <v>10.625265063321484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52"/>
  <dimension ref="A1:U302"/>
  <sheetViews>
    <sheetView workbookViewId="0"/>
  </sheetViews>
  <sheetFormatPr defaultRowHeight="14.5" x14ac:dyDescent="0.35"/>
  <cols>
    <col min="1" max="1" width="5.54296875" customWidth="1"/>
  </cols>
  <sheetData>
    <row r="1" spans="1:6" x14ac:dyDescent="0.35">
      <c r="A1" s="7" t="s">
        <v>129</v>
      </c>
    </row>
    <row r="3" spans="1:6" x14ac:dyDescent="0.35">
      <c r="A3">
        <v>1</v>
      </c>
      <c r="B3">
        <v>-0.87534792889873081</v>
      </c>
      <c r="D3" s="8" t="s">
        <v>78</v>
      </c>
      <c r="E3" s="8" t="s">
        <v>77</v>
      </c>
      <c r="F3" s="8" t="s">
        <v>119</v>
      </c>
    </row>
    <row r="4" spans="1:6" x14ac:dyDescent="0.35">
      <c r="A4">
        <f>A3+1</f>
        <v>2</v>
      </c>
      <c r="B4">
        <v>2.1810846561960719</v>
      </c>
      <c r="D4" s="43">
        <v>1</v>
      </c>
      <c r="E4" t="e" cm="1">
        <f t="array" aca="1" ref="E4" ca="1">ACF($B$3:$B$302,D4)</f>
        <v>#NAME?</v>
      </c>
      <c r="F4" t="e" cm="1">
        <f t="array" aca="1" ref="F4" ca="1">PACF($B$3:$B$302,D4)</f>
        <v>#NAME?</v>
      </c>
    </row>
    <row r="5" spans="1:6" x14ac:dyDescent="0.35">
      <c r="A5">
        <f t="shared" ref="A5:A68" si="0">A4+1</f>
        <v>3</v>
      </c>
      <c r="B5">
        <v>-0.74146414944076577</v>
      </c>
      <c r="D5" s="43">
        <f t="shared" ref="D5:D43" si="1">D4+1</f>
        <v>2</v>
      </c>
      <c r="E5" t="e" cm="1">
        <f t="array" aca="1" ref="E5" ca="1">ACF($B$3:$B$302,D5)</f>
        <v>#NAME?</v>
      </c>
      <c r="F5" t="e" cm="1">
        <f t="array" aca="1" ref="F5" ca="1">PACF($B$3:$B$302,D5)</f>
        <v>#NAME?</v>
      </c>
    </row>
    <row r="6" spans="1:6" x14ac:dyDescent="0.35">
      <c r="A6">
        <f t="shared" si="0"/>
        <v>4</v>
      </c>
      <c r="B6">
        <v>0.79927287991141249</v>
      </c>
      <c r="D6" s="43">
        <f t="shared" si="1"/>
        <v>3</v>
      </c>
      <c r="E6" t="e" cm="1">
        <f t="array" aca="1" ref="E6" ca="1">ACF($B$3:$B$302,D6)</f>
        <v>#NAME?</v>
      </c>
      <c r="F6" t="e" cm="1">
        <f t="array" aca="1" ref="F6" ca="1">PACF($B$3:$B$302,D6)</f>
        <v>#NAME?</v>
      </c>
    </row>
    <row r="7" spans="1:6" x14ac:dyDescent="0.35">
      <c r="A7">
        <f t="shared" si="0"/>
        <v>5</v>
      </c>
      <c r="B7">
        <v>1.3671695212926984</v>
      </c>
      <c r="D7" s="43">
        <f t="shared" si="1"/>
        <v>4</v>
      </c>
      <c r="E7" t="e" cm="1">
        <f t="array" aca="1" ref="E7" ca="1">ACF($B$3:$B$302,D7)</f>
        <v>#NAME?</v>
      </c>
      <c r="F7" t="e" cm="1">
        <f t="array" aca="1" ref="F7" ca="1">PACF($B$3:$B$302,D7)</f>
        <v>#NAME?</v>
      </c>
    </row>
    <row r="8" spans="1:6" x14ac:dyDescent="0.35">
      <c r="A8">
        <f t="shared" si="0"/>
        <v>6</v>
      </c>
      <c r="B8">
        <v>0.89321582945049294</v>
      </c>
      <c r="D8" s="43">
        <f t="shared" si="1"/>
        <v>5</v>
      </c>
      <c r="E8" t="e" cm="1">
        <f t="array" aca="1" ref="E8" ca="1">ACF($B$3:$B$302,D8)</f>
        <v>#NAME?</v>
      </c>
      <c r="F8" t="e" cm="1">
        <f t="array" aca="1" ref="F8" ca="1">PACF($B$3:$B$302,D8)</f>
        <v>#NAME?</v>
      </c>
    </row>
    <row r="9" spans="1:6" x14ac:dyDescent="0.35">
      <c r="A9">
        <f t="shared" si="0"/>
        <v>7</v>
      </c>
      <c r="B9">
        <v>0.60867978054589356</v>
      </c>
      <c r="D9" s="43">
        <f t="shared" si="1"/>
        <v>6</v>
      </c>
      <c r="E9" t="e" cm="1">
        <f t="array" aca="1" ref="E9" ca="1">ACF($B$3:$B$302,D9)</f>
        <v>#NAME?</v>
      </c>
      <c r="F9" t="e" cm="1">
        <f t="array" aca="1" ref="F9" ca="1">PACF($B$3:$B$302,D9)</f>
        <v>#NAME?</v>
      </c>
    </row>
    <row r="10" spans="1:6" x14ac:dyDescent="0.35">
      <c r="A10">
        <f t="shared" si="0"/>
        <v>8</v>
      </c>
      <c r="B10">
        <v>7.9728608638023932E-2</v>
      </c>
      <c r="D10" s="43">
        <f t="shared" si="1"/>
        <v>7</v>
      </c>
      <c r="E10" t="e" cm="1">
        <f t="array" aca="1" ref="E10" ca="1">ACF($B$3:$B$302,D10)</f>
        <v>#NAME?</v>
      </c>
      <c r="F10" t="e" cm="1">
        <f t="array" aca="1" ref="F10" ca="1">PACF($B$3:$B$302,D10)</f>
        <v>#NAME?</v>
      </c>
    </row>
    <row r="11" spans="1:6" x14ac:dyDescent="0.35">
      <c r="A11">
        <f t="shared" si="0"/>
        <v>9</v>
      </c>
      <c r="B11">
        <v>0.10834483687178854</v>
      </c>
      <c r="D11" s="43">
        <f t="shared" si="1"/>
        <v>8</v>
      </c>
      <c r="E11" t="e" cm="1">
        <f t="array" aca="1" ref="E11" ca="1">ACF($B$3:$B$302,D11)</f>
        <v>#NAME?</v>
      </c>
      <c r="F11" t="e" cm="1">
        <f t="array" aca="1" ref="F11" ca="1">PACF($B$3:$B$302,D11)</f>
        <v>#NAME?</v>
      </c>
    </row>
    <row r="12" spans="1:6" x14ac:dyDescent="0.35">
      <c r="A12">
        <f t="shared" si="0"/>
        <v>10</v>
      </c>
      <c r="B12">
        <v>0.97544728048226925</v>
      </c>
      <c r="D12" s="43">
        <f t="shared" si="1"/>
        <v>9</v>
      </c>
      <c r="E12" t="e" cm="1">
        <f t="array" aca="1" ref="E12" ca="1">ACF($B$3:$B$302,D12)</f>
        <v>#NAME?</v>
      </c>
      <c r="F12" t="e" cm="1">
        <f t="array" aca="1" ref="F12" ca="1">PACF($B$3:$B$302,D12)</f>
        <v>#NAME?</v>
      </c>
    </row>
    <row r="13" spans="1:6" x14ac:dyDescent="0.35">
      <c r="A13">
        <f t="shared" si="0"/>
        <v>11</v>
      </c>
      <c r="B13">
        <v>-4.540809146572599E-2</v>
      </c>
      <c r="D13" s="43">
        <f t="shared" si="1"/>
        <v>10</v>
      </c>
      <c r="E13" t="e" cm="1">
        <f t="array" aca="1" ref="E13" ca="1">ACF($B$3:$B$302,D13)</f>
        <v>#NAME?</v>
      </c>
      <c r="F13" t="e" cm="1">
        <f t="array" aca="1" ref="F13" ca="1">PACF($B$3:$B$302,D13)</f>
        <v>#NAME?</v>
      </c>
    </row>
    <row r="14" spans="1:6" x14ac:dyDescent="0.35">
      <c r="A14">
        <f t="shared" si="0"/>
        <v>12</v>
      </c>
      <c r="B14">
        <v>-1.6656957332189672</v>
      </c>
      <c r="D14" s="43">
        <f t="shared" si="1"/>
        <v>11</v>
      </c>
      <c r="E14" t="e" cm="1">
        <f t="array" aca="1" ref="E14" ca="1">ACF($B$3:$B$302,D14)</f>
        <v>#NAME?</v>
      </c>
      <c r="F14" t="e" cm="1">
        <f t="array" aca="1" ref="F14" ca="1">PACF($B$3:$B$302,D14)</f>
        <v>#NAME?</v>
      </c>
    </row>
    <row r="15" spans="1:6" x14ac:dyDescent="0.35">
      <c r="A15">
        <f t="shared" si="0"/>
        <v>13</v>
      </c>
      <c r="B15">
        <v>-0.69961361487898788</v>
      </c>
      <c r="D15" s="43">
        <f t="shared" si="1"/>
        <v>12</v>
      </c>
      <c r="E15" t="e" cm="1">
        <f t="array" aca="1" ref="E15" ca="1">ACF($B$3:$B$302,D15)</f>
        <v>#NAME?</v>
      </c>
      <c r="F15" t="e" cm="1">
        <f t="array" aca="1" ref="F15" ca="1">PACF($B$3:$B$302,D15)</f>
        <v>#NAME?</v>
      </c>
    </row>
    <row r="16" spans="1:6" x14ac:dyDescent="0.35">
      <c r="A16">
        <f t="shared" si="0"/>
        <v>14</v>
      </c>
      <c r="B16">
        <v>0.7377609118471925</v>
      </c>
      <c r="D16" s="43">
        <f t="shared" si="1"/>
        <v>13</v>
      </c>
      <c r="E16" t="e" cm="1">
        <f t="array" aca="1" ref="E16" ca="1">ACF($B$3:$B$302,D16)</f>
        <v>#NAME?</v>
      </c>
      <c r="F16" t="e" cm="1">
        <f t="array" aca="1" ref="F16" ca="1">PACF($B$3:$B$302,D16)</f>
        <v>#NAME?</v>
      </c>
    </row>
    <row r="17" spans="1:21" x14ac:dyDescent="0.35">
      <c r="A17">
        <f t="shared" si="0"/>
        <v>15</v>
      </c>
      <c r="B17">
        <v>1.3677358521530159</v>
      </c>
      <c r="D17" s="43">
        <f t="shared" si="1"/>
        <v>14</v>
      </c>
      <c r="E17" t="e" cm="1">
        <f t="array" aca="1" ref="E17" ca="1">ACF($B$3:$B$302,D17)</f>
        <v>#NAME?</v>
      </c>
      <c r="F17" t="e" cm="1">
        <f t="array" aca="1" ref="F17" ca="1">PACF($B$3:$B$302,D17)</f>
        <v>#NAME?</v>
      </c>
    </row>
    <row r="18" spans="1:21" x14ac:dyDescent="0.35">
      <c r="A18">
        <f t="shared" si="0"/>
        <v>16</v>
      </c>
      <c r="B18">
        <v>-8.4435176136184523E-2</v>
      </c>
      <c r="D18" s="17">
        <f t="shared" si="1"/>
        <v>15</v>
      </c>
      <c r="E18" t="e" cm="1">
        <f t="array" aca="1" ref="E18" ca="1">ACF($B$3:$B$302,D18)</f>
        <v>#NAME?</v>
      </c>
      <c r="F18" t="e" cm="1">
        <f t="array" aca="1" ref="F18" ca="1">PACF($B$3:$B$302,D18)</f>
        <v>#NAME?</v>
      </c>
    </row>
    <row r="19" spans="1:21" x14ac:dyDescent="0.35">
      <c r="A19">
        <f t="shared" si="0"/>
        <v>17</v>
      </c>
      <c r="B19">
        <v>0.8510657933176643</v>
      </c>
      <c r="D19" s="17">
        <f t="shared" si="1"/>
        <v>16</v>
      </c>
      <c r="E19" t="e" cm="1">
        <f t="array" aca="1" ref="E19" ca="1">ACF($B$3:$B$302,D19)</f>
        <v>#NAME?</v>
      </c>
      <c r="F19" t="e" cm="1">
        <f t="array" aca="1" ref="F19" ca="1">PACF($B$3:$B$302,D19)</f>
        <v>#NAME?</v>
      </c>
      <c r="Q19" t="s">
        <v>134</v>
      </c>
      <c r="T19" t="s">
        <v>130</v>
      </c>
    </row>
    <row r="20" spans="1:21" x14ac:dyDescent="0.35">
      <c r="A20">
        <f t="shared" si="0"/>
        <v>18</v>
      </c>
      <c r="B20">
        <v>-1.7562333037292321</v>
      </c>
      <c r="D20" s="17">
        <f t="shared" si="1"/>
        <v>17</v>
      </c>
      <c r="E20" t="e" cm="1">
        <f t="array" aca="1" ref="E20" ca="1">ACF($B$3:$B$302,D20)</f>
        <v>#NAME?</v>
      </c>
      <c r="F20" t="e" cm="1">
        <f t="array" aca="1" ref="F20" ca="1">PACF($B$3:$B$302,D20)</f>
        <v>#NAME?</v>
      </c>
    </row>
    <row r="21" spans="1:21" x14ac:dyDescent="0.35">
      <c r="A21">
        <f t="shared" si="0"/>
        <v>19</v>
      </c>
      <c r="B21">
        <v>5.5644922024413325E-2</v>
      </c>
      <c r="D21" s="17">
        <f t="shared" si="1"/>
        <v>18</v>
      </c>
      <c r="E21" t="e" cm="1">
        <f t="array" aca="1" ref="E21" ca="1">ACF($B$3:$B$302,D21)</f>
        <v>#NAME?</v>
      </c>
      <c r="F21" t="e" cm="1">
        <f t="array" aca="1" ref="F21" ca="1">PACF($B$3:$B$302,D21)</f>
        <v>#NAME?</v>
      </c>
      <c r="Q21" t="s">
        <v>131</v>
      </c>
      <c r="R21" s="23">
        <f>NORMSINV(0.975)/SQRT(300)</f>
        <v>0.11315857340761713</v>
      </c>
      <c r="T21" t="s">
        <v>80</v>
      </c>
      <c r="U21" s="23">
        <f>A302</f>
        <v>300</v>
      </c>
    </row>
    <row r="22" spans="1:21" x14ac:dyDescent="0.35">
      <c r="A22">
        <f t="shared" si="0"/>
        <v>20</v>
      </c>
      <c r="B22">
        <v>-1.4999752543160205</v>
      </c>
      <c r="D22" s="17">
        <f t="shared" si="1"/>
        <v>19</v>
      </c>
      <c r="E22" t="e" cm="1">
        <f t="array" aca="1" ref="E22" ca="1">ACF($B$3:$B$302,D22)</f>
        <v>#NAME?</v>
      </c>
      <c r="F22" t="e" cm="1">
        <f t="array" aca="1" ref="F22" ca="1">PACF($B$3:$B$302,D22)</f>
        <v>#NAME?</v>
      </c>
      <c r="Q22" t="s">
        <v>132</v>
      </c>
      <c r="R22" s="24">
        <f ca="1">COUNTIF(E4:E43,"&gt;="&amp;R21)</f>
        <v>0</v>
      </c>
      <c r="T22" t="s">
        <v>88</v>
      </c>
      <c r="U22" s="24">
        <f>D43</f>
        <v>40</v>
      </c>
    </row>
    <row r="23" spans="1:21" x14ac:dyDescent="0.35">
      <c r="A23">
        <f t="shared" si="0"/>
        <v>21</v>
      </c>
      <c r="B23">
        <v>1.3121465443163918</v>
      </c>
      <c r="D23" s="17">
        <f t="shared" si="1"/>
        <v>20</v>
      </c>
      <c r="E23" t="e" cm="1">
        <f t="array" aca="1" ref="E23" ca="1">ACF($B$3:$B$302,D23)</f>
        <v>#NAME?</v>
      </c>
      <c r="F23" t="e" cm="1">
        <f t="array" aca="1" ref="F23" ca="1">PACF($B$3:$B$302,D23)</f>
        <v>#NAME?</v>
      </c>
      <c r="Q23" t="s">
        <v>133</v>
      </c>
      <c r="R23" s="34">
        <f ca="1">COUNTIF(E4:E43,"&lt;="&amp;-R21)</f>
        <v>0</v>
      </c>
      <c r="T23" t="s">
        <v>10</v>
      </c>
      <c r="U23" s="24">
        <v>0.05</v>
      </c>
    </row>
    <row r="24" spans="1:21" x14ac:dyDescent="0.35">
      <c r="A24">
        <f t="shared" si="0"/>
        <v>22</v>
      </c>
      <c r="B24">
        <v>-0.92935196240406492</v>
      </c>
      <c r="D24" s="17">
        <f t="shared" si="1"/>
        <v>21</v>
      </c>
      <c r="E24" t="e" cm="1">
        <f t="array" aca="1" ref="E24" ca="1">ACF($B$3:$B$302,D24)</f>
        <v>#NAME?</v>
      </c>
      <c r="F24" t="e" cm="1">
        <f t="array" aca="1" ref="F24" ca="1">PACF($B$3:$B$302,D24)</f>
        <v>#NAME?</v>
      </c>
      <c r="T24" t="s">
        <v>82</v>
      </c>
      <c r="U24" s="24">
        <f>CHIINV(U23/2,U22)</f>
        <v>59.341707143171199</v>
      </c>
    </row>
    <row r="25" spans="1:21" x14ac:dyDescent="0.35">
      <c r="A25">
        <f t="shared" si="0"/>
        <v>23</v>
      </c>
      <c r="B25">
        <v>-0.7441782690531823</v>
      </c>
      <c r="D25" s="17">
        <f t="shared" si="1"/>
        <v>22</v>
      </c>
      <c r="E25" t="e" cm="1">
        <f t="array" aca="1" ref="E25" ca="1">ACF($B$3:$B$302,D25)</f>
        <v>#NAME?</v>
      </c>
      <c r="F25" t="e" cm="1">
        <f t="array" aca="1" ref="F25" ca="1">PACF($B$3:$B$302,D25)</f>
        <v>#NAME?</v>
      </c>
      <c r="T25" t="s">
        <v>91</v>
      </c>
      <c r="U25" s="24" t="e">
        <f ca="1">U21*(U21+2)*SUMPRODUCT((E4:E43)^2/(U21-E4:E43))</f>
        <v>#NAME?</v>
      </c>
    </row>
    <row r="26" spans="1:21" x14ac:dyDescent="0.35">
      <c r="A26">
        <f t="shared" si="0"/>
        <v>24</v>
      </c>
      <c r="B26">
        <v>-0.80984109568170204</v>
      </c>
      <c r="D26" s="17">
        <f t="shared" si="1"/>
        <v>23</v>
      </c>
      <c r="E26" t="e" cm="1">
        <f t="array" aca="1" ref="E26" ca="1">ACF($B$3:$B$302,D26)</f>
        <v>#NAME?</v>
      </c>
      <c r="F26" t="e" cm="1">
        <f t="array" aca="1" ref="F26" ca="1">PACF($B$3:$B$302,D26)</f>
        <v>#NAME?</v>
      </c>
      <c r="T26" t="s">
        <v>92</v>
      </c>
      <c r="U26" s="24" t="e">
        <f ca="1">CHIDIST(U25,U22)</f>
        <v>#NAME?</v>
      </c>
    </row>
    <row r="27" spans="1:21" x14ac:dyDescent="0.35">
      <c r="A27">
        <f t="shared" si="0"/>
        <v>25</v>
      </c>
      <c r="B27">
        <v>-0.77945228767984154</v>
      </c>
      <c r="D27" s="17">
        <f t="shared" si="1"/>
        <v>24</v>
      </c>
      <c r="E27" t="e" cm="1">
        <f t="array" aca="1" ref="E27" ca="1">ACF($B$3:$B$302,D27)</f>
        <v>#NAME?</v>
      </c>
      <c r="F27" t="e" cm="1">
        <f t="array" aca="1" ref="F27" ca="1">PACF($B$3:$B$302,D27)</f>
        <v>#NAME?</v>
      </c>
      <c r="T27" t="s">
        <v>84</v>
      </c>
      <c r="U27" s="25" t="e">
        <f ca="1">IF(U26&lt;U23,"yes","no")</f>
        <v>#NAME?</v>
      </c>
    </row>
    <row r="28" spans="1:21" x14ac:dyDescent="0.35">
      <c r="A28">
        <f t="shared" si="0"/>
        <v>26</v>
      </c>
      <c r="B28">
        <v>-0.89700176840844126</v>
      </c>
      <c r="D28" s="17">
        <f t="shared" si="1"/>
        <v>25</v>
      </c>
      <c r="E28" t="e" cm="1">
        <f t="array" aca="1" ref="E28" ca="1">ACF($B$3:$B$302,D28)</f>
        <v>#NAME?</v>
      </c>
      <c r="F28" t="e" cm="1">
        <f t="array" aca="1" ref="F28" ca="1">PACF($B$3:$B$302,D28)</f>
        <v>#NAME?</v>
      </c>
    </row>
    <row r="29" spans="1:21" x14ac:dyDescent="0.35">
      <c r="A29">
        <f t="shared" si="0"/>
        <v>27</v>
      </c>
      <c r="B29">
        <v>-0.92377468877995106</v>
      </c>
      <c r="D29" s="17">
        <f t="shared" si="1"/>
        <v>26</v>
      </c>
      <c r="E29" t="e" cm="1">
        <f t="array" aca="1" ref="E29" ca="1">ACF($B$3:$B$302,D29)</f>
        <v>#NAME?</v>
      </c>
      <c r="F29" t="e" cm="1">
        <f t="array" aca="1" ref="F29" ca="1">PACF($B$3:$B$302,D29)</f>
        <v>#NAME?</v>
      </c>
    </row>
    <row r="30" spans="1:21" x14ac:dyDescent="0.35">
      <c r="A30">
        <f t="shared" si="0"/>
        <v>28</v>
      </c>
      <c r="B30">
        <v>0.39381572734127468</v>
      </c>
      <c r="D30" s="17">
        <f t="shared" si="1"/>
        <v>27</v>
      </c>
      <c r="E30" t="e" cm="1">
        <f t="array" aca="1" ref="E30" ca="1">ACF($B$3:$B$302,D30)</f>
        <v>#NAME?</v>
      </c>
      <c r="F30" t="e" cm="1">
        <f t="array" aca="1" ref="F30" ca="1">PACF($B$3:$B$302,D30)</f>
        <v>#NAME?</v>
      </c>
    </row>
    <row r="31" spans="1:21" x14ac:dyDescent="0.35">
      <c r="A31">
        <f t="shared" si="0"/>
        <v>29</v>
      </c>
      <c r="B31">
        <v>0.26044842193574852</v>
      </c>
      <c r="D31" s="17">
        <f t="shared" si="1"/>
        <v>28</v>
      </c>
      <c r="E31" t="e" cm="1">
        <f t="array" aca="1" ref="E31" ca="1">ACF($B$3:$B$302,D31)</f>
        <v>#NAME?</v>
      </c>
      <c r="F31" t="e" cm="1">
        <f t="array" aca="1" ref="F31" ca="1">PACF($B$3:$B$302,D31)</f>
        <v>#NAME?</v>
      </c>
    </row>
    <row r="32" spans="1:21" x14ac:dyDescent="0.35">
      <c r="A32">
        <f t="shared" si="0"/>
        <v>30</v>
      </c>
      <c r="B32">
        <v>-0.7304641152369723</v>
      </c>
      <c r="D32" s="17">
        <f t="shared" si="1"/>
        <v>29</v>
      </c>
      <c r="E32" t="e" cm="1">
        <f t="array" aca="1" ref="E32" ca="1">ACF($B$3:$B$302,D32)</f>
        <v>#NAME?</v>
      </c>
      <c r="F32" t="e" cm="1">
        <f t="array" aca="1" ref="F32" ca="1">PACF($B$3:$B$302,D32)</f>
        <v>#NAME?</v>
      </c>
    </row>
    <row r="33" spans="1:6" x14ac:dyDescent="0.35">
      <c r="A33">
        <f t="shared" si="0"/>
        <v>31</v>
      </c>
      <c r="B33">
        <v>-1.3223938903505763</v>
      </c>
      <c r="D33" s="17">
        <f t="shared" si="1"/>
        <v>30</v>
      </c>
      <c r="E33" t="e" cm="1">
        <f t="array" aca="1" ref="E33" ca="1">ACF($B$3:$B$302,D33)</f>
        <v>#NAME?</v>
      </c>
      <c r="F33" t="e" cm="1">
        <f t="array" aca="1" ref="F33" ca="1">PACF($B$3:$B$302,D33)</f>
        <v>#NAME?</v>
      </c>
    </row>
    <row r="34" spans="1:6" x14ac:dyDescent="0.35">
      <c r="A34">
        <f t="shared" si="0"/>
        <v>32</v>
      </c>
      <c r="B34">
        <v>-0.375138502108117</v>
      </c>
      <c r="D34" s="17">
        <f t="shared" si="1"/>
        <v>31</v>
      </c>
      <c r="E34" t="e" cm="1">
        <f t="array" aca="1" ref="E34" ca="1">ACF($B$3:$B$302,D34)</f>
        <v>#NAME?</v>
      </c>
      <c r="F34" t="e" cm="1">
        <f t="array" aca="1" ref="F34" ca="1">PACF($B$3:$B$302,D34)</f>
        <v>#NAME?</v>
      </c>
    </row>
    <row r="35" spans="1:6" x14ac:dyDescent="0.35">
      <c r="A35">
        <f t="shared" si="0"/>
        <v>33</v>
      </c>
      <c r="B35">
        <v>-0.17790957693684264</v>
      </c>
      <c r="D35" s="17">
        <f t="shared" si="1"/>
        <v>32</v>
      </c>
      <c r="E35" t="e" cm="1">
        <f t="array" aca="1" ref="E35" ca="1">ACF($B$3:$B$302,D35)</f>
        <v>#NAME?</v>
      </c>
      <c r="F35" t="e" cm="1">
        <f t="array" aca="1" ref="F35" ca="1">PACF($B$3:$B$302,D35)</f>
        <v>#NAME?</v>
      </c>
    </row>
    <row r="36" spans="1:6" x14ac:dyDescent="0.35">
      <c r="A36">
        <f t="shared" si="0"/>
        <v>34</v>
      </c>
      <c r="B36">
        <v>0.1876094744483448</v>
      </c>
      <c r="D36" s="17">
        <f t="shared" si="1"/>
        <v>33</v>
      </c>
      <c r="E36" t="e" cm="1">
        <f t="array" aca="1" ref="E36" ca="1">ACF($B$3:$B$302,D36)</f>
        <v>#NAME?</v>
      </c>
      <c r="F36" t="e" cm="1">
        <f t="array" aca="1" ref="F36" ca="1">PACF($B$3:$B$302,D36)</f>
        <v>#NAME?</v>
      </c>
    </row>
    <row r="37" spans="1:6" x14ac:dyDescent="0.35">
      <c r="A37">
        <f t="shared" si="0"/>
        <v>35</v>
      </c>
      <c r="B37">
        <v>0.64942363155470273</v>
      </c>
      <c r="D37" s="17">
        <f t="shared" si="1"/>
        <v>34</v>
      </c>
      <c r="E37" t="e" cm="1">
        <f t="array" aca="1" ref="E37" ca="1">ACF($B$3:$B$302,D37)</f>
        <v>#NAME?</v>
      </c>
      <c r="F37" t="e" cm="1">
        <f t="array" aca="1" ref="F37" ca="1">PACF($B$3:$B$302,D37)</f>
        <v>#NAME?</v>
      </c>
    </row>
    <row r="38" spans="1:6" x14ac:dyDescent="0.35">
      <c r="A38">
        <f t="shared" si="0"/>
        <v>36</v>
      </c>
      <c r="B38">
        <v>-0.83782675898664982</v>
      </c>
      <c r="D38" s="17">
        <f t="shared" si="1"/>
        <v>35</v>
      </c>
      <c r="E38" t="e" cm="1">
        <f t="array" aca="1" ref="E38" ca="1">ACF($B$3:$B$302,D38)</f>
        <v>#NAME?</v>
      </c>
      <c r="F38" t="e" cm="1">
        <f t="array" aca="1" ref="F38" ca="1">PACF($B$3:$B$302,D38)</f>
        <v>#NAME?</v>
      </c>
    </row>
    <row r="39" spans="1:6" x14ac:dyDescent="0.35">
      <c r="A39">
        <f t="shared" si="0"/>
        <v>37</v>
      </c>
      <c r="B39">
        <v>-0.25645272824250293</v>
      </c>
      <c r="D39" s="17">
        <f t="shared" si="1"/>
        <v>36</v>
      </c>
      <c r="E39" t="e" cm="1">
        <f t="array" aca="1" ref="E39" ca="1">ACF($B$3:$B$302,D39)</f>
        <v>#NAME?</v>
      </c>
      <c r="F39" t="e" cm="1">
        <f t="array" aca="1" ref="F39" ca="1">PACF($B$3:$B$302,D39)</f>
        <v>#NAME?</v>
      </c>
    </row>
    <row r="40" spans="1:6" x14ac:dyDescent="0.35">
      <c r="A40">
        <f t="shared" si="0"/>
        <v>38</v>
      </c>
      <c r="B40">
        <v>0.80076728637194028</v>
      </c>
      <c r="D40" s="17">
        <f t="shared" si="1"/>
        <v>37</v>
      </c>
      <c r="E40" t="e" cm="1">
        <f t="array" aca="1" ref="E40" ca="1">ACF($B$3:$B$302,D40)</f>
        <v>#NAME?</v>
      </c>
      <c r="F40" t="e" cm="1">
        <f t="array" aca="1" ref="F40" ca="1">PACF($B$3:$B$302,D40)</f>
        <v>#NAME?</v>
      </c>
    </row>
    <row r="41" spans="1:6" x14ac:dyDescent="0.35">
      <c r="A41">
        <f t="shared" si="0"/>
        <v>39</v>
      </c>
      <c r="B41">
        <v>0.17132102319533365</v>
      </c>
      <c r="D41" s="17">
        <f t="shared" si="1"/>
        <v>38</v>
      </c>
      <c r="E41" t="e" cm="1">
        <f t="array" aca="1" ref="E41" ca="1">ACF($B$3:$B$302,D41)</f>
        <v>#NAME?</v>
      </c>
      <c r="F41" t="e" cm="1">
        <f t="array" aca="1" ref="F41" ca="1">PACF($B$3:$B$302,D41)</f>
        <v>#NAME?</v>
      </c>
    </row>
    <row r="42" spans="1:6" x14ac:dyDescent="0.35">
      <c r="A42">
        <f t="shared" si="0"/>
        <v>40</v>
      </c>
      <c r="B42">
        <v>1.3304473394306311</v>
      </c>
      <c r="D42" s="17">
        <f t="shared" si="1"/>
        <v>39</v>
      </c>
      <c r="E42" t="e" cm="1">
        <f t="array" aca="1" ref="E42" ca="1">ACF($B$3:$B$302,D42)</f>
        <v>#NAME?</v>
      </c>
      <c r="F42" t="e" cm="1">
        <f t="array" aca="1" ref="F42" ca="1">PACF($B$3:$B$302,D42)</f>
        <v>#NAME?</v>
      </c>
    </row>
    <row r="43" spans="1:6" x14ac:dyDescent="0.35">
      <c r="A43">
        <f t="shared" si="0"/>
        <v>41</v>
      </c>
      <c r="B43">
        <v>-0.64774417264201922</v>
      </c>
      <c r="D43" s="10">
        <f t="shared" si="1"/>
        <v>40</v>
      </c>
      <c r="E43" s="4" t="e" cm="1">
        <f t="array" aca="1" ref="E43" ca="1">ACF($B$3:$B$302,D43)</f>
        <v>#NAME?</v>
      </c>
      <c r="F43" s="4" t="e" cm="1">
        <f t="array" aca="1" ref="F43" ca="1">PACF($B$3:$B$302,D43)</f>
        <v>#NAME?</v>
      </c>
    </row>
    <row r="44" spans="1:6" x14ac:dyDescent="0.35">
      <c r="A44">
        <f t="shared" si="0"/>
        <v>42</v>
      </c>
      <c r="B44">
        <v>0.23112218579937149</v>
      </c>
    </row>
    <row r="45" spans="1:6" x14ac:dyDescent="0.35">
      <c r="A45">
        <f t="shared" si="0"/>
        <v>43</v>
      </c>
      <c r="B45">
        <v>-1.1908591310165122</v>
      </c>
    </row>
    <row r="46" spans="1:6" x14ac:dyDescent="0.35">
      <c r="A46">
        <f t="shared" si="0"/>
        <v>44</v>
      </c>
      <c r="B46">
        <v>-0.58697839823262044</v>
      </c>
    </row>
    <row r="47" spans="1:6" x14ac:dyDescent="0.35">
      <c r="A47">
        <f t="shared" si="0"/>
        <v>45</v>
      </c>
      <c r="B47">
        <v>0.14645782306371141</v>
      </c>
    </row>
    <row r="48" spans="1:6" x14ac:dyDescent="0.35">
      <c r="A48">
        <f t="shared" si="0"/>
        <v>46</v>
      </c>
      <c r="B48">
        <v>0.51118479699351227</v>
      </c>
      <c r="D48" s="43" t="s">
        <v>79</v>
      </c>
      <c r="E48" s="19">
        <f>VAR(B3:B302)</f>
        <v>1.0092262459497114</v>
      </c>
      <c r="F48" s="13"/>
    </row>
    <row r="49" spans="1:2" x14ac:dyDescent="0.35">
      <c r="A49">
        <f t="shared" si="0"/>
        <v>47</v>
      </c>
      <c r="B49">
        <v>0.41283210020969163</v>
      </c>
    </row>
    <row r="50" spans="1:2" x14ac:dyDescent="0.35">
      <c r="A50">
        <f t="shared" si="0"/>
        <v>48</v>
      </c>
      <c r="B50">
        <v>-1.1518928144615483</v>
      </c>
    </row>
    <row r="51" spans="1:2" x14ac:dyDescent="0.35">
      <c r="A51">
        <f t="shared" si="0"/>
        <v>49</v>
      </c>
      <c r="B51">
        <v>-1.714500336448217</v>
      </c>
    </row>
    <row r="52" spans="1:2" x14ac:dyDescent="0.35">
      <c r="A52">
        <f t="shared" si="0"/>
        <v>50</v>
      </c>
      <c r="B52">
        <v>-0.67634311647714629</v>
      </c>
    </row>
    <row r="53" spans="1:2" x14ac:dyDescent="0.35">
      <c r="A53">
        <f t="shared" si="0"/>
        <v>51</v>
      </c>
      <c r="B53">
        <v>-1.7051703495569448</v>
      </c>
    </row>
    <row r="54" spans="1:2" x14ac:dyDescent="0.35">
      <c r="A54">
        <f t="shared" si="0"/>
        <v>52</v>
      </c>
      <c r="B54">
        <v>0.92720693242345831</v>
      </c>
    </row>
    <row r="55" spans="1:2" x14ac:dyDescent="0.35">
      <c r="A55">
        <f t="shared" si="0"/>
        <v>53</v>
      </c>
      <c r="B55">
        <v>0.7986774986996189</v>
      </c>
    </row>
    <row r="56" spans="1:2" x14ac:dyDescent="0.35">
      <c r="A56">
        <f t="shared" si="0"/>
        <v>54</v>
      </c>
      <c r="B56">
        <v>-1.9186791235097063</v>
      </c>
    </row>
    <row r="57" spans="1:2" x14ac:dyDescent="0.35">
      <c r="A57">
        <f t="shared" si="0"/>
        <v>55</v>
      </c>
      <c r="B57">
        <v>-0.2124668504708965</v>
      </c>
    </row>
    <row r="58" spans="1:2" x14ac:dyDescent="0.35">
      <c r="A58">
        <f t="shared" si="0"/>
        <v>56</v>
      </c>
      <c r="B58">
        <v>0.22347759560070884</v>
      </c>
    </row>
    <row r="59" spans="1:2" x14ac:dyDescent="0.35">
      <c r="A59">
        <f t="shared" si="0"/>
        <v>57</v>
      </c>
      <c r="B59">
        <v>-0.69417843738228535</v>
      </c>
    </row>
    <row r="60" spans="1:2" x14ac:dyDescent="0.35">
      <c r="A60">
        <f t="shared" si="0"/>
        <v>58</v>
      </c>
      <c r="B60">
        <v>-0.52508802489817463</v>
      </c>
    </row>
    <row r="61" spans="1:2" x14ac:dyDescent="0.35">
      <c r="A61">
        <f t="shared" si="0"/>
        <v>59</v>
      </c>
      <c r="B61">
        <v>-0.21390313311520259</v>
      </c>
    </row>
    <row r="62" spans="1:2" x14ac:dyDescent="0.35">
      <c r="A62">
        <f t="shared" si="0"/>
        <v>60</v>
      </c>
      <c r="B62">
        <v>-0.77011256315530408</v>
      </c>
    </row>
    <row r="63" spans="1:2" x14ac:dyDescent="0.35">
      <c r="A63">
        <f t="shared" si="0"/>
        <v>61</v>
      </c>
      <c r="B63">
        <v>0.62886336604833137</v>
      </c>
    </row>
    <row r="64" spans="1:2" x14ac:dyDescent="0.35">
      <c r="A64">
        <f t="shared" si="0"/>
        <v>62</v>
      </c>
      <c r="B64">
        <v>0.71911176422781553</v>
      </c>
    </row>
    <row r="65" spans="1:2" x14ac:dyDescent="0.35">
      <c r="A65">
        <f t="shared" si="0"/>
        <v>63</v>
      </c>
      <c r="B65">
        <v>-1.2253947174907458</v>
      </c>
    </row>
    <row r="66" spans="1:2" x14ac:dyDescent="0.35">
      <c r="A66">
        <f t="shared" si="0"/>
        <v>64</v>
      </c>
      <c r="B66">
        <v>-1.6276680409229201</v>
      </c>
    </row>
    <row r="67" spans="1:2" x14ac:dyDescent="0.35">
      <c r="A67">
        <f t="shared" si="0"/>
        <v>65</v>
      </c>
      <c r="B67">
        <v>-1.7249086876917112</v>
      </c>
    </row>
    <row r="68" spans="1:2" x14ac:dyDescent="0.35">
      <c r="A68">
        <f t="shared" si="0"/>
        <v>66</v>
      </c>
      <c r="B68">
        <v>0.1568724785003896</v>
      </c>
    </row>
    <row r="69" spans="1:2" x14ac:dyDescent="0.35">
      <c r="A69">
        <f t="shared" ref="A69:A132" si="2">A68+1</f>
        <v>67</v>
      </c>
      <c r="B69">
        <v>-0.55144612655713532</v>
      </c>
    </row>
    <row r="70" spans="1:2" x14ac:dyDescent="0.35">
      <c r="A70">
        <f t="shared" si="2"/>
        <v>68</v>
      </c>
      <c r="B70">
        <v>-0.33639118912359917</v>
      </c>
    </row>
    <row r="71" spans="1:2" x14ac:dyDescent="0.35">
      <c r="A71">
        <f t="shared" si="2"/>
        <v>69</v>
      </c>
      <c r="B71">
        <v>0.67595780460593879</v>
      </c>
    </row>
    <row r="72" spans="1:2" x14ac:dyDescent="0.35">
      <c r="A72">
        <f t="shared" si="2"/>
        <v>70</v>
      </c>
      <c r="B72">
        <v>-0.34746228445575678</v>
      </c>
    </row>
    <row r="73" spans="1:2" x14ac:dyDescent="0.35">
      <c r="A73">
        <f t="shared" si="2"/>
        <v>71</v>
      </c>
      <c r="B73">
        <v>-0.95467954258554544</v>
      </c>
    </row>
    <row r="74" spans="1:2" x14ac:dyDescent="0.35">
      <c r="A74">
        <f t="shared" si="2"/>
        <v>72</v>
      </c>
      <c r="B74">
        <v>1.1345992791131077</v>
      </c>
    </row>
    <row r="75" spans="1:2" x14ac:dyDescent="0.35">
      <c r="A75">
        <f t="shared" si="2"/>
        <v>73</v>
      </c>
      <c r="B75">
        <v>-1.9024079757864101</v>
      </c>
    </row>
    <row r="76" spans="1:2" x14ac:dyDescent="0.35">
      <c r="A76">
        <f t="shared" si="2"/>
        <v>74</v>
      </c>
      <c r="B76">
        <v>-1.5775722093396651</v>
      </c>
    </row>
    <row r="77" spans="1:2" x14ac:dyDescent="0.35">
      <c r="A77">
        <f t="shared" si="2"/>
        <v>75</v>
      </c>
      <c r="B77">
        <v>0.73630384944100336</v>
      </c>
    </row>
    <row r="78" spans="1:2" x14ac:dyDescent="0.35">
      <c r="A78">
        <f t="shared" si="2"/>
        <v>76</v>
      </c>
      <c r="B78">
        <v>-2.5124250897461458E-3</v>
      </c>
    </row>
    <row r="79" spans="1:2" x14ac:dyDescent="0.35">
      <c r="A79">
        <f t="shared" si="2"/>
        <v>77</v>
      </c>
      <c r="B79">
        <v>1.2160261364934228</v>
      </c>
    </row>
    <row r="80" spans="1:2" x14ac:dyDescent="0.35">
      <c r="A80">
        <f t="shared" si="2"/>
        <v>78</v>
      </c>
      <c r="B80">
        <v>0.95362676313095773</v>
      </c>
    </row>
    <row r="81" spans="1:2" x14ac:dyDescent="0.35">
      <c r="A81">
        <f t="shared" si="2"/>
        <v>79</v>
      </c>
      <c r="B81">
        <v>-0.84994463082492289</v>
      </c>
    </row>
    <row r="82" spans="1:2" x14ac:dyDescent="0.35">
      <c r="A82">
        <f t="shared" si="2"/>
        <v>80</v>
      </c>
      <c r="B82">
        <v>-1.1464946076084193</v>
      </c>
    </row>
    <row r="83" spans="1:2" x14ac:dyDescent="0.35">
      <c r="A83">
        <f t="shared" si="2"/>
        <v>81</v>
      </c>
      <c r="B83">
        <v>-1.2678651979968665</v>
      </c>
    </row>
    <row r="84" spans="1:2" x14ac:dyDescent="0.35">
      <c r="A84">
        <f t="shared" si="2"/>
        <v>82</v>
      </c>
      <c r="B84">
        <v>0.19309097455918689</v>
      </c>
    </row>
    <row r="85" spans="1:2" x14ac:dyDescent="0.35">
      <c r="A85">
        <f t="shared" si="2"/>
        <v>83</v>
      </c>
      <c r="B85">
        <v>-0.4661633770538528</v>
      </c>
    </row>
    <row r="86" spans="1:2" x14ac:dyDescent="0.35">
      <c r="A86">
        <f t="shared" si="2"/>
        <v>84</v>
      </c>
      <c r="B86">
        <v>-0.5513620482499364</v>
      </c>
    </row>
    <row r="87" spans="1:2" x14ac:dyDescent="0.35">
      <c r="A87">
        <f t="shared" si="2"/>
        <v>85</v>
      </c>
      <c r="B87">
        <v>-0.43242510811594714</v>
      </c>
    </row>
    <row r="88" spans="1:2" x14ac:dyDescent="0.35">
      <c r="A88">
        <f t="shared" si="2"/>
        <v>86</v>
      </c>
      <c r="B88">
        <v>-0.95611009588774321</v>
      </c>
    </row>
    <row r="89" spans="1:2" x14ac:dyDescent="0.35">
      <c r="A89">
        <f t="shared" si="2"/>
        <v>87</v>
      </c>
      <c r="B89">
        <v>-0.36199971365228822</v>
      </c>
    </row>
    <row r="90" spans="1:2" x14ac:dyDescent="0.35">
      <c r="A90">
        <f t="shared" si="2"/>
        <v>88</v>
      </c>
      <c r="B90">
        <v>-0.89545172090434755</v>
      </c>
    </row>
    <row r="91" spans="1:2" x14ac:dyDescent="0.35">
      <c r="A91">
        <f t="shared" si="2"/>
        <v>89</v>
      </c>
      <c r="B91">
        <v>-1.0839001596194184</v>
      </c>
    </row>
    <row r="92" spans="1:2" x14ac:dyDescent="0.35">
      <c r="A92">
        <f t="shared" si="2"/>
        <v>90</v>
      </c>
      <c r="B92">
        <v>-0.90592515061569578</v>
      </c>
    </row>
    <row r="93" spans="1:2" x14ac:dyDescent="0.35">
      <c r="A93">
        <f t="shared" si="2"/>
        <v>91</v>
      </c>
      <c r="B93">
        <v>1.9715981926018573</v>
      </c>
    </row>
    <row r="94" spans="1:2" x14ac:dyDescent="0.35">
      <c r="A94">
        <f t="shared" si="2"/>
        <v>92</v>
      </c>
      <c r="B94">
        <v>-0.93674386716078983</v>
      </c>
    </row>
    <row r="95" spans="1:2" x14ac:dyDescent="0.35">
      <c r="A95">
        <f t="shared" si="2"/>
        <v>93</v>
      </c>
      <c r="B95">
        <v>0.72289835781158429</v>
      </c>
    </row>
    <row r="96" spans="1:2" x14ac:dyDescent="0.35">
      <c r="A96">
        <f t="shared" si="2"/>
        <v>94</v>
      </c>
      <c r="B96">
        <v>0.10059071518272271</v>
      </c>
    </row>
    <row r="97" spans="1:2" x14ac:dyDescent="0.35">
      <c r="A97">
        <f t="shared" si="2"/>
        <v>95</v>
      </c>
      <c r="B97">
        <v>-0.68822544568711186</v>
      </c>
    </row>
    <row r="98" spans="1:2" x14ac:dyDescent="0.35">
      <c r="A98">
        <f t="shared" si="2"/>
        <v>96</v>
      </c>
      <c r="B98">
        <v>0.311397994729116</v>
      </c>
    </row>
    <row r="99" spans="1:2" x14ac:dyDescent="0.35">
      <c r="A99">
        <f t="shared" si="2"/>
        <v>97</v>
      </c>
      <c r="B99">
        <v>-0.72871379496341004</v>
      </c>
    </row>
    <row r="100" spans="1:2" x14ac:dyDescent="0.35">
      <c r="A100">
        <f t="shared" si="2"/>
        <v>98</v>
      </c>
      <c r="B100">
        <v>0.3291440216700095</v>
      </c>
    </row>
    <row r="101" spans="1:2" x14ac:dyDescent="0.35">
      <c r="A101">
        <f t="shared" si="2"/>
        <v>99</v>
      </c>
      <c r="B101">
        <v>-1.0928034368407671</v>
      </c>
    </row>
    <row r="102" spans="1:2" x14ac:dyDescent="0.35">
      <c r="A102">
        <f t="shared" si="2"/>
        <v>100</v>
      </c>
      <c r="B102">
        <v>-0.36144205122381418</v>
      </c>
    </row>
    <row r="103" spans="1:2" x14ac:dyDescent="0.35">
      <c r="A103">
        <f t="shared" si="2"/>
        <v>101</v>
      </c>
      <c r="B103">
        <v>0.39502250377323195</v>
      </c>
    </row>
    <row r="104" spans="1:2" x14ac:dyDescent="0.35">
      <c r="A104">
        <f t="shared" si="2"/>
        <v>102</v>
      </c>
      <c r="B104">
        <v>0.55490150471203104</v>
      </c>
    </row>
    <row r="105" spans="1:2" x14ac:dyDescent="0.35">
      <c r="A105">
        <f t="shared" si="2"/>
        <v>103</v>
      </c>
      <c r="B105">
        <v>-1.0609585234072327</v>
      </c>
    </row>
    <row r="106" spans="1:2" x14ac:dyDescent="0.35">
      <c r="A106">
        <f t="shared" si="2"/>
        <v>104</v>
      </c>
      <c r="B106">
        <v>0.57296923981852654</v>
      </c>
    </row>
    <row r="107" spans="1:2" x14ac:dyDescent="0.35">
      <c r="A107">
        <f t="shared" si="2"/>
        <v>105</v>
      </c>
      <c r="B107">
        <v>1.6947693025233539</v>
      </c>
    </row>
    <row r="108" spans="1:2" x14ac:dyDescent="0.35">
      <c r="A108">
        <f t="shared" si="2"/>
        <v>106</v>
      </c>
      <c r="B108">
        <v>-0.75084067280203204</v>
      </c>
    </row>
    <row r="109" spans="1:2" x14ac:dyDescent="0.35">
      <c r="A109">
        <f t="shared" si="2"/>
        <v>107</v>
      </c>
      <c r="B109">
        <v>-0.18200666611081956</v>
      </c>
    </row>
    <row r="110" spans="1:2" x14ac:dyDescent="0.35">
      <c r="A110">
        <f t="shared" si="2"/>
        <v>108</v>
      </c>
      <c r="B110">
        <v>-1.3608518152757216</v>
      </c>
    </row>
    <row r="111" spans="1:2" x14ac:dyDescent="0.35">
      <c r="A111">
        <f t="shared" si="2"/>
        <v>109</v>
      </c>
      <c r="B111">
        <v>0.87442125663643488</v>
      </c>
    </row>
    <row r="112" spans="1:2" x14ac:dyDescent="0.35">
      <c r="A112">
        <f t="shared" si="2"/>
        <v>110</v>
      </c>
      <c r="B112">
        <v>-0.93977303717345495</v>
      </c>
    </row>
    <row r="113" spans="1:2" x14ac:dyDescent="0.35">
      <c r="A113">
        <f t="shared" si="2"/>
        <v>111</v>
      </c>
      <c r="B113">
        <v>0.7307925313346112</v>
      </c>
    </row>
    <row r="114" spans="1:2" x14ac:dyDescent="0.35">
      <c r="A114">
        <f t="shared" si="2"/>
        <v>112</v>
      </c>
      <c r="B114">
        <v>0.39791421325749032</v>
      </c>
    </row>
    <row r="115" spans="1:2" x14ac:dyDescent="0.35">
      <c r="A115">
        <f t="shared" si="2"/>
        <v>113</v>
      </c>
      <c r="B115">
        <v>1.0686237467316013</v>
      </c>
    </row>
    <row r="116" spans="1:2" x14ac:dyDescent="0.35">
      <c r="A116">
        <f t="shared" si="2"/>
        <v>114</v>
      </c>
      <c r="B116">
        <v>-1.6025402101717718</v>
      </c>
    </row>
    <row r="117" spans="1:2" x14ac:dyDescent="0.35">
      <c r="A117">
        <f t="shared" si="2"/>
        <v>115</v>
      </c>
      <c r="B117">
        <v>-0.82849734192329039</v>
      </c>
    </row>
    <row r="118" spans="1:2" x14ac:dyDescent="0.35">
      <c r="A118">
        <f t="shared" si="2"/>
        <v>116</v>
      </c>
      <c r="B118">
        <v>2.5762316296408119</v>
      </c>
    </row>
    <row r="119" spans="1:2" x14ac:dyDescent="0.35">
      <c r="A119">
        <f t="shared" si="2"/>
        <v>117</v>
      </c>
      <c r="B119">
        <v>0.7153691126888303</v>
      </c>
    </row>
    <row r="120" spans="1:2" x14ac:dyDescent="0.35">
      <c r="A120">
        <f t="shared" si="2"/>
        <v>118</v>
      </c>
      <c r="B120">
        <v>0.22517062184870576</v>
      </c>
    </row>
    <row r="121" spans="1:2" x14ac:dyDescent="0.35">
      <c r="A121">
        <f t="shared" si="2"/>
        <v>119</v>
      </c>
      <c r="B121">
        <v>-0.99191710812424705</v>
      </c>
    </row>
    <row r="122" spans="1:2" x14ac:dyDescent="0.35">
      <c r="A122">
        <f t="shared" si="2"/>
        <v>120</v>
      </c>
      <c r="B122">
        <v>0.68372199226252195</v>
      </c>
    </row>
    <row r="123" spans="1:2" x14ac:dyDescent="0.35">
      <c r="A123">
        <f t="shared" si="2"/>
        <v>121</v>
      </c>
      <c r="B123">
        <v>-1.1594542551375688</v>
      </c>
    </row>
    <row r="124" spans="1:2" x14ac:dyDescent="0.35">
      <c r="A124">
        <f t="shared" si="2"/>
        <v>122</v>
      </c>
      <c r="B124">
        <v>-2.2789047237025857</v>
      </c>
    </row>
    <row r="125" spans="1:2" x14ac:dyDescent="0.35">
      <c r="A125">
        <f t="shared" si="2"/>
        <v>123</v>
      </c>
      <c r="B125">
        <v>0.88438754816667275</v>
      </c>
    </row>
    <row r="126" spans="1:2" x14ac:dyDescent="0.35">
      <c r="A126">
        <f t="shared" si="2"/>
        <v>124</v>
      </c>
      <c r="B126">
        <v>1.9175878939442095</v>
      </c>
    </row>
    <row r="127" spans="1:2" x14ac:dyDescent="0.35">
      <c r="A127">
        <f t="shared" si="2"/>
        <v>125</v>
      </c>
      <c r="B127">
        <v>0.39551846797387513</v>
      </c>
    </row>
    <row r="128" spans="1:2" x14ac:dyDescent="0.35">
      <c r="A128">
        <f t="shared" si="2"/>
        <v>126</v>
      </c>
      <c r="B128">
        <v>-1.7265560193368632</v>
      </c>
    </row>
    <row r="129" spans="1:2" x14ac:dyDescent="0.35">
      <c r="A129">
        <f t="shared" si="2"/>
        <v>127</v>
      </c>
      <c r="B129">
        <v>0.44281669336726437</v>
      </c>
    </row>
    <row r="130" spans="1:2" x14ac:dyDescent="0.35">
      <c r="A130">
        <f t="shared" si="2"/>
        <v>128</v>
      </c>
      <c r="B130">
        <v>1.4388934739414672</v>
      </c>
    </row>
    <row r="131" spans="1:2" x14ac:dyDescent="0.35">
      <c r="A131">
        <f t="shared" si="2"/>
        <v>129</v>
      </c>
      <c r="B131">
        <v>0.12275271683619741</v>
      </c>
    </row>
    <row r="132" spans="1:2" x14ac:dyDescent="0.35">
      <c r="A132">
        <f t="shared" si="2"/>
        <v>130</v>
      </c>
      <c r="B132">
        <v>-2.3043290324355552</v>
      </c>
    </row>
    <row r="133" spans="1:2" x14ac:dyDescent="0.35">
      <c r="A133">
        <f t="shared" ref="A133:A196" si="3">A132+1</f>
        <v>131</v>
      </c>
      <c r="B133">
        <v>-1.2280559143718646</v>
      </c>
    </row>
    <row r="134" spans="1:2" x14ac:dyDescent="0.35">
      <c r="A134">
        <f t="shared" si="3"/>
        <v>132</v>
      </c>
      <c r="B134">
        <v>0.52664052144190099</v>
      </c>
    </row>
    <row r="135" spans="1:2" x14ac:dyDescent="0.35">
      <c r="A135">
        <f t="shared" si="3"/>
        <v>133</v>
      </c>
      <c r="B135">
        <v>-0.23936305031708699</v>
      </c>
    </row>
    <row r="136" spans="1:2" x14ac:dyDescent="0.35">
      <c r="A136">
        <f t="shared" si="3"/>
        <v>134</v>
      </c>
      <c r="B136">
        <v>-0.40623212670529635</v>
      </c>
    </row>
    <row r="137" spans="1:2" x14ac:dyDescent="0.35">
      <c r="A137">
        <f t="shared" si="3"/>
        <v>135</v>
      </c>
      <c r="B137">
        <v>2.1526424037262686</v>
      </c>
    </row>
    <row r="138" spans="1:2" x14ac:dyDescent="0.35">
      <c r="A138">
        <f t="shared" si="3"/>
        <v>136</v>
      </c>
      <c r="B138">
        <v>0.81537237095631798</v>
      </c>
    </row>
    <row r="139" spans="1:2" x14ac:dyDescent="0.35">
      <c r="A139">
        <f t="shared" si="3"/>
        <v>137</v>
      </c>
      <c r="B139">
        <v>0.31168903975974632</v>
      </c>
    </row>
    <row r="140" spans="1:2" x14ac:dyDescent="0.35">
      <c r="A140">
        <f t="shared" si="3"/>
        <v>138</v>
      </c>
      <c r="B140">
        <v>-1.1257954484515587</v>
      </c>
    </row>
    <row r="141" spans="1:2" x14ac:dyDescent="0.35">
      <c r="A141">
        <f t="shared" si="3"/>
        <v>139</v>
      </c>
      <c r="B141">
        <v>0.88240979021908306</v>
      </c>
    </row>
    <row r="142" spans="1:2" x14ac:dyDescent="0.35">
      <c r="A142">
        <f t="shared" si="3"/>
        <v>140</v>
      </c>
      <c r="B142">
        <v>-0.6836103776258442</v>
      </c>
    </row>
    <row r="143" spans="1:2" x14ac:dyDescent="0.35">
      <c r="A143">
        <f t="shared" si="3"/>
        <v>141</v>
      </c>
      <c r="B143">
        <v>1.0592064058135686</v>
      </c>
    </row>
    <row r="144" spans="1:2" x14ac:dyDescent="0.35">
      <c r="A144">
        <f t="shared" si="3"/>
        <v>142</v>
      </c>
      <c r="B144">
        <v>-0.91302027235319683</v>
      </c>
    </row>
    <row r="145" spans="1:2" x14ac:dyDescent="0.35">
      <c r="A145">
        <f t="shared" si="3"/>
        <v>143</v>
      </c>
      <c r="B145">
        <v>1.4226419811981905</v>
      </c>
    </row>
    <row r="146" spans="1:2" x14ac:dyDescent="0.35">
      <c r="A146">
        <f t="shared" si="3"/>
        <v>144</v>
      </c>
      <c r="B146">
        <v>0.96206223663567125</v>
      </c>
    </row>
    <row r="147" spans="1:2" x14ac:dyDescent="0.35">
      <c r="A147">
        <f t="shared" si="3"/>
        <v>145</v>
      </c>
      <c r="B147">
        <v>0.63875167068728178</v>
      </c>
    </row>
    <row r="148" spans="1:2" x14ac:dyDescent="0.35">
      <c r="A148">
        <f t="shared" si="3"/>
        <v>146</v>
      </c>
      <c r="B148">
        <v>0.74240814661595278</v>
      </c>
    </row>
    <row r="149" spans="1:2" x14ac:dyDescent="0.35">
      <c r="A149">
        <f t="shared" si="3"/>
        <v>147</v>
      </c>
      <c r="B149">
        <v>0.55332805872655466</v>
      </c>
    </row>
    <row r="150" spans="1:2" x14ac:dyDescent="0.35">
      <c r="A150">
        <f t="shared" si="3"/>
        <v>148</v>
      </c>
      <c r="B150">
        <v>1.2975411684102687</v>
      </c>
    </row>
    <row r="151" spans="1:2" x14ac:dyDescent="0.35">
      <c r="A151">
        <f t="shared" si="3"/>
        <v>149</v>
      </c>
      <c r="B151">
        <v>-1.112565879181183</v>
      </c>
    </row>
    <row r="152" spans="1:2" x14ac:dyDescent="0.35">
      <c r="A152">
        <f t="shared" si="3"/>
        <v>150</v>
      </c>
      <c r="B152">
        <v>0.61612929906621539</v>
      </c>
    </row>
    <row r="153" spans="1:2" x14ac:dyDescent="0.35">
      <c r="A153">
        <f t="shared" si="3"/>
        <v>151</v>
      </c>
      <c r="B153">
        <v>1.0055672357867182</v>
      </c>
    </row>
    <row r="154" spans="1:2" x14ac:dyDescent="0.35">
      <c r="A154">
        <f t="shared" si="3"/>
        <v>152</v>
      </c>
      <c r="B154">
        <v>-0.49557160317585902</v>
      </c>
    </row>
    <row r="155" spans="1:2" x14ac:dyDescent="0.35">
      <c r="A155">
        <f t="shared" si="3"/>
        <v>153</v>
      </c>
      <c r="B155">
        <v>0.47954116888744686</v>
      </c>
    </row>
    <row r="156" spans="1:2" x14ac:dyDescent="0.35">
      <c r="A156">
        <f t="shared" si="3"/>
        <v>154</v>
      </c>
      <c r="B156">
        <v>-0.10556166195061856</v>
      </c>
    </row>
    <row r="157" spans="1:2" x14ac:dyDescent="0.35">
      <c r="A157">
        <f t="shared" si="3"/>
        <v>155</v>
      </c>
      <c r="B157">
        <v>0.2755985123155586</v>
      </c>
    </row>
    <row r="158" spans="1:2" x14ac:dyDescent="0.35">
      <c r="A158">
        <f t="shared" si="3"/>
        <v>156</v>
      </c>
      <c r="B158">
        <v>0.59775234620954465</v>
      </c>
    </row>
    <row r="159" spans="1:2" x14ac:dyDescent="0.35">
      <c r="A159">
        <f t="shared" si="3"/>
        <v>157</v>
      </c>
      <c r="B159">
        <v>-9.1167032413317264E-2</v>
      </c>
    </row>
    <row r="160" spans="1:2" x14ac:dyDescent="0.35">
      <c r="A160">
        <f t="shared" si="3"/>
        <v>158</v>
      </c>
      <c r="B160">
        <v>-0.66867175318331351</v>
      </c>
    </row>
    <row r="161" spans="1:2" x14ac:dyDescent="0.35">
      <c r="A161">
        <f t="shared" si="3"/>
        <v>159</v>
      </c>
      <c r="B161">
        <v>0.14634764909449763</v>
      </c>
    </row>
    <row r="162" spans="1:2" x14ac:dyDescent="0.35">
      <c r="A162">
        <f t="shared" si="3"/>
        <v>160</v>
      </c>
      <c r="B162">
        <v>1.3840603847297344</v>
      </c>
    </row>
    <row r="163" spans="1:2" x14ac:dyDescent="0.35">
      <c r="A163">
        <f t="shared" si="3"/>
        <v>161</v>
      </c>
      <c r="B163">
        <v>-0.22303528378214113</v>
      </c>
    </row>
    <row r="164" spans="1:2" x14ac:dyDescent="0.35">
      <c r="A164">
        <f t="shared" si="3"/>
        <v>162</v>
      </c>
      <c r="B164">
        <v>-0.46543281903646083</v>
      </c>
    </row>
    <row r="165" spans="1:2" x14ac:dyDescent="0.35">
      <c r="A165">
        <f t="shared" si="3"/>
        <v>163</v>
      </c>
      <c r="B165">
        <v>0.19076160011223731</v>
      </c>
    </row>
    <row r="166" spans="1:2" x14ac:dyDescent="0.35">
      <c r="A166">
        <f t="shared" si="3"/>
        <v>164</v>
      </c>
      <c r="B166">
        <v>0.68625390725343971</v>
      </c>
    </row>
    <row r="167" spans="1:2" x14ac:dyDescent="0.35">
      <c r="A167">
        <f t="shared" si="3"/>
        <v>165</v>
      </c>
      <c r="B167">
        <v>1.1052644709507864</v>
      </c>
    </row>
    <row r="168" spans="1:2" x14ac:dyDescent="0.35">
      <c r="A168">
        <f t="shared" si="3"/>
        <v>166</v>
      </c>
      <c r="B168">
        <v>1.4074230392876668</v>
      </c>
    </row>
    <row r="169" spans="1:2" x14ac:dyDescent="0.35">
      <c r="A169">
        <f t="shared" si="3"/>
        <v>167</v>
      </c>
      <c r="B169">
        <v>0.90101675266462644</v>
      </c>
    </row>
    <row r="170" spans="1:2" x14ac:dyDescent="0.35">
      <c r="A170">
        <f t="shared" si="3"/>
        <v>168</v>
      </c>
      <c r="B170">
        <v>-1.8149149312318841E-2</v>
      </c>
    </row>
    <row r="171" spans="1:2" x14ac:dyDescent="0.35">
      <c r="A171">
        <f t="shared" si="3"/>
        <v>169</v>
      </c>
      <c r="B171">
        <v>-1.2909344672163063</v>
      </c>
    </row>
    <row r="172" spans="1:2" x14ac:dyDescent="0.35">
      <c r="A172">
        <f t="shared" si="3"/>
        <v>170</v>
      </c>
      <c r="B172">
        <v>-1.1408780579470197</v>
      </c>
    </row>
    <row r="173" spans="1:2" x14ac:dyDescent="0.35">
      <c r="A173">
        <f t="shared" si="3"/>
        <v>171</v>
      </c>
      <c r="B173">
        <v>-0.14401796679639955</v>
      </c>
    </row>
    <row r="174" spans="1:2" x14ac:dyDescent="0.35">
      <c r="A174">
        <f t="shared" si="3"/>
        <v>172</v>
      </c>
      <c r="B174">
        <v>-0.83034988360309614</v>
      </c>
    </row>
    <row r="175" spans="1:2" x14ac:dyDescent="0.35">
      <c r="A175">
        <f t="shared" si="3"/>
        <v>173</v>
      </c>
      <c r="B175">
        <v>0.75477232446463527</v>
      </c>
    </row>
    <row r="176" spans="1:2" x14ac:dyDescent="0.35">
      <c r="A176">
        <f t="shared" si="3"/>
        <v>174</v>
      </c>
      <c r="B176">
        <v>-0.46904811708216804</v>
      </c>
    </row>
    <row r="177" spans="1:2" x14ac:dyDescent="0.35">
      <c r="A177">
        <f t="shared" si="3"/>
        <v>175</v>
      </c>
      <c r="B177">
        <v>0.96483898821572589</v>
      </c>
    </row>
    <row r="178" spans="1:2" x14ac:dyDescent="0.35">
      <c r="A178">
        <f t="shared" si="3"/>
        <v>176</v>
      </c>
      <c r="B178">
        <v>-7.6919449368898135E-2</v>
      </c>
    </row>
    <row r="179" spans="1:2" x14ac:dyDescent="0.35">
      <c r="A179">
        <f t="shared" si="3"/>
        <v>177</v>
      </c>
      <c r="B179">
        <v>0.42040034584287839</v>
      </c>
    </row>
    <row r="180" spans="1:2" x14ac:dyDescent="0.35">
      <c r="A180">
        <f t="shared" si="3"/>
        <v>178</v>
      </c>
      <c r="B180">
        <v>-1.2721974882145521</v>
      </c>
    </row>
    <row r="181" spans="1:2" x14ac:dyDescent="0.35">
      <c r="A181">
        <f t="shared" si="3"/>
        <v>179</v>
      </c>
      <c r="B181">
        <v>-2.2786623353515791</v>
      </c>
    </row>
    <row r="182" spans="1:2" x14ac:dyDescent="0.35">
      <c r="A182">
        <f t="shared" si="3"/>
        <v>180</v>
      </c>
      <c r="B182">
        <v>-0.49105107958363775</v>
      </c>
    </row>
    <row r="183" spans="1:2" x14ac:dyDescent="0.35">
      <c r="A183">
        <f t="shared" si="3"/>
        <v>181</v>
      </c>
      <c r="B183">
        <v>0.48146540184895631</v>
      </c>
    </row>
    <row r="184" spans="1:2" x14ac:dyDescent="0.35">
      <c r="A184">
        <f t="shared" si="3"/>
        <v>182</v>
      </c>
      <c r="B184">
        <v>-1.6448864229186897</v>
      </c>
    </row>
    <row r="185" spans="1:2" x14ac:dyDescent="0.35">
      <c r="A185">
        <f t="shared" si="3"/>
        <v>183</v>
      </c>
      <c r="B185">
        <v>6.6632877659726253E-2</v>
      </c>
    </row>
    <row r="186" spans="1:2" x14ac:dyDescent="0.35">
      <c r="A186">
        <f t="shared" si="3"/>
        <v>184</v>
      </c>
      <c r="B186">
        <v>0.74603621689471478</v>
      </c>
    </row>
    <row r="187" spans="1:2" x14ac:dyDescent="0.35">
      <c r="A187">
        <f t="shared" si="3"/>
        <v>185</v>
      </c>
      <c r="B187">
        <v>0.27861328836863852</v>
      </c>
    </row>
    <row r="188" spans="1:2" x14ac:dyDescent="0.35">
      <c r="A188">
        <f t="shared" si="3"/>
        <v>186</v>
      </c>
      <c r="B188">
        <v>1.1266984017619501</v>
      </c>
    </row>
    <row r="189" spans="1:2" x14ac:dyDescent="0.35">
      <c r="A189">
        <f t="shared" si="3"/>
        <v>187</v>
      </c>
      <c r="B189">
        <v>-0.42035631338949564</v>
      </c>
    </row>
    <row r="190" spans="1:2" x14ac:dyDescent="0.35">
      <c r="A190">
        <f t="shared" si="3"/>
        <v>188</v>
      </c>
      <c r="B190">
        <v>-1.7276170584515391</v>
      </c>
    </row>
    <row r="191" spans="1:2" x14ac:dyDescent="0.35">
      <c r="A191">
        <f t="shared" si="3"/>
        <v>189</v>
      </c>
      <c r="B191">
        <v>1.3313570843379183</v>
      </c>
    </row>
    <row r="192" spans="1:2" x14ac:dyDescent="0.35">
      <c r="A192">
        <f t="shared" si="3"/>
        <v>190</v>
      </c>
      <c r="B192">
        <v>-2.6882822698553546</v>
      </c>
    </row>
    <row r="193" spans="1:2" x14ac:dyDescent="0.35">
      <c r="A193">
        <f t="shared" si="3"/>
        <v>191</v>
      </c>
      <c r="B193">
        <v>-1.0297732158894548</v>
      </c>
    </row>
    <row r="194" spans="1:2" x14ac:dyDescent="0.35">
      <c r="A194">
        <f t="shared" si="3"/>
        <v>192</v>
      </c>
      <c r="B194">
        <v>1.3556005978257979</v>
      </c>
    </row>
    <row r="195" spans="1:2" x14ac:dyDescent="0.35">
      <c r="A195">
        <f t="shared" si="3"/>
        <v>193</v>
      </c>
      <c r="B195">
        <v>1.6807352687308035</v>
      </c>
    </row>
    <row r="196" spans="1:2" x14ac:dyDescent="0.35">
      <c r="A196">
        <f t="shared" si="3"/>
        <v>194</v>
      </c>
      <c r="B196">
        <v>1.8520134291516095</v>
      </c>
    </row>
    <row r="197" spans="1:2" x14ac:dyDescent="0.35">
      <c r="A197">
        <f t="shared" ref="A197:A260" si="4">A196+1</f>
        <v>195</v>
      </c>
      <c r="B197">
        <v>-7.5661295451868227E-2</v>
      </c>
    </row>
    <row r="198" spans="1:2" x14ac:dyDescent="0.35">
      <c r="A198">
        <f t="shared" si="4"/>
        <v>196</v>
      </c>
      <c r="B198">
        <v>-0.18407374560733397</v>
      </c>
    </row>
    <row r="199" spans="1:2" x14ac:dyDescent="0.35">
      <c r="A199">
        <f t="shared" si="4"/>
        <v>197</v>
      </c>
      <c r="B199">
        <v>-4.4711145801600606E-2</v>
      </c>
    </row>
    <row r="200" spans="1:2" x14ac:dyDescent="0.35">
      <c r="A200">
        <f t="shared" si="4"/>
        <v>198</v>
      </c>
      <c r="B200">
        <v>1.504056341108428</v>
      </c>
    </row>
    <row r="201" spans="1:2" x14ac:dyDescent="0.35">
      <c r="A201">
        <f t="shared" si="4"/>
        <v>199</v>
      </c>
      <c r="B201">
        <v>-1.3285522660397744</v>
      </c>
    </row>
    <row r="202" spans="1:2" x14ac:dyDescent="0.35">
      <c r="A202">
        <f t="shared" si="4"/>
        <v>200</v>
      </c>
      <c r="B202">
        <v>-0.33372062248518014</v>
      </c>
    </row>
    <row r="203" spans="1:2" x14ac:dyDescent="0.35">
      <c r="A203">
        <f t="shared" si="4"/>
        <v>201</v>
      </c>
      <c r="B203">
        <v>-0.38470808628662195</v>
      </c>
    </row>
    <row r="204" spans="1:2" x14ac:dyDescent="0.35">
      <c r="A204">
        <f t="shared" si="4"/>
        <v>202</v>
      </c>
      <c r="B204">
        <v>-0.55999501985336519</v>
      </c>
    </row>
    <row r="205" spans="1:2" x14ac:dyDescent="0.35">
      <c r="A205">
        <f t="shared" si="4"/>
        <v>203</v>
      </c>
      <c r="B205">
        <v>-2.7644475243779401E-2</v>
      </c>
    </row>
    <row r="206" spans="1:2" x14ac:dyDescent="0.35">
      <c r="A206">
        <f t="shared" si="4"/>
        <v>204</v>
      </c>
      <c r="B206">
        <v>-0.79799606205625406</v>
      </c>
    </row>
    <row r="207" spans="1:2" x14ac:dyDescent="0.35">
      <c r="A207">
        <f t="shared" si="4"/>
        <v>205</v>
      </c>
      <c r="B207">
        <v>-1.581448313723381</v>
      </c>
    </row>
    <row r="208" spans="1:2" x14ac:dyDescent="0.35">
      <c r="A208">
        <f t="shared" si="4"/>
        <v>206</v>
      </c>
      <c r="B208">
        <v>-0.57819600126002257</v>
      </c>
    </row>
    <row r="209" spans="1:2" x14ac:dyDescent="0.35">
      <c r="A209">
        <f t="shared" si="4"/>
        <v>207</v>
      </c>
      <c r="B209">
        <v>7.6483278377206865E-2</v>
      </c>
    </row>
    <row r="210" spans="1:2" x14ac:dyDescent="0.35">
      <c r="A210">
        <f t="shared" si="4"/>
        <v>208</v>
      </c>
      <c r="B210">
        <v>-0.12055600384974281</v>
      </c>
    </row>
    <row r="211" spans="1:2" x14ac:dyDescent="0.35">
      <c r="A211">
        <f t="shared" si="4"/>
        <v>209</v>
      </c>
      <c r="B211">
        <v>-0.78151843047388847</v>
      </c>
    </row>
    <row r="212" spans="1:2" x14ac:dyDescent="0.35">
      <c r="A212">
        <f t="shared" si="4"/>
        <v>210</v>
      </c>
      <c r="B212">
        <v>-0.64975508340965971</v>
      </c>
    </row>
    <row r="213" spans="1:2" x14ac:dyDescent="0.35">
      <c r="A213">
        <f t="shared" si="4"/>
        <v>211</v>
      </c>
      <c r="B213">
        <v>0.11819283785108022</v>
      </c>
    </row>
    <row r="214" spans="1:2" x14ac:dyDescent="0.35">
      <c r="A214">
        <f t="shared" si="4"/>
        <v>212</v>
      </c>
      <c r="B214">
        <v>1.2693740993658589</v>
      </c>
    </row>
    <row r="215" spans="1:2" x14ac:dyDescent="0.35">
      <c r="A215">
        <f t="shared" si="4"/>
        <v>213</v>
      </c>
      <c r="B215">
        <v>-0.29629858508389412</v>
      </c>
    </row>
    <row r="216" spans="1:2" x14ac:dyDescent="0.35">
      <c r="A216">
        <f t="shared" si="4"/>
        <v>214</v>
      </c>
      <c r="B216">
        <v>-0.38386746599685501</v>
      </c>
    </row>
    <row r="217" spans="1:2" x14ac:dyDescent="0.35">
      <c r="A217">
        <f t="shared" si="4"/>
        <v>215</v>
      </c>
      <c r="B217">
        <v>0.7139659799803556</v>
      </c>
    </row>
    <row r="218" spans="1:2" x14ac:dyDescent="0.35">
      <c r="A218">
        <f t="shared" si="4"/>
        <v>216</v>
      </c>
      <c r="B218">
        <v>1.3950580490726854</v>
      </c>
    </row>
    <row r="219" spans="1:2" x14ac:dyDescent="0.35">
      <c r="A219">
        <f t="shared" si="4"/>
        <v>217</v>
      </c>
      <c r="B219">
        <v>-0.4099469347524663</v>
      </c>
    </row>
    <row r="220" spans="1:2" x14ac:dyDescent="0.35">
      <c r="A220">
        <f t="shared" si="4"/>
        <v>218</v>
      </c>
      <c r="B220">
        <v>0.40776400001113339</v>
      </c>
    </row>
    <row r="221" spans="1:2" x14ac:dyDescent="0.35">
      <c r="A221">
        <f t="shared" si="4"/>
        <v>219</v>
      </c>
      <c r="B221">
        <v>-0.96171065996618366</v>
      </c>
    </row>
    <row r="222" spans="1:2" x14ac:dyDescent="0.35">
      <c r="A222">
        <f t="shared" si="4"/>
        <v>220</v>
      </c>
      <c r="B222">
        <v>0.17402926997514256</v>
      </c>
    </row>
    <row r="223" spans="1:2" x14ac:dyDescent="0.35">
      <c r="A223">
        <f t="shared" si="4"/>
        <v>221</v>
      </c>
      <c r="B223">
        <v>-0.41062469305864313</v>
      </c>
    </row>
    <row r="224" spans="1:2" x14ac:dyDescent="0.35">
      <c r="A224">
        <f t="shared" si="4"/>
        <v>222</v>
      </c>
      <c r="B224">
        <v>-1.7294715122027919</v>
      </c>
    </row>
    <row r="225" spans="1:2" x14ac:dyDescent="0.35">
      <c r="A225">
        <f t="shared" si="4"/>
        <v>223</v>
      </c>
      <c r="B225">
        <v>0.60709199904065281</v>
      </c>
    </row>
    <row r="226" spans="1:2" x14ac:dyDescent="0.35">
      <c r="A226">
        <f t="shared" si="4"/>
        <v>224</v>
      </c>
      <c r="B226">
        <v>-0.51942894064350031</v>
      </c>
    </row>
    <row r="227" spans="1:2" x14ac:dyDescent="0.35">
      <c r="A227">
        <f t="shared" si="4"/>
        <v>225</v>
      </c>
      <c r="B227">
        <v>-1.3782831934431534</v>
      </c>
    </row>
    <row r="228" spans="1:2" x14ac:dyDescent="0.35">
      <c r="A228">
        <f t="shared" si="4"/>
        <v>226</v>
      </c>
      <c r="B228">
        <v>-0.99233958847348624</v>
      </c>
    </row>
    <row r="229" spans="1:2" x14ac:dyDescent="0.35">
      <c r="A229">
        <f t="shared" si="4"/>
        <v>227</v>
      </c>
      <c r="B229">
        <v>0.46318440188487242</v>
      </c>
    </row>
    <row r="230" spans="1:2" x14ac:dyDescent="0.35">
      <c r="A230">
        <f t="shared" si="4"/>
        <v>228</v>
      </c>
      <c r="B230">
        <v>-0.61527049701647507</v>
      </c>
    </row>
    <row r="231" spans="1:2" x14ac:dyDescent="0.35">
      <c r="A231">
        <f t="shared" si="4"/>
        <v>229</v>
      </c>
      <c r="B231">
        <v>-1.4533998449124055</v>
      </c>
    </row>
    <row r="232" spans="1:2" x14ac:dyDescent="0.35">
      <c r="A232">
        <f t="shared" si="4"/>
        <v>230</v>
      </c>
      <c r="B232">
        <v>-1.1580882518078284</v>
      </c>
    </row>
    <row r="233" spans="1:2" x14ac:dyDescent="0.35">
      <c r="A233">
        <f t="shared" si="4"/>
        <v>231</v>
      </c>
      <c r="B233">
        <v>-1.4388039120197906</v>
      </c>
    </row>
    <row r="234" spans="1:2" x14ac:dyDescent="0.35">
      <c r="A234">
        <f t="shared" si="4"/>
        <v>232</v>
      </c>
      <c r="B234">
        <v>0.94235776596652188</v>
      </c>
    </row>
    <row r="235" spans="1:2" x14ac:dyDescent="0.35">
      <c r="A235">
        <f t="shared" si="4"/>
        <v>233</v>
      </c>
      <c r="B235">
        <v>1.5653130259464338</v>
      </c>
    </row>
    <row r="236" spans="1:2" x14ac:dyDescent="0.35">
      <c r="A236">
        <f t="shared" si="4"/>
        <v>234</v>
      </c>
      <c r="B236">
        <v>6.564411961791039E-2</v>
      </c>
    </row>
    <row r="237" spans="1:2" x14ac:dyDescent="0.35">
      <c r="A237">
        <f t="shared" si="4"/>
        <v>235</v>
      </c>
      <c r="B237">
        <v>-0.53473567709841574</v>
      </c>
    </row>
    <row r="238" spans="1:2" x14ac:dyDescent="0.35">
      <c r="A238">
        <f t="shared" si="4"/>
        <v>236</v>
      </c>
      <c r="B238">
        <v>0.20198979941362169</v>
      </c>
    </row>
    <row r="239" spans="1:2" x14ac:dyDescent="0.35">
      <c r="A239">
        <f t="shared" si="4"/>
        <v>237</v>
      </c>
      <c r="B239">
        <v>1.3528219751874861</v>
      </c>
    </row>
    <row r="240" spans="1:2" x14ac:dyDescent="0.35">
      <c r="A240">
        <f t="shared" si="4"/>
        <v>238</v>
      </c>
      <c r="B240">
        <v>1.4005412394134718</v>
      </c>
    </row>
    <row r="241" spans="1:2" x14ac:dyDescent="0.35">
      <c r="A241">
        <f t="shared" si="4"/>
        <v>239</v>
      </c>
      <c r="B241">
        <v>1.5981339565728774</v>
      </c>
    </row>
    <row r="242" spans="1:2" x14ac:dyDescent="0.35">
      <c r="A242">
        <f t="shared" si="4"/>
        <v>240</v>
      </c>
      <c r="B242">
        <v>5.8523790134270885E-2</v>
      </c>
    </row>
    <row r="243" spans="1:2" x14ac:dyDescent="0.35">
      <c r="A243">
        <f t="shared" si="4"/>
        <v>241</v>
      </c>
      <c r="B243">
        <v>-0.49961790160029962</v>
      </c>
    </row>
    <row r="244" spans="1:2" x14ac:dyDescent="0.35">
      <c r="A244">
        <f t="shared" si="4"/>
        <v>242</v>
      </c>
      <c r="B244">
        <v>1.4185011839216768</v>
      </c>
    </row>
    <row r="245" spans="1:2" x14ac:dyDescent="0.35">
      <c r="A245">
        <f t="shared" si="4"/>
        <v>243</v>
      </c>
      <c r="B245">
        <v>1.2743730714913888</v>
      </c>
    </row>
    <row r="246" spans="1:2" x14ac:dyDescent="0.35">
      <c r="A246">
        <f t="shared" si="4"/>
        <v>244</v>
      </c>
      <c r="B246">
        <v>-0.11736004608923299</v>
      </c>
    </row>
    <row r="247" spans="1:2" x14ac:dyDescent="0.35">
      <c r="A247">
        <f t="shared" si="4"/>
        <v>245</v>
      </c>
      <c r="B247">
        <v>-0.1499146700049854</v>
      </c>
    </row>
    <row r="248" spans="1:2" x14ac:dyDescent="0.35">
      <c r="A248">
        <f t="shared" si="4"/>
        <v>246</v>
      </c>
      <c r="B248">
        <v>0.12216929034741057</v>
      </c>
    </row>
    <row r="249" spans="1:2" x14ac:dyDescent="0.35">
      <c r="A249">
        <f t="shared" si="4"/>
        <v>247</v>
      </c>
      <c r="B249">
        <v>0.62874585615915335</v>
      </c>
    </row>
    <row r="250" spans="1:2" x14ac:dyDescent="0.35">
      <c r="A250">
        <f t="shared" si="4"/>
        <v>248</v>
      </c>
      <c r="B250">
        <v>-1.4424367808647585</v>
      </c>
    </row>
    <row r="251" spans="1:2" x14ac:dyDescent="0.35">
      <c r="A251">
        <f t="shared" si="4"/>
        <v>249</v>
      </c>
      <c r="B251">
        <v>1.387083666071826</v>
      </c>
    </row>
    <row r="252" spans="1:2" x14ac:dyDescent="0.35">
      <c r="A252">
        <f t="shared" si="4"/>
        <v>250</v>
      </c>
      <c r="B252">
        <v>1.1222059482550004</v>
      </c>
    </row>
    <row r="253" spans="1:2" x14ac:dyDescent="0.35">
      <c r="A253">
        <f t="shared" si="4"/>
        <v>251</v>
      </c>
      <c r="B253">
        <v>1.3509600133262396</v>
      </c>
    </row>
    <row r="254" spans="1:2" x14ac:dyDescent="0.35">
      <c r="A254">
        <f t="shared" si="4"/>
        <v>252</v>
      </c>
      <c r="B254">
        <v>0.82726033782501152</v>
      </c>
    </row>
    <row r="255" spans="1:2" x14ac:dyDescent="0.35">
      <c r="A255">
        <f t="shared" si="4"/>
        <v>253</v>
      </c>
      <c r="B255">
        <v>-0.23303387327343963</v>
      </c>
    </row>
    <row r="256" spans="1:2" x14ac:dyDescent="0.35">
      <c r="A256">
        <f t="shared" si="4"/>
        <v>254</v>
      </c>
      <c r="B256">
        <v>-1.6092022066214777</v>
      </c>
    </row>
    <row r="257" spans="1:2" x14ac:dyDescent="0.35">
      <c r="A257">
        <f t="shared" si="4"/>
        <v>255</v>
      </c>
      <c r="B257">
        <v>1.4849421529946001</v>
      </c>
    </row>
    <row r="258" spans="1:2" x14ac:dyDescent="0.35">
      <c r="A258">
        <f t="shared" si="4"/>
        <v>256</v>
      </c>
      <c r="B258">
        <v>1.0042184227632298</v>
      </c>
    </row>
    <row r="259" spans="1:2" x14ac:dyDescent="0.35">
      <c r="A259">
        <f t="shared" si="4"/>
        <v>257</v>
      </c>
      <c r="B259">
        <v>0.44325629575982506</v>
      </c>
    </row>
    <row r="260" spans="1:2" x14ac:dyDescent="0.35">
      <c r="A260">
        <f t="shared" si="4"/>
        <v>258</v>
      </c>
      <c r="B260">
        <v>1.4541989374520516</v>
      </c>
    </row>
    <row r="261" spans="1:2" x14ac:dyDescent="0.35">
      <c r="A261">
        <f t="shared" ref="A261:A302" si="5">A260+1</f>
        <v>259</v>
      </c>
      <c r="B261">
        <v>0.27700007713852887</v>
      </c>
    </row>
    <row r="262" spans="1:2" x14ac:dyDescent="0.35">
      <c r="A262">
        <f t="shared" si="5"/>
        <v>260</v>
      </c>
      <c r="B262">
        <v>-0.44329380430841753</v>
      </c>
    </row>
    <row r="263" spans="1:2" x14ac:dyDescent="0.35">
      <c r="A263">
        <f t="shared" si="5"/>
        <v>261</v>
      </c>
      <c r="B263">
        <v>-0.3934733432158809</v>
      </c>
    </row>
    <row r="264" spans="1:2" x14ac:dyDescent="0.35">
      <c r="A264">
        <f t="shared" si="5"/>
        <v>262</v>
      </c>
      <c r="B264">
        <v>-0.19117440519818671</v>
      </c>
    </row>
    <row r="265" spans="1:2" x14ac:dyDescent="0.35">
      <c r="A265">
        <f t="shared" si="5"/>
        <v>263</v>
      </c>
      <c r="B265">
        <v>-0.35345572110078194</v>
      </c>
    </row>
    <row r="266" spans="1:2" x14ac:dyDescent="0.35">
      <c r="A266">
        <f t="shared" si="5"/>
        <v>264</v>
      </c>
      <c r="B266">
        <v>1.0611652633559798</v>
      </c>
    </row>
    <row r="267" spans="1:2" x14ac:dyDescent="0.35">
      <c r="A267">
        <f t="shared" si="5"/>
        <v>265</v>
      </c>
      <c r="B267">
        <v>0.6517688893447684</v>
      </c>
    </row>
    <row r="268" spans="1:2" x14ac:dyDescent="0.35">
      <c r="A268">
        <f t="shared" si="5"/>
        <v>266</v>
      </c>
      <c r="B268">
        <v>-0.87618795458919962</v>
      </c>
    </row>
    <row r="269" spans="1:2" x14ac:dyDescent="0.35">
      <c r="A269">
        <f t="shared" si="5"/>
        <v>267</v>
      </c>
      <c r="B269">
        <v>1.0211144485487686</v>
      </c>
    </row>
    <row r="270" spans="1:2" x14ac:dyDescent="0.35">
      <c r="A270">
        <f t="shared" si="5"/>
        <v>268</v>
      </c>
      <c r="B270">
        <v>0.3345570084672792</v>
      </c>
    </row>
    <row r="271" spans="1:2" x14ac:dyDescent="0.35">
      <c r="A271">
        <f t="shared" si="5"/>
        <v>269</v>
      </c>
      <c r="B271">
        <v>-0.31608224833466164</v>
      </c>
    </row>
    <row r="272" spans="1:2" x14ac:dyDescent="0.35">
      <c r="A272">
        <f t="shared" si="5"/>
        <v>270</v>
      </c>
      <c r="B272">
        <v>-0.25810028698996618</v>
      </c>
    </row>
    <row r="273" spans="1:2" x14ac:dyDescent="0.35">
      <c r="A273">
        <f t="shared" si="5"/>
        <v>271</v>
      </c>
      <c r="B273">
        <v>-1.0659808677376943</v>
      </c>
    </row>
    <row r="274" spans="1:2" x14ac:dyDescent="0.35">
      <c r="A274">
        <f t="shared" si="5"/>
        <v>272</v>
      </c>
      <c r="B274">
        <v>1.3253325983092967</v>
      </c>
    </row>
    <row r="275" spans="1:2" x14ac:dyDescent="0.35">
      <c r="A275">
        <f t="shared" si="5"/>
        <v>273</v>
      </c>
      <c r="B275">
        <v>0.22420259656166427</v>
      </c>
    </row>
    <row r="276" spans="1:2" x14ac:dyDescent="0.35">
      <c r="A276">
        <f t="shared" si="5"/>
        <v>274</v>
      </c>
      <c r="B276">
        <v>1.142799083248015</v>
      </c>
    </row>
    <row r="277" spans="1:2" x14ac:dyDescent="0.35">
      <c r="A277">
        <f t="shared" si="5"/>
        <v>275</v>
      </c>
      <c r="B277">
        <v>-2.0248685713244954</v>
      </c>
    </row>
    <row r="278" spans="1:2" x14ac:dyDescent="0.35">
      <c r="A278">
        <f t="shared" si="5"/>
        <v>276</v>
      </c>
      <c r="B278">
        <v>1.1700515313547313</v>
      </c>
    </row>
    <row r="279" spans="1:2" x14ac:dyDescent="0.35">
      <c r="A279">
        <f t="shared" si="5"/>
        <v>277</v>
      </c>
      <c r="B279">
        <v>-0.28780236045008822</v>
      </c>
    </row>
    <row r="280" spans="1:2" x14ac:dyDescent="0.35">
      <c r="A280">
        <f t="shared" si="5"/>
        <v>278</v>
      </c>
      <c r="B280">
        <v>0.19996032152719265</v>
      </c>
    </row>
    <row r="281" spans="1:2" x14ac:dyDescent="0.35">
      <c r="A281">
        <f t="shared" si="5"/>
        <v>279</v>
      </c>
      <c r="B281">
        <v>-0.42632495640952561</v>
      </c>
    </row>
    <row r="282" spans="1:2" x14ac:dyDescent="0.35">
      <c r="A282">
        <f t="shared" si="5"/>
        <v>280</v>
      </c>
      <c r="B282">
        <v>-0.94997561502215366</v>
      </c>
    </row>
    <row r="283" spans="1:2" x14ac:dyDescent="0.35">
      <c r="A283">
        <f t="shared" si="5"/>
        <v>281</v>
      </c>
      <c r="B283">
        <v>0.23798358843080572</v>
      </c>
    </row>
    <row r="284" spans="1:2" x14ac:dyDescent="0.35">
      <c r="A284">
        <f t="shared" si="5"/>
        <v>282</v>
      </c>
      <c r="B284">
        <v>-1.7097937686390818</v>
      </c>
    </row>
    <row r="285" spans="1:2" x14ac:dyDescent="0.35">
      <c r="A285">
        <f t="shared" si="5"/>
        <v>283</v>
      </c>
      <c r="B285">
        <v>-0.23206183653580462</v>
      </c>
    </row>
    <row r="286" spans="1:2" x14ac:dyDescent="0.35">
      <c r="A286">
        <f t="shared" si="5"/>
        <v>284</v>
      </c>
      <c r="B286">
        <v>-4.3160138403625349E-2</v>
      </c>
    </row>
    <row r="287" spans="1:2" x14ac:dyDescent="0.35">
      <c r="A287">
        <f t="shared" si="5"/>
        <v>285</v>
      </c>
      <c r="B287">
        <v>0.91741621641347271</v>
      </c>
    </row>
    <row r="288" spans="1:2" x14ac:dyDescent="0.35">
      <c r="A288">
        <f t="shared" si="5"/>
        <v>286</v>
      </c>
      <c r="B288">
        <v>0.94965672959218439</v>
      </c>
    </row>
    <row r="289" spans="1:2" x14ac:dyDescent="0.35">
      <c r="A289">
        <f t="shared" si="5"/>
        <v>287</v>
      </c>
      <c r="B289">
        <v>-0.2870879878673343</v>
      </c>
    </row>
    <row r="290" spans="1:2" x14ac:dyDescent="0.35">
      <c r="A290">
        <f t="shared" si="5"/>
        <v>288</v>
      </c>
      <c r="B290">
        <v>-1.4487758162142736</v>
      </c>
    </row>
    <row r="291" spans="1:2" x14ac:dyDescent="0.35">
      <c r="A291">
        <f t="shared" si="5"/>
        <v>289</v>
      </c>
      <c r="B291">
        <v>1.6153439121367741</v>
      </c>
    </row>
    <row r="292" spans="1:2" x14ac:dyDescent="0.35">
      <c r="A292">
        <f t="shared" si="5"/>
        <v>290</v>
      </c>
      <c r="B292">
        <v>-0.25984259675553933</v>
      </c>
    </row>
    <row r="293" spans="1:2" x14ac:dyDescent="0.35">
      <c r="A293">
        <f t="shared" si="5"/>
        <v>291</v>
      </c>
      <c r="B293">
        <v>1.8529151411387943</v>
      </c>
    </row>
    <row r="294" spans="1:2" x14ac:dyDescent="0.35">
      <c r="A294">
        <f t="shared" si="5"/>
        <v>292</v>
      </c>
      <c r="B294">
        <v>0.62056917300879144</v>
      </c>
    </row>
    <row r="295" spans="1:2" x14ac:dyDescent="0.35">
      <c r="A295">
        <f t="shared" si="5"/>
        <v>293</v>
      </c>
      <c r="B295">
        <v>-1.1224817804260876</v>
      </c>
    </row>
    <row r="296" spans="1:2" x14ac:dyDescent="0.35">
      <c r="A296">
        <f t="shared" si="5"/>
        <v>294</v>
      </c>
      <c r="B296">
        <v>0.65365817657854042</v>
      </c>
    </row>
    <row r="297" spans="1:2" x14ac:dyDescent="0.35">
      <c r="A297">
        <f t="shared" si="5"/>
        <v>295</v>
      </c>
      <c r="B297">
        <v>0.63946998346618922</v>
      </c>
    </row>
    <row r="298" spans="1:2" x14ac:dyDescent="0.35">
      <c r="A298">
        <f t="shared" si="5"/>
        <v>296</v>
      </c>
      <c r="B298">
        <v>1.2687005765104578</v>
      </c>
    </row>
    <row r="299" spans="1:2" x14ac:dyDescent="0.35">
      <c r="A299">
        <f t="shared" si="5"/>
        <v>297</v>
      </c>
      <c r="B299">
        <v>1.9138822137128215</v>
      </c>
    </row>
    <row r="300" spans="1:2" x14ac:dyDescent="0.35">
      <c r="A300">
        <f t="shared" si="5"/>
        <v>298</v>
      </c>
      <c r="B300">
        <v>1.9817755142504041</v>
      </c>
    </row>
    <row r="301" spans="1:2" x14ac:dyDescent="0.35">
      <c r="A301">
        <f t="shared" si="5"/>
        <v>299</v>
      </c>
      <c r="B301">
        <v>-0.30623018695437709</v>
      </c>
    </row>
    <row r="302" spans="1:2" x14ac:dyDescent="0.35">
      <c r="A302">
        <f t="shared" si="5"/>
        <v>300</v>
      </c>
      <c r="B302">
        <v>2.0122453078561309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61"/>
  <dimension ref="A1:F27"/>
  <sheetViews>
    <sheetView zoomScaleNormal="100" workbookViewId="0"/>
  </sheetViews>
  <sheetFormatPr defaultRowHeight="14.5" x14ac:dyDescent="0.35"/>
  <cols>
    <col min="1" max="1" width="4.54296875" customWidth="1"/>
    <col min="2" max="2" width="8.54296875" customWidth="1"/>
    <col min="4" max="4" width="4.81640625" customWidth="1"/>
    <col min="5" max="5" width="9.1796875" customWidth="1"/>
  </cols>
  <sheetData>
    <row r="1" spans="1:6" x14ac:dyDescent="0.35">
      <c r="A1" s="7" t="s">
        <v>126</v>
      </c>
      <c r="B1" s="7"/>
    </row>
    <row r="3" spans="1:6" x14ac:dyDescent="0.35">
      <c r="B3" s="64" t="s">
        <v>107</v>
      </c>
      <c r="C3" s="64" t="s">
        <v>110</v>
      </c>
      <c r="E3" s="64" t="s">
        <v>78</v>
      </c>
      <c r="F3" s="64" t="s">
        <v>77</v>
      </c>
    </row>
    <row r="4" spans="1:6" x14ac:dyDescent="0.35">
      <c r="A4">
        <v>1</v>
      </c>
      <c r="B4">
        <v>0.52844538994783907</v>
      </c>
      <c r="C4">
        <f>1+B4</f>
        <v>1.528445389947839</v>
      </c>
      <c r="E4" s="60">
        <v>1</v>
      </c>
      <c r="F4" t="e" cm="1">
        <f t="array" aca="1" ref="F4" ca="1">ACF($C$4:$C$23,E4)</f>
        <v>#NAME?</v>
      </c>
    </row>
    <row r="5" spans="1:6" x14ac:dyDescent="0.35">
      <c r="A5">
        <f>A4+1</f>
        <v>2</v>
      </c>
      <c r="B5">
        <v>-0.54093603584488126</v>
      </c>
      <c r="C5">
        <f>1+C4+B5</f>
        <v>1.9875093541029578</v>
      </c>
      <c r="E5" s="60">
        <f t="shared" ref="E5:E10" si="0">E4+1</f>
        <v>2</v>
      </c>
      <c r="F5" t="e" cm="1">
        <f t="array" aca="1" ref="F5" ca="1">ACF($C$4:$C$23,E5)</f>
        <v>#NAME?</v>
      </c>
    </row>
    <row r="6" spans="1:6" x14ac:dyDescent="0.35">
      <c r="A6">
        <f t="shared" ref="A6:A23" si="1">A5+1</f>
        <v>3</v>
      </c>
      <c r="B6">
        <v>1.201751455766745</v>
      </c>
      <c r="C6">
        <f t="shared" ref="C6:C23" si="2">1+C5+B6</f>
        <v>4.1892608098697028</v>
      </c>
      <c r="E6" s="60">
        <f t="shared" si="0"/>
        <v>3</v>
      </c>
      <c r="F6" t="e" cm="1">
        <f t="array" aca="1" ref="F6" ca="1">ACF($C$4:$C$23,E6)</f>
        <v>#NAME?</v>
      </c>
    </row>
    <row r="7" spans="1:6" x14ac:dyDescent="0.35">
      <c r="A7">
        <f t="shared" si="1"/>
        <v>4</v>
      </c>
      <c r="B7">
        <v>-0.20977117820994715</v>
      </c>
      <c r="C7">
        <f t="shared" si="2"/>
        <v>4.9794896316597557</v>
      </c>
      <c r="E7" s="60">
        <f t="shared" si="0"/>
        <v>4</v>
      </c>
      <c r="F7" t="e" cm="1">
        <f t="array" aca="1" ref="F7" ca="1">ACF($C$4:$C$23,E7)</f>
        <v>#NAME?</v>
      </c>
    </row>
    <row r="8" spans="1:6" x14ac:dyDescent="0.35">
      <c r="A8">
        <f t="shared" si="1"/>
        <v>5</v>
      </c>
      <c r="B8">
        <v>0.12407124418672967</v>
      </c>
      <c r="C8">
        <f t="shared" si="2"/>
        <v>6.103560875846485</v>
      </c>
      <c r="E8" s="60">
        <f t="shared" si="0"/>
        <v>5</v>
      </c>
      <c r="F8" t="e" cm="1">
        <f t="array" aca="1" ref="F8" ca="1">ACF($C$4:$C$23,E8)</f>
        <v>#NAME?</v>
      </c>
    </row>
    <row r="9" spans="1:6" x14ac:dyDescent="0.35">
      <c r="A9">
        <f t="shared" si="1"/>
        <v>6</v>
      </c>
      <c r="B9">
        <v>0.30824899178783588</v>
      </c>
      <c r="C9">
        <f t="shared" si="2"/>
        <v>7.4118098676343207</v>
      </c>
      <c r="E9" s="60">
        <f t="shared" si="0"/>
        <v>6</v>
      </c>
      <c r="F9" t="e" cm="1">
        <f t="array" aca="1" ref="F9" ca="1">ACF($C$4:$C$23,E9)</f>
        <v>#NAME?</v>
      </c>
    </row>
    <row r="10" spans="1:6" x14ac:dyDescent="0.35">
      <c r="A10">
        <f t="shared" si="1"/>
        <v>7</v>
      </c>
      <c r="B10">
        <v>-0.4856577322544301</v>
      </c>
      <c r="C10">
        <f t="shared" si="2"/>
        <v>7.9261521353798914</v>
      </c>
      <c r="E10" s="10">
        <f t="shared" si="0"/>
        <v>7</v>
      </c>
      <c r="F10" s="4" t="e" cm="1">
        <f t="array" aca="1" ref="F10" ca="1">ACF($C$4:$C$23,E10)</f>
        <v>#NAME?</v>
      </c>
    </row>
    <row r="11" spans="1:6" x14ac:dyDescent="0.35">
      <c r="A11">
        <f t="shared" si="1"/>
        <v>8</v>
      </c>
      <c r="B11">
        <v>-0.39680993080044097</v>
      </c>
      <c r="C11">
        <f t="shared" si="2"/>
        <v>8.52934220457945</v>
      </c>
    </row>
    <row r="12" spans="1:6" x14ac:dyDescent="0.35">
      <c r="A12">
        <f t="shared" si="1"/>
        <v>9</v>
      </c>
      <c r="B12">
        <v>2.143921126946749E-2</v>
      </c>
      <c r="C12">
        <f t="shared" si="2"/>
        <v>9.5507814158489168</v>
      </c>
      <c r="E12" t="s">
        <v>89</v>
      </c>
      <c r="F12" s="23" t="e" cm="1">
        <f t="array" aca="1" ref="F12" ca="1">LJUNG(C5:C23,,7)</f>
        <v>#NAME?</v>
      </c>
    </row>
    <row r="13" spans="1:6" x14ac:dyDescent="0.35">
      <c r="A13">
        <f t="shared" si="1"/>
        <v>10</v>
      </c>
      <c r="B13">
        <v>-0.40173690907667353</v>
      </c>
      <c r="C13">
        <f t="shared" si="2"/>
        <v>10.149044506772244</v>
      </c>
      <c r="E13" t="s">
        <v>92</v>
      </c>
      <c r="F13" s="34" t="e" cm="1">
        <f t="array" aca="1" ref="F13" ca="1">LBTEST(C5:C23,,7)</f>
        <v>#NAME?</v>
      </c>
    </row>
    <row r="14" spans="1:6" x14ac:dyDescent="0.35">
      <c r="A14">
        <f t="shared" si="1"/>
        <v>11</v>
      </c>
      <c r="B14">
        <v>-0.11847396053585904</v>
      </c>
      <c r="C14">
        <f t="shared" si="2"/>
        <v>11.030570546236385</v>
      </c>
    </row>
    <row r="15" spans="1:6" x14ac:dyDescent="0.35">
      <c r="A15">
        <f t="shared" si="1"/>
        <v>12</v>
      </c>
      <c r="B15">
        <v>0.76264316334985571</v>
      </c>
      <c r="C15">
        <f t="shared" si="2"/>
        <v>12.79321370958624</v>
      </c>
    </row>
    <row r="16" spans="1:6" x14ac:dyDescent="0.35">
      <c r="A16">
        <f t="shared" si="1"/>
        <v>13</v>
      </c>
      <c r="B16">
        <v>1.1477413235228351</v>
      </c>
      <c r="C16">
        <f t="shared" si="2"/>
        <v>14.940955033109075</v>
      </c>
    </row>
    <row r="17" spans="1:3" x14ac:dyDescent="0.35">
      <c r="A17">
        <f t="shared" si="1"/>
        <v>14</v>
      </c>
      <c r="B17">
        <v>-0.26551094891734961</v>
      </c>
      <c r="C17">
        <f t="shared" si="2"/>
        <v>15.675444084191726</v>
      </c>
    </row>
    <row r="18" spans="1:3" x14ac:dyDescent="0.35">
      <c r="A18">
        <f t="shared" si="1"/>
        <v>15</v>
      </c>
      <c r="B18">
        <v>-0.40737494936561824</v>
      </c>
      <c r="C18">
        <f t="shared" si="2"/>
        <v>16.268069134826106</v>
      </c>
    </row>
    <row r="19" spans="1:3" x14ac:dyDescent="0.35">
      <c r="A19">
        <f t="shared" si="1"/>
        <v>16</v>
      </c>
      <c r="B19">
        <v>-0.54822365500732795</v>
      </c>
      <c r="C19">
        <f t="shared" si="2"/>
        <v>16.71984547981878</v>
      </c>
    </row>
    <row r="20" spans="1:3" x14ac:dyDescent="0.35">
      <c r="A20">
        <f t="shared" si="1"/>
        <v>17</v>
      </c>
      <c r="B20">
        <v>-0.18775561715920544</v>
      </c>
      <c r="C20">
        <f t="shared" si="2"/>
        <v>17.532089862659575</v>
      </c>
    </row>
    <row r="21" spans="1:3" x14ac:dyDescent="0.35">
      <c r="A21">
        <f t="shared" si="1"/>
        <v>18</v>
      </c>
      <c r="B21">
        <v>0.21686806072400985</v>
      </c>
      <c r="C21">
        <f t="shared" si="2"/>
        <v>18.748957923383585</v>
      </c>
    </row>
    <row r="22" spans="1:3" x14ac:dyDescent="0.35">
      <c r="A22">
        <f t="shared" si="1"/>
        <v>19</v>
      </c>
      <c r="B22">
        <v>-0.35074730259174364</v>
      </c>
      <c r="C22">
        <f t="shared" si="2"/>
        <v>19.398210620791843</v>
      </c>
    </row>
    <row r="23" spans="1:3" x14ac:dyDescent="0.35">
      <c r="A23">
        <f t="shared" si="1"/>
        <v>20</v>
      </c>
      <c r="B23" s="4">
        <v>-0.88846166605536103</v>
      </c>
      <c r="C23" s="4">
        <f t="shared" si="2"/>
        <v>19.509748954736484</v>
      </c>
    </row>
    <row r="25" spans="1:3" x14ac:dyDescent="0.35">
      <c r="B25" t="s">
        <v>207</v>
      </c>
      <c r="C25" s="20" t="s">
        <v>210</v>
      </c>
    </row>
    <row r="26" spans="1:3" x14ac:dyDescent="0.35">
      <c r="B26" t="s">
        <v>208</v>
      </c>
      <c r="C26" t="e" cm="1">
        <f t="array" aca="1" ref="C26" ca="1">FTEXT(C4)</f>
        <v>#NAME?</v>
      </c>
    </row>
    <row r="27" spans="1:3" x14ac:dyDescent="0.35">
      <c r="B27" t="s">
        <v>209</v>
      </c>
      <c r="C27" t="e" cm="1">
        <f t="array" aca="1" ref="C27" ca="1">FTEXT(C5)</f>
        <v>#NAME?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62"/>
  <dimension ref="A1:F27"/>
  <sheetViews>
    <sheetView workbookViewId="0">
      <selection activeCell="B4" sqref="B4"/>
    </sheetView>
  </sheetViews>
  <sheetFormatPr defaultRowHeight="14.5" x14ac:dyDescent="0.35"/>
  <cols>
    <col min="1" max="1" width="4.54296875" customWidth="1"/>
    <col min="2" max="2" width="8.54296875" customWidth="1"/>
  </cols>
  <sheetData>
    <row r="1" spans="1:6" x14ac:dyDescent="0.35">
      <c r="A1" s="7" t="s">
        <v>126</v>
      </c>
      <c r="B1" s="7"/>
    </row>
    <row r="3" spans="1:6" x14ac:dyDescent="0.35">
      <c r="B3" s="64" t="s">
        <v>110</v>
      </c>
      <c r="C3" s="64" t="s">
        <v>184</v>
      </c>
      <c r="E3" s="64" t="s">
        <v>78</v>
      </c>
      <c r="F3" s="64" t="s">
        <v>77</v>
      </c>
    </row>
    <row r="4" spans="1:6" x14ac:dyDescent="0.35">
      <c r="A4">
        <v>1</v>
      </c>
      <c r="B4">
        <f>'RW 1'!C4</f>
        <v>1.528445389947839</v>
      </c>
      <c r="E4" s="60">
        <v>1</v>
      </c>
      <c r="F4" t="e" cm="1">
        <f t="array" aca="1" ref="F4" ca="1">ACF($C$5:$C$23,E4)</f>
        <v>#NAME?</v>
      </c>
    </row>
    <row r="5" spans="1:6" x14ac:dyDescent="0.35">
      <c r="A5">
        <f>A4+1</f>
        <v>2</v>
      </c>
      <c r="B5">
        <f>'RW 1'!C5</f>
        <v>1.9875093541029578</v>
      </c>
      <c r="C5">
        <f>B5-B4</f>
        <v>0.45906396415511885</v>
      </c>
      <c r="E5" s="60">
        <f t="shared" ref="E5:E10" si="0">E4+1</f>
        <v>2</v>
      </c>
      <c r="F5" t="e" cm="1">
        <f t="array" aca="1" ref="F5" ca="1">ACF($C$5:$C$23,E5)</f>
        <v>#NAME?</v>
      </c>
    </row>
    <row r="6" spans="1:6" x14ac:dyDescent="0.35">
      <c r="A6">
        <f t="shared" ref="A6:A23" si="1">A5+1</f>
        <v>3</v>
      </c>
      <c r="B6">
        <f>'RW 1'!C6</f>
        <v>4.1892608098697028</v>
      </c>
      <c r="C6">
        <f t="shared" ref="C6:C23" si="2">B6-B5</f>
        <v>2.201751455766745</v>
      </c>
      <c r="E6" s="60">
        <f t="shared" si="0"/>
        <v>3</v>
      </c>
      <c r="F6" t="e" cm="1">
        <f t="array" aca="1" ref="F6" ca="1">ACF($C$5:$C$23,E6)</f>
        <v>#NAME?</v>
      </c>
    </row>
    <row r="7" spans="1:6" x14ac:dyDescent="0.35">
      <c r="A7">
        <f t="shared" si="1"/>
        <v>4</v>
      </c>
      <c r="B7">
        <f>'RW 1'!C7</f>
        <v>4.9794896316597557</v>
      </c>
      <c r="C7">
        <f t="shared" si="2"/>
        <v>0.79022882179005283</v>
      </c>
      <c r="E7" s="60">
        <f t="shared" si="0"/>
        <v>4</v>
      </c>
      <c r="F7" t="e" cm="1">
        <f t="array" aca="1" ref="F7" ca="1">ACF($C$5:$C$23,E7)</f>
        <v>#NAME?</v>
      </c>
    </row>
    <row r="8" spans="1:6" x14ac:dyDescent="0.35">
      <c r="A8">
        <f t="shared" si="1"/>
        <v>5</v>
      </c>
      <c r="B8">
        <f>'RW 1'!C8</f>
        <v>6.103560875846485</v>
      </c>
      <c r="C8">
        <f t="shared" si="2"/>
        <v>1.1240712441867293</v>
      </c>
      <c r="E8" s="60">
        <f t="shared" si="0"/>
        <v>5</v>
      </c>
      <c r="F8" t="e" cm="1">
        <f t="array" aca="1" ref="F8" ca="1">ACF($C$5:$C$23,E8)</f>
        <v>#NAME?</v>
      </c>
    </row>
    <row r="9" spans="1:6" x14ac:dyDescent="0.35">
      <c r="A9">
        <f t="shared" si="1"/>
        <v>6</v>
      </c>
      <c r="B9">
        <f>'RW 1'!C9</f>
        <v>7.4118098676343207</v>
      </c>
      <c r="C9">
        <f t="shared" si="2"/>
        <v>1.3082489917878357</v>
      </c>
      <c r="E9" s="60">
        <f t="shared" si="0"/>
        <v>6</v>
      </c>
      <c r="F9" t="e" cm="1">
        <f t="array" aca="1" ref="F9" ca="1">ACF($C$5:$C$23,E9)</f>
        <v>#NAME?</v>
      </c>
    </row>
    <row r="10" spans="1:6" x14ac:dyDescent="0.35">
      <c r="A10">
        <f t="shared" si="1"/>
        <v>7</v>
      </c>
      <c r="B10">
        <f>'RW 1'!C10</f>
        <v>7.9261521353798914</v>
      </c>
      <c r="C10">
        <f t="shared" si="2"/>
        <v>0.51434226774557068</v>
      </c>
      <c r="E10" s="10">
        <f t="shared" si="0"/>
        <v>7</v>
      </c>
      <c r="F10" s="4" t="e" cm="1">
        <f t="array" aca="1" ref="F10" ca="1">ACF($C$5:$C$23,E10)</f>
        <v>#NAME?</v>
      </c>
    </row>
    <row r="11" spans="1:6" x14ac:dyDescent="0.35">
      <c r="A11">
        <f t="shared" si="1"/>
        <v>8</v>
      </c>
      <c r="B11">
        <f>'RW 1'!C11</f>
        <v>8.52934220457945</v>
      </c>
      <c r="C11">
        <f t="shared" si="2"/>
        <v>0.60319006919955864</v>
      </c>
    </row>
    <row r="12" spans="1:6" x14ac:dyDescent="0.35">
      <c r="A12">
        <f t="shared" si="1"/>
        <v>9</v>
      </c>
      <c r="B12">
        <f>'RW 1'!C12</f>
        <v>9.5507814158489168</v>
      </c>
      <c r="C12">
        <f t="shared" si="2"/>
        <v>1.0214392112694668</v>
      </c>
      <c r="E12" t="s">
        <v>89</v>
      </c>
      <c r="F12" s="23" t="e" cm="1">
        <f t="array" aca="1" ref="F12" ca="1">LJUNG(C5:C23,,7)</f>
        <v>#NAME?</v>
      </c>
    </row>
    <row r="13" spans="1:6" x14ac:dyDescent="0.35">
      <c r="A13">
        <f t="shared" si="1"/>
        <v>10</v>
      </c>
      <c r="B13">
        <f>'RW 1'!C13</f>
        <v>10.149044506772244</v>
      </c>
      <c r="C13">
        <f t="shared" si="2"/>
        <v>0.59826309092332686</v>
      </c>
      <c r="E13" t="s">
        <v>92</v>
      </c>
      <c r="F13" s="34" t="e" cm="1">
        <f t="array" aca="1" ref="F13" ca="1">LBTEST(C5:C23,,7)</f>
        <v>#NAME?</v>
      </c>
    </row>
    <row r="14" spans="1:6" x14ac:dyDescent="0.35">
      <c r="A14">
        <f t="shared" si="1"/>
        <v>11</v>
      </c>
      <c r="B14">
        <f>'RW 1'!C14</f>
        <v>11.030570546236385</v>
      </c>
      <c r="C14">
        <f t="shared" si="2"/>
        <v>0.88152603946414132</v>
      </c>
    </row>
    <row r="15" spans="1:6" x14ac:dyDescent="0.35">
      <c r="A15">
        <f t="shared" si="1"/>
        <v>12</v>
      </c>
      <c r="B15">
        <f>'RW 1'!C15</f>
        <v>12.79321370958624</v>
      </c>
      <c r="C15">
        <f t="shared" si="2"/>
        <v>1.7626431633498552</v>
      </c>
    </row>
    <row r="16" spans="1:6" x14ac:dyDescent="0.35">
      <c r="A16">
        <f t="shared" si="1"/>
        <v>13</v>
      </c>
      <c r="B16">
        <f>'RW 1'!C16</f>
        <v>14.940955033109075</v>
      </c>
      <c r="C16">
        <f t="shared" si="2"/>
        <v>2.1477413235228351</v>
      </c>
    </row>
    <row r="17" spans="1:3" x14ac:dyDescent="0.35">
      <c r="A17">
        <f t="shared" si="1"/>
        <v>14</v>
      </c>
      <c r="B17">
        <f>'RW 1'!C17</f>
        <v>15.675444084191726</v>
      </c>
      <c r="C17">
        <f t="shared" si="2"/>
        <v>0.73448905108265095</v>
      </c>
    </row>
    <row r="18" spans="1:3" x14ac:dyDescent="0.35">
      <c r="A18">
        <f t="shared" si="1"/>
        <v>15</v>
      </c>
      <c r="B18">
        <f>'RW 1'!C18</f>
        <v>16.268069134826106</v>
      </c>
      <c r="C18">
        <f t="shared" si="2"/>
        <v>0.5926250506343802</v>
      </c>
    </row>
    <row r="19" spans="1:3" x14ac:dyDescent="0.35">
      <c r="A19">
        <f t="shared" si="1"/>
        <v>16</v>
      </c>
      <c r="B19">
        <f>'RW 1'!C19</f>
        <v>16.71984547981878</v>
      </c>
      <c r="C19">
        <f t="shared" si="2"/>
        <v>0.45177634499267327</v>
      </c>
    </row>
    <row r="20" spans="1:3" x14ac:dyDescent="0.35">
      <c r="A20">
        <f t="shared" si="1"/>
        <v>17</v>
      </c>
      <c r="B20">
        <f>'RW 1'!C20</f>
        <v>17.532089862659575</v>
      </c>
      <c r="C20">
        <f t="shared" si="2"/>
        <v>0.81224438284079525</v>
      </c>
    </row>
    <row r="21" spans="1:3" x14ac:dyDescent="0.35">
      <c r="A21">
        <f t="shared" si="1"/>
        <v>18</v>
      </c>
      <c r="B21">
        <f>'RW 1'!C21</f>
        <v>18.748957923383585</v>
      </c>
      <c r="C21">
        <f t="shared" si="2"/>
        <v>1.2168680607240105</v>
      </c>
    </row>
    <row r="22" spans="1:3" x14ac:dyDescent="0.35">
      <c r="A22">
        <f t="shared" si="1"/>
        <v>19</v>
      </c>
      <c r="B22">
        <f>'RW 1'!C22</f>
        <v>19.398210620791843</v>
      </c>
      <c r="C22">
        <f t="shared" si="2"/>
        <v>0.64925269740825797</v>
      </c>
    </row>
    <row r="23" spans="1:3" x14ac:dyDescent="0.35">
      <c r="A23">
        <f t="shared" si="1"/>
        <v>20</v>
      </c>
      <c r="B23" s="4">
        <f>'RW 1'!C23</f>
        <v>19.509748954736484</v>
      </c>
      <c r="C23" s="4">
        <f t="shared" si="2"/>
        <v>0.1115383339446403</v>
      </c>
    </row>
    <row r="25" spans="1:3" x14ac:dyDescent="0.35">
      <c r="B25" t="s">
        <v>207</v>
      </c>
      <c r="C25" t="e" cm="1">
        <f t="array" aca="1" ref="C25" ca="1">FTEXT(B4)</f>
        <v>#NAME?</v>
      </c>
    </row>
    <row r="26" spans="1:3" x14ac:dyDescent="0.35">
      <c r="B26" t="s">
        <v>208</v>
      </c>
      <c r="C26" t="e" cm="1">
        <f t="array" aca="1" ref="C26" ca="1">FTEXT(C4)</f>
        <v>#NAME?</v>
      </c>
    </row>
    <row r="27" spans="1:3" x14ac:dyDescent="0.35">
      <c r="B27" t="s">
        <v>209</v>
      </c>
      <c r="C27" t="e" cm="1">
        <f t="array" aca="1" ref="C27" ca="1">FTEXT(C5)</f>
        <v>#NAME?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63"/>
  <dimension ref="A1:F27"/>
  <sheetViews>
    <sheetView workbookViewId="0"/>
  </sheetViews>
  <sheetFormatPr defaultRowHeight="14.5" x14ac:dyDescent="0.35"/>
  <cols>
    <col min="1" max="1" width="4.54296875" customWidth="1"/>
    <col min="2" max="2" width="8.54296875" customWidth="1"/>
    <col min="4" max="4" width="4" customWidth="1"/>
    <col min="5" max="5" width="9.1796875" customWidth="1"/>
  </cols>
  <sheetData>
    <row r="1" spans="1:6" x14ac:dyDescent="0.35">
      <c r="A1" s="7" t="s">
        <v>211</v>
      </c>
      <c r="B1" s="7"/>
    </row>
    <row r="3" spans="1:6" x14ac:dyDescent="0.35">
      <c r="B3" s="64" t="s">
        <v>107</v>
      </c>
      <c r="C3" s="64" t="s">
        <v>110</v>
      </c>
      <c r="E3" s="64" t="s">
        <v>78</v>
      </c>
      <c r="F3" s="64" t="s">
        <v>77</v>
      </c>
    </row>
    <row r="4" spans="1:6" x14ac:dyDescent="0.35">
      <c r="A4">
        <v>1</v>
      </c>
      <c r="B4">
        <v>0.92105927438598267</v>
      </c>
      <c r="C4">
        <f>A4+B4</f>
        <v>1.9210592743859827</v>
      </c>
      <c r="E4" s="60">
        <v>1</v>
      </c>
      <c r="F4" t="e" cm="1">
        <f t="array" aca="1" ref="F4" ca="1">ACF($C$4:$C$23,E4)</f>
        <v>#NAME?</v>
      </c>
    </row>
    <row r="5" spans="1:6" x14ac:dyDescent="0.35">
      <c r="A5">
        <f>A4+1</f>
        <v>2</v>
      </c>
      <c r="B5">
        <v>-0.13841982172833603</v>
      </c>
      <c r="C5">
        <f t="shared" ref="C5:C23" si="0">A5+B5</f>
        <v>1.8615801782716639</v>
      </c>
      <c r="E5" s="60">
        <f t="shared" ref="E5:E10" si="1">E4+1</f>
        <v>2</v>
      </c>
      <c r="F5" t="e" cm="1">
        <f t="array" aca="1" ref="F5" ca="1">ACF($C$4:$C$23,E5)</f>
        <v>#NAME?</v>
      </c>
    </row>
    <row r="6" spans="1:6" x14ac:dyDescent="0.35">
      <c r="A6">
        <f t="shared" ref="A6:A23" si="2">A5+1</f>
        <v>3</v>
      </c>
      <c r="B6">
        <v>1.1781451823238465</v>
      </c>
      <c r="C6">
        <f t="shared" si="0"/>
        <v>4.1781451823238465</v>
      </c>
      <c r="E6" s="60">
        <f t="shared" si="1"/>
        <v>3</v>
      </c>
      <c r="F6" t="e" cm="1">
        <f t="array" aca="1" ref="F6" ca="1">ACF($C$4:$C$23,E6)</f>
        <v>#NAME?</v>
      </c>
    </row>
    <row r="7" spans="1:6" x14ac:dyDescent="0.35">
      <c r="A7">
        <f t="shared" si="2"/>
        <v>4</v>
      </c>
      <c r="B7">
        <v>0.27578308724763428</v>
      </c>
      <c r="C7">
        <f t="shared" si="0"/>
        <v>4.2757830872476346</v>
      </c>
      <c r="E7" s="60">
        <f t="shared" si="1"/>
        <v>4</v>
      </c>
      <c r="F7" t="e" cm="1">
        <f t="array" aca="1" ref="F7" ca="1">ACF($C$4:$C$23,E7)</f>
        <v>#NAME?</v>
      </c>
    </row>
    <row r="8" spans="1:6" x14ac:dyDescent="0.35">
      <c r="A8">
        <f t="shared" si="2"/>
        <v>5</v>
      </c>
      <c r="B8">
        <v>0.74754161736526492</v>
      </c>
      <c r="C8">
        <f t="shared" si="0"/>
        <v>5.7475416173652647</v>
      </c>
      <c r="E8" s="60">
        <f t="shared" si="1"/>
        <v>5</v>
      </c>
      <c r="F8" t="e" cm="1">
        <f t="array" aca="1" ref="F8" ca="1">ACF($C$4:$C$23,E8)</f>
        <v>#NAME?</v>
      </c>
    </row>
    <row r="9" spans="1:6" x14ac:dyDescent="0.35">
      <c r="A9">
        <f t="shared" si="2"/>
        <v>6</v>
      </c>
      <c r="B9">
        <v>1.2179008532428202</v>
      </c>
      <c r="C9">
        <f t="shared" si="0"/>
        <v>7.2179008532428206</v>
      </c>
      <c r="E9" s="60">
        <f t="shared" si="1"/>
        <v>6</v>
      </c>
      <c r="F9" t="e" cm="1">
        <f t="array" aca="1" ref="F9" ca="1">ACF($C$4:$C$23,E9)</f>
        <v>#NAME?</v>
      </c>
    </row>
    <row r="10" spans="1:6" x14ac:dyDescent="0.35">
      <c r="A10">
        <f t="shared" si="2"/>
        <v>7</v>
      </c>
      <c r="B10">
        <v>-0.68939664851859872</v>
      </c>
      <c r="C10">
        <f t="shared" si="0"/>
        <v>6.3106033514814008</v>
      </c>
      <c r="E10" s="10">
        <f t="shared" si="1"/>
        <v>7</v>
      </c>
      <c r="F10" s="4" t="e" cm="1">
        <f t="array" aca="1" ref="F10" ca="1">ACF($C$4:$C$23,E10)</f>
        <v>#NAME?</v>
      </c>
    </row>
    <row r="11" spans="1:6" x14ac:dyDescent="0.35">
      <c r="A11">
        <f t="shared" si="2"/>
        <v>8</v>
      </c>
      <c r="B11">
        <v>-0.90646600359289242</v>
      </c>
      <c r="C11">
        <f t="shared" si="0"/>
        <v>7.0935339964071078</v>
      </c>
    </row>
    <row r="12" spans="1:6" x14ac:dyDescent="0.35">
      <c r="A12">
        <f t="shared" si="2"/>
        <v>9</v>
      </c>
      <c r="B12">
        <v>0.98723265084048883</v>
      </c>
      <c r="C12">
        <f t="shared" si="0"/>
        <v>9.9872326508404896</v>
      </c>
      <c r="E12" t="s">
        <v>89</v>
      </c>
      <c r="F12" s="23" t="e" cm="1">
        <f t="array" aca="1" ref="F12" ca="1">LJUNG(C5:C23,,7)</f>
        <v>#NAME?</v>
      </c>
    </row>
    <row r="13" spans="1:6" x14ac:dyDescent="0.35">
      <c r="A13">
        <f t="shared" si="2"/>
        <v>10</v>
      </c>
      <c r="B13">
        <v>0.11392741537369618</v>
      </c>
      <c r="C13">
        <f t="shared" si="0"/>
        <v>10.113927415373697</v>
      </c>
      <c r="E13" t="s">
        <v>92</v>
      </c>
      <c r="F13" s="34" t="e" cm="1">
        <f t="array" aca="1" ref="F13" ca="1">LBTEST(C5:C23,,7)</f>
        <v>#NAME?</v>
      </c>
    </row>
    <row r="14" spans="1:6" x14ac:dyDescent="0.35">
      <c r="A14">
        <f t="shared" si="2"/>
        <v>11</v>
      </c>
      <c r="B14">
        <v>2.2363176677074073</v>
      </c>
      <c r="C14">
        <f t="shared" si="0"/>
        <v>13.236317667707407</v>
      </c>
    </row>
    <row r="15" spans="1:6" x14ac:dyDescent="0.35">
      <c r="A15">
        <f t="shared" si="2"/>
        <v>12</v>
      </c>
      <c r="B15">
        <v>0.35867534822534219</v>
      </c>
      <c r="C15">
        <f t="shared" si="0"/>
        <v>12.358675348225342</v>
      </c>
    </row>
    <row r="16" spans="1:6" x14ac:dyDescent="0.35">
      <c r="A16">
        <f t="shared" si="2"/>
        <v>13</v>
      </c>
      <c r="B16">
        <v>-0.51422500710702856</v>
      </c>
      <c r="C16">
        <f t="shared" si="0"/>
        <v>12.485774992892971</v>
      </c>
    </row>
    <row r="17" spans="1:3" x14ac:dyDescent="0.35">
      <c r="A17">
        <f t="shared" si="2"/>
        <v>14</v>
      </c>
      <c r="B17">
        <v>1.3389809812230244</v>
      </c>
      <c r="C17">
        <f t="shared" si="0"/>
        <v>15.338980981223024</v>
      </c>
    </row>
    <row r="18" spans="1:3" x14ac:dyDescent="0.35">
      <c r="A18">
        <f t="shared" si="2"/>
        <v>15</v>
      </c>
      <c r="B18">
        <v>-1.0881663415779583</v>
      </c>
      <c r="C18">
        <f t="shared" si="0"/>
        <v>13.911833658422042</v>
      </c>
    </row>
    <row r="19" spans="1:3" x14ac:dyDescent="0.35">
      <c r="A19">
        <f t="shared" si="2"/>
        <v>16</v>
      </c>
      <c r="B19">
        <v>1.1414849550297648</v>
      </c>
      <c r="C19">
        <f t="shared" si="0"/>
        <v>17.141484955029764</v>
      </c>
    </row>
    <row r="20" spans="1:3" x14ac:dyDescent="0.35">
      <c r="A20">
        <f t="shared" si="2"/>
        <v>17</v>
      </c>
      <c r="B20">
        <v>-0.81466303481884073</v>
      </c>
      <c r="C20">
        <f t="shared" si="0"/>
        <v>16.185336965181158</v>
      </c>
    </row>
    <row r="21" spans="1:3" x14ac:dyDescent="0.35">
      <c r="A21">
        <f t="shared" si="2"/>
        <v>18</v>
      </c>
      <c r="B21">
        <v>2.1576336919028001</v>
      </c>
      <c r="C21">
        <f t="shared" si="0"/>
        <v>20.157633691902799</v>
      </c>
    </row>
    <row r="22" spans="1:3" x14ac:dyDescent="0.35">
      <c r="A22">
        <f t="shared" si="2"/>
        <v>19</v>
      </c>
      <c r="B22">
        <v>-0.30655222776992613</v>
      </c>
      <c r="C22">
        <f t="shared" si="0"/>
        <v>18.693447772230073</v>
      </c>
    </row>
    <row r="23" spans="1:3" x14ac:dyDescent="0.35">
      <c r="A23">
        <f t="shared" si="2"/>
        <v>20</v>
      </c>
      <c r="B23" s="4">
        <v>-0.11064846855926623</v>
      </c>
      <c r="C23" s="4">
        <f t="shared" si="0"/>
        <v>19.889351531440735</v>
      </c>
    </row>
    <row r="25" spans="1:3" x14ac:dyDescent="0.35">
      <c r="B25" t="s">
        <v>207</v>
      </c>
      <c r="C25" s="20" t="s">
        <v>212</v>
      </c>
    </row>
    <row r="26" spans="1:3" x14ac:dyDescent="0.35">
      <c r="B26" t="s">
        <v>208</v>
      </c>
      <c r="C26" t="e" cm="1">
        <f t="array" aca="1" ref="C26" ca="1">FTEXT(C4)</f>
        <v>#NAME?</v>
      </c>
    </row>
    <row r="27" spans="1:3" x14ac:dyDescent="0.35">
      <c r="B27" t="s">
        <v>209</v>
      </c>
      <c r="C27" t="e" cm="1">
        <f t="array" aca="1" ref="C27" ca="1">FTEXT(C5)</f>
        <v>#NAME?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64"/>
  <dimension ref="A1:F27"/>
  <sheetViews>
    <sheetView workbookViewId="0">
      <selection activeCell="B23" sqref="B23"/>
    </sheetView>
  </sheetViews>
  <sheetFormatPr defaultRowHeight="14.5" x14ac:dyDescent="0.35"/>
  <cols>
    <col min="1" max="1" width="4.54296875" customWidth="1"/>
    <col min="2" max="2" width="8.54296875" customWidth="1"/>
    <col min="4" max="4" width="5.54296875" customWidth="1"/>
  </cols>
  <sheetData>
    <row r="1" spans="1:6" x14ac:dyDescent="0.35">
      <c r="A1" s="7" t="s">
        <v>211</v>
      </c>
      <c r="B1" s="7"/>
    </row>
    <row r="3" spans="1:6" x14ac:dyDescent="0.35">
      <c r="B3" s="64" t="s">
        <v>110</v>
      </c>
      <c r="C3" s="64" t="s">
        <v>213</v>
      </c>
      <c r="E3" s="64" t="s">
        <v>78</v>
      </c>
      <c r="F3" s="64" t="s">
        <v>77</v>
      </c>
    </row>
    <row r="4" spans="1:6" x14ac:dyDescent="0.35">
      <c r="A4">
        <v>1</v>
      </c>
      <c r="B4">
        <f>'DT 1'!C4</f>
        <v>1.9210592743859827</v>
      </c>
      <c r="C4">
        <f>B4-A4</f>
        <v>0.92105927438598267</v>
      </c>
      <c r="E4" s="60">
        <v>1</v>
      </c>
      <c r="F4" t="e" cm="1">
        <f t="array" aca="1" ref="F4" ca="1">ACF($C$4:$C$23,E4)</f>
        <v>#NAME?</v>
      </c>
    </row>
    <row r="5" spans="1:6" x14ac:dyDescent="0.35">
      <c r="A5">
        <f>A4+1</f>
        <v>2</v>
      </c>
      <c r="B5">
        <f>'DT 1'!C5</f>
        <v>1.8615801782716639</v>
      </c>
      <c r="C5">
        <f t="shared" ref="C5:C23" si="0">B5-A5</f>
        <v>-0.13841982172833611</v>
      </c>
      <c r="E5" s="60">
        <f t="shared" ref="E5:E10" si="1">E4+1</f>
        <v>2</v>
      </c>
      <c r="F5" t="e" cm="1">
        <f t="array" aca="1" ref="F5" ca="1">ACF($C$4:$C$23,E5)</f>
        <v>#NAME?</v>
      </c>
    </row>
    <row r="6" spans="1:6" x14ac:dyDescent="0.35">
      <c r="A6">
        <f t="shared" ref="A6:A23" si="2">A5+1</f>
        <v>3</v>
      </c>
      <c r="B6">
        <f>'DT 1'!C6</f>
        <v>4.1781451823238465</v>
      </c>
      <c r="C6">
        <f t="shared" si="0"/>
        <v>1.1781451823238465</v>
      </c>
      <c r="E6" s="60">
        <f t="shared" si="1"/>
        <v>3</v>
      </c>
      <c r="F6" t="e" cm="1">
        <f t="array" aca="1" ref="F6" ca="1">ACF($C$4:$C$23,E6)</f>
        <v>#NAME?</v>
      </c>
    </row>
    <row r="7" spans="1:6" x14ac:dyDescent="0.35">
      <c r="A7">
        <f t="shared" si="2"/>
        <v>4</v>
      </c>
      <c r="B7">
        <f>'DT 1'!C7</f>
        <v>4.2757830872476346</v>
      </c>
      <c r="C7">
        <f t="shared" si="0"/>
        <v>0.27578308724763456</v>
      </c>
      <c r="E7" s="60">
        <f t="shared" si="1"/>
        <v>4</v>
      </c>
      <c r="F7" t="e" cm="1">
        <f t="array" aca="1" ref="F7" ca="1">ACF($C$4:$C$23,E7)</f>
        <v>#NAME?</v>
      </c>
    </row>
    <row r="8" spans="1:6" x14ac:dyDescent="0.35">
      <c r="A8">
        <f t="shared" si="2"/>
        <v>5</v>
      </c>
      <c r="B8">
        <f>'DT 1'!C8</f>
        <v>5.7475416173652647</v>
      </c>
      <c r="C8">
        <f t="shared" si="0"/>
        <v>0.7475416173652647</v>
      </c>
      <c r="E8" s="60">
        <f t="shared" si="1"/>
        <v>5</v>
      </c>
      <c r="F8" t="e" cm="1">
        <f t="array" aca="1" ref="F8" ca="1">ACF($C$4:$C$23,E8)</f>
        <v>#NAME?</v>
      </c>
    </row>
    <row r="9" spans="1:6" x14ac:dyDescent="0.35">
      <c r="A9">
        <f t="shared" si="2"/>
        <v>6</v>
      </c>
      <c r="B9">
        <f>'DT 1'!C9</f>
        <v>7.2179008532428206</v>
      </c>
      <c r="C9">
        <f t="shared" si="0"/>
        <v>1.2179008532428206</v>
      </c>
      <c r="E9" s="60">
        <f t="shared" si="1"/>
        <v>6</v>
      </c>
      <c r="F9" t="e" cm="1">
        <f t="array" aca="1" ref="F9" ca="1">ACF($C$4:$C$23,E9)</f>
        <v>#NAME?</v>
      </c>
    </row>
    <row r="10" spans="1:6" x14ac:dyDescent="0.35">
      <c r="A10">
        <f t="shared" si="2"/>
        <v>7</v>
      </c>
      <c r="B10">
        <f>'DT 1'!C10</f>
        <v>6.3106033514814008</v>
      </c>
      <c r="C10">
        <f t="shared" si="0"/>
        <v>-0.68939664851859916</v>
      </c>
      <c r="E10" s="10">
        <f t="shared" si="1"/>
        <v>7</v>
      </c>
      <c r="F10" s="4" t="e" cm="1">
        <f t="array" aca="1" ref="F10" ca="1">ACF($C$4:$C$23,E10)</f>
        <v>#NAME?</v>
      </c>
    </row>
    <row r="11" spans="1:6" x14ac:dyDescent="0.35">
      <c r="A11">
        <f t="shared" si="2"/>
        <v>8</v>
      </c>
      <c r="B11">
        <f>'DT 1'!C11</f>
        <v>7.0935339964071078</v>
      </c>
      <c r="C11">
        <f t="shared" si="0"/>
        <v>-0.9064660035928922</v>
      </c>
    </row>
    <row r="12" spans="1:6" x14ac:dyDescent="0.35">
      <c r="A12">
        <f t="shared" si="2"/>
        <v>9</v>
      </c>
      <c r="B12">
        <f>'DT 1'!C12</f>
        <v>9.9872326508404896</v>
      </c>
      <c r="C12">
        <f t="shared" si="0"/>
        <v>0.98723265084048961</v>
      </c>
      <c r="E12" t="s">
        <v>89</v>
      </c>
      <c r="F12" s="23" t="e" cm="1">
        <f t="array" aca="1" ref="F12" ca="1">LJUNG(C5:C23,,7)</f>
        <v>#NAME?</v>
      </c>
    </row>
    <row r="13" spans="1:6" x14ac:dyDescent="0.35">
      <c r="A13">
        <f t="shared" si="2"/>
        <v>10</v>
      </c>
      <c r="B13">
        <f>'DT 1'!C13</f>
        <v>10.113927415373697</v>
      </c>
      <c r="C13">
        <f t="shared" si="0"/>
        <v>0.11392741537369666</v>
      </c>
      <c r="E13" t="s">
        <v>92</v>
      </c>
      <c r="F13" s="34" t="e" cm="1">
        <f t="array" aca="1" ref="F13" ca="1">LBTEST(C5:C23,,7)</f>
        <v>#NAME?</v>
      </c>
    </row>
    <row r="14" spans="1:6" x14ac:dyDescent="0.35">
      <c r="A14">
        <f t="shared" si="2"/>
        <v>11</v>
      </c>
      <c r="B14">
        <f>'DT 1'!C14</f>
        <v>13.236317667707407</v>
      </c>
      <c r="C14">
        <f t="shared" si="0"/>
        <v>2.2363176677074073</v>
      </c>
    </row>
    <row r="15" spans="1:6" x14ac:dyDescent="0.35">
      <c r="A15">
        <f t="shared" si="2"/>
        <v>12</v>
      </c>
      <c r="B15">
        <f>'DT 1'!C15</f>
        <v>12.358675348225342</v>
      </c>
      <c r="C15">
        <f t="shared" si="0"/>
        <v>0.35867534822534175</v>
      </c>
    </row>
    <row r="16" spans="1:6" x14ac:dyDescent="0.35">
      <c r="A16">
        <f t="shared" si="2"/>
        <v>13</v>
      </c>
      <c r="B16">
        <f>'DT 1'!C16</f>
        <v>12.485774992892971</v>
      </c>
      <c r="C16">
        <f t="shared" si="0"/>
        <v>-0.51422500710702934</v>
      </c>
    </row>
    <row r="17" spans="1:3" x14ac:dyDescent="0.35">
      <c r="A17">
        <f t="shared" si="2"/>
        <v>14</v>
      </c>
      <c r="B17">
        <f>'DT 1'!C17</f>
        <v>15.338980981223024</v>
      </c>
      <c r="C17">
        <f t="shared" si="0"/>
        <v>1.338980981223024</v>
      </c>
    </row>
    <row r="18" spans="1:3" x14ac:dyDescent="0.35">
      <c r="A18">
        <f t="shared" si="2"/>
        <v>15</v>
      </c>
      <c r="B18">
        <f>'DT 1'!C18</f>
        <v>13.911833658422042</v>
      </c>
      <c r="C18">
        <f t="shared" si="0"/>
        <v>-1.0881663415779581</v>
      </c>
    </row>
    <row r="19" spans="1:3" x14ac:dyDescent="0.35">
      <c r="A19">
        <f t="shared" si="2"/>
        <v>16</v>
      </c>
      <c r="B19">
        <f>'DT 1'!C19</f>
        <v>17.141484955029764</v>
      </c>
      <c r="C19">
        <f t="shared" si="0"/>
        <v>1.1414849550297639</v>
      </c>
    </row>
    <row r="20" spans="1:3" x14ac:dyDescent="0.35">
      <c r="A20">
        <f t="shared" si="2"/>
        <v>17</v>
      </c>
      <c r="B20">
        <f>'DT 1'!C20</f>
        <v>16.185336965181158</v>
      </c>
      <c r="C20">
        <f t="shared" si="0"/>
        <v>-0.81466303481884239</v>
      </c>
    </row>
    <row r="21" spans="1:3" x14ac:dyDescent="0.35">
      <c r="A21">
        <f t="shared" si="2"/>
        <v>18</v>
      </c>
      <c r="B21">
        <f>'DT 1'!C21</f>
        <v>20.157633691902799</v>
      </c>
      <c r="C21">
        <f t="shared" si="0"/>
        <v>2.1576336919027987</v>
      </c>
    </row>
    <row r="22" spans="1:3" x14ac:dyDescent="0.35">
      <c r="A22">
        <f t="shared" si="2"/>
        <v>19</v>
      </c>
      <c r="B22">
        <f>'DT 1'!C22</f>
        <v>18.693447772230073</v>
      </c>
      <c r="C22">
        <f t="shared" si="0"/>
        <v>-0.3065522277699273</v>
      </c>
    </row>
    <row r="23" spans="1:3" x14ac:dyDescent="0.35">
      <c r="A23">
        <f t="shared" si="2"/>
        <v>20</v>
      </c>
      <c r="B23" s="4">
        <f>'DT 1'!C23</f>
        <v>19.889351531440735</v>
      </c>
      <c r="C23" s="4">
        <f t="shared" si="0"/>
        <v>-0.11064846855926547</v>
      </c>
    </row>
    <row r="25" spans="1:3" x14ac:dyDescent="0.35">
      <c r="B25" t="s">
        <v>207</v>
      </c>
      <c r="C25" t="e" cm="1">
        <f t="array" aca="1" ref="C25" ca="1">FTEXT(B4)</f>
        <v>#NAME?</v>
      </c>
    </row>
    <row r="26" spans="1:3" x14ac:dyDescent="0.35">
      <c r="B26" t="s">
        <v>208</v>
      </c>
      <c r="C26" t="e" cm="1">
        <f t="array" aca="1" ref="C26" ca="1">FTEXT(C4)</f>
        <v>#NAME?</v>
      </c>
    </row>
    <row r="27" spans="1:3" x14ac:dyDescent="0.35">
      <c r="B27" t="s">
        <v>209</v>
      </c>
      <c r="C27" t="e" cm="1">
        <f t="array" aca="1" ref="C27" ca="1">FTEXT(C5)</f>
        <v>#NAME?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06"/>
  <dimension ref="A1:P27"/>
  <sheetViews>
    <sheetView workbookViewId="0"/>
  </sheetViews>
  <sheetFormatPr defaultRowHeight="14.5" x14ac:dyDescent="0.35"/>
  <cols>
    <col min="1" max="1" width="11.26953125" customWidth="1"/>
    <col min="2" max="2" width="9.54296875" bestFit="1" customWidth="1"/>
    <col min="4" max="4" width="9.1796875" customWidth="1"/>
    <col min="6" max="6" width="4.26953125" customWidth="1"/>
    <col min="7" max="7" width="7.26953125" customWidth="1"/>
    <col min="9" max="9" width="4.26953125" customWidth="1"/>
    <col min="11" max="11" width="7.1796875" customWidth="1"/>
    <col min="14" max="14" width="4.26953125" customWidth="1"/>
    <col min="15" max="15" width="9.7265625" customWidth="1"/>
  </cols>
  <sheetData>
    <row r="1" spans="1:16" x14ac:dyDescent="0.35">
      <c r="A1" s="7" t="s">
        <v>289</v>
      </c>
    </row>
    <row r="3" spans="1:16" x14ac:dyDescent="0.35">
      <c r="A3" s="100" t="s">
        <v>75</v>
      </c>
      <c r="B3" s="100" t="s">
        <v>76</v>
      </c>
      <c r="D3" t="s">
        <v>290</v>
      </c>
      <c r="E3">
        <v>0</v>
      </c>
      <c r="G3" t="s">
        <v>292</v>
      </c>
      <c r="J3" t="s">
        <v>295</v>
      </c>
      <c r="L3" t="s">
        <v>294</v>
      </c>
      <c r="O3" t="s">
        <v>299</v>
      </c>
    </row>
    <row r="4" spans="1:16" ht="15" thickBot="1" x14ac:dyDescent="0.4">
      <c r="A4" t="s">
        <v>74</v>
      </c>
      <c r="B4" s="21">
        <v>16272.01</v>
      </c>
    </row>
    <row r="5" spans="1:16" ht="15" thickTop="1" x14ac:dyDescent="0.35">
      <c r="A5" t="s">
        <v>73</v>
      </c>
      <c r="B5" s="21">
        <v>16472.37</v>
      </c>
      <c r="D5" s="45" t="s">
        <v>291</v>
      </c>
      <c r="E5" s="45" t="s">
        <v>194</v>
      </c>
      <c r="G5" s="45" t="s">
        <v>293</v>
      </c>
      <c r="H5" s="45" t="s">
        <v>294</v>
      </c>
      <c r="J5" s="45" t="s">
        <v>296</v>
      </c>
      <c r="K5" s="45" t="s">
        <v>293</v>
      </c>
      <c r="L5" s="45" t="s">
        <v>297</v>
      </c>
      <c r="M5" s="45" t="s">
        <v>92</v>
      </c>
      <c r="O5" t="s">
        <v>300</v>
      </c>
      <c r="P5" s="105" t="s">
        <v>303</v>
      </c>
    </row>
    <row r="6" spans="1:16" x14ac:dyDescent="0.35">
      <c r="A6" t="s">
        <v>72</v>
      </c>
      <c r="B6" s="21">
        <v>16776.43</v>
      </c>
      <c r="D6">
        <v>1</v>
      </c>
      <c r="E6" t="e">
        <f t="array" aca="1" ref="E6:E27" ca="1">ADIFF(B4:B25,E3)</f>
        <v>#NAME?</v>
      </c>
      <c r="G6">
        <v>1</v>
      </c>
      <c r="H6" t="e" cm="1">
        <f t="array" aca="1" ref="H6" ca="1">ACF($E$6:$E$27,G6)</f>
        <v>#NAME?</v>
      </c>
      <c r="J6" s="104" t="s">
        <v>298</v>
      </c>
      <c r="K6" s="104">
        <v>5</v>
      </c>
      <c r="L6" s="104" t="e" cm="1">
        <f t="array" aca="1" ref="L6" ca="1">LJUNG(E6:E27,0,K6)</f>
        <v>#NAME?</v>
      </c>
      <c r="M6" s="104" t="e">
        <f ca="1">CHIDIST(L6,K6)</f>
        <v>#NAME?</v>
      </c>
      <c r="O6" t="s">
        <v>301</v>
      </c>
      <c r="P6" s="106" t="s">
        <v>304</v>
      </c>
    </row>
    <row r="7" spans="1:16" x14ac:dyDescent="0.35">
      <c r="A7" t="s">
        <v>71</v>
      </c>
      <c r="B7" s="21">
        <v>16790.189999999999</v>
      </c>
      <c r="D7">
        <f>D6+1</f>
        <v>2</v>
      </c>
      <c r="E7" t="e">
        <f ca="1"/>
        <v>#NAME?</v>
      </c>
      <c r="G7">
        <f>G6+1</f>
        <v>2</v>
      </c>
      <c r="H7" t="e" cm="1">
        <f t="array" aca="1" ref="H7" ca="1">ACF($E$6:$E$27,G7)</f>
        <v>#NAME?</v>
      </c>
      <c r="O7" t="s">
        <v>302</v>
      </c>
      <c r="P7" s="106" t="s">
        <v>305</v>
      </c>
    </row>
    <row r="8" spans="1:16" x14ac:dyDescent="0.35">
      <c r="A8" t="s">
        <v>70</v>
      </c>
      <c r="B8" s="21">
        <v>16912.29</v>
      </c>
      <c r="D8">
        <f t="shared" ref="D8:D27" si="0">D7+1</f>
        <v>3</v>
      </c>
      <c r="E8" t="e">
        <f ca="1"/>
        <v>#NAME?</v>
      </c>
      <c r="G8">
        <f>G7+1</f>
        <v>3</v>
      </c>
      <c r="H8" t="e" cm="1">
        <f t="array" aca="1" ref="H8" ca="1">ACF($E$6:$E$27,G8)</f>
        <v>#NAME?</v>
      </c>
      <c r="O8" t="s">
        <v>293</v>
      </c>
      <c r="P8" s="107">
        <f ca="1">IF(P5&lt;&gt;"schwert",0,ROUND(12*(COUNT(E6:E27)/100)^(1/4),0))</f>
        <v>0</v>
      </c>
    </row>
    <row r="9" spans="1:16" x14ac:dyDescent="0.35">
      <c r="A9" t="s">
        <v>69</v>
      </c>
      <c r="B9" s="21">
        <v>17050.75</v>
      </c>
      <c r="D9">
        <f t="shared" si="0"/>
        <v>4</v>
      </c>
      <c r="E9" t="e">
        <f ca="1"/>
        <v>#NAME?</v>
      </c>
      <c r="G9">
        <f>G8+1</f>
        <v>4</v>
      </c>
      <c r="H9" t="e" cm="1">
        <f t="array" aca="1" ref="H9" ca="1">ACF($E$6:$E$27,G9)</f>
        <v>#NAME?</v>
      </c>
      <c r="O9" t="s">
        <v>10</v>
      </c>
      <c r="P9" s="108">
        <v>0.05</v>
      </c>
    </row>
    <row r="10" spans="1:16" x14ac:dyDescent="0.35">
      <c r="A10" t="s">
        <v>68</v>
      </c>
      <c r="B10" s="21">
        <v>17084.490000000002</v>
      </c>
      <c r="D10">
        <f t="shared" si="0"/>
        <v>5</v>
      </c>
      <c r="E10" t="e">
        <f ca="1"/>
        <v>#NAME?</v>
      </c>
      <c r="G10" s="4">
        <f>G9+1</f>
        <v>5</v>
      </c>
      <c r="H10" s="4" t="e" cm="1">
        <f t="array" aca="1" ref="H10" ca="1">ACF($E$6:$E$27,G10)</f>
        <v>#NAME?</v>
      </c>
    </row>
    <row r="11" spans="1:16" x14ac:dyDescent="0.35">
      <c r="A11" t="s">
        <v>67</v>
      </c>
      <c r="B11" s="21">
        <v>17131.86</v>
      </c>
      <c r="D11">
        <f t="shared" si="0"/>
        <v>6</v>
      </c>
      <c r="E11" t="e">
        <f ca="1"/>
        <v>#NAME?</v>
      </c>
      <c r="O11" t="e">
        <f t="array" aca="1" ref="O11:P18" ca="1">ADFTEST(E6:E27,TRUE,P8,P5,1,P9)</f>
        <v>#NAME?</v>
      </c>
      <c r="P11" s="139" t="e">
        <f ca="1"/>
        <v>#NAME?</v>
      </c>
    </row>
    <row r="12" spans="1:16" x14ac:dyDescent="0.35">
      <c r="A12" t="s">
        <v>66</v>
      </c>
      <c r="B12" s="21">
        <v>17081.89</v>
      </c>
      <c r="D12">
        <f t="shared" si="0"/>
        <v>7</v>
      </c>
      <c r="E12" t="e">
        <f ca="1"/>
        <v>#NAME?</v>
      </c>
      <c r="O12" t="e">
        <f ca="1"/>
        <v>#NAME?</v>
      </c>
      <c r="P12" s="24" t="e">
        <f ca="1"/>
        <v>#NAME?</v>
      </c>
    </row>
    <row r="13" spans="1:16" x14ac:dyDescent="0.35">
      <c r="A13" t="s">
        <v>65</v>
      </c>
      <c r="B13" s="21">
        <v>16924.75</v>
      </c>
      <c r="D13">
        <f t="shared" si="0"/>
        <v>8</v>
      </c>
      <c r="E13" t="e">
        <f ca="1"/>
        <v>#NAME?</v>
      </c>
      <c r="O13" t="e">
        <f ca="1"/>
        <v>#NAME?</v>
      </c>
      <c r="P13" s="141" t="e">
        <f ca="1"/>
        <v>#NAME?</v>
      </c>
    </row>
    <row r="14" spans="1:16" x14ac:dyDescent="0.35">
      <c r="A14" t="s">
        <v>64</v>
      </c>
      <c r="B14" s="21">
        <v>17141.75</v>
      </c>
      <c r="D14">
        <f t="shared" si="0"/>
        <v>9</v>
      </c>
      <c r="E14" t="e">
        <f ca="1"/>
        <v>#NAME?</v>
      </c>
      <c r="O14" t="e">
        <f ca="1"/>
        <v>#NAME?</v>
      </c>
      <c r="P14" s="24" t="e">
        <f ca="1"/>
        <v>#NAME?</v>
      </c>
    </row>
    <row r="15" spans="1:16" x14ac:dyDescent="0.35">
      <c r="A15" t="s">
        <v>63</v>
      </c>
      <c r="B15" s="21">
        <v>17215.97</v>
      </c>
      <c r="D15">
        <f t="shared" si="0"/>
        <v>10</v>
      </c>
      <c r="E15" t="e">
        <f ca="1"/>
        <v>#NAME?</v>
      </c>
      <c r="O15" t="e">
        <f ca="1"/>
        <v>#NAME?</v>
      </c>
      <c r="P15" s="24" t="e">
        <f ca="1"/>
        <v>#NAME?</v>
      </c>
    </row>
    <row r="16" spans="1:16" x14ac:dyDescent="0.35">
      <c r="A16" t="s">
        <v>62</v>
      </c>
      <c r="B16" s="21">
        <v>17230.54</v>
      </c>
      <c r="D16">
        <f t="shared" si="0"/>
        <v>11</v>
      </c>
      <c r="E16" t="e">
        <f ca="1"/>
        <v>#NAME?</v>
      </c>
      <c r="O16" t="e">
        <f ca="1"/>
        <v>#NAME?</v>
      </c>
      <c r="P16" s="24" t="e">
        <f ca="1"/>
        <v>#NAME?</v>
      </c>
    </row>
    <row r="17" spans="1:16" x14ac:dyDescent="0.35">
      <c r="A17" t="s">
        <v>61</v>
      </c>
      <c r="B17" s="21">
        <v>17217.11</v>
      </c>
      <c r="D17">
        <f t="shared" si="0"/>
        <v>12</v>
      </c>
      <c r="E17" t="e">
        <f ca="1"/>
        <v>#NAME?</v>
      </c>
      <c r="O17" t="e">
        <f ca="1"/>
        <v>#NAME?</v>
      </c>
      <c r="P17" s="24" t="e">
        <f ca="1"/>
        <v>#NAME?</v>
      </c>
    </row>
    <row r="18" spans="1:16" x14ac:dyDescent="0.35">
      <c r="A18" t="s">
        <v>60</v>
      </c>
      <c r="B18" s="21">
        <v>17168.61</v>
      </c>
      <c r="D18">
        <f t="shared" si="0"/>
        <v>13</v>
      </c>
      <c r="E18" t="e">
        <f ca="1"/>
        <v>#NAME?</v>
      </c>
      <c r="O18" t="e">
        <f ca="1"/>
        <v>#NAME?</v>
      </c>
      <c r="P18" s="146" t="e">
        <f ca="1"/>
        <v>#NAME?</v>
      </c>
    </row>
    <row r="19" spans="1:16" x14ac:dyDescent="0.35">
      <c r="A19" t="s">
        <v>59</v>
      </c>
      <c r="B19" s="21">
        <v>17489.16</v>
      </c>
      <c r="D19">
        <f t="shared" si="0"/>
        <v>14</v>
      </c>
      <c r="E19" t="e">
        <f ca="1"/>
        <v>#NAME?</v>
      </c>
    </row>
    <row r="20" spans="1:16" x14ac:dyDescent="0.35">
      <c r="A20" t="s">
        <v>58</v>
      </c>
      <c r="B20" s="21">
        <v>17646.7</v>
      </c>
      <c r="D20">
        <f t="shared" si="0"/>
        <v>15</v>
      </c>
      <c r="E20" t="e">
        <f ca="1"/>
        <v>#NAME?</v>
      </c>
    </row>
    <row r="21" spans="1:16" x14ac:dyDescent="0.35">
      <c r="A21" t="s">
        <v>57</v>
      </c>
      <c r="B21" s="21">
        <v>17623.05</v>
      </c>
      <c r="D21">
        <f t="shared" si="0"/>
        <v>16</v>
      </c>
      <c r="E21" t="e">
        <f ca="1"/>
        <v>#NAME?</v>
      </c>
    </row>
    <row r="22" spans="1:16" x14ac:dyDescent="0.35">
      <c r="A22" t="s">
        <v>56</v>
      </c>
      <c r="B22" s="21">
        <v>17581.43</v>
      </c>
      <c r="D22">
        <f t="shared" si="0"/>
        <v>17</v>
      </c>
      <c r="E22" t="e">
        <f ca="1"/>
        <v>#NAME?</v>
      </c>
    </row>
    <row r="23" spans="1:16" x14ac:dyDescent="0.35">
      <c r="A23" t="s">
        <v>55</v>
      </c>
      <c r="B23" s="21">
        <v>17779.52</v>
      </c>
      <c r="D23">
        <f t="shared" si="0"/>
        <v>18</v>
      </c>
      <c r="E23" t="e">
        <f ca="1"/>
        <v>#NAME?</v>
      </c>
    </row>
    <row r="24" spans="1:16" x14ac:dyDescent="0.35">
      <c r="A24" t="s">
        <v>54</v>
      </c>
      <c r="B24" s="21">
        <v>17755.8</v>
      </c>
      <c r="D24">
        <f t="shared" si="0"/>
        <v>19</v>
      </c>
      <c r="E24" t="e">
        <f ca="1"/>
        <v>#NAME?</v>
      </c>
    </row>
    <row r="25" spans="1:16" x14ac:dyDescent="0.35">
      <c r="A25" s="4" t="s">
        <v>53</v>
      </c>
      <c r="B25" s="22">
        <v>17663.54</v>
      </c>
      <c r="D25">
        <f t="shared" si="0"/>
        <v>20</v>
      </c>
      <c r="E25" t="e">
        <f ca="1"/>
        <v>#NAME?</v>
      </c>
    </row>
    <row r="26" spans="1:16" x14ac:dyDescent="0.35">
      <c r="D26">
        <f t="shared" si="0"/>
        <v>21</v>
      </c>
      <c r="E26" t="e">
        <f ca="1"/>
        <v>#NAME?</v>
      </c>
    </row>
    <row r="27" spans="1:16" x14ac:dyDescent="0.35">
      <c r="D27" s="4">
        <f t="shared" si="0"/>
        <v>22</v>
      </c>
      <c r="E27" s="4" t="e">
        <f ca="1"/>
        <v>#NAME?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4"/>
  <dimension ref="A1:T25"/>
  <sheetViews>
    <sheetView topLeftCell="A3" workbookViewId="0">
      <selection activeCell="T30" sqref="T30"/>
    </sheetView>
  </sheetViews>
  <sheetFormatPr defaultRowHeight="14.5" x14ac:dyDescent="0.35"/>
  <cols>
    <col min="1" max="1" width="8.453125" customWidth="1"/>
    <col min="2" max="3" width="9.7265625" customWidth="1"/>
    <col min="4" max="4" width="6.6328125" customWidth="1"/>
    <col min="5" max="5" width="5.26953125" customWidth="1"/>
  </cols>
  <sheetData>
    <row r="1" spans="1:20" x14ac:dyDescent="0.35">
      <c r="A1" s="7" t="s">
        <v>496</v>
      </c>
      <c r="P1" t="s">
        <v>497</v>
      </c>
    </row>
    <row r="3" spans="1:20" x14ac:dyDescent="0.35">
      <c r="A3" s="162" t="s">
        <v>194</v>
      </c>
      <c r="B3" s="162" t="s">
        <v>493</v>
      </c>
      <c r="C3" s="162" t="s">
        <v>494</v>
      </c>
      <c r="D3" s="17"/>
      <c r="E3" s="162" t="s">
        <v>498</v>
      </c>
      <c r="F3" s="162" t="s">
        <v>499</v>
      </c>
      <c r="G3" s="162" t="s">
        <v>500</v>
      </c>
      <c r="H3" s="162" t="s">
        <v>363</v>
      </c>
      <c r="I3" s="162" t="s">
        <v>26</v>
      </c>
      <c r="J3" s="162" t="s">
        <v>81</v>
      </c>
      <c r="K3" s="162" t="s">
        <v>501</v>
      </c>
      <c r="M3" t="s">
        <v>496</v>
      </c>
      <c r="P3" t="s">
        <v>496</v>
      </c>
      <c r="T3" s="162" t="s">
        <v>26</v>
      </c>
    </row>
    <row r="4" spans="1:20" x14ac:dyDescent="0.35">
      <c r="A4">
        <v>1.2288378220245906</v>
      </c>
      <c r="B4">
        <v>0.90283699128653705</v>
      </c>
      <c r="C4">
        <v>0.89454343974205996</v>
      </c>
      <c r="D4" s="137"/>
      <c r="E4" s="137">
        <v>1</v>
      </c>
      <c r="F4">
        <f>A4-B4</f>
        <v>0.32600083073805353</v>
      </c>
      <c r="G4">
        <f>A4-C4</f>
        <v>0.33429438228253061</v>
      </c>
      <c r="H4">
        <f>F4^2-G4^2</f>
        <v>-5.476192383757697E-3</v>
      </c>
      <c r="I4">
        <f t="array" aca="1" ref="I4" ca="1">SUMPRODUCT(H5:H$23-H$25,OFFSET(H$4:H$23,0,0,E$23-E4)-H$25)/E$23</f>
        <v>0.1201427789497157</v>
      </c>
      <c r="J4">
        <f>SQRT(K25/E23)</f>
        <v>0.16627481505029995</v>
      </c>
      <c r="K4">
        <f>H$25/J4</f>
        <v>1.5834536925860618</v>
      </c>
      <c r="T4" t="e" cm="1">
        <f t="array" aca="1" ref="T4" ca="1">ACVF(H$4:H$23,E4)</f>
        <v>#NAME?</v>
      </c>
    </row>
    <row r="5" spans="1:20" x14ac:dyDescent="0.35">
      <c r="A5">
        <v>2.6684005524939507</v>
      </c>
      <c r="B5">
        <v>2.44926778751723</v>
      </c>
      <c r="C5">
        <v>2.3213520553880973</v>
      </c>
      <c r="D5" s="137"/>
      <c r="E5" s="137">
        <f>E4+1</f>
        <v>2</v>
      </c>
      <c r="F5">
        <f t="shared" ref="F5:F23" si="0">A5-B5</f>
        <v>0.21913276497672074</v>
      </c>
      <c r="G5">
        <f t="shared" ref="G5:G23" si="1">A5-C5</f>
        <v>0.34704849710585339</v>
      </c>
      <c r="H5">
        <f t="shared" ref="H5:H23" si="2">F5^2-G5^2</f>
        <v>-7.2423490657088807E-2</v>
      </c>
      <c r="I5">
        <f t="array" aca="1" ref="I5" ca="1">SUMPRODUCT(H6:H$23-H$25,OFFSET(H$4:H$23,0,0,E$23-E5)-H$25)/E$23</f>
        <v>0.26078225683486955</v>
      </c>
      <c r="J5">
        <f ca="1">SQRT((K$25+2*SUMPRODUCT(I$4:I4))/E$23)</f>
        <v>0.19915218305352073</v>
      </c>
      <c r="K5">
        <f ca="1">H$25/J5</f>
        <v>1.3220466170069802</v>
      </c>
      <c r="M5" t="s">
        <v>502</v>
      </c>
      <c r="N5" s="13"/>
      <c r="P5" t="s">
        <v>503</v>
      </c>
      <c r="Q5" s="151">
        <v>0</v>
      </c>
      <c r="T5" t="e" cm="1">
        <f t="array" aca="1" ref="T5" ca="1">ACVF(H$4:H$23,E5)</f>
        <v>#NAME?</v>
      </c>
    </row>
    <row r="6" spans="1:20" x14ac:dyDescent="0.35">
      <c r="A6">
        <v>3.417728063820773</v>
      </c>
      <c r="B6">
        <v>3.20755808146358</v>
      </c>
      <c r="C6">
        <v>2.5208157426997539</v>
      </c>
      <c r="D6" s="137"/>
      <c r="E6" s="137">
        <f t="shared" ref="E6:E23" si="3">E5+1</f>
        <v>3</v>
      </c>
      <c r="F6">
        <f t="shared" si="0"/>
        <v>0.21016998235719297</v>
      </c>
      <c r="G6">
        <f t="shared" si="1"/>
        <v>0.89691232112101904</v>
      </c>
      <c r="H6">
        <f t="shared" si="2"/>
        <v>-0.76028029029467126</v>
      </c>
      <c r="I6">
        <f t="array" aca="1" ref="I6" ca="1">SUMPRODUCT(H7:H$23-H$25,OFFSET(H$4:H$23,0,0,E$23-E6)-H$25)/E$23</f>
        <v>2.8657537766447954E-2</v>
      </c>
      <c r="J6">
        <f ca="1">SQRT((K$25+2*SUMPRODUCT(I$4:I5))/E$23)</f>
        <v>0.2563977724132368</v>
      </c>
      <c r="K6">
        <f ca="1">H$25/J6</f>
        <v>1.0268750285830073</v>
      </c>
      <c r="M6" t="s">
        <v>504</v>
      </c>
      <c r="N6" s="13">
        <v>4</v>
      </c>
      <c r="P6" t="s">
        <v>504</v>
      </c>
      <c r="Q6" s="108">
        <v>4</v>
      </c>
      <c r="T6" t="e" cm="1">
        <f t="array" aca="1" ref="T6" ca="1">ACVF(H$4:H$23,E6)</f>
        <v>#NAME?</v>
      </c>
    </row>
    <row r="7" spans="1:20" x14ac:dyDescent="0.35">
      <c r="A7">
        <v>2.2391971568137397</v>
      </c>
      <c r="B7">
        <v>2.4383221461131046</v>
      </c>
      <c r="C7">
        <v>1.9080749545417499</v>
      </c>
      <c r="D7" s="137"/>
      <c r="E7" s="137">
        <f t="shared" si="3"/>
        <v>4</v>
      </c>
      <c r="F7">
        <f t="shared" si="0"/>
        <v>-0.19912498929936495</v>
      </c>
      <c r="G7">
        <f t="shared" si="1"/>
        <v>0.33112220227198974</v>
      </c>
      <c r="H7">
        <f t="shared" si="2"/>
        <v>-6.9991151473980287E-2</v>
      </c>
      <c r="I7">
        <f t="array" aca="1" ref="I7" ca="1">SUMPRODUCT(H8:H$23-H$25,OFFSET(H$4:H$23,0,0,E$23-E7)-H$25)/E$23</f>
        <v>0.15920507095055234</v>
      </c>
      <c r="J7">
        <f ca="1">SQRT((K$25+2*SUMPRODUCT(I$4:I6))/E$23)</f>
        <v>0.26192665285364675</v>
      </c>
      <c r="K7">
        <f ca="1">H$25/J7</f>
        <v>1.0051992304218698</v>
      </c>
      <c r="T7" t="e" cm="1">
        <f t="array" aca="1" ref="T7" ca="1">ACVF(H$4:H$23,E7)</f>
        <v>#NAME?</v>
      </c>
    </row>
    <row r="8" spans="1:20" x14ac:dyDescent="0.35">
      <c r="A8">
        <v>2.1225599146000729</v>
      </c>
      <c r="B8">
        <v>2.7751085910428213</v>
      </c>
      <c r="C8">
        <v>0.95078208307608969</v>
      </c>
      <c r="D8" s="137"/>
      <c r="E8" s="137">
        <f t="shared" si="3"/>
        <v>5</v>
      </c>
      <c r="F8">
        <f t="shared" si="0"/>
        <v>-0.65254867644274839</v>
      </c>
      <c r="G8">
        <f t="shared" si="1"/>
        <v>1.1717778315239831</v>
      </c>
      <c r="H8">
        <f t="shared" si="2"/>
        <v>-0.94724351132386542</v>
      </c>
      <c r="I8">
        <f t="array" aca="1" ref="I8" ca="1">SUMPRODUCT(H9:H$23-H$25,OFFSET(H$4:H$23,0,0,E$23-E8)-H$25)/E$23</f>
        <v>5.5601268771485336E-2</v>
      </c>
      <c r="J8">
        <f ca="1">SQRT((K$25+2*SUMPRODUCT(I$4:I7))/E$23)</f>
        <v>0.29073369011893002</v>
      </c>
      <c r="K8">
        <f t="shared" ref="K8:K22" ca="1" si="4">H$25/J8</f>
        <v>0.90560013793984073</v>
      </c>
      <c r="M8" t="s">
        <v>505</v>
      </c>
      <c r="N8" s="151">
        <f ca="1">K7</f>
        <v>1.0051992304218698</v>
      </c>
      <c r="P8" t="s">
        <v>505</v>
      </c>
      <c r="Q8" s="151" t="e" cm="1">
        <f t="array" aca="1" ref="Q8" ca="1">DIEBOLD(A4:A23,B4:B23,C4:C23,Q6,Q5)</f>
        <v>#NAME?</v>
      </c>
      <c r="T8" t="e" cm="1">
        <f t="array" aca="1" ref="T8" ca="1">ACVF(H$4:H$23,E8)</f>
        <v>#NAME?</v>
      </c>
    </row>
    <row r="9" spans="1:20" x14ac:dyDescent="0.35">
      <c r="A9">
        <v>0.46379871540949502</v>
      </c>
      <c r="B9">
        <v>0.59316171174485999</v>
      </c>
      <c r="C9">
        <v>-0.61066482988763893</v>
      </c>
      <c r="D9" s="137"/>
      <c r="E9" s="137">
        <f t="shared" si="3"/>
        <v>6</v>
      </c>
      <c r="F9">
        <f t="shared" si="0"/>
        <v>-0.12936299633536497</v>
      </c>
      <c r="G9">
        <f t="shared" si="1"/>
        <v>1.0744635452971338</v>
      </c>
      <c r="H9">
        <f t="shared" si="2"/>
        <v>-1.1377371253516224</v>
      </c>
      <c r="I9">
        <f t="array" aca="1" ref="I9" ca="1">SUMPRODUCT(H10:H$23-H$25,OFFSET(H$4:H$23,0,0,E$23-E9)-H$25)/E$23</f>
        <v>-3.9052711357381738E-3</v>
      </c>
      <c r="J9">
        <f ca="1">SQRT((K$25+2*SUMPRODUCT(I$4:I8))/E$23)</f>
        <v>0.30014364135746496</v>
      </c>
      <c r="K9">
        <f t="shared" ca="1" si="4"/>
        <v>0.87720822165241452</v>
      </c>
      <c r="M9" t="s">
        <v>92</v>
      </c>
      <c r="N9" s="108">
        <f ca="1">2*(1-NORMSDIST(N8))</f>
        <v>0.31480092568112639</v>
      </c>
      <c r="P9" t="s">
        <v>92</v>
      </c>
      <c r="Q9" s="108" t="e" cm="1">
        <f t="array" aca="1" ref="Q9" ca="1">DMTEST(A4:A23,B4:B23,C4:C23,Q6,Q5)</f>
        <v>#NAME?</v>
      </c>
      <c r="T9" t="e" cm="1">
        <f t="array" aca="1" ref="T9" ca="1">ACVF(H$4:H$23,E9)</f>
        <v>#NAME?</v>
      </c>
    </row>
    <row r="10" spans="1:20" x14ac:dyDescent="0.35">
      <c r="A10">
        <v>-0.55080545418476379</v>
      </c>
      <c r="B10">
        <v>0.10851859560777</v>
      </c>
      <c r="C10">
        <v>-1.1154503364189121</v>
      </c>
      <c r="D10" s="137"/>
      <c r="E10" s="137">
        <f t="shared" si="3"/>
        <v>7</v>
      </c>
      <c r="F10">
        <f t="shared" si="0"/>
        <v>-0.65932404979253378</v>
      </c>
      <c r="G10">
        <f t="shared" si="1"/>
        <v>0.56464488223414833</v>
      </c>
      <c r="H10">
        <f t="shared" si="2"/>
        <v>0.11588435960161231</v>
      </c>
      <c r="I10">
        <f t="array" aca="1" ref="I10" ca="1">SUMPRODUCT(H11:H$23-H$25,OFFSET(H$4:H$23,0,0,E$23-E10)-H$25)/E$23</f>
        <v>-7.0305969189309495E-2</v>
      </c>
      <c r="J10">
        <f ca="1">SQRT((K$25+2*SUMPRODUCT(I$4:I9))/E$23)</f>
        <v>0.29949236773872007</v>
      </c>
      <c r="K10">
        <f t="shared" ca="1" si="4"/>
        <v>0.87911579137521545</v>
      </c>
      <c r="T10" t="e" cm="1">
        <f t="array" aca="1" ref="T10" ca="1">ACVF(H$4:H$23,E10)</f>
        <v>#NAME?</v>
      </c>
    </row>
    <row r="11" spans="1:20" x14ac:dyDescent="0.35">
      <c r="A11">
        <v>1.182946247108128</v>
      </c>
      <c r="B11">
        <v>0.87851772527493499</v>
      </c>
      <c r="C11">
        <v>1.1116308674749247</v>
      </c>
      <c r="D11" s="137"/>
      <c r="E11" s="137">
        <f t="shared" si="3"/>
        <v>8</v>
      </c>
      <c r="F11">
        <f t="shared" si="0"/>
        <v>0.30442852183319302</v>
      </c>
      <c r="G11">
        <f t="shared" si="1"/>
        <v>7.1315379633203335E-2</v>
      </c>
      <c r="H11">
        <f t="shared" si="2"/>
        <v>8.7590841533314964E-2</v>
      </c>
      <c r="I11">
        <f t="array" aca="1" ref="I11" ca="1">SUMPRODUCT(H12:H$23-H$25,OFFSET(H$4:H$23,0,0,E$23-E11)-H$25)/E$23</f>
        <v>-8.6046340130696786E-2</v>
      </c>
      <c r="J11">
        <f ca="1">SQRT((K$25+2*SUMPRODUCT(I$4:I10))/E$23)</f>
        <v>0.2875153585720488</v>
      </c>
      <c r="K11">
        <f t="shared" ca="1" si="4"/>
        <v>0.9157370624758614</v>
      </c>
      <c r="M11" t="s">
        <v>506</v>
      </c>
      <c r="P11" t="s">
        <v>506</v>
      </c>
      <c r="T11" t="e" cm="1">
        <f t="array" aca="1" ref="T11" ca="1">ACVF(H$4:H$23,E11)</f>
        <v>#NAME?</v>
      </c>
    </row>
    <row r="12" spans="1:20" x14ac:dyDescent="0.35">
      <c r="A12">
        <v>-2.4132987150346601</v>
      </c>
      <c r="B12">
        <v>-1.16531316944428</v>
      </c>
      <c r="C12">
        <v>-2.7776482160325666</v>
      </c>
      <c r="D12" s="137"/>
      <c r="E12" s="137">
        <f t="shared" si="3"/>
        <v>9</v>
      </c>
      <c r="F12">
        <f t="shared" si="0"/>
        <v>-1.2479855455903801</v>
      </c>
      <c r="G12">
        <f t="shared" si="1"/>
        <v>0.36434950099790653</v>
      </c>
      <c r="H12">
        <f t="shared" si="2"/>
        <v>1.4247173631250951</v>
      </c>
      <c r="I12">
        <f t="array" aca="1" ref="I12" ca="1">SUMPRODUCT(H13:H$23-H$25,OFFSET(H$4:H$23,0,0,E$23-E12)-H$25)/E$23</f>
        <v>-4.0419389183464251E-2</v>
      </c>
      <c r="J12">
        <f ca="1">SQRT((K$25+2*SUMPRODUCT(I$4:I11))/E$23)</f>
        <v>0.2721404920289226</v>
      </c>
      <c r="K12">
        <f t="shared" ca="1" si="4"/>
        <v>0.96747260178937333</v>
      </c>
      <c r="T12" t="e" cm="1">
        <f t="array" aca="1" ref="T12" ca="1">ACVF(H$4:H$23,E12)</f>
        <v>#NAME?</v>
      </c>
    </row>
    <row r="13" spans="1:20" x14ac:dyDescent="0.35">
      <c r="A13">
        <v>0.97947060944543229</v>
      </c>
      <c r="B13">
        <v>0.59371930737043199</v>
      </c>
      <c r="C13">
        <v>1.5172799903636889</v>
      </c>
      <c r="D13" s="137"/>
      <c r="E13" s="137">
        <f t="shared" si="3"/>
        <v>10</v>
      </c>
      <c r="F13">
        <f t="shared" si="0"/>
        <v>0.3857513020750003</v>
      </c>
      <c r="G13">
        <f t="shared" si="1"/>
        <v>-0.53780938091825659</v>
      </c>
      <c r="H13">
        <f t="shared" si="2"/>
        <v>-0.14043486315112028</v>
      </c>
      <c r="I13">
        <f t="array" aca="1" ref="I13" ca="1">SUMPRODUCT(H14:H$23-H$25,OFFSET(H$4:H$23,0,0,E$23-E13)-H$25)/E$23</f>
        <v>-0.17312196508299701</v>
      </c>
      <c r="J13">
        <f ca="1">SQRT((K$25+2*SUMPRODUCT(I$4:I12))/E$23)</f>
        <v>0.26461010654054329</v>
      </c>
      <c r="K13">
        <f t="shared" ca="1" si="4"/>
        <v>0.9950053432109599</v>
      </c>
      <c r="M13" t="s">
        <v>507</v>
      </c>
      <c r="N13" s="151">
        <f ca="1">N8*SQRT((E23+1-2*N6+N6*(N6-1))/E23)</f>
        <v>1.1238469050768878</v>
      </c>
      <c r="P13" t="s">
        <v>507</v>
      </c>
      <c r="Q13" s="151" t="e" cm="1">
        <f t="array" aca="1" ref="Q13" ca="1">HLN(A4:A23,B4:B23,C4:C23,Q6,Q5)</f>
        <v>#NAME?</v>
      </c>
      <c r="T13" t="e" cm="1">
        <f t="array" aca="1" ref="T13" ca="1">ACVF(H$4:H$23,E13)</f>
        <v>#NAME?</v>
      </c>
    </row>
    <row r="14" spans="1:20" x14ac:dyDescent="0.35">
      <c r="A14">
        <v>0.55088233224937044</v>
      </c>
      <c r="B14">
        <v>-3.6272861603666002E-3</v>
      </c>
      <c r="C14">
        <v>0.48976791274636922</v>
      </c>
      <c r="D14" s="137"/>
      <c r="E14" s="137">
        <f t="shared" si="3"/>
        <v>11</v>
      </c>
      <c r="F14">
        <f t="shared" si="0"/>
        <v>0.554509618409737</v>
      </c>
      <c r="G14">
        <f t="shared" si="1"/>
        <v>6.1114419503001227E-2</v>
      </c>
      <c r="H14">
        <f t="shared" si="2"/>
        <v>0.30374594463772336</v>
      </c>
      <c r="I14">
        <f t="array" aca="1" ref="I14" ca="1">SUMPRODUCT(H15:H$23-H$25,OFFSET(H$4:H$23,0,0,E$23-E14)-H$25)/E$23</f>
        <v>-7.3748485860664709E-2</v>
      </c>
      <c r="J14">
        <f ca="1">SQRT((K$25+2*SUMPRODUCT(I$4:I13))/E$23)</f>
        <v>0.22957855295104979</v>
      </c>
      <c r="K14">
        <f t="shared" ca="1" si="4"/>
        <v>1.1468339114917225</v>
      </c>
      <c r="M14" t="s">
        <v>92</v>
      </c>
      <c r="N14" s="108">
        <f ca="1">TDIST(N13,E23-1,2)</f>
        <v>0.27507738636146462</v>
      </c>
      <c r="P14" t="s">
        <v>92</v>
      </c>
      <c r="Q14" s="108" t="e" cm="1">
        <f t="array" aca="1" ref="Q14" ca="1">HLNTEST(A4:A23,B4:B23,C4:C23,Q6,Q5)</f>
        <v>#NAME?</v>
      </c>
      <c r="T14" t="e" cm="1">
        <f t="array" aca="1" ref="T14" ca="1">ACVF(H$4:H$23,E14)</f>
        <v>#NAME?</v>
      </c>
    </row>
    <row r="15" spans="1:20" x14ac:dyDescent="0.35">
      <c r="A15">
        <v>1.2279214175815407</v>
      </c>
      <c r="B15">
        <v>0.994315257779952</v>
      </c>
      <c r="C15">
        <v>1.0470020473746882</v>
      </c>
      <c r="D15" s="137"/>
      <c r="E15" s="137">
        <f t="shared" si="3"/>
        <v>12</v>
      </c>
      <c r="F15">
        <f t="shared" si="0"/>
        <v>0.23360615980158872</v>
      </c>
      <c r="G15">
        <f t="shared" si="1"/>
        <v>0.18091937020685256</v>
      </c>
      <c r="H15">
        <f t="shared" si="2"/>
        <v>2.1840019381201239E-2</v>
      </c>
      <c r="I15">
        <f t="array" aca="1" ref="I15" ca="1">SUMPRODUCT(H16:H$23-H$25,OFFSET(H$4:H$23,0,0,E$23-E15)-H$25)/E$23</f>
        <v>-0.15882541817007759</v>
      </c>
      <c r="J15">
        <f ca="1">SQRT((K$25+2*SUMPRODUCT(I$4:I14))/E$23)</f>
        <v>0.21291186765662337</v>
      </c>
      <c r="K15">
        <f t="shared" ca="1" si="4"/>
        <v>1.2366077700285085</v>
      </c>
      <c r="T15" t="e" cm="1">
        <f t="array" aca="1" ref="T15" ca="1">ACVF(H$4:H$23,E15)</f>
        <v>#NAME?</v>
      </c>
    </row>
    <row r="16" spans="1:20" x14ac:dyDescent="0.35">
      <c r="A16">
        <v>-0.92350668389273016</v>
      </c>
      <c r="B16">
        <v>0.51942478642544798</v>
      </c>
      <c r="C16">
        <v>-1.3447917922332853</v>
      </c>
      <c r="D16" s="137"/>
      <c r="E16" s="137">
        <f t="shared" si="3"/>
        <v>13</v>
      </c>
      <c r="F16">
        <f t="shared" si="0"/>
        <v>-1.4429314703181781</v>
      </c>
      <c r="G16">
        <f t="shared" si="1"/>
        <v>0.4212851083405551</v>
      </c>
      <c r="H16">
        <f t="shared" si="2"/>
        <v>1.9045700855250662</v>
      </c>
      <c r="I16">
        <f t="array" aca="1" ref="I16" ca="1">SUMPRODUCT(H17:H$23-H$25,OFFSET(H$4:H$23,0,0,E$23-E16)-H$25)/E$23</f>
        <v>-7.4933868714371937E-2</v>
      </c>
      <c r="J16">
        <f ca="1">SQRT((K$25+2*SUMPRODUCT(I$4:I15))/E$23)</f>
        <v>0.17160688089940843</v>
      </c>
      <c r="K16">
        <f t="shared" ca="1" si="4"/>
        <v>1.5342535712760548</v>
      </c>
      <c r="T16" t="e" cm="1">
        <f t="array" aca="1" ref="T16" ca="1">ACVF(H$4:H$23,E16)</f>
        <v>#NAME?</v>
      </c>
    </row>
    <row r="17" spans="1:20" x14ac:dyDescent="0.35">
      <c r="A17">
        <v>-9.0278955688554874E-2</v>
      </c>
      <c r="B17">
        <v>0.28509902197939363</v>
      </c>
      <c r="C17">
        <v>1.9235426427811619E-3</v>
      </c>
      <c r="D17" s="137"/>
      <c r="E17" s="137">
        <f t="shared" si="3"/>
        <v>14</v>
      </c>
      <c r="F17">
        <f t="shared" si="0"/>
        <v>-0.3753779776679485</v>
      </c>
      <c r="G17">
        <f t="shared" si="1"/>
        <v>-9.2202498331336036E-2</v>
      </c>
      <c r="H17">
        <f t="shared" si="2"/>
        <v>0.13240732541953881</v>
      </c>
      <c r="I17">
        <f t="array" aca="1" ref="I17" ca="1">SUMPRODUCT(H18:H$23-H$25,OFFSET(H$4:H$23,0,0,E$23-E17)-H$25)/E$23</f>
        <v>-8.6343578910106189E-2</v>
      </c>
      <c r="J17">
        <f ca="1">SQRT((K$25+2*SUMPRODUCT(I$4:I16))/E$23)</f>
        <v>0.1481740014327296</v>
      </c>
      <c r="K17">
        <f t="shared" ca="1" si="4"/>
        <v>1.7768870876784268</v>
      </c>
      <c r="T17" t="e" cm="1">
        <f t="array" aca="1" ref="T17" ca="1">ACVF(H$4:H$23,E17)</f>
        <v>#NAME?</v>
      </c>
    </row>
    <row r="18" spans="1:20" x14ac:dyDescent="0.35">
      <c r="A18">
        <v>1.6837933463631751</v>
      </c>
      <c r="B18">
        <v>0.57137859266675095</v>
      </c>
      <c r="C18">
        <v>1.7465680978124012</v>
      </c>
      <c r="D18" s="137"/>
      <c r="E18" s="137">
        <f t="shared" si="3"/>
        <v>15</v>
      </c>
      <c r="F18">
        <f t="shared" si="0"/>
        <v>1.1124147536964242</v>
      </c>
      <c r="G18">
        <f t="shared" si="1"/>
        <v>-6.2774751449226063E-2</v>
      </c>
      <c r="H18">
        <f t="shared" si="2"/>
        <v>1.2335259148219639</v>
      </c>
      <c r="I18">
        <f t="array" aca="1" ref="I18" ca="1">SUMPRODUCT(H19:H$23-H$25,OFFSET(H$4:H$23,0,0,E$23-E18)-H$25)/E$23</f>
        <v>-6.9175063824154323E-2</v>
      </c>
      <c r="J18">
        <f ca="1">SQRT((K$25+2*SUMPRODUCT(I$4:I17))/E$23)</f>
        <v>0.1154174025421467</v>
      </c>
      <c r="K18">
        <f t="shared" ca="1" si="4"/>
        <v>2.2811851945751207</v>
      </c>
      <c r="T18" t="e" cm="1">
        <f t="array" aca="1" ref="T18" ca="1">ACVF(H$4:H$23,E18)</f>
        <v>#NAME?</v>
      </c>
    </row>
    <row r="19" spans="1:20" x14ac:dyDescent="0.35">
      <c r="A19">
        <v>-0.61077144818691864</v>
      </c>
      <c r="B19">
        <v>0.22333590226063005</v>
      </c>
      <c r="C19">
        <v>-1.0631677605753751</v>
      </c>
      <c r="D19" s="137"/>
      <c r="E19" s="137">
        <f t="shared" si="3"/>
        <v>16</v>
      </c>
      <c r="F19">
        <f t="shared" si="0"/>
        <v>-0.83410735044754869</v>
      </c>
      <c r="G19">
        <f t="shared" si="1"/>
        <v>0.45239631238845646</v>
      </c>
      <c r="H19">
        <f t="shared" si="2"/>
        <v>0.49107264860795591</v>
      </c>
      <c r="I19">
        <f t="array" aca="1" ref="I19" ca="1">SUMPRODUCT(H20:H$23-H$25,OFFSET(H$4:H$23,0,0,E$23-E19)-H$25)/E$23</f>
        <v>-2.4061849003389424E-2</v>
      </c>
      <c r="J19">
        <f ca="1">SQRT((K$25+2*SUMPRODUCT(I$4:I18))/E$23)</f>
        <v>8.0022936881624762E-2</v>
      </c>
      <c r="K19">
        <f t="shared" ca="1" si="4"/>
        <v>3.2901625475822729</v>
      </c>
      <c r="T19" t="e" cm="1">
        <f t="array" aca="1" ref="T19" ca="1">ACVF(H$4:H$23,E19)</f>
        <v>#NAME?</v>
      </c>
    </row>
    <row r="20" spans="1:20" x14ac:dyDescent="0.35">
      <c r="A20">
        <v>1.2810446629007595</v>
      </c>
      <c r="B20">
        <v>0.32758098082923387</v>
      </c>
      <c r="C20">
        <v>1.2719837372609173</v>
      </c>
      <c r="D20" s="137"/>
      <c r="E20" s="137">
        <f t="shared" si="3"/>
        <v>17</v>
      </c>
      <c r="F20">
        <f t="shared" si="0"/>
        <v>0.95346368207152565</v>
      </c>
      <c r="G20">
        <f t="shared" si="1"/>
        <v>9.0609256398421767E-3</v>
      </c>
      <c r="H20">
        <f t="shared" si="2"/>
        <v>0.90901089265594059</v>
      </c>
      <c r="I20">
        <f t="array" aca="1" ref="I20" ca="1">SUMPRODUCT(H21:H$23-H$25,OFFSET(H$4:H$23,0,0,E$23-E20)-H$25)/E$23</f>
        <v>-2.8276553136191644E-2</v>
      </c>
      <c r="J20">
        <f ca="1">SQRT((K$25+2*SUMPRODUCT(I$4:I19))/E$23)</f>
        <v>6.3225671422465407E-2</v>
      </c>
      <c r="K20">
        <f t="shared" ca="1" si="4"/>
        <v>4.1642653047716003</v>
      </c>
      <c r="T20" t="e" cm="1">
        <f t="array" aca="1" ref="T20" ca="1">ACVF(H$4:H$23,E20)</f>
        <v>#NAME?</v>
      </c>
    </row>
    <row r="21" spans="1:20" x14ac:dyDescent="0.35">
      <c r="A21">
        <v>-0.92224582870659311</v>
      </c>
      <c r="B21">
        <v>8.4688853692339E-2</v>
      </c>
      <c r="C21">
        <v>-1.2893344521031778</v>
      </c>
      <c r="D21" s="137"/>
      <c r="E21" s="137">
        <f t="shared" si="3"/>
        <v>18</v>
      </c>
      <c r="F21">
        <f t="shared" si="0"/>
        <v>-1.006934682398932</v>
      </c>
      <c r="G21">
        <f t="shared" si="1"/>
        <v>0.36708862339658466</v>
      </c>
      <c r="H21">
        <f t="shared" si="2"/>
        <v>0.87916339719063841</v>
      </c>
      <c r="I21">
        <f t="array" aca="1" ref="I21" ca="1">SUMPRODUCT(H22:H$23-H$25,OFFSET(H$4:H$23,0,0,E$23-E21)-H$25)/E$23</f>
        <v>-6.3054029478527892E-3</v>
      </c>
      <c r="J21">
        <f ca="1">SQRT((K$25+2*SUMPRODUCT(I$4:I20))/E$23)</f>
        <v>3.4202780781719989E-2</v>
      </c>
      <c r="K21">
        <f t="shared" ca="1" si="4"/>
        <v>7.697867362181821</v>
      </c>
      <c r="T21" t="e" cm="1">
        <f t="array" aca="1" ref="T21" ca="1">ACVF(H$4:H$23,E21)</f>
        <v>#NAME?</v>
      </c>
    </row>
    <row r="22" spans="1:20" x14ac:dyDescent="0.35">
      <c r="A22">
        <v>-0.57811003842058217</v>
      </c>
      <c r="B22">
        <v>-8.3990871330917427E-2</v>
      </c>
      <c r="C22">
        <v>-0.4644212990881289</v>
      </c>
      <c r="D22" s="137"/>
      <c r="E22" s="137">
        <f t="shared" si="3"/>
        <v>19</v>
      </c>
      <c r="F22">
        <f t="shared" si="0"/>
        <v>-0.49411916708966475</v>
      </c>
      <c r="G22">
        <f t="shared" si="1"/>
        <v>-0.11368873933245327</v>
      </c>
      <c r="H22">
        <f t="shared" si="2"/>
        <v>0.23122862183438153</v>
      </c>
      <c r="I22">
        <f t="array" aca="1" ref="I22" ca="1">SUMPRODUCT(H23:H$23-H$25,OFFSET(H$4:H$23,0,0,E$23-E22)-H$25)/E$23</f>
        <v>-5.3928991841711181E-3</v>
      </c>
      <c r="J22">
        <f ca="1">SQRT((K$25+2*SUMPRODUCT(I$4:I21))/E$23)</f>
        <v>2.3222616528227671E-2</v>
      </c>
      <c r="K22">
        <f t="shared" ca="1" si="4"/>
        <v>11.337588490746864</v>
      </c>
      <c r="T22" t="e" cm="1">
        <f t="array" aca="1" ref="T22" ca="1">ACVF(H$4:H$23,E22)</f>
        <v>#NAME?</v>
      </c>
    </row>
    <row r="23" spans="1:20" x14ac:dyDescent="0.35">
      <c r="A23" s="4">
        <v>0.76869728403468252</v>
      </c>
      <c r="B23" s="4">
        <v>-7.3103734742138604E-2</v>
      </c>
      <c r="C23" s="4">
        <v>0.97853137898300324</v>
      </c>
      <c r="D23" s="17"/>
      <c r="E23" s="10">
        <f t="shared" si="3"/>
        <v>20</v>
      </c>
      <c r="F23" s="4">
        <f t="shared" si="0"/>
        <v>0.84180101877682112</v>
      </c>
      <c r="G23" s="4">
        <f t="shared" si="1"/>
        <v>-0.20983409494832073</v>
      </c>
      <c r="H23" s="4">
        <f t="shared" si="2"/>
        <v>0.66459860781091307</v>
      </c>
      <c r="I23" s="4"/>
      <c r="J23" s="4"/>
      <c r="K23" s="4"/>
      <c r="T23" s="4"/>
    </row>
    <row r="25" spans="1:20" x14ac:dyDescent="0.35">
      <c r="A25" s="137" t="s">
        <v>80</v>
      </c>
      <c r="B25" s="170">
        <f>COUNT(A4:A23)</f>
        <v>20</v>
      </c>
      <c r="G25" s="137" t="s">
        <v>508</v>
      </c>
      <c r="H25" s="19">
        <f>AVERAGE(H4:H23)</f>
        <v>0.26328846987546195</v>
      </c>
      <c r="J25" s="137" t="s">
        <v>509</v>
      </c>
      <c r="K25" s="19">
        <f>VARP(H4:H23)</f>
        <v>0.55294628240022914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05"/>
  <dimension ref="A1:P26"/>
  <sheetViews>
    <sheetView workbookViewId="0"/>
  </sheetViews>
  <sheetFormatPr defaultRowHeight="14.5" x14ac:dyDescent="0.35"/>
  <cols>
    <col min="1" max="1" width="11.26953125" customWidth="1"/>
    <col min="2" max="2" width="9.54296875" bestFit="1" customWidth="1"/>
    <col min="6" max="6" width="4.26953125" customWidth="1"/>
    <col min="7" max="7" width="7.81640625" customWidth="1"/>
    <col min="9" max="9" width="4.26953125" customWidth="1"/>
    <col min="11" max="11" width="7" customWidth="1"/>
    <col min="14" max="14" width="4.26953125" customWidth="1"/>
    <col min="15" max="15" width="10" customWidth="1"/>
  </cols>
  <sheetData>
    <row r="1" spans="1:16" x14ac:dyDescent="0.35">
      <c r="A1" s="7" t="s">
        <v>306</v>
      </c>
    </row>
    <row r="3" spans="1:16" x14ac:dyDescent="0.35">
      <c r="A3" s="100" t="s">
        <v>75</v>
      </c>
      <c r="B3" s="100" t="s">
        <v>76</v>
      </c>
      <c r="D3" t="s">
        <v>290</v>
      </c>
      <c r="E3">
        <v>1</v>
      </c>
      <c r="G3" t="s">
        <v>292</v>
      </c>
      <c r="J3" t="s">
        <v>295</v>
      </c>
      <c r="L3" t="s">
        <v>294</v>
      </c>
      <c r="O3" t="s">
        <v>299</v>
      </c>
    </row>
    <row r="4" spans="1:16" ht="15" thickBot="1" x14ac:dyDescent="0.4">
      <c r="A4" t="s">
        <v>74</v>
      </c>
      <c r="B4" s="21">
        <v>16272.01</v>
      </c>
    </row>
    <row r="5" spans="1:16" ht="15" thickTop="1" x14ac:dyDescent="0.35">
      <c r="A5" t="s">
        <v>73</v>
      </c>
      <c r="B5" s="21">
        <v>16472.37</v>
      </c>
      <c r="D5" s="45" t="s">
        <v>291</v>
      </c>
      <c r="E5" s="45" t="s">
        <v>194</v>
      </c>
      <c r="G5" s="45" t="s">
        <v>293</v>
      </c>
      <c r="H5" s="45" t="s">
        <v>294</v>
      </c>
      <c r="J5" s="45" t="s">
        <v>296</v>
      </c>
      <c r="K5" s="45" t="s">
        <v>293</v>
      </c>
      <c r="L5" s="45" t="s">
        <v>297</v>
      </c>
      <c r="M5" s="45" t="s">
        <v>92</v>
      </c>
      <c r="O5" t="s">
        <v>300</v>
      </c>
      <c r="P5" s="105" t="s">
        <v>303</v>
      </c>
    </row>
    <row r="6" spans="1:16" x14ac:dyDescent="0.35">
      <c r="A6" t="s">
        <v>72</v>
      </c>
      <c r="B6" s="21">
        <v>16776.43</v>
      </c>
      <c r="D6">
        <v>1</v>
      </c>
      <c r="E6" t="e">
        <f t="array" aca="1" ref="E6:E26" ca="1">ADIFF(B4:B25,E3)</f>
        <v>#NAME?</v>
      </c>
      <c r="G6">
        <v>1</v>
      </c>
      <c r="H6" t="e" cm="1">
        <f t="array" aca="1" ref="H6" ca="1">ACF($E$6:$E$26,G6)</f>
        <v>#NAME?</v>
      </c>
      <c r="J6" s="104" t="s">
        <v>298</v>
      </c>
      <c r="K6" s="104">
        <v>5</v>
      </c>
      <c r="L6" s="104" t="e" cm="1">
        <f t="array" aca="1" ref="L6" ca="1">LJUNG(E6:E26,0,K6)</f>
        <v>#NAME?</v>
      </c>
      <c r="M6" s="104" t="e">
        <f ca="1">CHIDIST(L6,K6)</f>
        <v>#NAME?</v>
      </c>
      <c r="O6" t="s">
        <v>301</v>
      </c>
      <c r="P6" s="106" t="s">
        <v>305</v>
      </c>
    </row>
    <row r="7" spans="1:16" x14ac:dyDescent="0.35">
      <c r="A7" t="s">
        <v>71</v>
      </c>
      <c r="B7" s="21">
        <v>16790.189999999999</v>
      </c>
      <c r="D7">
        <f>D6+1</f>
        <v>2</v>
      </c>
      <c r="E7" t="e">
        <f ca="1"/>
        <v>#NAME?</v>
      </c>
      <c r="G7">
        <f>G6+1</f>
        <v>2</v>
      </c>
      <c r="H7" t="e" cm="1">
        <f t="array" aca="1" ref="H7" ca="1">ACF($E$6:$E$26,G7)</f>
        <v>#NAME?</v>
      </c>
      <c r="O7" t="s">
        <v>302</v>
      </c>
      <c r="P7" s="106" t="s">
        <v>305</v>
      </c>
    </row>
    <row r="8" spans="1:16" x14ac:dyDescent="0.35">
      <c r="A8" t="s">
        <v>70</v>
      </c>
      <c r="B8" s="21">
        <v>16912.29</v>
      </c>
      <c r="D8">
        <f t="shared" ref="D8:D26" si="0">D7+1</f>
        <v>3</v>
      </c>
      <c r="E8" t="e">
        <f ca="1"/>
        <v>#NAME?</v>
      </c>
      <c r="G8">
        <f>G7+1</f>
        <v>3</v>
      </c>
      <c r="H8" t="e" cm="1">
        <f t="array" aca="1" ref="H8" ca="1">ACF($E$6:$E$26,G8)</f>
        <v>#NAME?</v>
      </c>
      <c r="O8" t="s">
        <v>293</v>
      </c>
      <c r="P8" s="107">
        <f ca="1">IF(P5&lt;&gt;"schwert",0,ROUND(12*(COUNT(E6:E26)/100)^(1/4),0))</f>
        <v>0</v>
      </c>
    </row>
    <row r="9" spans="1:16" x14ac:dyDescent="0.35">
      <c r="A9" t="s">
        <v>69</v>
      </c>
      <c r="B9" s="21">
        <v>17050.75</v>
      </c>
      <c r="D9">
        <f t="shared" si="0"/>
        <v>4</v>
      </c>
      <c r="E9" t="e">
        <f ca="1"/>
        <v>#NAME?</v>
      </c>
      <c r="G9">
        <f>G8+1</f>
        <v>4</v>
      </c>
      <c r="H9" t="e" cm="1">
        <f t="array" aca="1" ref="H9" ca="1">ACF($E$6:$E$26,G9)</f>
        <v>#NAME?</v>
      </c>
      <c r="O9" t="s">
        <v>10</v>
      </c>
      <c r="P9" s="108">
        <v>0.05</v>
      </c>
    </row>
    <row r="10" spans="1:16" x14ac:dyDescent="0.35">
      <c r="A10" t="s">
        <v>68</v>
      </c>
      <c r="B10" s="21">
        <v>17084.490000000002</v>
      </c>
      <c r="D10">
        <f t="shared" si="0"/>
        <v>5</v>
      </c>
      <c r="E10" t="e">
        <f ca="1"/>
        <v>#NAME?</v>
      </c>
      <c r="G10" s="4">
        <f>G9+1</f>
        <v>5</v>
      </c>
      <c r="H10" s="4" t="e" cm="1">
        <f t="array" aca="1" ref="H10" ca="1">ACF($E$6:$E$26,G10)</f>
        <v>#NAME?</v>
      </c>
    </row>
    <row r="11" spans="1:16" x14ac:dyDescent="0.35">
      <c r="A11" t="s">
        <v>67</v>
      </c>
      <c r="B11" s="21">
        <v>17131.86</v>
      </c>
      <c r="D11">
        <f t="shared" si="0"/>
        <v>6</v>
      </c>
      <c r="E11" t="e">
        <f ca="1"/>
        <v>#NAME?</v>
      </c>
      <c r="O11" t="e">
        <f t="array" aca="1" ref="O11:P18" ca="1">ADFTEST(E6:E26,TRUE,P8,P5,0,P9)</f>
        <v>#NAME?</v>
      </c>
      <c r="P11" s="139" t="e">
        <f ca="1"/>
        <v>#NAME?</v>
      </c>
    </row>
    <row r="12" spans="1:16" x14ac:dyDescent="0.35">
      <c r="A12" t="s">
        <v>66</v>
      </c>
      <c r="B12" s="21">
        <v>17081.89</v>
      </c>
      <c r="D12">
        <f t="shared" si="0"/>
        <v>7</v>
      </c>
      <c r="E12" t="e">
        <f ca="1"/>
        <v>#NAME?</v>
      </c>
      <c r="O12" t="e">
        <f ca="1"/>
        <v>#NAME?</v>
      </c>
      <c r="P12" s="24" t="e">
        <f ca="1"/>
        <v>#NAME?</v>
      </c>
    </row>
    <row r="13" spans="1:16" x14ac:dyDescent="0.35">
      <c r="A13" t="s">
        <v>65</v>
      </c>
      <c r="B13" s="21">
        <v>16924.75</v>
      </c>
      <c r="D13">
        <f t="shared" si="0"/>
        <v>8</v>
      </c>
      <c r="E13" t="e">
        <f ca="1"/>
        <v>#NAME?</v>
      </c>
      <c r="O13" t="e">
        <f ca="1"/>
        <v>#NAME?</v>
      </c>
      <c r="P13" s="141" t="e">
        <f ca="1"/>
        <v>#NAME?</v>
      </c>
    </row>
    <row r="14" spans="1:16" x14ac:dyDescent="0.35">
      <c r="A14" t="s">
        <v>64</v>
      </c>
      <c r="B14" s="21">
        <v>17141.75</v>
      </c>
      <c r="D14">
        <f t="shared" si="0"/>
        <v>9</v>
      </c>
      <c r="E14" t="e">
        <f ca="1"/>
        <v>#NAME?</v>
      </c>
      <c r="O14" t="e">
        <f ca="1"/>
        <v>#NAME?</v>
      </c>
      <c r="P14" s="24" t="e">
        <f ca="1"/>
        <v>#NAME?</v>
      </c>
    </row>
    <row r="15" spans="1:16" x14ac:dyDescent="0.35">
      <c r="A15" t="s">
        <v>63</v>
      </c>
      <c r="B15" s="21">
        <v>17215.97</v>
      </c>
      <c r="D15">
        <f t="shared" si="0"/>
        <v>10</v>
      </c>
      <c r="E15" t="e">
        <f ca="1"/>
        <v>#NAME?</v>
      </c>
      <c r="O15" t="e">
        <f ca="1"/>
        <v>#NAME?</v>
      </c>
      <c r="P15" s="24" t="e">
        <f ca="1"/>
        <v>#NAME?</v>
      </c>
    </row>
    <row r="16" spans="1:16" x14ac:dyDescent="0.35">
      <c r="A16" t="s">
        <v>62</v>
      </c>
      <c r="B16" s="21">
        <v>17230.54</v>
      </c>
      <c r="D16">
        <f t="shared" si="0"/>
        <v>11</v>
      </c>
      <c r="E16" t="e">
        <f ca="1"/>
        <v>#NAME?</v>
      </c>
      <c r="O16" t="e">
        <f ca="1"/>
        <v>#NAME?</v>
      </c>
      <c r="P16" s="24" t="e">
        <f ca="1"/>
        <v>#NAME?</v>
      </c>
    </row>
    <row r="17" spans="1:16" x14ac:dyDescent="0.35">
      <c r="A17" t="s">
        <v>61</v>
      </c>
      <c r="B17" s="21">
        <v>17217.11</v>
      </c>
      <c r="D17">
        <f t="shared" si="0"/>
        <v>12</v>
      </c>
      <c r="E17" t="e">
        <f ca="1"/>
        <v>#NAME?</v>
      </c>
      <c r="O17" t="e">
        <f ca="1"/>
        <v>#NAME?</v>
      </c>
      <c r="P17" s="24" t="e">
        <f ca="1"/>
        <v>#NAME?</v>
      </c>
    </row>
    <row r="18" spans="1:16" x14ac:dyDescent="0.35">
      <c r="A18" t="s">
        <v>60</v>
      </c>
      <c r="B18" s="21">
        <v>17168.61</v>
      </c>
      <c r="D18">
        <f t="shared" si="0"/>
        <v>13</v>
      </c>
      <c r="E18" t="e">
        <f ca="1"/>
        <v>#NAME?</v>
      </c>
      <c r="O18" t="e">
        <f ca="1"/>
        <v>#NAME?</v>
      </c>
      <c r="P18" s="146" t="e">
        <f ca="1"/>
        <v>#NAME?</v>
      </c>
    </row>
    <row r="19" spans="1:16" x14ac:dyDescent="0.35">
      <c r="A19" t="s">
        <v>59</v>
      </c>
      <c r="B19" s="21">
        <v>17489.16</v>
      </c>
      <c r="D19">
        <f t="shared" si="0"/>
        <v>14</v>
      </c>
      <c r="E19" t="e">
        <f ca="1"/>
        <v>#NAME?</v>
      </c>
    </row>
    <row r="20" spans="1:16" x14ac:dyDescent="0.35">
      <c r="A20" t="s">
        <v>58</v>
      </c>
      <c r="B20" s="21">
        <v>17646.7</v>
      </c>
      <c r="D20">
        <f t="shared" si="0"/>
        <v>15</v>
      </c>
      <c r="E20" t="e">
        <f ca="1"/>
        <v>#NAME?</v>
      </c>
    </row>
    <row r="21" spans="1:16" x14ac:dyDescent="0.35">
      <c r="A21" t="s">
        <v>57</v>
      </c>
      <c r="B21" s="21">
        <v>17623.05</v>
      </c>
      <c r="D21">
        <f t="shared" si="0"/>
        <v>16</v>
      </c>
      <c r="E21" t="e">
        <f ca="1"/>
        <v>#NAME?</v>
      </c>
    </row>
    <row r="22" spans="1:16" x14ac:dyDescent="0.35">
      <c r="A22" t="s">
        <v>56</v>
      </c>
      <c r="B22" s="21">
        <v>17581.43</v>
      </c>
      <c r="D22">
        <f t="shared" si="0"/>
        <v>17</v>
      </c>
      <c r="E22" t="e">
        <f ca="1"/>
        <v>#NAME?</v>
      </c>
    </row>
    <row r="23" spans="1:16" x14ac:dyDescent="0.35">
      <c r="A23" t="s">
        <v>55</v>
      </c>
      <c r="B23" s="21">
        <v>17779.52</v>
      </c>
      <c r="D23">
        <f t="shared" si="0"/>
        <v>18</v>
      </c>
      <c r="E23" t="e">
        <f ca="1"/>
        <v>#NAME?</v>
      </c>
    </row>
    <row r="24" spans="1:16" x14ac:dyDescent="0.35">
      <c r="A24" t="s">
        <v>54</v>
      </c>
      <c r="B24" s="21">
        <v>17755.8</v>
      </c>
      <c r="D24">
        <f t="shared" si="0"/>
        <v>19</v>
      </c>
      <c r="E24" t="e">
        <f ca="1"/>
        <v>#NAME?</v>
      </c>
    </row>
    <row r="25" spans="1:16" x14ac:dyDescent="0.35">
      <c r="A25" s="4" t="s">
        <v>53</v>
      </c>
      <c r="B25" s="22">
        <v>17663.54</v>
      </c>
      <c r="D25">
        <f t="shared" si="0"/>
        <v>20</v>
      </c>
      <c r="E25" t="e">
        <f ca="1"/>
        <v>#NAME?</v>
      </c>
    </row>
    <row r="26" spans="1:16" x14ac:dyDescent="0.35">
      <c r="D26" s="4">
        <f t="shared" si="0"/>
        <v>21</v>
      </c>
      <c r="E26" s="4" t="e">
        <f ca="1"/>
        <v>#NAME?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4"/>
  <dimension ref="A1:U30"/>
  <sheetViews>
    <sheetView topLeftCell="B1" zoomScaleNormal="100" workbookViewId="0">
      <selection activeCell="P8" sqref="P8"/>
    </sheetView>
  </sheetViews>
  <sheetFormatPr defaultRowHeight="14.5" x14ac:dyDescent="0.35"/>
  <cols>
    <col min="2" max="2" width="9.1796875" style="125"/>
    <col min="3" max="3" width="4.453125" customWidth="1"/>
    <col min="6" max="6" width="16.81640625" customWidth="1"/>
    <col min="14" max="14" width="9.453125" customWidth="1"/>
    <col min="20" max="20" width="10.7265625" customWidth="1"/>
  </cols>
  <sheetData>
    <row r="1" spans="1:21" x14ac:dyDescent="0.35">
      <c r="A1" s="7" t="s">
        <v>408</v>
      </c>
      <c r="B1" s="123"/>
    </row>
    <row r="3" spans="1:21" x14ac:dyDescent="0.35">
      <c r="A3" s="122" t="s">
        <v>291</v>
      </c>
      <c r="B3" s="124" t="s">
        <v>409</v>
      </c>
      <c r="D3" s="128" t="s">
        <v>410</v>
      </c>
      <c r="F3" t="s">
        <v>141</v>
      </c>
      <c r="N3" t="s">
        <v>423</v>
      </c>
      <c r="Q3" t="s">
        <v>290</v>
      </c>
      <c r="R3">
        <v>0</v>
      </c>
      <c r="T3" t="s">
        <v>299</v>
      </c>
    </row>
    <row r="4" spans="1:21" ht="15" thickBot="1" x14ac:dyDescent="0.4">
      <c r="A4" s="115">
        <v>1</v>
      </c>
      <c r="B4" s="125">
        <v>50</v>
      </c>
      <c r="E4" s="125"/>
    </row>
    <row r="5" spans="1:21" ht="15.5" thickTop="1" thickBot="1" x14ac:dyDescent="0.4">
      <c r="A5" s="115">
        <f>A4+1</f>
        <v>2</v>
      </c>
      <c r="B5" s="125">
        <v>120.83</v>
      </c>
      <c r="D5" s="125">
        <f>B5-B4</f>
        <v>70.83</v>
      </c>
      <c r="E5" s="125"/>
      <c r="F5" s="44" t="s">
        <v>142</v>
      </c>
      <c r="G5" s="44"/>
      <c r="I5" s="44"/>
      <c r="J5" s="44"/>
      <c r="N5" t="s">
        <v>80</v>
      </c>
      <c r="O5" s="111">
        <f>A28</f>
        <v>25</v>
      </c>
      <c r="Q5" s="45" t="s">
        <v>291</v>
      </c>
      <c r="R5" s="45" t="s">
        <v>194</v>
      </c>
      <c r="T5" t="s">
        <v>300</v>
      </c>
      <c r="U5" s="133" t="s">
        <v>419</v>
      </c>
    </row>
    <row r="6" spans="1:21" ht="15" thickTop="1" x14ac:dyDescent="0.35">
      <c r="A6" s="115">
        <f t="shared" ref="A6:A18" si="0">A5+1</f>
        <v>3</v>
      </c>
      <c r="B6" s="125">
        <v>-25.43</v>
      </c>
      <c r="D6" s="125">
        <f t="shared" ref="D6:D18" si="1">B6-B5</f>
        <v>-146.26</v>
      </c>
      <c r="E6" s="125"/>
      <c r="F6" t="s">
        <v>144</v>
      </c>
      <c r="G6" t="e">
        <f ca="1">SQRT(G7)</f>
        <v>#NAME?</v>
      </c>
      <c r="I6" t="s">
        <v>145</v>
      </c>
      <c r="J6" t="e">
        <f ca="1">G10*LN(H15/G10)+2*G14</f>
        <v>#NAME?</v>
      </c>
      <c r="N6" t="s">
        <v>10</v>
      </c>
      <c r="O6" s="24">
        <f>K12</f>
        <v>0.05</v>
      </c>
      <c r="Q6">
        <v>1</v>
      </c>
      <c r="R6" t="e">
        <f t="array" aca="1" ref="R6:R30" ca="1">ADIFF(B4:B28,R3)</f>
        <v>#NAME?</v>
      </c>
      <c r="T6" t="s">
        <v>301</v>
      </c>
      <c r="U6" s="106" t="s">
        <v>305</v>
      </c>
    </row>
    <row r="7" spans="1:21" x14ac:dyDescent="0.35">
      <c r="A7" s="115">
        <f t="shared" si="0"/>
        <v>4</v>
      </c>
      <c r="B7" s="125">
        <v>31.72</v>
      </c>
      <c r="D7" s="125">
        <f t="shared" si="1"/>
        <v>57.15</v>
      </c>
      <c r="E7" s="125"/>
      <c r="F7" t="s">
        <v>148</v>
      </c>
      <c r="G7" t="e">
        <f ca="1">H14/H16</f>
        <v>#NAME?</v>
      </c>
      <c r="I7" t="s">
        <v>149</v>
      </c>
      <c r="J7" t="e">
        <f ca="1">J6+2*(G14+1)*(G14+2)/(G10-G14-2)</f>
        <v>#NAME?</v>
      </c>
      <c r="N7" t="s">
        <v>420</v>
      </c>
      <c r="O7" s="24" t="e">
        <f ca="1">I19</f>
        <v>#NAME?</v>
      </c>
      <c r="Q7">
        <f>Q6+1</f>
        <v>2</v>
      </c>
      <c r="R7" t="e">
        <f ca="1"/>
        <v>#NAME?</v>
      </c>
      <c r="T7" t="s">
        <v>302</v>
      </c>
      <c r="U7" s="106" t="s">
        <v>305</v>
      </c>
    </row>
    <row r="8" spans="1:21" x14ac:dyDescent="0.35">
      <c r="A8" s="17">
        <f t="shared" si="0"/>
        <v>5</v>
      </c>
      <c r="B8" s="125">
        <v>94.79</v>
      </c>
      <c r="C8" s="13"/>
      <c r="D8" s="132">
        <f t="shared" si="1"/>
        <v>63.070000000000007</v>
      </c>
      <c r="E8" s="125"/>
      <c r="F8" t="s">
        <v>150</v>
      </c>
      <c r="G8" t="e">
        <f ca="1">1-(1-G7)*G10/(G10-G14)</f>
        <v>#NAME?</v>
      </c>
      <c r="I8" s="4" t="s">
        <v>411</v>
      </c>
      <c r="J8" s="4" t="e">
        <f ca="1">G10*LN(H15/G10)+G14*LN(G10)</f>
        <v>#NAME?</v>
      </c>
      <c r="N8" t="s">
        <v>421</v>
      </c>
      <c r="O8" s="24" t="e" cm="1">
        <f t="array" aca="1" ref="O8" ca="1">ADFCRIT(O5,0.05,0)</f>
        <v>#NAME?</v>
      </c>
      <c r="Q8">
        <f t="shared" ref="Q8:Q30" si="2">Q7+1</f>
        <v>3</v>
      </c>
      <c r="R8" t="e">
        <f ca="1"/>
        <v>#NAME?</v>
      </c>
      <c r="T8" t="s">
        <v>293</v>
      </c>
      <c r="U8" s="107">
        <v>0</v>
      </c>
    </row>
    <row r="9" spans="1:21" x14ac:dyDescent="0.35">
      <c r="A9" s="17">
        <f t="shared" si="0"/>
        <v>6</v>
      </c>
      <c r="B9" s="125">
        <v>61.06</v>
      </c>
      <c r="C9" s="13"/>
      <c r="D9" s="132">
        <f t="shared" si="1"/>
        <v>-33.730000000000004</v>
      </c>
      <c r="E9" s="125"/>
      <c r="F9" t="s">
        <v>146</v>
      </c>
      <c r="G9" t="e">
        <f ca="1">SQRT(I15)</f>
        <v>#NAME?</v>
      </c>
      <c r="N9" t="s">
        <v>422</v>
      </c>
      <c r="O9" s="25" t="e">
        <f ca="1">IF(O7&lt;O8,"yes","no")</f>
        <v>#NAME?</v>
      </c>
      <c r="Q9">
        <f t="shared" si="2"/>
        <v>4</v>
      </c>
      <c r="R9" t="e">
        <f ca="1"/>
        <v>#NAME?</v>
      </c>
      <c r="T9" t="s">
        <v>10</v>
      </c>
      <c r="U9" s="108">
        <v>0.05</v>
      </c>
    </row>
    <row r="10" spans="1:21" x14ac:dyDescent="0.35">
      <c r="A10" s="17">
        <f t="shared" si="0"/>
        <v>7</v>
      </c>
      <c r="B10" s="125">
        <v>87.51</v>
      </c>
      <c r="C10" s="13"/>
      <c r="D10" s="132">
        <f t="shared" si="1"/>
        <v>26.450000000000003</v>
      </c>
      <c r="E10" s="125"/>
      <c r="F10" s="4" t="s">
        <v>153</v>
      </c>
      <c r="G10" s="4">
        <f>COUNT(D5:D28)</f>
        <v>24</v>
      </c>
      <c r="Q10">
        <f t="shared" si="2"/>
        <v>5</v>
      </c>
      <c r="R10" t="e">
        <f ca="1"/>
        <v>#NAME?</v>
      </c>
    </row>
    <row r="11" spans="1:21" x14ac:dyDescent="0.35">
      <c r="A11" s="17">
        <f t="shared" si="0"/>
        <v>8</v>
      </c>
      <c r="B11" s="125">
        <v>-65.88</v>
      </c>
      <c r="C11" s="13"/>
      <c r="D11" s="132">
        <f t="shared" si="1"/>
        <v>-153.38999999999999</v>
      </c>
      <c r="E11" s="125"/>
      <c r="Q11">
        <f t="shared" si="2"/>
        <v>6</v>
      </c>
      <c r="R11" t="e">
        <f ca="1"/>
        <v>#NAME?</v>
      </c>
      <c r="T11" t="e">
        <f t="array" aca="1" ref="T11:U18" ca="1">ADFTEST(R6:R30,TRUE,U8,U5,0,U9)</f>
        <v>#NAME?</v>
      </c>
      <c r="U11" s="139" t="e">
        <f ca="1"/>
        <v>#NAME?</v>
      </c>
    </row>
    <row r="12" spans="1:21" ht="15" thickBot="1" x14ac:dyDescent="0.4">
      <c r="A12" s="17">
        <f t="shared" si="0"/>
        <v>9</v>
      </c>
      <c r="B12" s="125">
        <v>30.4</v>
      </c>
      <c r="C12" s="13"/>
      <c r="D12" s="132">
        <f t="shared" si="1"/>
        <v>96.28</v>
      </c>
      <c r="E12" s="125"/>
      <c r="F12" t="s">
        <v>155</v>
      </c>
      <c r="J12" s="115" t="s">
        <v>156</v>
      </c>
      <c r="K12" s="115">
        <v>0.05</v>
      </c>
      <c r="Q12">
        <f t="shared" si="2"/>
        <v>7</v>
      </c>
      <c r="R12" t="e">
        <f ca="1"/>
        <v>#NAME?</v>
      </c>
      <c r="T12" t="e">
        <f ca="1"/>
        <v>#NAME?</v>
      </c>
      <c r="U12" s="24" t="e">
        <f ca="1"/>
        <v>#NAME?</v>
      </c>
    </row>
    <row r="13" spans="1:21" ht="15" thickTop="1" x14ac:dyDescent="0.35">
      <c r="A13" s="17">
        <f t="shared" si="0"/>
        <v>10</v>
      </c>
      <c r="B13" s="125">
        <v>65.489999999999995</v>
      </c>
      <c r="C13" s="13"/>
      <c r="D13" s="132">
        <f t="shared" si="1"/>
        <v>35.089999999999996</v>
      </c>
      <c r="E13" s="125"/>
      <c r="F13" s="45"/>
      <c r="G13" s="45" t="s">
        <v>88</v>
      </c>
      <c r="H13" s="45" t="s">
        <v>157</v>
      </c>
      <c r="I13" s="45" t="s">
        <v>158</v>
      </c>
      <c r="J13" s="45" t="s">
        <v>159</v>
      </c>
      <c r="K13" s="45" t="s">
        <v>92</v>
      </c>
      <c r="L13" s="45" t="s">
        <v>84</v>
      </c>
      <c r="Q13">
        <f t="shared" si="2"/>
        <v>8</v>
      </c>
      <c r="R13" t="e">
        <f ca="1"/>
        <v>#NAME?</v>
      </c>
      <c r="T13" t="e">
        <f ca="1"/>
        <v>#NAME?</v>
      </c>
      <c r="U13" s="141" t="e">
        <f ca="1"/>
        <v>#NAME?</v>
      </c>
    </row>
    <row r="14" spans="1:21" x14ac:dyDescent="0.35">
      <c r="A14" s="17">
        <f t="shared" si="0"/>
        <v>11</v>
      </c>
      <c r="B14" s="125">
        <v>15.13</v>
      </c>
      <c r="C14" s="13"/>
      <c r="D14" s="132">
        <f t="shared" si="1"/>
        <v>-50.359999999999992</v>
      </c>
      <c r="E14" s="125"/>
      <c r="F14" t="s">
        <v>160</v>
      </c>
      <c r="G14">
        <f>COUNT(B4)</f>
        <v>1</v>
      </c>
      <c r="H14" t="e">
        <f ca="1">SUMSQ(MMULT(B4:B27,G19))</f>
        <v>#NAME?</v>
      </c>
      <c r="I14" t="e">
        <f ca="1">H14/G14</f>
        <v>#NAME?</v>
      </c>
      <c r="J14" t="e">
        <f ca="1">I14/I15</f>
        <v>#NAME?</v>
      </c>
      <c r="K14" t="e">
        <f ca="1">FDIST(J14,G14,G15)</f>
        <v>#NAME?</v>
      </c>
      <c r="L14" s="115" t="e">
        <f ca="1">IF(K14&lt;K12,"yes","no")</f>
        <v>#NAME?</v>
      </c>
      <c r="Q14">
        <f t="shared" si="2"/>
        <v>9</v>
      </c>
      <c r="R14" t="e">
        <f ca="1"/>
        <v>#NAME?</v>
      </c>
      <c r="T14" t="e">
        <f ca="1"/>
        <v>#NAME?</v>
      </c>
      <c r="U14" s="24" t="e">
        <f ca="1"/>
        <v>#NAME?</v>
      </c>
    </row>
    <row r="15" spans="1:21" x14ac:dyDescent="0.35">
      <c r="A15" s="17">
        <f t="shared" si="0"/>
        <v>12</v>
      </c>
      <c r="B15" s="125">
        <v>8.23</v>
      </c>
      <c r="C15" s="13"/>
      <c r="D15" s="132">
        <f t="shared" si="1"/>
        <v>-6.9</v>
      </c>
      <c r="E15" s="125"/>
      <c r="F15" t="s">
        <v>107</v>
      </c>
      <c r="G15">
        <f>G16-G14</f>
        <v>23</v>
      </c>
      <c r="H15" t="e">
        <f ca="1">H16-H14</f>
        <v>#NAME?</v>
      </c>
      <c r="I15" t="e">
        <f ca="1">H15/G15</f>
        <v>#NAME?</v>
      </c>
      <c r="Q15">
        <f t="shared" si="2"/>
        <v>10</v>
      </c>
      <c r="R15" t="e">
        <f ca="1"/>
        <v>#NAME?</v>
      </c>
      <c r="T15" t="e">
        <f ca="1"/>
        <v>#NAME?</v>
      </c>
      <c r="U15" s="24" t="e">
        <f ca="1"/>
        <v>#NAME?</v>
      </c>
    </row>
    <row r="16" spans="1:21" x14ac:dyDescent="0.35">
      <c r="A16" s="17">
        <f t="shared" si="0"/>
        <v>13</v>
      </c>
      <c r="B16" s="125">
        <v>-18.71</v>
      </c>
      <c r="C16" s="13"/>
      <c r="D16" s="132">
        <f t="shared" si="1"/>
        <v>-26.94</v>
      </c>
      <c r="E16" s="125"/>
      <c r="F16" s="4" t="s">
        <v>161</v>
      </c>
      <c r="G16" s="4">
        <f>G10</f>
        <v>24</v>
      </c>
      <c r="H16" s="4">
        <f>SUMSQ(D5:D28)</f>
        <v>252859.36729999998</v>
      </c>
      <c r="I16" s="4"/>
      <c r="J16" s="4"/>
      <c r="K16" s="4"/>
      <c r="L16" s="4"/>
      <c r="Q16">
        <f t="shared" si="2"/>
        <v>11</v>
      </c>
      <c r="R16" t="e">
        <f ca="1"/>
        <v>#NAME?</v>
      </c>
      <c r="T16" t="e">
        <f ca="1"/>
        <v>#NAME?</v>
      </c>
      <c r="U16" s="24" t="e">
        <f ca="1"/>
        <v>#NAME?</v>
      </c>
    </row>
    <row r="17" spans="1:21" ht="15" thickBot="1" x14ac:dyDescent="0.4">
      <c r="A17" s="17">
        <f t="shared" si="0"/>
        <v>14</v>
      </c>
      <c r="B17" s="125">
        <v>-29.79</v>
      </c>
      <c r="C17" s="13"/>
      <c r="D17" s="132">
        <f t="shared" si="1"/>
        <v>-11.079999999999998</v>
      </c>
      <c r="E17" s="125"/>
      <c r="Q17">
        <f t="shared" si="2"/>
        <v>12</v>
      </c>
      <c r="R17" t="e">
        <f ca="1"/>
        <v>#NAME?</v>
      </c>
      <c r="T17" t="e">
        <f ca="1"/>
        <v>#NAME?</v>
      </c>
      <c r="U17" s="24" t="e">
        <f ca="1"/>
        <v>#NAME?</v>
      </c>
    </row>
    <row r="18" spans="1:21" ht="15" thickTop="1" x14ac:dyDescent="0.35">
      <c r="A18" s="17">
        <f t="shared" si="0"/>
        <v>15</v>
      </c>
      <c r="B18" s="125">
        <v>-97</v>
      </c>
      <c r="C18" s="13"/>
      <c r="D18" s="132">
        <f t="shared" si="1"/>
        <v>-67.210000000000008</v>
      </c>
      <c r="E18" s="125"/>
      <c r="F18" s="45"/>
      <c r="G18" s="45" t="s">
        <v>162</v>
      </c>
      <c r="H18" s="45" t="s">
        <v>163</v>
      </c>
      <c r="I18" s="45" t="s">
        <v>164</v>
      </c>
      <c r="J18" s="45" t="s">
        <v>92</v>
      </c>
      <c r="K18" s="45" t="s">
        <v>127</v>
      </c>
      <c r="L18" s="45" t="s">
        <v>128</v>
      </c>
      <c r="M18" s="134"/>
      <c r="N18" s="134"/>
      <c r="O18" s="134"/>
      <c r="Q18">
        <f t="shared" si="2"/>
        <v>13</v>
      </c>
      <c r="R18" t="e">
        <f ca="1"/>
        <v>#NAME?</v>
      </c>
      <c r="T18" t="e">
        <f ca="1"/>
        <v>#NAME?</v>
      </c>
      <c r="U18" s="34" t="e">
        <f ca="1"/>
        <v>#NAME?</v>
      </c>
    </row>
    <row r="19" spans="1:21" x14ac:dyDescent="0.35">
      <c r="A19" s="17">
        <f t="shared" ref="A19:A28" si="3">A18+1</f>
        <v>16</v>
      </c>
      <c r="B19" s="125">
        <v>42.43</v>
      </c>
      <c r="C19" s="13"/>
      <c r="D19" s="132">
        <f t="shared" ref="D19:D28" si="4">B19-B18</f>
        <v>139.43</v>
      </c>
      <c r="E19" s="125"/>
      <c r="F19" s="127" t="s">
        <v>418</v>
      </c>
      <c r="G19" s="127" t="e">
        <f t="array" aca="1" ref="G19:H19" ca="1">RegCoeff(B4:B27,D5:D28,FALSE)</f>
        <v>#NAME?</v>
      </c>
      <c r="H19" s="127" t="e">
        <f ca="1"/>
        <v>#NAME?</v>
      </c>
      <c r="I19" s="127" t="e">
        <f ca="1">G19/H19</f>
        <v>#NAME?</v>
      </c>
      <c r="J19" s="127" t="e">
        <f ca="1">TDIST(ABS(I19),$G$15,2)</f>
        <v>#NAME?</v>
      </c>
      <c r="K19" s="127" t="e">
        <f ca="1">G19-TINV(K$12,$G$15)*H19</f>
        <v>#NAME?</v>
      </c>
      <c r="L19" s="127" t="e">
        <f ca="1">G19+TINV(K$12,$G$15)*H19</f>
        <v>#NAME?</v>
      </c>
      <c r="M19" s="13"/>
      <c r="N19" s="13"/>
      <c r="O19" s="13"/>
      <c r="Q19">
        <f t="shared" si="2"/>
        <v>14</v>
      </c>
      <c r="R19" t="e">
        <f ca="1"/>
        <v>#NAME?</v>
      </c>
    </row>
    <row r="20" spans="1:21" x14ac:dyDescent="0.35">
      <c r="A20" s="17">
        <f t="shared" si="3"/>
        <v>17</v>
      </c>
      <c r="B20" s="125">
        <v>258.7</v>
      </c>
      <c r="C20" s="13"/>
      <c r="D20" s="132">
        <f t="shared" si="4"/>
        <v>216.26999999999998</v>
      </c>
      <c r="E20" s="125"/>
      <c r="Q20">
        <f t="shared" si="2"/>
        <v>15</v>
      </c>
      <c r="R20" t="e">
        <f ca="1"/>
        <v>#NAME?</v>
      </c>
    </row>
    <row r="21" spans="1:21" x14ac:dyDescent="0.35">
      <c r="A21" s="17">
        <f t="shared" si="3"/>
        <v>18</v>
      </c>
      <c r="B21" s="125">
        <v>6.83</v>
      </c>
      <c r="C21" s="13"/>
      <c r="D21" s="132">
        <f t="shared" si="4"/>
        <v>-251.86999999999998</v>
      </c>
      <c r="E21" s="125"/>
      <c r="Q21">
        <f t="shared" si="2"/>
        <v>16</v>
      </c>
      <c r="R21" t="e">
        <f ca="1"/>
        <v>#NAME?</v>
      </c>
    </row>
    <row r="22" spans="1:21" x14ac:dyDescent="0.35">
      <c r="A22" s="17">
        <f t="shared" si="3"/>
        <v>19</v>
      </c>
      <c r="B22" s="125">
        <v>45.63</v>
      </c>
      <c r="C22" s="13"/>
      <c r="D22" s="132">
        <f t="shared" si="4"/>
        <v>38.800000000000004</v>
      </c>
      <c r="E22" s="125"/>
      <c r="Q22">
        <f t="shared" si="2"/>
        <v>17</v>
      </c>
      <c r="R22" t="e">
        <f ca="1"/>
        <v>#NAME?</v>
      </c>
    </row>
    <row r="23" spans="1:21" x14ac:dyDescent="0.35">
      <c r="A23" s="17">
        <f t="shared" si="3"/>
        <v>20</v>
      </c>
      <c r="B23" s="125">
        <v>-56.41</v>
      </c>
      <c r="C23" s="13"/>
      <c r="D23" s="132">
        <f t="shared" si="4"/>
        <v>-102.03999999999999</v>
      </c>
      <c r="E23" s="125"/>
      <c r="Q23">
        <f t="shared" si="2"/>
        <v>18</v>
      </c>
      <c r="R23" t="e">
        <f ca="1"/>
        <v>#NAME?</v>
      </c>
    </row>
    <row r="24" spans="1:21" x14ac:dyDescent="0.35">
      <c r="A24" s="17">
        <f t="shared" si="3"/>
        <v>21</v>
      </c>
      <c r="B24" s="125">
        <v>-101.23</v>
      </c>
      <c r="C24" s="13"/>
      <c r="D24" s="132">
        <f t="shared" si="4"/>
        <v>-44.820000000000007</v>
      </c>
      <c r="E24" s="125"/>
      <c r="Q24">
        <f t="shared" si="2"/>
        <v>19</v>
      </c>
      <c r="R24" t="e">
        <f ca="1"/>
        <v>#NAME?</v>
      </c>
    </row>
    <row r="25" spans="1:21" x14ac:dyDescent="0.35">
      <c r="A25" s="17">
        <f t="shared" si="3"/>
        <v>22</v>
      </c>
      <c r="B25" s="125">
        <v>-143.21</v>
      </c>
      <c r="C25" s="13"/>
      <c r="D25" s="132">
        <f t="shared" si="4"/>
        <v>-41.980000000000004</v>
      </c>
      <c r="E25" s="125"/>
      <c r="Q25">
        <f t="shared" si="2"/>
        <v>20</v>
      </c>
      <c r="R25" t="e">
        <f ca="1"/>
        <v>#NAME?</v>
      </c>
    </row>
    <row r="26" spans="1:21" x14ac:dyDescent="0.35">
      <c r="A26" s="17">
        <f t="shared" si="3"/>
        <v>23</v>
      </c>
      <c r="B26" s="125">
        <v>-286.77999999999997</v>
      </c>
      <c r="C26" s="13"/>
      <c r="D26" s="132">
        <f t="shared" si="4"/>
        <v>-143.56999999999996</v>
      </c>
      <c r="E26" s="125"/>
      <c r="Q26">
        <f t="shared" si="2"/>
        <v>21</v>
      </c>
      <c r="R26" t="e">
        <f ca="1"/>
        <v>#NAME?</v>
      </c>
    </row>
    <row r="27" spans="1:21" x14ac:dyDescent="0.35">
      <c r="A27" s="17">
        <f t="shared" si="3"/>
        <v>24</v>
      </c>
      <c r="B27" s="125">
        <v>-197.79</v>
      </c>
      <c r="C27" s="13"/>
      <c r="D27" s="132">
        <f t="shared" si="4"/>
        <v>88.989999999999981</v>
      </c>
      <c r="E27" s="125"/>
      <c r="Q27">
        <f t="shared" si="2"/>
        <v>22</v>
      </c>
      <c r="R27" t="e">
        <f ca="1"/>
        <v>#NAME?</v>
      </c>
    </row>
    <row r="28" spans="1:21" x14ac:dyDescent="0.35">
      <c r="A28" s="10">
        <f t="shared" si="3"/>
        <v>25</v>
      </c>
      <c r="B28" s="126">
        <v>-236.75</v>
      </c>
      <c r="C28" s="13"/>
      <c r="D28" s="126">
        <f t="shared" si="4"/>
        <v>-38.960000000000008</v>
      </c>
      <c r="E28" s="125"/>
      <c r="Q28">
        <f t="shared" si="2"/>
        <v>23</v>
      </c>
      <c r="R28" t="e">
        <f ca="1"/>
        <v>#NAME?</v>
      </c>
    </row>
    <row r="29" spans="1:21" x14ac:dyDescent="0.35">
      <c r="Q29">
        <f t="shared" si="2"/>
        <v>24</v>
      </c>
      <c r="R29" t="e">
        <f ca="1"/>
        <v>#NAME?</v>
      </c>
    </row>
    <row r="30" spans="1:21" x14ac:dyDescent="0.35">
      <c r="A30" s="115" t="s">
        <v>120</v>
      </c>
      <c r="B30" s="125">
        <f>AVERAGE(B4:B28)</f>
        <v>-13.609199999999996</v>
      </c>
      <c r="Q30" s="4">
        <f t="shared" si="2"/>
        <v>25</v>
      </c>
      <c r="R30" s="4" t="e">
        <f ca="1"/>
        <v>#NAME?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9"/>
  <dimension ref="A1:U30"/>
  <sheetViews>
    <sheetView zoomScaleNormal="100" workbookViewId="0">
      <selection activeCell="I20" sqref="I20"/>
    </sheetView>
  </sheetViews>
  <sheetFormatPr defaultRowHeight="14.5" x14ac:dyDescent="0.35"/>
  <cols>
    <col min="2" max="2" width="9.1796875" style="125"/>
    <col min="3" max="3" width="4.453125" customWidth="1"/>
    <col min="6" max="6" width="16.81640625" customWidth="1"/>
    <col min="14" max="14" width="9.453125" customWidth="1"/>
    <col min="20" max="20" width="10.7265625" customWidth="1"/>
  </cols>
  <sheetData>
    <row r="1" spans="1:21" x14ac:dyDescent="0.35">
      <c r="A1" s="7" t="s">
        <v>408</v>
      </c>
      <c r="B1" s="123"/>
    </row>
    <row r="3" spans="1:21" x14ac:dyDescent="0.35">
      <c r="A3" s="122" t="s">
        <v>291</v>
      </c>
      <c r="B3" s="124" t="s">
        <v>409</v>
      </c>
      <c r="D3" s="128" t="s">
        <v>410</v>
      </c>
      <c r="F3" t="s">
        <v>141</v>
      </c>
      <c r="N3" t="s">
        <v>423</v>
      </c>
      <c r="Q3" t="s">
        <v>290</v>
      </c>
      <c r="R3">
        <v>0</v>
      </c>
      <c r="T3" t="s">
        <v>299</v>
      </c>
    </row>
    <row r="4" spans="1:21" ht="15" thickBot="1" x14ac:dyDescent="0.4">
      <c r="A4" s="115">
        <v>1</v>
      </c>
      <c r="B4" s="125">
        <v>50</v>
      </c>
      <c r="E4" s="125"/>
    </row>
    <row r="5" spans="1:21" ht="15.5" thickTop="1" thickBot="1" x14ac:dyDescent="0.4">
      <c r="A5" s="115">
        <f>A4+1</f>
        <v>2</v>
      </c>
      <c r="B5" s="125">
        <v>120.83</v>
      </c>
      <c r="D5" s="125">
        <f>B5-B4</f>
        <v>70.83</v>
      </c>
      <c r="E5" s="125"/>
      <c r="F5" s="44" t="s">
        <v>142</v>
      </c>
      <c r="G5" s="44"/>
      <c r="I5" s="44"/>
      <c r="J5" s="44"/>
      <c r="N5" t="s">
        <v>80</v>
      </c>
      <c r="O5" s="111">
        <f>A28</f>
        <v>25</v>
      </c>
      <c r="Q5" s="45" t="s">
        <v>291</v>
      </c>
      <c r="R5" s="45" t="s">
        <v>194</v>
      </c>
      <c r="T5" t="s">
        <v>300</v>
      </c>
      <c r="U5" s="133" t="s">
        <v>419</v>
      </c>
    </row>
    <row r="6" spans="1:21" ht="15" thickTop="1" x14ac:dyDescent="0.35">
      <c r="A6" s="115">
        <f t="shared" ref="A6:A28" si="0">A5+1</f>
        <v>3</v>
      </c>
      <c r="B6" s="125">
        <v>-25.43</v>
      </c>
      <c r="D6" s="125">
        <f t="shared" ref="D6:D28" si="1">B6-B5</f>
        <v>-146.26</v>
      </c>
      <c r="E6" s="125"/>
      <c r="F6" t="s">
        <v>144</v>
      </c>
      <c r="G6" t="e">
        <f ca="1">SQRT(G7)</f>
        <v>#NAME?</v>
      </c>
      <c r="I6" t="s">
        <v>145</v>
      </c>
      <c r="J6" t="e">
        <f ca="1">G10*LN(H15/G10)+2*(G14+1)</f>
        <v>#NAME?</v>
      </c>
      <c r="N6" t="s">
        <v>10</v>
      </c>
      <c r="O6" s="24">
        <f>K12</f>
        <v>0.05</v>
      </c>
      <c r="Q6">
        <v>1</v>
      </c>
      <c r="R6" t="e">
        <f t="array" aca="1" ref="R6:R30" ca="1">ADIFF(B4:B28,R3)</f>
        <v>#NAME?</v>
      </c>
      <c r="T6" t="s">
        <v>301</v>
      </c>
      <c r="U6" s="106" t="s">
        <v>305</v>
      </c>
    </row>
    <row r="7" spans="1:21" x14ac:dyDescent="0.35">
      <c r="A7" s="115">
        <f t="shared" si="0"/>
        <v>4</v>
      </c>
      <c r="B7" s="125">
        <v>31.72</v>
      </c>
      <c r="D7" s="125">
        <f t="shared" si="1"/>
        <v>57.15</v>
      </c>
      <c r="E7" s="125"/>
      <c r="F7" t="s">
        <v>148</v>
      </c>
      <c r="G7" t="e">
        <f ca="1">H14/H16</f>
        <v>#NAME?</v>
      </c>
      <c r="I7" t="s">
        <v>149</v>
      </c>
      <c r="J7" t="e">
        <f ca="1">J6+2*(G14+2)*(G14+3)/(G10-G14-3)</f>
        <v>#NAME?</v>
      </c>
      <c r="N7" t="s">
        <v>420</v>
      </c>
      <c r="O7" s="24" t="e">
        <f ca="1">I20</f>
        <v>#NAME?</v>
      </c>
      <c r="Q7">
        <f>Q6+1</f>
        <v>2</v>
      </c>
      <c r="R7" t="e">
        <f ca="1"/>
        <v>#NAME?</v>
      </c>
      <c r="T7" t="s">
        <v>302</v>
      </c>
      <c r="U7" s="106" t="s">
        <v>305</v>
      </c>
    </row>
    <row r="8" spans="1:21" x14ac:dyDescent="0.35">
      <c r="A8" s="17">
        <f t="shared" si="0"/>
        <v>5</v>
      </c>
      <c r="B8" s="125">
        <v>94.79</v>
      </c>
      <c r="C8" s="13"/>
      <c r="D8" s="132">
        <f t="shared" si="1"/>
        <v>63.070000000000007</v>
      </c>
      <c r="E8" s="125"/>
      <c r="F8" t="s">
        <v>150</v>
      </c>
      <c r="G8" t="e">
        <f ca="1">1-(1-G7)*(G10-1)/(G10-G14-1)</f>
        <v>#NAME?</v>
      </c>
      <c r="I8" s="4" t="s">
        <v>151</v>
      </c>
      <c r="J8" s="4" t="e">
        <f ca="1">G10*LN(H15/G10)+(G14+1)*LN(G10)</f>
        <v>#NAME?</v>
      </c>
      <c r="N8" t="s">
        <v>421</v>
      </c>
      <c r="O8" s="24" t="e" cm="1">
        <f t="array" aca="1" ref="O8" ca="1">ADFCRIT(O5,0.05,1)</f>
        <v>#NAME?</v>
      </c>
      <c r="Q8">
        <f t="shared" ref="Q8:Q30" si="2">Q7+1</f>
        <v>3</v>
      </c>
      <c r="R8" t="e">
        <f ca="1"/>
        <v>#NAME?</v>
      </c>
      <c r="T8" t="s">
        <v>293</v>
      </c>
      <c r="U8" s="107">
        <v>0</v>
      </c>
    </row>
    <row r="9" spans="1:21" x14ac:dyDescent="0.35">
      <c r="A9" s="17">
        <f t="shared" si="0"/>
        <v>6</v>
      </c>
      <c r="B9" s="125">
        <v>61.06</v>
      </c>
      <c r="C9" s="13"/>
      <c r="D9" s="132">
        <f t="shared" si="1"/>
        <v>-33.730000000000004</v>
      </c>
      <c r="E9" s="125"/>
      <c r="F9" t="s">
        <v>146</v>
      </c>
      <c r="G9" t="e">
        <f ca="1">SQRT(I15)</f>
        <v>#NAME?</v>
      </c>
      <c r="N9" t="s">
        <v>422</v>
      </c>
      <c r="O9" s="25" t="e">
        <f ca="1">IF(O7&lt;O8,"yes","no")</f>
        <v>#NAME?</v>
      </c>
      <c r="Q9">
        <f t="shared" si="2"/>
        <v>4</v>
      </c>
      <c r="R9" t="e">
        <f ca="1"/>
        <v>#NAME?</v>
      </c>
      <c r="T9" t="s">
        <v>10</v>
      </c>
      <c r="U9" s="108">
        <v>0.05</v>
      </c>
    </row>
    <row r="10" spans="1:21" x14ac:dyDescent="0.35">
      <c r="A10" s="17">
        <f t="shared" si="0"/>
        <v>7</v>
      </c>
      <c r="B10" s="125">
        <v>87.51</v>
      </c>
      <c r="C10" s="13"/>
      <c r="D10" s="132">
        <f t="shared" si="1"/>
        <v>26.450000000000003</v>
      </c>
      <c r="E10" s="125"/>
      <c r="F10" s="4" t="s">
        <v>153</v>
      </c>
      <c r="G10" s="4">
        <f>COUNT(D5:D28)</f>
        <v>24</v>
      </c>
      <c r="Q10">
        <f t="shared" si="2"/>
        <v>5</v>
      </c>
      <c r="R10" t="e">
        <f ca="1"/>
        <v>#NAME?</v>
      </c>
    </row>
    <row r="11" spans="1:21" x14ac:dyDescent="0.35">
      <c r="A11" s="17">
        <f t="shared" si="0"/>
        <v>8</v>
      </c>
      <c r="B11" s="125">
        <v>-65.88</v>
      </c>
      <c r="C11" s="13"/>
      <c r="D11" s="132">
        <f t="shared" si="1"/>
        <v>-153.38999999999999</v>
      </c>
      <c r="E11" s="125"/>
      <c r="Q11">
        <f t="shared" si="2"/>
        <v>6</v>
      </c>
      <c r="R11" t="e">
        <f ca="1"/>
        <v>#NAME?</v>
      </c>
      <c r="T11" t="e">
        <f t="array" aca="1" ref="T11:U18" ca="1">ADFTEST(R6:R30,TRUE,U8,U5,1,U9)</f>
        <v>#NAME?</v>
      </c>
      <c r="U11" s="139" t="e">
        <f ca="1"/>
        <v>#NAME?</v>
      </c>
    </row>
    <row r="12" spans="1:21" ht="15" thickBot="1" x14ac:dyDescent="0.4">
      <c r="A12" s="17">
        <f t="shared" si="0"/>
        <v>9</v>
      </c>
      <c r="B12" s="125">
        <v>30.4</v>
      </c>
      <c r="C12" s="13"/>
      <c r="D12" s="132">
        <f t="shared" si="1"/>
        <v>96.28</v>
      </c>
      <c r="E12" s="125"/>
      <c r="F12" t="s">
        <v>155</v>
      </c>
      <c r="J12" s="115" t="s">
        <v>156</v>
      </c>
      <c r="K12" s="115">
        <v>0.05</v>
      </c>
      <c r="Q12">
        <f t="shared" si="2"/>
        <v>7</v>
      </c>
      <c r="R12" t="e">
        <f ca="1"/>
        <v>#NAME?</v>
      </c>
      <c r="T12" t="e">
        <f ca="1"/>
        <v>#NAME?</v>
      </c>
      <c r="U12" s="24" t="e">
        <f ca="1"/>
        <v>#NAME?</v>
      </c>
    </row>
    <row r="13" spans="1:21" ht="15" thickTop="1" x14ac:dyDescent="0.35">
      <c r="A13" s="17">
        <f t="shared" si="0"/>
        <v>10</v>
      </c>
      <c r="B13" s="125">
        <v>65.489999999999995</v>
      </c>
      <c r="C13" s="13"/>
      <c r="D13" s="132">
        <f t="shared" si="1"/>
        <v>35.089999999999996</v>
      </c>
      <c r="E13" s="125"/>
      <c r="F13" s="45"/>
      <c r="G13" s="45" t="s">
        <v>88</v>
      </c>
      <c r="H13" s="45" t="s">
        <v>157</v>
      </c>
      <c r="I13" s="45" t="s">
        <v>158</v>
      </c>
      <c r="J13" s="45" t="s">
        <v>159</v>
      </c>
      <c r="K13" s="45" t="s">
        <v>92</v>
      </c>
      <c r="L13" s="45" t="s">
        <v>84</v>
      </c>
      <c r="Q13">
        <f t="shared" si="2"/>
        <v>8</v>
      </c>
      <c r="R13" t="e">
        <f ca="1"/>
        <v>#NAME?</v>
      </c>
      <c r="T13" t="e">
        <f ca="1"/>
        <v>#NAME?</v>
      </c>
      <c r="U13" s="141" t="e">
        <f ca="1"/>
        <v>#NAME?</v>
      </c>
    </row>
    <row r="14" spans="1:21" x14ac:dyDescent="0.35">
      <c r="A14" s="17">
        <f t="shared" si="0"/>
        <v>11</v>
      </c>
      <c r="B14" s="125">
        <v>15.13</v>
      </c>
      <c r="C14" s="13"/>
      <c r="D14" s="132">
        <f t="shared" si="1"/>
        <v>-50.359999999999992</v>
      </c>
      <c r="E14" s="125"/>
      <c r="F14" t="s">
        <v>160</v>
      </c>
      <c r="G14">
        <f>COUNT(B4)</f>
        <v>1</v>
      </c>
      <c r="H14" t="e">
        <f ca="1">DEVSQ(MMULT(DEsign(B4:B27),G19:G20))</f>
        <v>#NAME?</v>
      </c>
      <c r="I14" t="e">
        <f ca="1">H14/G14</f>
        <v>#NAME?</v>
      </c>
      <c r="J14" t="e">
        <f ca="1">I14/I15</f>
        <v>#NAME?</v>
      </c>
      <c r="K14" t="e">
        <f ca="1">FDIST(J14,G14,G15)</f>
        <v>#NAME?</v>
      </c>
      <c r="L14" s="115" t="e">
        <f ca="1">IF(K14&lt;K12,"yes","no")</f>
        <v>#NAME?</v>
      </c>
      <c r="Q14">
        <f t="shared" si="2"/>
        <v>9</v>
      </c>
      <c r="R14" t="e">
        <f ca="1"/>
        <v>#NAME?</v>
      </c>
      <c r="T14" t="e">
        <f ca="1"/>
        <v>#NAME?</v>
      </c>
      <c r="U14" s="24" t="e">
        <f ca="1"/>
        <v>#NAME?</v>
      </c>
    </row>
    <row r="15" spans="1:21" x14ac:dyDescent="0.35">
      <c r="A15" s="17">
        <f t="shared" si="0"/>
        <v>12</v>
      </c>
      <c r="B15" s="125">
        <v>8.23</v>
      </c>
      <c r="C15" s="13"/>
      <c r="D15" s="132">
        <f t="shared" si="1"/>
        <v>-6.9</v>
      </c>
      <c r="E15" s="125"/>
      <c r="F15" t="s">
        <v>107</v>
      </c>
      <c r="G15">
        <f>G16-G14</f>
        <v>22</v>
      </c>
      <c r="H15" t="e">
        <f ca="1">H16-H14</f>
        <v>#NAME?</v>
      </c>
      <c r="I15" t="e">
        <f ca="1">H15/G15</f>
        <v>#NAME?</v>
      </c>
      <c r="Q15">
        <f t="shared" si="2"/>
        <v>10</v>
      </c>
      <c r="R15" t="e">
        <f ca="1"/>
        <v>#NAME?</v>
      </c>
      <c r="T15" t="e">
        <f ca="1"/>
        <v>#NAME?</v>
      </c>
      <c r="U15" s="24" t="e">
        <f ca="1"/>
        <v>#NAME?</v>
      </c>
    </row>
    <row r="16" spans="1:21" x14ac:dyDescent="0.35">
      <c r="A16" s="17">
        <f t="shared" si="0"/>
        <v>13</v>
      </c>
      <c r="B16" s="125">
        <v>-18.71</v>
      </c>
      <c r="C16" s="13"/>
      <c r="D16" s="132">
        <f t="shared" si="1"/>
        <v>-26.94</v>
      </c>
      <c r="E16" s="125"/>
      <c r="F16" s="4" t="s">
        <v>161</v>
      </c>
      <c r="G16" s="4">
        <f>G10-1</f>
        <v>23</v>
      </c>
      <c r="H16" s="4">
        <f>DEVSQ(D5:D28)</f>
        <v>249433.30219583327</v>
      </c>
      <c r="I16" s="4"/>
      <c r="J16" s="4"/>
      <c r="K16" s="4"/>
      <c r="L16" s="4"/>
      <c r="Q16">
        <f t="shared" si="2"/>
        <v>11</v>
      </c>
      <c r="R16" t="e">
        <f ca="1"/>
        <v>#NAME?</v>
      </c>
      <c r="T16" t="e">
        <f ca="1"/>
        <v>#NAME?</v>
      </c>
      <c r="U16" s="24" t="e">
        <f ca="1"/>
        <v>#NAME?</v>
      </c>
    </row>
    <row r="17" spans="1:21" ht="15" thickBot="1" x14ac:dyDescent="0.4">
      <c r="A17" s="17">
        <f t="shared" si="0"/>
        <v>14</v>
      </c>
      <c r="B17" s="125">
        <v>-29.79</v>
      </c>
      <c r="C17" s="13"/>
      <c r="D17" s="132">
        <f t="shared" si="1"/>
        <v>-11.079999999999998</v>
      </c>
      <c r="E17" s="125"/>
      <c r="Q17">
        <f t="shared" si="2"/>
        <v>12</v>
      </c>
      <c r="R17" t="e">
        <f ca="1"/>
        <v>#NAME?</v>
      </c>
      <c r="T17" t="e">
        <f ca="1"/>
        <v>#NAME?</v>
      </c>
      <c r="U17" s="24" t="e">
        <f ca="1"/>
        <v>#NAME?</v>
      </c>
    </row>
    <row r="18" spans="1:21" ht="15" thickTop="1" x14ac:dyDescent="0.35">
      <c r="A18" s="17">
        <f t="shared" si="0"/>
        <v>15</v>
      </c>
      <c r="B18" s="125">
        <v>-97</v>
      </c>
      <c r="C18" s="13"/>
      <c r="D18" s="132">
        <f t="shared" si="1"/>
        <v>-67.210000000000008</v>
      </c>
      <c r="E18" s="125"/>
      <c r="F18" s="45"/>
      <c r="G18" s="45" t="s">
        <v>162</v>
      </c>
      <c r="H18" s="45" t="s">
        <v>163</v>
      </c>
      <c r="I18" s="45" t="s">
        <v>164</v>
      </c>
      <c r="J18" s="45" t="s">
        <v>92</v>
      </c>
      <c r="K18" s="45" t="s">
        <v>127</v>
      </c>
      <c r="L18" s="45" t="s">
        <v>128</v>
      </c>
      <c r="N18" s="134"/>
      <c r="O18" s="134"/>
      <c r="Q18">
        <f t="shared" si="2"/>
        <v>13</v>
      </c>
      <c r="R18" t="e">
        <f ca="1"/>
        <v>#NAME?</v>
      </c>
      <c r="T18" t="e">
        <f ca="1"/>
        <v>#NAME?</v>
      </c>
      <c r="U18" s="25" t="e">
        <f ca="1"/>
        <v>#NAME?</v>
      </c>
    </row>
    <row r="19" spans="1:21" x14ac:dyDescent="0.35">
      <c r="A19" s="17">
        <f t="shared" si="0"/>
        <v>16</v>
      </c>
      <c r="B19" s="125">
        <v>42.43</v>
      </c>
      <c r="C19" s="13"/>
      <c r="D19" s="132">
        <f t="shared" si="1"/>
        <v>139.43</v>
      </c>
      <c r="E19" s="125"/>
      <c r="F19" t="s">
        <v>166</v>
      </c>
      <c r="G19" t="e">
        <f t="array" aca="1" ref="G19:H20" ca="1">RegCoeff(B4:B27,D5:D28)</f>
        <v>#NAME?</v>
      </c>
      <c r="H19" t="e">
        <f ca="1"/>
        <v>#NAME?</v>
      </c>
      <c r="I19" t="e">
        <f ca="1">G19/H19</f>
        <v>#NAME?</v>
      </c>
      <c r="J19" t="e">
        <f ca="1">TDIST(ABS(I19),$G$15,2)</f>
        <v>#NAME?</v>
      </c>
      <c r="K19" t="e">
        <f ca="1">G19-TINV(K$12,$G$15)*H19</f>
        <v>#NAME?</v>
      </c>
      <c r="L19" t="e">
        <f ca="1">G19+TINV(K$12,$G$15)*H19</f>
        <v>#NAME?</v>
      </c>
      <c r="N19" s="13"/>
      <c r="O19" s="13"/>
      <c r="Q19">
        <f t="shared" si="2"/>
        <v>14</v>
      </c>
      <c r="R19" t="e">
        <f ca="1"/>
        <v>#NAME?</v>
      </c>
    </row>
    <row r="20" spans="1:21" x14ac:dyDescent="0.35">
      <c r="A20" s="17">
        <f t="shared" si="0"/>
        <v>17</v>
      </c>
      <c r="B20" s="125">
        <v>258.7</v>
      </c>
      <c r="C20" s="13"/>
      <c r="D20" s="132">
        <f t="shared" si="1"/>
        <v>216.26999999999998</v>
      </c>
      <c r="E20" s="125"/>
      <c r="F20" s="4" t="s">
        <v>418</v>
      </c>
      <c r="G20" s="4" t="e">
        <f ca="1"/>
        <v>#NAME?</v>
      </c>
      <c r="H20" s="4" t="e">
        <f ca="1"/>
        <v>#NAME?</v>
      </c>
      <c r="I20" s="4" t="e">
        <f ca="1">G20/H20</f>
        <v>#NAME?</v>
      </c>
      <c r="J20" s="4" t="e">
        <f ca="1">TDIST(ABS(I20),$G$15,2)</f>
        <v>#NAME?</v>
      </c>
      <c r="K20" s="4" t="e">
        <f ca="1">G20-TINV(K$12,$G$15)*H20</f>
        <v>#NAME?</v>
      </c>
      <c r="L20" s="4" t="e">
        <f ca="1">G20+TINV(K$12,$G$15)*H20</f>
        <v>#NAME?</v>
      </c>
      <c r="Q20">
        <f t="shared" si="2"/>
        <v>15</v>
      </c>
      <c r="R20" t="e">
        <f ca="1"/>
        <v>#NAME?</v>
      </c>
    </row>
    <row r="21" spans="1:21" x14ac:dyDescent="0.35">
      <c r="A21" s="17">
        <f t="shared" si="0"/>
        <v>18</v>
      </c>
      <c r="B21" s="125">
        <v>6.83</v>
      </c>
      <c r="C21" s="13"/>
      <c r="D21" s="132">
        <f t="shared" si="1"/>
        <v>-251.86999999999998</v>
      </c>
      <c r="E21" s="125"/>
      <c r="Q21">
        <f t="shared" si="2"/>
        <v>16</v>
      </c>
      <c r="R21" t="e">
        <f ca="1"/>
        <v>#NAME?</v>
      </c>
    </row>
    <row r="22" spans="1:21" x14ac:dyDescent="0.35">
      <c r="A22" s="17">
        <f t="shared" si="0"/>
        <v>19</v>
      </c>
      <c r="B22" s="125">
        <v>45.63</v>
      </c>
      <c r="C22" s="13"/>
      <c r="D22" s="132">
        <f t="shared" si="1"/>
        <v>38.800000000000004</v>
      </c>
      <c r="E22" s="125"/>
      <c r="Q22">
        <f t="shared" si="2"/>
        <v>17</v>
      </c>
      <c r="R22" t="e">
        <f ca="1"/>
        <v>#NAME?</v>
      </c>
    </row>
    <row r="23" spans="1:21" x14ac:dyDescent="0.35">
      <c r="A23" s="17">
        <f t="shared" si="0"/>
        <v>20</v>
      </c>
      <c r="B23" s="125">
        <v>-56.41</v>
      </c>
      <c r="C23" s="13"/>
      <c r="D23" s="132">
        <f t="shared" si="1"/>
        <v>-102.03999999999999</v>
      </c>
      <c r="E23" s="125"/>
      <c r="Q23">
        <f t="shared" si="2"/>
        <v>18</v>
      </c>
      <c r="R23" t="e">
        <f ca="1"/>
        <v>#NAME?</v>
      </c>
    </row>
    <row r="24" spans="1:21" x14ac:dyDescent="0.35">
      <c r="A24" s="17">
        <f t="shared" si="0"/>
        <v>21</v>
      </c>
      <c r="B24" s="125">
        <v>-101.23</v>
      </c>
      <c r="C24" s="13"/>
      <c r="D24" s="132">
        <f t="shared" si="1"/>
        <v>-44.820000000000007</v>
      </c>
      <c r="E24" s="125"/>
      <c r="Q24">
        <f t="shared" si="2"/>
        <v>19</v>
      </c>
      <c r="R24" t="e">
        <f ca="1"/>
        <v>#NAME?</v>
      </c>
    </row>
    <row r="25" spans="1:21" x14ac:dyDescent="0.35">
      <c r="A25" s="17">
        <f t="shared" si="0"/>
        <v>22</v>
      </c>
      <c r="B25" s="125">
        <v>-143.21</v>
      </c>
      <c r="C25" s="13"/>
      <c r="D25" s="132">
        <f t="shared" si="1"/>
        <v>-41.980000000000004</v>
      </c>
      <c r="E25" s="125"/>
      <c r="Q25">
        <f t="shared" si="2"/>
        <v>20</v>
      </c>
      <c r="R25" t="e">
        <f ca="1"/>
        <v>#NAME?</v>
      </c>
    </row>
    <row r="26" spans="1:21" x14ac:dyDescent="0.35">
      <c r="A26" s="17">
        <f t="shared" si="0"/>
        <v>23</v>
      </c>
      <c r="B26" s="125">
        <v>-286.77999999999997</v>
      </c>
      <c r="C26" s="13"/>
      <c r="D26" s="132">
        <f t="shared" si="1"/>
        <v>-143.56999999999996</v>
      </c>
      <c r="E26" s="125"/>
      <c r="Q26">
        <f t="shared" si="2"/>
        <v>21</v>
      </c>
      <c r="R26" t="e">
        <f ca="1"/>
        <v>#NAME?</v>
      </c>
    </row>
    <row r="27" spans="1:21" x14ac:dyDescent="0.35">
      <c r="A27" s="17">
        <f t="shared" si="0"/>
        <v>24</v>
      </c>
      <c r="B27" s="125">
        <v>-197.79</v>
      </c>
      <c r="C27" s="13"/>
      <c r="D27" s="132">
        <f t="shared" si="1"/>
        <v>88.989999999999981</v>
      </c>
      <c r="E27" s="125"/>
      <c r="Q27">
        <f t="shared" si="2"/>
        <v>22</v>
      </c>
      <c r="R27" t="e">
        <f ca="1"/>
        <v>#NAME?</v>
      </c>
    </row>
    <row r="28" spans="1:21" x14ac:dyDescent="0.35">
      <c r="A28" s="10">
        <f t="shared" si="0"/>
        <v>25</v>
      </c>
      <c r="B28" s="126">
        <v>-236.75</v>
      </c>
      <c r="C28" s="13"/>
      <c r="D28" s="126">
        <f t="shared" si="1"/>
        <v>-38.960000000000008</v>
      </c>
      <c r="E28" s="125"/>
      <c r="Q28">
        <f t="shared" si="2"/>
        <v>23</v>
      </c>
      <c r="R28" t="e">
        <f ca="1"/>
        <v>#NAME?</v>
      </c>
    </row>
    <row r="29" spans="1:21" x14ac:dyDescent="0.35">
      <c r="Q29">
        <f t="shared" si="2"/>
        <v>24</v>
      </c>
      <c r="R29" t="e">
        <f ca="1"/>
        <v>#NAME?</v>
      </c>
    </row>
    <row r="30" spans="1:21" x14ac:dyDescent="0.35">
      <c r="A30" s="115" t="s">
        <v>120</v>
      </c>
      <c r="B30" s="125">
        <f>AVERAGE(B4:B28)</f>
        <v>-13.609199999999996</v>
      </c>
      <c r="Q30" s="4">
        <f t="shared" si="2"/>
        <v>25</v>
      </c>
      <c r="R30" s="4" t="e">
        <f ca="1"/>
        <v>#NAME?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8"/>
  <dimension ref="A1:U30"/>
  <sheetViews>
    <sheetView workbookViewId="0">
      <selection activeCell="I20" sqref="I20"/>
    </sheetView>
  </sheetViews>
  <sheetFormatPr defaultRowHeight="14.5" x14ac:dyDescent="0.35"/>
  <cols>
    <col min="2" max="2" width="9.1796875" style="125"/>
    <col min="3" max="3" width="4.453125" customWidth="1"/>
    <col min="6" max="6" width="16.81640625" customWidth="1"/>
    <col min="14" max="14" width="10.54296875" customWidth="1"/>
    <col min="20" max="20" width="10.7265625" customWidth="1"/>
  </cols>
  <sheetData>
    <row r="1" spans="1:21" x14ac:dyDescent="0.35">
      <c r="A1" s="7" t="s">
        <v>408</v>
      </c>
      <c r="B1" s="123"/>
    </row>
    <row r="3" spans="1:21" x14ac:dyDescent="0.35">
      <c r="A3" s="122" t="s">
        <v>291</v>
      </c>
      <c r="B3" s="124" t="s">
        <v>409</v>
      </c>
      <c r="D3" s="128" t="s">
        <v>410</v>
      </c>
      <c r="F3" t="s">
        <v>141</v>
      </c>
      <c r="N3" t="s">
        <v>423</v>
      </c>
      <c r="Q3" t="s">
        <v>290</v>
      </c>
      <c r="R3">
        <v>0</v>
      </c>
      <c r="T3" t="s">
        <v>299</v>
      </c>
    </row>
    <row r="4" spans="1:21" ht="15" thickBot="1" x14ac:dyDescent="0.4">
      <c r="A4" s="115">
        <v>1</v>
      </c>
      <c r="B4" s="125">
        <v>50</v>
      </c>
      <c r="E4" s="125"/>
    </row>
    <row r="5" spans="1:21" ht="15.5" thickTop="1" thickBot="1" x14ac:dyDescent="0.4">
      <c r="A5" s="115">
        <f>A4+1</f>
        <v>2</v>
      </c>
      <c r="B5" s="125">
        <v>120.83</v>
      </c>
      <c r="D5" s="125">
        <f>B5-B4</f>
        <v>70.83</v>
      </c>
      <c r="E5" s="125"/>
      <c r="F5" s="44" t="s">
        <v>142</v>
      </c>
      <c r="G5" s="44"/>
      <c r="I5" s="44"/>
      <c r="J5" s="44"/>
      <c r="N5" t="s">
        <v>80</v>
      </c>
      <c r="O5" s="139">
        <f>A28</f>
        <v>25</v>
      </c>
      <c r="Q5" s="45" t="s">
        <v>291</v>
      </c>
      <c r="R5" s="45" t="s">
        <v>194</v>
      </c>
      <c r="T5" t="s">
        <v>300</v>
      </c>
      <c r="U5" s="133" t="s">
        <v>419</v>
      </c>
    </row>
    <row r="6" spans="1:21" ht="15" thickTop="1" x14ac:dyDescent="0.35">
      <c r="A6" s="115">
        <f t="shared" ref="A6:A28" si="0">A5+1</f>
        <v>3</v>
      </c>
      <c r="B6" s="125">
        <v>-25.43</v>
      </c>
      <c r="D6" s="125">
        <f t="shared" ref="D6:D28" si="1">B6-B5</f>
        <v>-146.26</v>
      </c>
      <c r="E6" s="125"/>
      <c r="F6" t="s">
        <v>144</v>
      </c>
      <c r="G6" t="e">
        <f ca="1">SQRT(G7)</f>
        <v>#NAME?</v>
      </c>
      <c r="I6" t="s">
        <v>145</v>
      </c>
      <c r="J6" t="e">
        <f ca="1">G10*LN(H15/G10)+2*(G14+1)</f>
        <v>#NAME?</v>
      </c>
      <c r="N6" t="s">
        <v>10</v>
      </c>
      <c r="O6" s="24">
        <f>K12</f>
        <v>0.05</v>
      </c>
      <c r="Q6">
        <v>1</v>
      </c>
      <c r="R6" t="e">
        <f t="array" aca="1" ref="R6:R30" ca="1">ADIFF(B4:B28,R3)</f>
        <v>#NAME?</v>
      </c>
      <c r="T6" t="s">
        <v>301</v>
      </c>
      <c r="U6" s="106" t="s">
        <v>305</v>
      </c>
    </row>
    <row r="7" spans="1:21" x14ac:dyDescent="0.35">
      <c r="A7" s="115">
        <f t="shared" si="0"/>
        <v>4</v>
      </c>
      <c r="B7" s="125">
        <v>31.72</v>
      </c>
      <c r="D7" s="125">
        <f t="shared" si="1"/>
        <v>57.15</v>
      </c>
      <c r="E7" s="125"/>
      <c r="F7" t="s">
        <v>148</v>
      </c>
      <c r="G7" t="e">
        <f ca="1">H14/H16</f>
        <v>#NAME?</v>
      </c>
      <c r="I7" t="s">
        <v>149</v>
      </c>
      <c r="J7" t="e">
        <f ca="1">J6+2*(G14+2)*(G14+3)/(G10-G14-3)</f>
        <v>#NAME?</v>
      </c>
      <c r="N7" t="s">
        <v>420</v>
      </c>
      <c r="O7" s="24" t="e">
        <f ca="1">I21</f>
        <v>#NAME?</v>
      </c>
      <c r="Q7">
        <f>Q6+1</f>
        <v>2</v>
      </c>
      <c r="R7" t="e">
        <f ca="1"/>
        <v>#NAME?</v>
      </c>
      <c r="T7" t="s">
        <v>302</v>
      </c>
      <c r="U7" s="106" t="s">
        <v>305</v>
      </c>
    </row>
    <row r="8" spans="1:21" x14ac:dyDescent="0.35">
      <c r="A8" s="17">
        <f t="shared" si="0"/>
        <v>5</v>
      </c>
      <c r="B8" s="125">
        <v>94.79</v>
      </c>
      <c r="C8" s="13"/>
      <c r="D8" s="132">
        <f t="shared" si="1"/>
        <v>63.070000000000007</v>
      </c>
      <c r="E8" s="125"/>
      <c r="F8" t="s">
        <v>150</v>
      </c>
      <c r="G8" t="e">
        <f ca="1">1-(1-G7)*(G10-1)/(G10-G14-1)</f>
        <v>#NAME?</v>
      </c>
      <c r="I8" s="4" t="s">
        <v>151</v>
      </c>
      <c r="J8" s="4" t="e">
        <f ca="1">G10*LN(H15/G10)+(G14+1)*LN(G10)</f>
        <v>#NAME?</v>
      </c>
      <c r="N8" t="s">
        <v>421</v>
      </c>
      <c r="O8" s="24" t="e" cm="1">
        <f t="array" aca="1" ref="O8" ca="1">ADFCRIT(O5,0.05,2)</f>
        <v>#NAME?</v>
      </c>
      <c r="Q8">
        <f t="shared" ref="Q8:Q30" si="2">Q7+1</f>
        <v>3</v>
      </c>
      <c r="R8" t="e">
        <f ca="1"/>
        <v>#NAME?</v>
      </c>
      <c r="T8" t="s">
        <v>293</v>
      </c>
      <c r="U8" s="107">
        <v>0</v>
      </c>
    </row>
    <row r="9" spans="1:21" x14ac:dyDescent="0.35">
      <c r="A9" s="17">
        <f t="shared" si="0"/>
        <v>6</v>
      </c>
      <c r="B9" s="125">
        <v>61.06</v>
      </c>
      <c r="C9" s="13"/>
      <c r="D9" s="132">
        <f t="shared" si="1"/>
        <v>-33.730000000000004</v>
      </c>
      <c r="E9" s="125"/>
      <c r="F9" t="s">
        <v>146</v>
      </c>
      <c r="G9" t="e">
        <f ca="1">SQRT(I15)</f>
        <v>#NAME?</v>
      </c>
      <c r="N9" t="s">
        <v>422</v>
      </c>
      <c r="O9" s="141" t="e">
        <f ca="1">IF(O7&lt;O8,"yes","no")</f>
        <v>#NAME?</v>
      </c>
      <c r="Q9">
        <f t="shared" si="2"/>
        <v>4</v>
      </c>
      <c r="R9" t="e">
        <f ca="1"/>
        <v>#NAME?</v>
      </c>
      <c r="T9" t="s">
        <v>10</v>
      </c>
      <c r="U9" s="108">
        <v>0.05</v>
      </c>
    </row>
    <row r="10" spans="1:21" x14ac:dyDescent="0.35">
      <c r="A10" s="17">
        <f t="shared" si="0"/>
        <v>7</v>
      </c>
      <c r="B10" s="125">
        <v>87.51</v>
      </c>
      <c r="C10" s="13"/>
      <c r="D10" s="132">
        <f t="shared" si="1"/>
        <v>26.450000000000003</v>
      </c>
      <c r="E10" s="125"/>
      <c r="F10" s="4" t="s">
        <v>153</v>
      </c>
      <c r="G10" s="4">
        <f>COUNT(D5:D28)</f>
        <v>24</v>
      </c>
      <c r="N10" t="s">
        <v>92</v>
      </c>
      <c r="O10" s="25" t="e" cm="1">
        <f t="array" aca="1" ref="O10" ca="1">ADFPROB(O7,O5,2)</f>
        <v>#NAME?</v>
      </c>
      <c r="Q10">
        <f t="shared" si="2"/>
        <v>5</v>
      </c>
      <c r="R10" t="e">
        <f ca="1"/>
        <v>#NAME?</v>
      </c>
    </row>
    <row r="11" spans="1:21" x14ac:dyDescent="0.35">
      <c r="A11" s="17">
        <f t="shared" si="0"/>
        <v>8</v>
      </c>
      <c r="B11" s="125">
        <v>-65.88</v>
      </c>
      <c r="C11" s="13"/>
      <c r="D11" s="132">
        <f t="shared" si="1"/>
        <v>-153.38999999999999</v>
      </c>
      <c r="E11" s="125"/>
      <c r="Q11">
        <f t="shared" si="2"/>
        <v>6</v>
      </c>
      <c r="R11" t="e">
        <f ca="1"/>
        <v>#NAME?</v>
      </c>
      <c r="T11" t="e">
        <f t="array" aca="1" ref="T11:U18" ca="1">ADFTEST(R6:R30,TRUE,U8,U5,2,U9)</f>
        <v>#NAME?</v>
      </c>
      <c r="U11" s="139" t="e">
        <f ca="1"/>
        <v>#NAME?</v>
      </c>
    </row>
    <row r="12" spans="1:21" ht="15" thickBot="1" x14ac:dyDescent="0.4">
      <c r="A12" s="17">
        <f t="shared" si="0"/>
        <v>9</v>
      </c>
      <c r="B12" s="125">
        <v>30.4</v>
      </c>
      <c r="C12" s="13"/>
      <c r="D12" s="132">
        <f t="shared" si="1"/>
        <v>96.28</v>
      </c>
      <c r="E12" s="125"/>
      <c r="F12" t="s">
        <v>155</v>
      </c>
      <c r="J12" s="115" t="s">
        <v>156</v>
      </c>
      <c r="K12" s="115">
        <v>0.05</v>
      </c>
      <c r="Q12">
        <f t="shared" si="2"/>
        <v>7</v>
      </c>
      <c r="R12" t="e">
        <f ca="1"/>
        <v>#NAME?</v>
      </c>
      <c r="T12" t="e">
        <f ca="1"/>
        <v>#NAME?</v>
      </c>
      <c r="U12" s="24" t="e">
        <f ca="1"/>
        <v>#NAME?</v>
      </c>
    </row>
    <row r="13" spans="1:21" ht="15" thickTop="1" x14ac:dyDescent="0.35">
      <c r="A13" s="17">
        <f t="shared" si="0"/>
        <v>10</v>
      </c>
      <c r="B13" s="125">
        <v>65.489999999999995</v>
      </c>
      <c r="C13" s="13"/>
      <c r="D13" s="132">
        <f t="shared" si="1"/>
        <v>35.089999999999996</v>
      </c>
      <c r="E13" s="125"/>
      <c r="F13" s="45"/>
      <c r="G13" s="45" t="s">
        <v>88</v>
      </c>
      <c r="H13" s="45" t="s">
        <v>157</v>
      </c>
      <c r="I13" s="45" t="s">
        <v>158</v>
      </c>
      <c r="J13" s="45" t="s">
        <v>159</v>
      </c>
      <c r="K13" s="45" t="s">
        <v>92</v>
      </c>
      <c r="L13" s="45" t="s">
        <v>84</v>
      </c>
      <c r="Q13">
        <f t="shared" si="2"/>
        <v>8</v>
      </c>
      <c r="R13" t="e">
        <f ca="1"/>
        <v>#NAME?</v>
      </c>
      <c r="T13" t="e">
        <f ca="1"/>
        <v>#NAME?</v>
      </c>
      <c r="U13" s="141" t="e">
        <f ca="1"/>
        <v>#NAME?</v>
      </c>
    </row>
    <row r="14" spans="1:21" x14ac:dyDescent="0.35">
      <c r="A14" s="17">
        <f t="shared" si="0"/>
        <v>11</v>
      </c>
      <c r="B14" s="125">
        <v>15.13</v>
      </c>
      <c r="C14" s="13"/>
      <c r="D14" s="132">
        <f t="shared" si="1"/>
        <v>-50.359999999999992</v>
      </c>
      <c r="E14" s="125"/>
      <c r="F14" t="s">
        <v>160</v>
      </c>
      <c r="G14">
        <f>COUNT(A4:B4)</f>
        <v>2</v>
      </c>
      <c r="H14" t="e">
        <f ca="1">DEVSQ(MMULT(DEsign(A4:B27),G19:G21))</f>
        <v>#NAME?</v>
      </c>
      <c r="I14" t="e">
        <f ca="1">H14/G14</f>
        <v>#NAME?</v>
      </c>
      <c r="J14" t="e">
        <f ca="1">I14/I15</f>
        <v>#NAME?</v>
      </c>
      <c r="K14" t="e">
        <f ca="1">FDIST(J14,G14,G15)</f>
        <v>#NAME?</v>
      </c>
      <c r="L14" s="115" t="e">
        <f ca="1">IF(K14&lt;K12,"yes","no")</f>
        <v>#NAME?</v>
      </c>
      <c r="Q14">
        <f t="shared" si="2"/>
        <v>9</v>
      </c>
      <c r="R14" t="e">
        <f ca="1"/>
        <v>#NAME?</v>
      </c>
      <c r="T14" t="e">
        <f ca="1"/>
        <v>#NAME?</v>
      </c>
      <c r="U14" s="24" t="e">
        <f ca="1"/>
        <v>#NAME?</v>
      </c>
    </row>
    <row r="15" spans="1:21" x14ac:dyDescent="0.35">
      <c r="A15" s="17">
        <f t="shared" si="0"/>
        <v>12</v>
      </c>
      <c r="B15" s="125">
        <v>8.23</v>
      </c>
      <c r="C15" s="13"/>
      <c r="D15" s="132">
        <f t="shared" si="1"/>
        <v>-6.9</v>
      </c>
      <c r="E15" s="125"/>
      <c r="F15" t="s">
        <v>107</v>
      </c>
      <c r="G15">
        <f>G16-G14</f>
        <v>21</v>
      </c>
      <c r="H15" t="e">
        <f ca="1">H16-H14</f>
        <v>#NAME?</v>
      </c>
      <c r="I15" t="e">
        <f ca="1">H15/G15</f>
        <v>#NAME?</v>
      </c>
      <c r="Q15">
        <f t="shared" si="2"/>
        <v>10</v>
      </c>
      <c r="R15" t="e">
        <f ca="1"/>
        <v>#NAME?</v>
      </c>
      <c r="T15" t="e">
        <f ca="1"/>
        <v>#NAME?</v>
      </c>
      <c r="U15" s="24" t="e">
        <f ca="1"/>
        <v>#NAME?</v>
      </c>
    </row>
    <row r="16" spans="1:21" x14ac:dyDescent="0.35">
      <c r="A16" s="17">
        <f t="shared" si="0"/>
        <v>13</v>
      </c>
      <c r="B16" s="125">
        <v>-18.71</v>
      </c>
      <c r="C16" s="13"/>
      <c r="D16" s="132">
        <f t="shared" si="1"/>
        <v>-26.94</v>
      </c>
      <c r="E16" s="125"/>
      <c r="F16" s="4" t="s">
        <v>161</v>
      </c>
      <c r="G16" s="4">
        <f>G10-1</f>
        <v>23</v>
      </c>
      <c r="H16" s="4">
        <f>DEVSQ(D5:D28)</f>
        <v>249433.30219583327</v>
      </c>
      <c r="I16" s="4"/>
      <c r="J16" s="4"/>
      <c r="K16" s="4"/>
      <c r="L16" s="4"/>
      <c r="Q16">
        <f t="shared" si="2"/>
        <v>11</v>
      </c>
      <c r="R16" t="e">
        <f ca="1"/>
        <v>#NAME?</v>
      </c>
      <c r="T16" t="e">
        <f ca="1"/>
        <v>#NAME?</v>
      </c>
      <c r="U16" s="24" t="e">
        <f ca="1"/>
        <v>#NAME?</v>
      </c>
    </row>
    <row r="17" spans="1:21" ht="15" thickBot="1" x14ac:dyDescent="0.4">
      <c r="A17" s="17">
        <f t="shared" si="0"/>
        <v>14</v>
      </c>
      <c r="B17" s="125">
        <v>-29.79</v>
      </c>
      <c r="C17" s="13"/>
      <c r="D17" s="132">
        <f t="shared" si="1"/>
        <v>-11.079999999999998</v>
      </c>
      <c r="E17" s="125"/>
      <c r="Q17">
        <f t="shared" si="2"/>
        <v>12</v>
      </c>
      <c r="R17" t="e">
        <f ca="1"/>
        <v>#NAME?</v>
      </c>
      <c r="T17" t="e">
        <f ca="1"/>
        <v>#NAME?</v>
      </c>
      <c r="U17" s="24" t="e">
        <f ca="1"/>
        <v>#NAME?</v>
      </c>
    </row>
    <row r="18" spans="1:21" ht="15" thickTop="1" x14ac:dyDescent="0.35">
      <c r="A18" s="17">
        <f t="shared" si="0"/>
        <v>15</v>
      </c>
      <c r="B18" s="125">
        <v>-97</v>
      </c>
      <c r="C18" s="13"/>
      <c r="D18" s="132">
        <f t="shared" si="1"/>
        <v>-67.210000000000008</v>
      </c>
      <c r="E18" s="125"/>
      <c r="F18" s="45"/>
      <c r="G18" s="45" t="s">
        <v>162</v>
      </c>
      <c r="H18" s="45" t="s">
        <v>163</v>
      </c>
      <c r="I18" s="45" t="s">
        <v>164</v>
      </c>
      <c r="J18" s="45" t="s">
        <v>92</v>
      </c>
      <c r="K18" s="45" t="s">
        <v>127</v>
      </c>
      <c r="L18" s="45" t="s">
        <v>128</v>
      </c>
      <c r="M18" s="45" t="s">
        <v>165</v>
      </c>
      <c r="N18" s="134"/>
      <c r="O18" s="134"/>
      <c r="Q18">
        <f t="shared" si="2"/>
        <v>13</v>
      </c>
      <c r="R18" t="e">
        <f ca="1"/>
        <v>#NAME?</v>
      </c>
      <c r="T18" t="e">
        <f ca="1"/>
        <v>#NAME?</v>
      </c>
      <c r="U18" s="25" t="e">
        <f ca="1"/>
        <v>#NAME?</v>
      </c>
    </row>
    <row r="19" spans="1:21" x14ac:dyDescent="0.35">
      <c r="A19" s="17">
        <f t="shared" si="0"/>
        <v>16</v>
      </c>
      <c r="B19" s="125">
        <v>42.43</v>
      </c>
      <c r="C19" s="13"/>
      <c r="D19" s="132">
        <f t="shared" si="1"/>
        <v>139.43</v>
      </c>
      <c r="E19" s="125"/>
      <c r="F19" t="s">
        <v>166</v>
      </c>
      <c r="G19" t="e">
        <f t="array" aca="1" ref="G19:H21" ca="1">RegCoeff(A4:B27,D5:D28)</f>
        <v>#NAME?</v>
      </c>
      <c r="H19" t="e">
        <f ca="1"/>
        <v>#NAME?</v>
      </c>
      <c r="I19" t="e">
        <f ca="1">G19/H19</f>
        <v>#NAME?</v>
      </c>
      <c r="J19" t="e">
        <f ca="1">TDIST(ABS(I19),$G$15,2)</f>
        <v>#NAME?</v>
      </c>
      <c r="K19" t="e">
        <f ca="1">G19-TINV(K$12,$G$15)*H19</f>
        <v>#NAME?</v>
      </c>
      <c r="L19" t="e">
        <f ca="1">G19+TINV(K$12,$G$15)*H19</f>
        <v>#NAME?</v>
      </c>
      <c r="M19" s="13"/>
      <c r="N19" s="13"/>
      <c r="O19" s="13"/>
      <c r="Q19">
        <f t="shared" si="2"/>
        <v>14</v>
      </c>
      <c r="R19" t="e">
        <f ca="1"/>
        <v>#NAME?</v>
      </c>
    </row>
    <row r="20" spans="1:21" x14ac:dyDescent="0.35">
      <c r="A20" s="17">
        <f t="shared" si="0"/>
        <v>17</v>
      </c>
      <c r="B20" s="125">
        <v>258.7</v>
      </c>
      <c r="C20" s="13"/>
      <c r="D20" s="132">
        <f t="shared" si="1"/>
        <v>216.26999999999998</v>
      </c>
      <c r="E20" s="125"/>
      <c r="F20" t="s">
        <v>424</v>
      </c>
      <c r="G20" t="e">
        <f ca="1"/>
        <v>#NAME?</v>
      </c>
      <c r="H20" t="e">
        <f ca="1"/>
        <v>#NAME?</v>
      </c>
      <c r="I20" t="e">
        <f ca="1">G20/H20</f>
        <v>#NAME?</v>
      </c>
      <c r="J20" t="e">
        <f ca="1">TDIST(ABS(I20),$G$15,2)</f>
        <v>#NAME?</v>
      </c>
      <c r="K20" t="e">
        <f ca="1">G20-TINV(K$12,$G$15)*H20</f>
        <v>#NAME?</v>
      </c>
      <c r="L20" t="e">
        <f ca="1">G20+TINV(K$12,$G$15)*H20</f>
        <v>#NAME?</v>
      </c>
      <c r="M20" t="e" cm="1">
        <f t="array" aca="1" ref="M20" ca="1">VIF(A4:B27,1)</f>
        <v>#NAME?</v>
      </c>
      <c r="Q20">
        <f t="shared" si="2"/>
        <v>15</v>
      </c>
      <c r="R20" t="e">
        <f ca="1"/>
        <v>#NAME?</v>
      </c>
    </row>
    <row r="21" spans="1:21" x14ac:dyDescent="0.35">
      <c r="A21" s="17">
        <f t="shared" si="0"/>
        <v>18</v>
      </c>
      <c r="B21" s="125">
        <v>6.83</v>
      </c>
      <c r="C21" s="13"/>
      <c r="D21" s="132">
        <f t="shared" si="1"/>
        <v>-251.86999999999998</v>
      </c>
      <c r="E21" s="125"/>
      <c r="F21" s="4" t="s">
        <v>418</v>
      </c>
      <c r="G21" s="4" t="e">
        <f ca="1"/>
        <v>#NAME?</v>
      </c>
      <c r="H21" s="4" t="e">
        <f ca="1"/>
        <v>#NAME?</v>
      </c>
      <c r="I21" s="4" t="e">
        <f ca="1">G21/H21</f>
        <v>#NAME?</v>
      </c>
      <c r="J21" s="4" t="e">
        <f ca="1">TDIST(ABS(I21),$G$15,2)</f>
        <v>#NAME?</v>
      </c>
      <c r="K21" s="4" t="e">
        <f ca="1">G21-TINV(K$12,$G$15)*H21</f>
        <v>#NAME?</v>
      </c>
      <c r="L21" s="4" t="e">
        <f ca="1">G21+TINV(K$12,$G$15)*H21</f>
        <v>#NAME?</v>
      </c>
      <c r="M21" s="4" t="e" cm="1">
        <f t="array" aca="1" ref="M21" ca="1">VIF(A4:B27,2)</f>
        <v>#NAME?</v>
      </c>
      <c r="Q21">
        <f t="shared" si="2"/>
        <v>16</v>
      </c>
      <c r="R21" t="e">
        <f ca="1"/>
        <v>#NAME?</v>
      </c>
      <c r="T21" t="e">
        <f t="array" aca="1" ref="T21:U23" ca="1">ADFTEST(R6:R30,TRUE,U8,U5,2,U9)</f>
        <v>#NAME?</v>
      </c>
      <c r="U21" s="111" t="e">
        <f ca="1"/>
        <v>#NAME?</v>
      </c>
    </row>
    <row r="22" spans="1:21" x14ac:dyDescent="0.35">
      <c r="A22" s="17">
        <f t="shared" si="0"/>
        <v>19</v>
      </c>
      <c r="B22" s="125">
        <v>45.63</v>
      </c>
      <c r="C22" s="13"/>
      <c r="D22" s="132">
        <f t="shared" si="1"/>
        <v>38.800000000000004</v>
      </c>
      <c r="E22" s="125"/>
      <c r="Q22">
        <f t="shared" si="2"/>
        <v>17</v>
      </c>
      <c r="R22" t="e">
        <f ca="1"/>
        <v>#NAME?</v>
      </c>
      <c r="T22" t="e">
        <f ca="1"/>
        <v>#NAME?</v>
      </c>
      <c r="U22" s="24" t="e">
        <f ca="1"/>
        <v>#NAME?</v>
      </c>
    </row>
    <row r="23" spans="1:21" x14ac:dyDescent="0.35">
      <c r="A23" s="17">
        <f t="shared" si="0"/>
        <v>20</v>
      </c>
      <c r="B23" s="125">
        <v>-56.41</v>
      </c>
      <c r="C23" s="13"/>
      <c r="D23" s="132">
        <f t="shared" si="1"/>
        <v>-102.03999999999999</v>
      </c>
      <c r="E23" s="125"/>
      <c r="Q23">
        <f t="shared" si="2"/>
        <v>18</v>
      </c>
      <c r="R23" t="e">
        <f ca="1"/>
        <v>#NAME?</v>
      </c>
      <c r="T23" t="e">
        <f ca="1"/>
        <v>#NAME?</v>
      </c>
      <c r="U23" s="25" t="e">
        <f ca="1"/>
        <v>#NAME?</v>
      </c>
    </row>
    <row r="24" spans="1:21" x14ac:dyDescent="0.35">
      <c r="A24" s="17">
        <f t="shared" si="0"/>
        <v>21</v>
      </c>
      <c r="B24" s="125">
        <v>-101.23</v>
      </c>
      <c r="C24" s="13"/>
      <c r="D24" s="132">
        <f t="shared" si="1"/>
        <v>-44.820000000000007</v>
      </c>
      <c r="E24" s="125"/>
      <c r="Q24">
        <f t="shared" si="2"/>
        <v>19</v>
      </c>
      <c r="R24" t="e">
        <f ca="1"/>
        <v>#NAME?</v>
      </c>
    </row>
    <row r="25" spans="1:21" x14ac:dyDescent="0.35">
      <c r="A25" s="17">
        <f t="shared" si="0"/>
        <v>22</v>
      </c>
      <c r="B25" s="125">
        <v>-143.21</v>
      </c>
      <c r="C25" s="13"/>
      <c r="D25" s="132">
        <f t="shared" si="1"/>
        <v>-41.980000000000004</v>
      </c>
      <c r="E25" s="125"/>
      <c r="Q25">
        <f t="shared" si="2"/>
        <v>20</v>
      </c>
      <c r="R25" t="e">
        <f ca="1"/>
        <v>#NAME?</v>
      </c>
      <c r="T25" t="s">
        <v>421</v>
      </c>
      <c r="U25" s="19" t="e" cm="1">
        <f t="array" aca="1" ref="U25" ca="1">ADFCRIT(25,0.05,2)</f>
        <v>#NAME?</v>
      </c>
    </row>
    <row r="26" spans="1:21" x14ac:dyDescent="0.35">
      <c r="A26" s="17">
        <f t="shared" si="0"/>
        <v>23</v>
      </c>
      <c r="B26" s="125">
        <v>-286.77999999999997</v>
      </c>
      <c r="C26" s="13"/>
      <c r="D26" s="132">
        <f t="shared" si="1"/>
        <v>-143.56999999999996</v>
      </c>
      <c r="E26" s="125"/>
      <c r="Q26">
        <f t="shared" si="2"/>
        <v>21</v>
      </c>
      <c r="R26" t="e">
        <f ca="1"/>
        <v>#NAME?</v>
      </c>
    </row>
    <row r="27" spans="1:21" x14ac:dyDescent="0.35">
      <c r="A27" s="17">
        <f t="shared" si="0"/>
        <v>24</v>
      </c>
      <c r="B27" s="125">
        <v>-197.79</v>
      </c>
      <c r="C27" s="13"/>
      <c r="D27" s="132">
        <f t="shared" si="1"/>
        <v>88.989999999999981</v>
      </c>
      <c r="E27" s="125"/>
      <c r="Q27">
        <f t="shared" si="2"/>
        <v>22</v>
      </c>
      <c r="R27" t="e">
        <f ca="1"/>
        <v>#NAME?</v>
      </c>
    </row>
    <row r="28" spans="1:21" x14ac:dyDescent="0.35">
      <c r="A28" s="10">
        <f t="shared" si="0"/>
        <v>25</v>
      </c>
      <c r="B28" s="126">
        <v>-236.75</v>
      </c>
      <c r="C28" s="13"/>
      <c r="D28" s="126">
        <f t="shared" si="1"/>
        <v>-38.960000000000008</v>
      </c>
      <c r="E28" s="125"/>
      <c r="Q28">
        <f t="shared" si="2"/>
        <v>23</v>
      </c>
      <c r="R28" t="e">
        <f ca="1"/>
        <v>#NAME?</v>
      </c>
    </row>
    <row r="29" spans="1:21" x14ac:dyDescent="0.35">
      <c r="Q29">
        <f t="shared" si="2"/>
        <v>24</v>
      </c>
      <c r="R29" t="e">
        <f ca="1"/>
        <v>#NAME?</v>
      </c>
    </row>
    <row r="30" spans="1:21" x14ac:dyDescent="0.35">
      <c r="A30" s="115" t="s">
        <v>120</v>
      </c>
      <c r="B30" s="125">
        <f>AVERAGE(B4:B28)</f>
        <v>-13.609199999999996</v>
      </c>
      <c r="Q30" s="4">
        <f t="shared" si="2"/>
        <v>25</v>
      </c>
      <c r="R30" s="4" t="e">
        <f ca="1"/>
        <v>#NAME?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6"/>
  <dimension ref="A1:W22"/>
  <sheetViews>
    <sheetView workbookViewId="0"/>
  </sheetViews>
  <sheetFormatPr defaultRowHeight="14.5" x14ac:dyDescent="0.35"/>
  <cols>
    <col min="1" max="1" width="9.54296875" bestFit="1" customWidth="1"/>
    <col min="13" max="13" width="9.81640625" customWidth="1"/>
    <col min="15" max="15" width="3.1796875" customWidth="1"/>
    <col min="16" max="16" width="9.7265625" customWidth="1"/>
    <col min="18" max="18" width="3.1796875" customWidth="1"/>
    <col min="19" max="19" width="9.7265625" customWidth="1"/>
  </cols>
  <sheetData>
    <row r="1" spans="1:23" x14ac:dyDescent="0.35">
      <c r="A1" s="7" t="s">
        <v>471</v>
      </c>
    </row>
    <row r="2" spans="1:23" x14ac:dyDescent="0.35">
      <c r="M2" t="s">
        <v>482</v>
      </c>
      <c r="P2" t="s">
        <v>483</v>
      </c>
      <c r="S2" t="s">
        <v>474</v>
      </c>
      <c r="V2" t="e" cm="1">
        <f t="array" aca="1" ref="V2" ca="1">FTEXT(W4)</f>
        <v>#NAME?</v>
      </c>
    </row>
    <row r="3" spans="1:23" x14ac:dyDescent="0.35">
      <c r="A3">
        <v>2.1954112362229798</v>
      </c>
    </row>
    <row r="4" spans="1:23" x14ac:dyDescent="0.35">
      <c r="A4">
        <v>1.5564893013829599</v>
      </c>
      <c r="J4" t="e">
        <f t="array" aca="1" ref="J4:K8" ca="1">DescStats(A3:A22,TRUE)</f>
        <v>#NAME?</v>
      </c>
      <c r="K4" s="139" t="e">
        <f ca="1"/>
        <v>#NAME?</v>
      </c>
      <c r="M4" t="e">
        <f t="array" aca="1" ref="M4:N11" ca="1">ADFTEST(A3:A22,TRUE,7,"aic",0)</f>
        <v>#NAME?</v>
      </c>
      <c r="N4" s="139" t="e">
        <f ca="1"/>
        <v>#NAME?</v>
      </c>
      <c r="P4" t="e">
        <f t="array" aca="1" ref="P4:Q11" ca="1">ADFTEST(A3:A22,TRUE,7,"aic",1)</f>
        <v>#NAME?</v>
      </c>
      <c r="Q4" s="139" t="e">
        <f ca="1"/>
        <v>#NAME?</v>
      </c>
      <c r="S4" t="e">
        <f t="array" aca="1" ref="S4:T11" ca="1">ADFTEST(A3:A22,TRUE,7,"aic",2)</f>
        <v>#NAME?</v>
      </c>
      <c r="T4" s="139" t="e">
        <f ca="1"/>
        <v>#NAME?</v>
      </c>
      <c r="V4" t="e">
        <f t="array" aca="1" ref="V4:W11" ca="1">ADFTEST(A3:A22,TRUE,-1)</f>
        <v>#NAME?</v>
      </c>
      <c r="W4" s="139" t="e">
        <f ca="1"/>
        <v>#NAME?</v>
      </c>
    </row>
    <row r="5" spans="1:23" x14ac:dyDescent="0.35">
      <c r="A5">
        <v>1.6166080445942643</v>
      </c>
      <c r="J5" t="e">
        <f ca="1"/>
        <v>#NAME?</v>
      </c>
      <c r="K5" s="24" t="e">
        <f ca="1"/>
        <v>#NAME?</v>
      </c>
      <c r="M5" t="e">
        <f ca="1"/>
        <v>#NAME?</v>
      </c>
      <c r="N5" s="24" t="e">
        <f ca="1"/>
        <v>#NAME?</v>
      </c>
      <c r="P5" t="e">
        <f ca="1"/>
        <v>#NAME?</v>
      </c>
      <c r="Q5" s="24" t="e">
        <f ca="1"/>
        <v>#NAME?</v>
      </c>
      <c r="S5" t="e">
        <f ca="1"/>
        <v>#NAME?</v>
      </c>
      <c r="T5" s="24" t="e">
        <f ca="1"/>
        <v>#NAME?</v>
      </c>
      <c r="V5" t="e">
        <f ca="1"/>
        <v>#NAME?</v>
      </c>
      <c r="W5" s="24" t="e">
        <f ca="1"/>
        <v>#NAME?</v>
      </c>
    </row>
    <row r="6" spans="1:23" x14ac:dyDescent="0.35">
      <c r="A6">
        <v>1.4354933242524082</v>
      </c>
      <c r="J6" t="e">
        <f ca="1"/>
        <v>#NAME?</v>
      </c>
      <c r="K6" s="24" t="e">
        <f ca="1"/>
        <v>#NAME?</v>
      </c>
      <c r="M6" t="e">
        <f ca="1"/>
        <v>#NAME?</v>
      </c>
      <c r="N6" s="141" t="e">
        <f ca="1"/>
        <v>#NAME?</v>
      </c>
      <c r="P6" t="e">
        <f ca="1"/>
        <v>#NAME?</v>
      </c>
      <c r="Q6" s="141" t="e">
        <f ca="1"/>
        <v>#NAME?</v>
      </c>
      <c r="S6" t="e">
        <f ca="1"/>
        <v>#NAME?</v>
      </c>
      <c r="T6" s="141" t="e">
        <f ca="1"/>
        <v>#NAME?</v>
      </c>
      <c r="V6" t="e">
        <f ca="1"/>
        <v>#NAME?</v>
      </c>
      <c r="W6" s="141" t="e">
        <f ca="1"/>
        <v>#NAME?</v>
      </c>
    </row>
    <row r="7" spans="1:23" x14ac:dyDescent="0.35">
      <c r="A7">
        <v>1.4723170493758602</v>
      </c>
      <c r="J7" t="e">
        <f ca="1"/>
        <v>#NAME?</v>
      </c>
      <c r="K7" s="24" t="e">
        <f ca="1"/>
        <v>#NAME?</v>
      </c>
      <c r="M7" t="e">
        <f ca="1"/>
        <v>#NAME?</v>
      </c>
      <c r="N7" s="24" t="e">
        <f ca="1"/>
        <v>#NAME?</v>
      </c>
      <c r="P7" t="e">
        <f ca="1"/>
        <v>#NAME?</v>
      </c>
      <c r="Q7" s="24" t="e">
        <f ca="1"/>
        <v>#NAME?</v>
      </c>
      <c r="S7" t="e">
        <f ca="1"/>
        <v>#NAME?</v>
      </c>
      <c r="T7" s="24" t="e">
        <f ca="1"/>
        <v>#NAME?</v>
      </c>
      <c r="V7" t="e">
        <f ca="1"/>
        <v>#NAME?</v>
      </c>
      <c r="W7" s="24" t="e">
        <f ca="1"/>
        <v>#NAME?</v>
      </c>
    </row>
    <row r="8" spans="1:23" x14ac:dyDescent="0.35">
      <c r="A8">
        <v>1.32457</v>
      </c>
      <c r="J8" t="e">
        <f ca="1"/>
        <v>#NAME?</v>
      </c>
      <c r="K8" s="34" t="e">
        <f ca="1"/>
        <v>#NAME?</v>
      </c>
      <c r="M8" t="e">
        <f ca="1"/>
        <v>#NAME?</v>
      </c>
      <c r="N8" s="24" t="e">
        <f ca="1"/>
        <v>#NAME?</v>
      </c>
      <c r="P8" t="e">
        <f ca="1"/>
        <v>#NAME?</v>
      </c>
      <c r="Q8" s="24" t="e">
        <f ca="1"/>
        <v>#NAME?</v>
      </c>
      <c r="S8" t="e">
        <f ca="1"/>
        <v>#NAME?</v>
      </c>
      <c r="T8" s="24" t="e">
        <f ca="1"/>
        <v>#NAME?</v>
      </c>
      <c r="V8" t="e">
        <f ca="1"/>
        <v>#NAME?</v>
      </c>
      <c r="W8" s="24" t="e">
        <f ca="1"/>
        <v>#NAME?</v>
      </c>
    </row>
    <row r="9" spans="1:23" x14ac:dyDescent="0.35">
      <c r="A9">
        <v>2.6101002642621456</v>
      </c>
      <c r="M9" t="e">
        <f ca="1"/>
        <v>#NAME?</v>
      </c>
      <c r="N9" s="24" t="e">
        <f ca="1"/>
        <v>#NAME?</v>
      </c>
      <c r="P9" t="e">
        <f ca="1"/>
        <v>#NAME?</v>
      </c>
      <c r="Q9" s="24" t="e">
        <f ca="1"/>
        <v>#NAME?</v>
      </c>
      <c r="S9" t="e">
        <f ca="1"/>
        <v>#NAME?</v>
      </c>
      <c r="T9" s="24" t="e">
        <f ca="1"/>
        <v>#NAME?</v>
      </c>
      <c r="V9" t="e">
        <f ca="1"/>
        <v>#NAME?</v>
      </c>
      <c r="W9" s="24" t="e">
        <f ca="1"/>
        <v>#NAME?</v>
      </c>
    </row>
    <row r="10" spans="1:23" x14ac:dyDescent="0.35">
      <c r="A10">
        <v>1.8739672709592898</v>
      </c>
      <c r="J10" t="s">
        <v>472</v>
      </c>
      <c r="K10" s="19" t="e">
        <f ca="1">ROUND(12*(K4/100)^0.25,0)</f>
        <v>#NAME?</v>
      </c>
      <c r="M10" t="e">
        <f ca="1"/>
        <v>#NAME?</v>
      </c>
      <c r="N10" s="24" t="e">
        <f ca="1"/>
        <v>#NAME?</v>
      </c>
      <c r="P10" t="e">
        <f ca="1"/>
        <v>#NAME?</v>
      </c>
      <c r="Q10" s="24" t="e">
        <f ca="1"/>
        <v>#NAME?</v>
      </c>
      <c r="S10" t="e">
        <f ca="1"/>
        <v>#NAME?</v>
      </c>
      <c r="T10" s="24" t="e">
        <f ca="1"/>
        <v>#NAME?</v>
      </c>
      <c r="V10" t="e">
        <f ca="1"/>
        <v>#NAME?</v>
      </c>
      <c r="W10" s="24" t="e">
        <f ca="1"/>
        <v>#NAME?</v>
      </c>
    </row>
    <row r="11" spans="1:23" x14ac:dyDescent="0.35">
      <c r="A11">
        <v>3.0006758522775843</v>
      </c>
      <c r="M11" t="e">
        <f ca="1"/>
        <v>#NAME?</v>
      </c>
      <c r="N11" s="25" t="e">
        <f ca="1"/>
        <v>#NAME?</v>
      </c>
      <c r="P11" t="e">
        <f ca="1"/>
        <v>#NAME?</v>
      </c>
      <c r="Q11" s="25" t="e">
        <f ca="1"/>
        <v>#NAME?</v>
      </c>
      <c r="S11" t="e">
        <f ca="1"/>
        <v>#NAME?</v>
      </c>
      <c r="T11" s="34" t="e">
        <f ca="1"/>
        <v>#NAME?</v>
      </c>
      <c r="V11" t="e">
        <f ca="1"/>
        <v>#NAME?</v>
      </c>
      <c r="W11" s="25" t="e">
        <f ca="1"/>
        <v>#NAME?</v>
      </c>
    </row>
    <row r="12" spans="1:23" x14ac:dyDescent="0.35">
      <c r="A12">
        <v>2.1606253513382501</v>
      </c>
    </row>
    <row r="13" spans="1:23" x14ac:dyDescent="0.35">
      <c r="A13">
        <v>2.1565013565451197</v>
      </c>
    </row>
    <row r="14" spans="1:23" x14ac:dyDescent="0.35">
      <c r="A14">
        <v>2.9629643841618374</v>
      </c>
    </row>
    <row r="15" spans="1:23" x14ac:dyDescent="0.35">
      <c r="A15">
        <v>2.1250709140930466</v>
      </c>
    </row>
    <row r="16" spans="1:23" x14ac:dyDescent="0.35">
      <c r="A16">
        <v>2.9897080234539199</v>
      </c>
    </row>
    <row r="17" spans="1:1" x14ac:dyDescent="0.35">
      <c r="A17">
        <v>3.2545925126709121</v>
      </c>
    </row>
    <row r="18" spans="1:1" x14ac:dyDescent="0.35">
      <c r="A18">
        <v>3.7153992070882</v>
      </c>
    </row>
    <row r="19" spans="1:1" x14ac:dyDescent="0.35">
      <c r="A19">
        <v>2.9207517290019536</v>
      </c>
    </row>
    <row r="20" spans="1:1" x14ac:dyDescent="0.35">
      <c r="A20">
        <v>2.3942977519624984</v>
      </c>
    </row>
    <row r="21" spans="1:1" x14ac:dyDescent="0.35">
      <c r="A21">
        <v>2.224401046632972</v>
      </c>
    </row>
    <row r="22" spans="1:1" x14ac:dyDescent="0.35">
      <c r="A22">
        <v>3.5258176072017902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"/>
  <dimension ref="A1:M22"/>
  <sheetViews>
    <sheetView workbookViewId="0"/>
  </sheetViews>
  <sheetFormatPr defaultRowHeight="14.5" x14ac:dyDescent="0.35"/>
  <cols>
    <col min="1" max="1" width="9.54296875" bestFit="1" customWidth="1"/>
    <col min="2" max="2" width="5.7265625" customWidth="1"/>
    <col min="5" max="5" width="5.26953125" customWidth="1"/>
    <col min="6" max="6" width="9.81640625" customWidth="1"/>
    <col min="8" max="8" width="3.1796875" customWidth="1"/>
    <col min="9" max="9" width="9.7265625" customWidth="1"/>
    <col min="11" max="11" width="3.1796875" customWidth="1"/>
    <col min="12" max="12" width="9.7265625" customWidth="1"/>
  </cols>
  <sheetData>
    <row r="1" spans="1:13" x14ac:dyDescent="0.35">
      <c r="A1" s="7" t="s">
        <v>479</v>
      </c>
      <c r="F1" t="s">
        <v>480</v>
      </c>
    </row>
    <row r="3" spans="1:13" x14ac:dyDescent="0.35">
      <c r="A3">
        <v>2.1954112362229798</v>
      </c>
      <c r="F3" t="s">
        <v>482</v>
      </c>
      <c r="I3" t="s">
        <v>483</v>
      </c>
      <c r="L3" t="s">
        <v>474</v>
      </c>
    </row>
    <row r="4" spans="1:13" x14ac:dyDescent="0.35">
      <c r="A4">
        <v>1.5564893013829599</v>
      </c>
      <c r="C4" t="e">
        <f t="array" aca="1" ref="C4:D8" ca="1">DescStats(A3:A22,TRUE)</f>
        <v>#NAME?</v>
      </c>
      <c r="D4" s="139" t="e">
        <f ca="1"/>
        <v>#NAME?</v>
      </c>
    </row>
    <row r="5" spans="1:13" x14ac:dyDescent="0.35">
      <c r="A5">
        <v>1.6166080445942643</v>
      </c>
      <c r="C5" t="e">
        <f ca="1"/>
        <v>#NAME?</v>
      </c>
      <c r="D5" s="24" t="e">
        <f ca="1"/>
        <v>#NAME?</v>
      </c>
      <c r="F5" t="e">
        <f t="array" aca="1" ref="F5:G10" ca="1">PPTEST(A3:A22,TRUE,"short",0)</f>
        <v>#NAME?</v>
      </c>
      <c r="G5" s="139" t="e">
        <f ca="1"/>
        <v>#NAME?</v>
      </c>
      <c r="I5" t="e">
        <f t="array" aca="1" ref="I5:J10" ca="1">PPTEST(A3:A22,TRUE,"short",1)</f>
        <v>#NAME?</v>
      </c>
      <c r="J5" s="139" t="e">
        <f ca="1"/>
        <v>#NAME?</v>
      </c>
      <c r="L5" t="e">
        <f t="array" aca="1" ref="L5:M10" ca="1">PPTEST(A3:A22,TRUE,"short",2)</f>
        <v>#NAME?</v>
      </c>
      <c r="M5" s="139" t="e">
        <f ca="1"/>
        <v>#NAME?</v>
      </c>
    </row>
    <row r="6" spans="1:13" x14ac:dyDescent="0.35">
      <c r="A6">
        <v>1.4354933242524082</v>
      </c>
      <c r="C6" t="e">
        <f ca="1"/>
        <v>#NAME?</v>
      </c>
      <c r="D6" s="24" t="e">
        <f ca="1"/>
        <v>#NAME?</v>
      </c>
      <c r="F6" t="e">
        <f ca="1"/>
        <v>#NAME?</v>
      </c>
      <c r="G6" s="24" t="e">
        <f ca="1"/>
        <v>#NAME?</v>
      </c>
      <c r="I6" t="e">
        <f ca="1"/>
        <v>#NAME?</v>
      </c>
      <c r="J6" s="24" t="e">
        <f ca="1"/>
        <v>#NAME?</v>
      </c>
      <c r="L6" t="e">
        <f ca="1"/>
        <v>#NAME?</v>
      </c>
      <c r="M6" s="24" t="e">
        <f ca="1"/>
        <v>#NAME?</v>
      </c>
    </row>
    <row r="7" spans="1:13" x14ac:dyDescent="0.35">
      <c r="A7">
        <v>1.4723170493758602</v>
      </c>
      <c r="C7" t="e">
        <f ca="1"/>
        <v>#NAME?</v>
      </c>
      <c r="D7" s="24" t="e">
        <f ca="1"/>
        <v>#NAME?</v>
      </c>
      <c r="F7" t="e">
        <f ca="1"/>
        <v>#NAME?</v>
      </c>
      <c r="G7" s="141" t="e">
        <f ca="1"/>
        <v>#NAME?</v>
      </c>
      <c r="I7" t="e">
        <f ca="1"/>
        <v>#NAME?</v>
      </c>
      <c r="J7" s="141" t="e">
        <f ca="1"/>
        <v>#NAME?</v>
      </c>
      <c r="L7" t="e">
        <f ca="1"/>
        <v>#NAME?</v>
      </c>
      <c r="M7" s="141" t="e">
        <f ca="1"/>
        <v>#NAME?</v>
      </c>
    </row>
    <row r="8" spans="1:13" x14ac:dyDescent="0.35">
      <c r="A8">
        <v>1.32457</v>
      </c>
      <c r="C8" t="e">
        <f ca="1"/>
        <v>#NAME?</v>
      </c>
      <c r="D8" s="34" t="e">
        <f ca="1"/>
        <v>#NAME?</v>
      </c>
      <c r="F8" t="e">
        <f ca="1"/>
        <v>#NAME?</v>
      </c>
      <c r="G8" s="24" t="e">
        <f ca="1"/>
        <v>#NAME?</v>
      </c>
      <c r="I8" t="e">
        <f ca="1"/>
        <v>#NAME?</v>
      </c>
      <c r="J8" s="24" t="e">
        <f ca="1"/>
        <v>#NAME?</v>
      </c>
      <c r="L8" t="e">
        <f ca="1"/>
        <v>#NAME?</v>
      </c>
      <c r="M8" s="24" t="e">
        <f ca="1"/>
        <v>#NAME?</v>
      </c>
    </row>
    <row r="9" spans="1:13" x14ac:dyDescent="0.35">
      <c r="A9">
        <v>2.6101002642621456</v>
      </c>
      <c r="F9" t="e">
        <f ca="1"/>
        <v>#NAME?</v>
      </c>
      <c r="G9" s="24" t="e">
        <f ca="1"/>
        <v>#NAME?</v>
      </c>
      <c r="I9" t="e">
        <f ca="1"/>
        <v>#NAME?</v>
      </c>
      <c r="J9" s="24" t="e">
        <f ca="1"/>
        <v>#NAME?</v>
      </c>
      <c r="L9" t="e">
        <f ca="1"/>
        <v>#NAME?</v>
      </c>
      <c r="M9" s="24" t="e">
        <f ca="1"/>
        <v>#NAME?</v>
      </c>
    </row>
    <row r="10" spans="1:13" x14ac:dyDescent="0.35">
      <c r="A10">
        <v>1.8739672709592898</v>
      </c>
      <c r="C10" t="s">
        <v>472</v>
      </c>
      <c r="D10" s="19" t="e">
        <f ca="1">ROUND(4*(D4/100)^0.25,0)</f>
        <v>#NAME?</v>
      </c>
      <c r="F10" t="e">
        <f ca="1"/>
        <v>#NAME?</v>
      </c>
      <c r="G10" s="25" t="e">
        <f ca="1"/>
        <v>#NAME?</v>
      </c>
      <c r="I10" t="e">
        <f ca="1"/>
        <v>#NAME?</v>
      </c>
      <c r="J10" s="25" t="e">
        <f ca="1"/>
        <v>#NAME?</v>
      </c>
      <c r="L10" t="e">
        <f ca="1"/>
        <v>#NAME?</v>
      </c>
      <c r="M10" s="34" t="e">
        <f ca="1"/>
        <v>#NAME?</v>
      </c>
    </row>
    <row r="11" spans="1:13" x14ac:dyDescent="0.35">
      <c r="A11">
        <v>3.0006758522775843</v>
      </c>
      <c r="C11" t="s">
        <v>484</v>
      </c>
      <c r="G11" s="13"/>
    </row>
    <row r="12" spans="1:13" x14ac:dyDescent="0.35">
      <c r="A12">
        <v>2.1606253513382501</v>
      </c>
      <c r="G12" s="17"/>
    </row>
    <row r="13" spans="1:13" x14ac:dyDescent="0.35">
      <c r="A13">
        <v>2.1565013565451197</v>
      </c>
      <c r="F13" t="s">
        <v>481</v>
      </c>
    </row>
    <row r="14" spans="1:13" x14ac:dyDescent="0.35">
      <c r="A14">
        <v>2.9629643841618374</v>
      </c>
    </row>
    <row r="15" spans="1:13" x14ac:dyDescent="0.35">
      <c r="A15">
        <v>2.1250709140930466</v>
      </c>
      <c r="F15" t="s">
        <v>473</v>
      </c>
      <c r="I15" t="s">
        <v>474</v>
      </c>
    </row>
    <row r="16" spans="1:13" x14ac:dyDescent="0.35">
      <c r="A16">
        <v>2.9897080234539199</v>
      </c>
    </row>
    <row r="17" spans="1:10" x14ac:dyDescent="0.35">
      <c r="A17">
        <v>3.2545925126709121</v>
      </c>
      <c r="F17" t="e">
        <f t="array" aca="1" ref="F17:G21" ca="1">KPSSTEST(A3:A22,TRUE,"short",1)</f>
        <v>#NAME?</v>
      </c>
      <c r="G17" s="139" t="e">
        <f ca="1"/>
        <v>#NAME?</v>
      </c>
      <c r="I17" t="e">
        <f t="array" aca="1" ref="I17:J21" ca="1">KPSSTEST(A3:A22,TRUE,"short",2)</f>
        <v>#NAME?</v>
      </c>
      <c r="J17" s="139" t="e">
        <f ca="1"/>
        <v>#NAME?</v>
      </c>
    </row>
    <row r="18" spans="1:10" x14ac:dyDescent="0.35">
      <c r="A18">
        <v>3.7153992070882</v>
      </c>
      <c r="F18" t="e">
        <f ca="1"/>
        <v>#NAME?</v>
      </c>
      <c r="G18" s="24" t="e">
        <f ca="1"/>
        <v>#NAME?</v>
      </c>
      <c r="I18" t="e">
        <f ca="1"/>
        <v>#NAME?</v>
      </c>
      <c r="J18" s="141" t="e">
        <f ca="1"/>
        <v>#NAME?</v>
      </c>
    </row>
    <row r="19" spans="1:10" x14ac:dyDescent="0.35">
      <c r="A19">
        <v>2.9207517290019536</v>
      </c>
      <c r="F19" t="e">
        <f ca="1"/>
        <v>#NAME?</v>
      </c>
      <c r="G19" s="141" t="e">
        <f ca="1"/>
        <v>#NAME?</v>
      </c>
      <c r="I19" t="e">
        <f ca="1"/>
        <v>#NAME?</v>
      </c>
      <c r="J19" s="141" t="e">
        <f ca="1"/>
        <v>#NAME?</v>
      </c>
    </row>
    <row r="20" spans="1:10" x14ac:dyDescent="0.35">
      <c r="A20">
        <v>2.3942977519624984</v>
      </c>
      <c r="F20" t="e">
        <f ca="1"/>
        <v>#NAME?</v>
      </c>
      <c r="G20" s="24" t="e">
        <f ca="1"/>
        <v>#NAME?</v>
      </c>
      <c r="I20" t="e">
        <f ca="1"/>
        <v>#NAME?</v>
      </c>
      <c r="J20" s="24" t="e">
        <f ca="1"/>
        <v>#NAME?</v>
      </c>
    </row>
    <row r="21" spans="1:10" x14ac:dyDescent="0.35">
      <c r="A21">
        <v>2.224401046632972</v>
      </c>
      <c r="F21" t="e">
        <f ca="1"/>
        <v>#NAME?</v>
      </c>
      <c r="G21" s="34" t="e">
        <f ca="1"/>
        <v>#NAME?</v>
      </c>
      <c r="I21" t="e">
        <f ca="1"/>
        <v>#NAME?</v>
      </c>
      <c r="J21" s="25" t="e">
        <f ca="1"/>
        <v>#NAME?</v>
      </c>
    </row>
    <row r="22" spans="1:10" x14ac:dyDescent="0.35">
      <c r="A22">
        <v>3.5258176072017902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/>
  <dimension ref="A1:AR20"/>
  <sheetViews>
    <sheetView workbookViewId="0"/>
  </sheetViews>
  <sheetFormatPr defaultRowHeight="14.5" x14ac:dyDescent="0.35"/>
  <cols>
    <col min="1" max="2" width="7.54296875" customWidth="1"/>
    <col min="3" max="3" width="4.54296875" customWidth="1"/>
    <col min="4" max="5" width="7.54296875" customWidth="1"/>
    <col min="6" max="6" width="4.26953125" customWidth="1"/>
    <col min="15" max="16" width="5.81640625" customWidth="1"/>
    <col min="17" max="17" width="3.1796875" customWidth="1"/>
    <col min="18" max="18" width="6.453125" customWidth="1"/>
    <col min="29" max="30" width="7.54296875" customWidth="1"/>
    <col min="36" max="36" width="7.54296875" customWidth="1"/>
    <col min="41" max="41" width="7.54296875" customWidth="1"/>
  </cols>
  <sheetData>
    <row r="1" spans="1:44" x14ac:dyDescent="0.35">
      <c r="A1" s="7" t="s">
        <v>626</v>
      </c>
      <c r="O1" t="s">
        <v>633</v>
      </c>
      <c r="AC1" t="s">
        <v>637</v>
      </c>
      <c r="AJ1" t="s">
        <v>7</v>
      </c>
      <c r="AO1" t="s">
        <v>638</v>
      </c>
    </row>
    <row r="3" spans="1:44" x14ac:dyDescent="0.35">
      <c r="A3" s="233" t="s">
        <v>3</v>
      </c>
      <c r="B3" s="233" t="s">
        <v>1</v>
      </c>
      <c r="D3" s="233" t="s">
        <v>3</v>
      </c>
      <c r="E3" s="233" t="s">
        <v>1</v>
      </c>
      <c r="G3" s="233" t="s">
        <v>619</v>
      </c>
      <c r="H3" s="233" t="s">
        <v>620</v>
      </c>
      <c r="I3" s="233" t="s">
        <v>621</v>
      </c>
      <c r="J3" s="233" t="s">
        <v>622</v>
      </c>
      <c r="K3" s="233" t="s">
        <v>623</v>
      </c>
      <c r="L3" s="233" t="s">
        <v>624</v>
      </c>
      <c r="M3" s="233" t="s">
        <v>625</v>
      </c>
      <c r="O3" s="233" t="e">
        <f t="array" aca="1" ref="O3:P14" ca="1">DELROWBLANK(D3:E18,TRUE)</f>
        <v>#NAME?</v>
      </c>
      <c r="P3" s="233" t="e">
        <f ca="1"/>
        <v>#NAME?</v>
      </c>
      <c r="R3" s="233" t="s">
        <v>3</v>
      </c>
      <c r="S3" s="233" t="s">
        <v>1</v>
      </c>
      <c r="AC3" s="233" t="s">
        <v>3</v>
      </c>
      <c r="AD3" s="233" t="s">
        <v>1</v>
      </c>
      <c r="AE3" s="233" t="s">
        <v>619</v>
      </c>
      <c r="AF3" s="9" t="s">
        <v>623</v>
      </c>
      <c r="AG3" s="9" t="s">
        <v>624</v>
      </c>
      <c r="AH3" s="9" t="s">
        <v>625</v>
      </c>
      <c r="AJ3" s="233" t="s">
        <v>3</v>
      </c>
      <c r="AK3" s="233" t="s">
        <v>639</v>
      </c>
      <c r="AL3" s="233" t="s">
        <v>619</v>
      </c>
      <c r="AM3" s="233" t="s">
        <v>640</v>
      </c>
      <c r="AO3" s="233" t="s">
        <v>3</v>
      </c>
      <c r="AP3" s="233" t="s">
        <v>639</v>
      </c>
      <c r="AQ3" s="233" t="s">
        <v>619</v>
      </c>
      <c r="AR3" s="233" t="s">
        <v>640</v>
      </c>
    </row>
    <row r="4" spans="1:44" x14ac:dyDescent="0.35">
      <c r="A4" s="137">
        <v>1</v>
      </c>
      <c r="B4" s="137">
        <v>3</v>
      </c>
      <c r="D4" s="137">
        <v>1</v>
      </c>
      <c r="E4" s="137">
        <v>3</v>
      </c>
      <c r="G4" s="137" t="e">
        <f t="array" aca="1" ref="G4:G18" ca="1">TSImputed($E4:$E18,0)</f>
        <v>#NAME?</v>
      </c>
      <c r="H4" s="137" t="e">
        <f t="array" aca="1" ref="H4:H18" ca="1">TSImputed($E4:$E18,1)</f>
        <v>#NAME?</v>
      </c>
      <c r="I4" s="137" t="e">
        <f t="array" aca="1" ref="I4:I18" ca="1">TSImputed($E4:$E18,2)</f>
        <v>#NAME?</v>
      </c>
      <c r="J4" s="137" t="e">
        <f t="array" aca="1" ref="J4:J18" ca="1">TSImputed($E4:$E18,3)</f>
        <v>#NAME?</v>
      </c>
      <c r="K4" s="137" t="e">
        <f t="array" aca="1" ref="K4:K18" ca="1">TSImputed($E4:$E18,-1,3)</f>
        <v>#NAME?</v>
      </c>
      <c r="L4" s="137" t="e">
        <f t="array" aca="1" ref="L4:L18" ca="1">TSImputed($E4:$E18,-2,3)</f>
        <v>#NAME?</v>
      </c>
      <c r="M4" s="137" t="e">
        <f t="array" aca="1" ref="M4:M18" ca="1">TSImputed($E4:$E18,-3,3)</f>
        <v>#NAME?</v>
      </c>
      <c r="O4" s="137" t="e">
        <f ca="1"/>
        <v>#NAME?</v>
      </c>
      <c r="P4" s="137" t="e">
        <f ca="1"/>
        <v>#NAME?</v>
      </c>
      <c r="R4" s="137">
        <v>1</v>
      </c>
      <c r="S4" s="137" t="e">
        <f t="array" aca="1" ref="S4:S18" ca="1">SPLINE(R4:R18,O4:O14,P4:P14)</f>
        <v>#NAME?</v>
      </c>
      <c r="AC4" s="137">
        <f>D4</f>
        <v>1</v>
      </c>
      <c r="AD4" s="137">
        <f>IF(E4="","",E4)</f>
        <v>3</v>
      </c>
      <c r="AE4" s="137" t="e">
        <f ca="1">G4</f>
        <v>#NAME?</v>
      </c>
      <c r="AF4" s="137">
        <f>IF(AD4="",AE4,AD4)</f>
        <v>3</v>
      </c>
      <c r="AG4">
        <f>IF(AD4="",AE4,AD4)</f>
        <v>3</v>
      </c>
      <c r="AH4">
        <f>IF(AD4="",AE4,AD4)</f>
        <v>3</v>
      </c>
      <c r="AJ4" s="137">
        <f t="shared" ref="AJ4:AJ10" si="0">AC6</f>
        <v>3</v>
      </c>
      <c r="AK4">
        <f t="shared" ref="AK4:AK10" si="1">1/(ABS(AJ$7-AJ4)+1)</f>
        <v>0.25</v>
      </c>
      <c r="AL4" t="e">
        <f t="shared" ref="AL4:AL10" ca="1" si="2">AE6</f>
        <v>#NAME?</v>
      </c>
      <c r="AM4" t="e">
        <f ca="1">AK4*AL4</f>
        <v>#NAME?</v>
      </c>
      <c r="AO4" s="137">
        <f t="shared" ref="AO4:AO10" si="3">AC6</f>
        <v>3</v>
      </c>
      <c r="AP4">
        <f t="shared" ref="AP4:AP10" si="4">1/2^ABS(AJ$7-AJ4)</f>
        <v>0.125</v>
      </c>
      <c r="AQ4" t="e">
        <f t="shared" ref="AQ4:AQ10" ca="1" si="5">AE6</f>
        <v>#NAME?</v>
      </c>
      <c r="AR4" t="e">
        <f ca="1">AP4*AQ4</f>
        <v>#NAME?</v>
      </c>
    </row>
    <row r="5" spans="1:44" x14ac:dyDescent="0.35">
      <c r="A5" s="137">
        <f>A4+1</f>
        <v>2</v>
      </c>
      <c r="B5" s="137">
        <v>5</v>
      </c>
      <c r="D5" s="137">
        <f>D4+1</f>
        <v>2</v>
      </c>
      <c r="E5" s="137">
        <v>5</v>
      </c>
      <c r="G5" s="137" t="e">
        <f ca="1"/>
        <v>#NAME?</v>
      </c>
      <c r="H5" s="137" t="e">
        <f ca="1"/>
        <v>#NAME?</v>
      </c>
      <c r="I5" s="137" t="e">
        <f ca="1"/>
        <v>#NAME?</v>
      </c>
      <c r="J5" s="137" t="e">
        <f ca="1"/>
        <v>#NAME?</v>
      </c>
      <c r="K5" s="137" t="e">
        <f ca="1"/>
        <v>#NAME?</v>
      </c>
      <c r="L5" s="137" t="e">
        <f ca="1"/>
        <v>#NAME?</v>
      </c>
      <c r="M5" s="137" t="e">
        <f ca="1"/>
        <v>#NAME?</v>
      </c>
      <c r="O5" s="137" t="e">
        <f ca="1"/>
        <v>#NAME?</v>
      </c>
      <c r="P5" s="137" t="e">
        <f ca="1"/>
        <v>#NAME?</v>
      </c>
      <c r="R5" s="137">
        <f>R4+1</f>
        <v>2</v>
      </c>
      <c r="S5" s="137" t="e">
        <f ca="1"/>
        <v>#NAME?</v>
      </c>
      <c r="AC5" s="137">
        <f t="shared" ref="AC5:AC18" si="6">D5</f>
        <v>2</v>
      </c>
      <c r="AD5" s="137">
        <f t="shared" ref="AD5:AD18" si="7">IF(E5="","",E5)</f>
        <v>5</v>
      </c>
      <c r="AE5" s="137" t="e">
        <f t="shared" ref="AE5:AE18" ca="1" si="8">G5</f>
        <v>#NAME?</v>
      </c>
      <c r="AF5" s="137">
        <f t="shared" ref="AF5:AF6" si="9">IF(AD5="",AE5,AD5)</f>
        <v>5</v>
      </c>
      <c r="AG5">
        <f t="shared" ref="AG5:AG6" si="10">IF(AD5="",AE5,AD5)</f>
        <v>5</v>
      </c>
      <c r="AH5">
        <f t="shared" ref="AH5:AH6" si="11">IF(AD5="",AE5,AD5)</f>
        <v>5</v>
      </c>
      <c r="AJ5" s="137">
        <f t="shared" si="0"/>
        <v>4</v>
      </c>
      <c r="AK5">
        <f t="shared" si="1"/>
        <v>0.33333333333333331</v>
      </c>
      <c r="AL5" t="e">
        <f t="shared" ca="1" si="2"/>
        <v>#NAME?</v>
      </c>
      <c r="AM5" t="e">
        <f t="shared" ref="AM5:AM10" ca="1" si="12">AK5*AL5</f>
        <v>#NAME?</v>
      </c>
      <c r="AO5" s="137">
        <f t="shared" si="3"/>
        <v>4</v>
      </c>
      <c r="AP5">
        <f t="shared" si="4"/>
        <v>0.25</v>
      </c>
      <c r="AQ5" t="e">
        <f t="shared" ca="1" si="5"/>
        <v>#NAME?</v>
      </c>
      <c r="AR5" t="e">
        <f t="shared" ref="AR5:AR10" ca="1" si="13">AP5*AQ5</f>
        <v>#NAME?</v>
      </c>
    </row>
    <row r="6" spans="1:44" x14ac:dyDescent="0.35">
      <c r="A6" s="137">
        <f t="shared" ref="A6:A18" si="14">A5+1</f>
        <v>3</v>
      </c>
      <c r="B6" s="137">
        <v>9</v>
      </c>
      <c r="D6" s="137">
        <f t="shared" ref="D6:D18" si="15">D5+1</f>
        <v>3</v>
      </c>
      <c r="E6" s="137">
        <v>9</v>
      </c>
      <c r="G6" s="137" t="e">
        <f ca="1"/>
        <v>#NAME?</v>
      </c>
      <c r="H6" s="137" t="e">
        <f ca="1"/>
        <v>#NAME?</v>
      </c>
      <c r="I6" s="137" t="e">
        <f ca="1"/>
        <v>#NAME?</v>
      </c>
      <c r="J6" s="137" t="e">
        <f ca="1"/>
        <v>#NAME?</v>
      </c>
      <c r="K6" s="137" t="e">
        <f ca="1"/>
        <v>#NAME?</v>
      </c>
      <c r="L6" s="137" t="e">
        <f ca="1"/>
        <v>#NAME?</v>
      </c>
      <c r="M6" s="137" t="e">
        <f ca="1"/>
        <v>#NAME?</v>
      </c>
      <c r="O6" s="137" t="e">
        <f ca="1"/>
        <v>#NAME?</v>
      </c>
      <c r="P6" s="137" t="e">
        <f ca="1"/>
        <v>#NAME?</v>
      </c>
      <c r="R6" s="137">
        <f t="shared" ref="R6:R18" si="16">R5+1</f>
        <v>3</v>
      </c>
      <c r="S6" s="137" t="e">
        <f ca="1"/>
        <v>#NAME?</v>
      </c>
      <c r="AC6" s="137">
        <f t="shared" si="6"/>
        <v>3</v>
      </c>
      <c r="AD6" s="137">
        <f t="shared" si="7"/>
        <v>9</v>
      </c>
      <c r="AE6" s="137" t="e">
        <f t="shared" ca="1" si="8"/>
        <v>#NAME?</v>
      </c>
      <c r="AF6" s="137">
        <f t="shared" si="9"/>
        <v>9</v>
      </c>
      <c r="AG6">
        <f t="shared" si="10"/>
        <v>9</v>
      </c>
      <c r="AH6">
        <f t="shared" si="11"/>
        <v>9</v>
      </c>
      <c r="AJ6" s="137">
        <f t="shared" si="0"/>
        <v>5</v>
      </c>
      <c r="AK6">
        <f t="shared" si="1"/>
        <v>0.5</v>
      </c>
      <c r="AL6" t="e">
        <f t="shared" ca="1" si="2"/>
        <v>#NAME?</v>
      </c>
      <c r="AM6" t="e">
        <f t="shared" ca="1" si="12"/>
        <v>#NAME?</v>
      </c>
      <c r="AO6" s="137">
        <f t="shared" si="3"/>
        <v>5</v>
      </c>
      <c r="AP6">
        <f t="shared" si="4"/>
        <v>0.5</v>
      </c>
      <c r="AQ6" t="e">
        <f t="shared" ca="1" si="5"/>
        <v>#NAME?</v>
      </c>
      <c r="AR6" t="e">
        <f t="shared" ca="1" si="13"/>
        <v>#NAME?</v>
      </c>
    </row>
    <row r="7" spans="1:44" x14ac:dyDescent="0.35">
      <c r="A7" s="137">
        <f t="shared" si="14"/>
        <v>4</v>
      </c>
      <c r="B7" s="137">
        <v>20</v>
      </c>
      <c r="D7" s="137">
        <f t="shared" si="15"/>
        <v>4</v>
      </c>
      <c r="E7" s="137">
        <v>20</v>
      </c>
      <c r="G7" s="137" t="e">
        <f ca="1"/>
        <v>#NAME?</v>
      </c>
      <c r="H7" s="137" t="e">
        <f ca="1"/>
        <v>#NAME?</v>
      </c>
      <c r="I7" s="137" t="e">
        <f ca="1"/>
        <v>#NAME?</v>
      </c>
      <c r="J7" s="137" t="e">
        <f ca="1"/>
        <v>#NAME?</v>
      </c>
      <c r="K7" s="137" t="e">
        <f ca="1"/>
        <v>#NAME?</v>
      </c>
      <c r="L7" s="137" t="e">
        <f ca="1"/>
        <v>#NAME?</v>
      </c>
      <c r="M7" s="137" t="e">
        <f ca="1"/>
        <v>#NAME?</v>
      </c>
      <c r="O7" s="137" t="e">
        <f ca="1"/>
        <v>#NAME?</v>
      </c>
      <c r="P7" s="137" t="e">
        <f ca="1"/>
        <v>#NAME?</v>
      </c>
      <c r="R7" s="137">
        <f t="shared" si="16"/>
        <v>4</v>
      </c>
      <c r="S7" s="137" t="e">
        <f ca="1"/>
        <v>#NAME?</v>
      </c>
      <c r="AC7" s="137">
        <f t="shared" si="6"/>
        <v>4</v>
      </c>
      <c r="AD7" s="137">
        <f t="shared" si="7"/>
        <v>20</v>
      </c>
      <c r="AE7" s="137" t="e">
        <f t="shared" ca="1" si="8"/>
        <v>#NAME?</v>
      </c>
      <c r="AF7" s="137">
        <f>IF(AD7="",AVERAGE(AE4:AE10),AD7)</f>
        <v>20</v>
      </c>
      <c r="AG7">
        <f>IF(AD7="",SUMPRODUCT(AE4:AE10,1/(ABS(AC4:AC10-AC7)+1))/AG$20,AD7)</f>
        <v>20</v>
      </c>
      <c r="AH7">
        <f>IF(AD7="",SUMPRODUCT(AE4:AE10,1/2^ABS(AC4:AC10-AC7))/AH$20,AD7)</f>
        <v>20</v>
      </c>
      <c r="AJ7" s="137">
        <f t="shared" si="0"/>
        <v>6</v>
      </c>
      <c r="AK7">
        <f t="shared" si="1"/>
        <v>1</v>
      </c>
      <c r="AL7" t="e">
        <f t="shared" ca="1" si="2"/>
        <v>#NAME?</v>
      </c>
      <c r="AM7" t="e">
        <f t="shared" ca="1" si="12"/>
        <v>#NAME?</v>
      </c>
      <c r="AO7" s="137">
        <f t="shared" si="3"/>
        <v>6</v>
      </c>
      <c r="AP7">
        <f t="shared" si="4"/>
        <v>1</v>
      </c>
      <c r="AQ7" t="e">
        <f t="shared" ca="1" si="5"/>
        <v>#NAME?</v>
      </c>
      <c r="AR7" t="e">
        <f t="shared" ca="1" si="13"/>
        <v>#NAME?</v>
      </c>
    </row>
    <row r="8" spans="1:44" x14ac:dyDescent="0.35">
      <c r="A8" s="137">
        <f t="shared" si="14"/>
        <v>5</v>
      </c>
      <c r="B8" s="137">
        <v>12</v>
      </c>
      <c r="D8" s="137">
        <f t="shared" si="15"/>
        <v>5</v>
      </c>
      <c r="E8" s="137">
        <v>12</v>
      </c>
      <c r="G8" s="137" t="e">
        <f ca="1"/>
        <v>#NAME?</v>
      </c>
      <c r="H8" s="137" t="e">
        <f ca="1"/>
        <v>#NAME?</v>
      </c>
      <c r="I8" s="137" t="e">
        <f ca="1"/>
        <v>#NAME?</v>
      </c>
      <c r="J8" s="137" t="e">
        <f ca="1"/>
        <v>#NAME?</v>
      </c>
      <c r="K8" s="137" t="e">
        <f ca="1"/>
        <v>#NAME?</v>
      </c>
      <c r="L8" s="137" t="e">
        <f ca="1"/>
        <v>#NAME?</v>
      </c>
      <c r="M8" s="137" t="e">
        <f ca="1"/>
        <v>#NAME?</v>
      </c>
      <c r="O8" s="137" t="e">
        <f ca="1"/>
        <v>#NAME?</v>
      </c>
      <c r="P8" s="137" t="e">
        <f ca="1"/>
        <v>#NAME?</v>
      </c>
      <c r="R8" s="137">
        <f t="shared" si="16"/>
        <v>5</v>
      </c>
      <c r="S8" s="137" t="e">
        <f ca="1"/>
        <v>#NAME?</v>
      </c>
      <c r="AC8" s="137">
        <f t="shared" si="6"/>
        <v>5</v>
      </c>
      <c r="AD8" s="137">
        <f t="shared" si="7"/>
        <v>12</v>
      </c>
      <c r="AE8" s="137" t="e">
        <f t="shared" ca="1" si="8"/>
        <v>#NAME?</v>
      </c>
      <c r="AF8" s="137">
        <f>IF(AD8="",AVERAGE(AE5:AE11),AD8)</f>
        <v>12</v>
      </c>
      <c r="AG8">
        <f t="shared" ref="AG8:AG15" si="17">IF(AD8="",SUMPRODUCT(AE5:AE11,1/(ABS(AC5:AC11-AC8)+1))/AG$20,AD8)</f>
        <v>12</v>
      </c>
      <c r="AH8">
        <f t="shared" ref="AH8:AH15" si="18">IF(AD8="",SUMPRODUCT(AE5:AE11,1/2^ABS(AC5:AC11-AC8))/AH$20,AD8)</f>
        <v>12</v>
      </c>
      <c r="AJ8" s="137">
        <f t="shared" si="0"/>
        <v>7</v>
      </c>
      <c r="AK8">
        <f t="shared" si="1"/>
        <v>0.5</v>
      </c>
      <c r="AL8" t="e">
        <f t="shared" ca="1" si="2"/>
        <v>#NAME?</v>
      </c>
      <c r="AM8" t="e">
        <f t="shared" ca="1" si="12"/>
        <v>#NAME?</v>
      </c>
      <c r="AO8" s="137">
        <f t="shared" si="3"/>
        <v>7</v>
      </c>
      <c r="AP8">
        <f t="shared" si="4"/>
        <v>0.5</v>
      </c>
      <c r="AQ8" t="e">
        <f t="shared" ca="1" si="5"/>
        <v>#NAME?</v>
      </c>
      <c r="AR8" t="e">
        <f t="shared" ca="1" si="13"/>
        <v>#NAME?</v>
      </c>
    </row>
    <row r="9" spans="1:44" x14ac:dyDescent="0.35">
      <c r="A9" s="137">
        <f t="shared" si="14"/>
        <v>6</v>
      </c>
      <c r="B9" s="137">
        <v>17</v>
      </c>
      <c r="D9" s="137">
        <f t="shared" si="15"/>
        <v>6</v>
      </c>
      <c r="E9" s="137"/>
      <c r="G9" s="137" t="e">
        <f ca="1"/>
        <v>#NAME?</v>
      </c>
      <c r="H9" s="137" t="e">
        <f ca="1"/>
        <v>#NAME?</v>
      </c>
      <c r="I9" s="137" t="e">
        <f ca="1"/>
        <v>#NAME?</v>
      </c>
      <c r="J9" s="137" t="e">
        <f ca="1"/>
        <v>#NAME?</v>
      </c>
      <c r="K9" s="137" t="e">
        <f ca="1"/>
        <v>#NAME?</v>
      </c>
      <c r="L9" s="137" t="e">
        <f ca="1"/>
        <v>#NAME?</v>
      </c>
      <c r="M9" s="137" t="e">
        <f ca="1"/>
        <v>#NAME?</v>
      </c>
      <c r="O9" s="137" t="e">
        <f ca="1"/>
        <v>#NAME?</v>
      </c>
      <c r="P9" s="137" t="e">
        <f ca="1"/>
        <v>#NAME?</v>
      </c>
      <c r="R9" s="137">
        <f t="shared" si="16"/>
        <v>6</v>
      </c>
      <c r="S9" s="137" t="e">
        <f ca="1"/>
        <v>#NAME?</v>
      </c>
      <c r="AC9" s="137">
        <f t="shared" si="6"/>
        <v>6</v>
      </c>
      <c r="AD9" s="137" t="str">
        <f t="shared" si="7"/>
        <v/>
      </c>
      <c r="AE9" s="137" t="e">
        <f t="shared" ca="1" si="8"/>
        <v>#NAME?</v>
      </c>
      <c r="AF9" s="137" t="e">
        <f ca="1">IF(AD9="",AVERAGE(AE6:AE12),AD9)</f>
        <v>#NAME?</v>
      </c>
      <c r="AG9" t="e">
        <f t="shared" ca="1" si="17"/>
        <v>#NAME?</v>
      </c>
      <c r="AH9" t="e">
        <f t="shared" ca="1" si="18"/>
        <v>#NAME?</v>
      </c>
      <c r="AJ9" s="137">
        <f t="shared" si="0"/>
        <v>8</v>
      </c>
      <c r="AK9">
        <f t="shared" si="1"/>
        <v>0.33333333333333331</v>
      </c>
      <c r="AL9" t="e">
        <f t="shared" ca="1" si="2"/>
        <v>#NAME?</v>
      </c>
      <c r="AM9" t="e">
        <f t="shared" ca="1" si="12"/>
        <v>#NAME?</v>
      </c>
      <c r="AO9" s="137">
        <f t="shared" si="3"/>
        <v>8</v>
      </c>
      <c r="AP9">
        <f t="shared" si="4"/>
        <v>0.25</v>
      </c>
      <c r="AQ9" t="e">
        <f t="shared" ca="1" si="5"/>
        <v>#NAME?</v>
      </c>
      <c r="AR9" t="e">
        <f t="shared" ca="1" si="13"/>
        <v>#NAME?</v>
      </c>
    </row>
    <row r="10" spans="1:44" x14ac:dyDescent="0.35">
      <c r="A10" s="137">
        <f t="shared" si="14"/>
        <v>7</v>
      </c>
      <c r="B10" s="137">
        <v>22</v>
      </c>
      <c r="D10" s="137">
        <f t="shared" si="15"/>
        <v>7</v>
      </c>
      <c r="E10" s="137"/>
      <c r="G10" s="137" t="e">
        <f ca="1"/>
        <v>#NAME?</v>
      </c>
      <c r="H10" s="137" t="e">
        <f ca="1"/>
        <v>#NAME?</v>
      </c>
      <c r="I10" s="137" t="e">
        <f ca="1"/>
        <v>#NAME?</v>
      </c>
      <c r="J10" s="137" t="e">
        <f ca="1"/>
        <v>#NAME?</v>
      </c>
      <c r="K10" s="137" t="e">
        <f ca="1"/>
        <v>#NAME?</v>
      </c>
      <c r="L10" s="137" t="e">
        <f ca="1"/>
        <v>#NAME?</v>
      </c>
      <c r="M10" s="137" t="e">
        <f ca="1"/>
        <v>#NAME?</v>
      </c>
      <c r="O10" s="137" t="e">
        <f ca="1"/>
        <v>#NAME?</v>
      </c>
      <c r="P10" s="137" t="e">
        <f ca="1"/>
        <v>#NAME?</v>
      </c>
      <c r="R10" s="137">
        <f t="shared" si="16"/>
        <v>7</v>
      </c>
      <c r="S10" s="137" t="e">
        <f ca="1"/>
        <v>#NAME?</v>
      </c>
      <c r="AC10" s="137">
        <f t="shared" si="6"/>
        <v>7</v>
      </c>
      <c r="AD10" s="137" t="str">
        <f t="shared" si="7"/>
        <v/>
      </c>
      <c r="AE10" s="137" t="e">
        <f t="shared" ca="1" si="8"/>
        <v>#NAME?</v>
      </c>
      <c r="AF10" s="137" t="e">
        <f t="shared" ref="AF10:AF15" ca="1" si="19">IF(AD10="",AVERAGE(AE7:AE13),AD10)</f>
        <v>#NAME?</v>
      </c>
      <c r="AG10" t="e">
        <f t="shared" ca="1" si="17"/>
        <v>#NAME?</v>
      </c>
      <c r="AH10" t="e">
        <f t="shared" ca="1" si="18"/>
        <v>#NAME?</v>
      </c>
      <c r="AJ10" s="10">
        <f t="shared" si="0"/>
        <v>9</v>
      </c>
      <c r="AK10" s="4">
        <f t="shared" si="1"/>
        <v>0.25</v>
      </c>
      <c r="AL10" s="4" t="e">
        <f t="shared" ca="1" si="2"/>
        <v>#NAME?</v>
      </c>
      <c r="AM10" s="4" t="e">
        <f t="shared" ca="1" si="12"/>
        <v>#NAME?</v>
      </c>
      <c r="AO10" s="10">
        <f t="shared" si="3"/>
        <v>9</v>
      </c>
      <c r="AP10" s="4">
        <f t="shared" si="4"/>
        <v>0.125</v>
      </c>
      <c r="AQ10" s="4" t="e">
        <f t="shared" ca="1" si="5"/>
        <v>#NAME?</v>
      </c>
      <c r="AR10" s="4" t="e">
        <f t="shared" ca="1" si="13"/>
        <v>#NAME?</v>
      </c>
    </row>
    <row r="11" spans="1:44" x14ac:dyDescent="0.35">
      <c r="A11" s="137">
        <f t="shared" si="14"/>
        <v>8</v>
      </c>
      <c r="B11" s="137">
        <v>23</v>
      </c>
      <c r="D11" s="137">
        <f t="shared" si="15"/>
        <v>8</v>
      </c>
      <c r="E11" s="137">
        <v>23</v>
      </c>
      <c r="G11" s="137" t="e">
        <f ca="1"/>
        <v>#NAME?</v>
      </c>
      <c r="H11" s="137" t="e">
        <f ca="1"/>
        <v>#NAME?</v>
      </c>
      <c r="I11" s="137" t="e">
        <f ca="1"/>
        <v>#NAME?</v>
      </c>
      <c r="J11" s="137" t="e">
        <f ca="1"/>
        <v>#NAME?</v>
      </c>
      <c r="K11" s="137" t="e">
        <f ca="1"/>
        <v>#NAME?</v>
      </c>
      <c r="L11" s="137" t="e">
        <f ca="1"/>
        <v>#NAME?</v>
      </c>
      <c r="M11" s="137" t="e">
        <f ca="1"/>
        <v>#NAME?</v>
      </c>
      <c r="O11" s="137" t="e">
        <f ca="1"/>
        <v>#NAME?</v>
      </c>
      <c r="P11" s="137" t="e">
        <f ca="1"/>
        <v>#NAME?</v>
      </c>
      <c r="R11" s="137">
        <f t="shared" si="16"/>
        <v>8</v>
      </c>
      <c r="S11" s="137" t="e">
        <f ca="1"/>
        <v>#NAME?</v>
      </c>
      <c r="AC11" s="137">
        <f t="shared" si="6"/>
        <v>8</v>
      </c>
      <c r="AD11" s="137">
        <f t="shared" si="7"/>
        <v>23</v>
      </c>
      <c r="AE11" s="137" t="e">
        <f t="shared" ca="1" si="8"/>
        <v>#NAME?</v>
      </c>
      <c r="AF11" s="137">
        <f t="shared" si="19"/>
        <v>23</v>
      </c>
      <c r="AG11">
        <f t="shared" si="17"/>
        <v>23</v>
      </c>
      <c r="AH11">
        <f t="shared" si="18"/>
        <v>23</v>
      </c>
      <c r="AK11">
        <f>SUM(AK4:AK10)</f>
        <v>3.1666666666666665</v>
      </c>
      <c r="AM11" t="e">
        <f ca="1">SUM(AM4:AM10)</f>
        <v>#NAME?</v>
      </c>
      <c r="AP11">
        <f>SUM(AP4:AP10)</f>
        <v>2.75</v>
      </c>
      <c r="AR11" t="e">
        <f ca="1">SUM(AR4:AR10)</f>
        <v>#NAME?</v>
      </c>
    </row>
    <row r="12" spans="1:44" x14ac:dyDescent="0.35">
      <c r="A12" s="137">
        <f t="shared" si="14"/>
        <v>9</v>
      </c>
      <c r="B12" s="137">
        <v>51</v>
      </c>
      <c r="D12" s="137">
        <f t="shared" si="15"/>
        <v>9</v>
      </c>
      <c r="E12" s="137">
        <v>51</v>
      </c>
      <c r="G12" s="137" t="e">
        <f ca="1"/>
        <v>#NAME?</v>
      </c>
      <c r="H12" s="137" t="e">
        <f ca="1"/>
        <v>#NAME?</v>
      </c>
      <c r="I12" s="137" t="e">
        <f ca="1"/>
        <v>#NAME?</v>
      </c>
      <c r="J12" s="137" t="e">
        <f ca="1"/>
        <v>#NAME?</v>
      </c>
      <c r="K12" s="137" t="e">
        <f ca="1"/>
        <v>#NAME?</v>
      </c>
      <c r="L12" s="137" t="e">
        <f ca="1"/>
        <v>#NAME?</v>
      </c>
      <c r="M12" s="137" t="e">
        <f ca="1"/>
        <v>#NAME?</v>
      </c>
      <c r="O12" s="137" t="e">
        <f ca="1"/>
        <v>#NAME?</v>
      </c>
      <c r="P12" s="137" t="e">
        <f ca="1"/>
        <v>#NAME?</v>
      </c>
      <c r="R12" s="137">
        <f t="shared" si="16"/>
        <v>9</v>
      </c>
      <c r="S12" s="137" t="e">
        <f ca="1"/>
        <v>#NAME?</v>
      </c>
      <c r="AC12" s="137">
        <f t="shared" si="6"/>
        <v>9</v>
      </c>
      <c r="AD12" s="137">
        <f t="shared" si="7"/>
        <v>51</v>
      </c>
      <c r="AE12" s="137" t="e">
        <f t="shared" ca="1" si="8"/>
        <v>#NAME?</v>
      </c>
      <c r="AF12" s="137">
        <f t="shared" si="19"/>
        <v>51</v>
      </c>
      <c r="AG12">
        <f t="shared" si="17"/>
        <v>51</v>
      </c>
      <c r="AH12">
        <f t="shared" si="18"/>
        <v>51</v>
      </c>
      <c r="AM12" s="4" t="e">
        <f ca="1">AM11/AK11</f>
        <v>#NAME?</v>
      </c>
      <c r="AR12" s="4" t="e">
        <f ca="1">AR11/AP11</f>
        <v>#NAME?</v>
      </c>
    </row>
    <row r="13" spans="1:44" x14ac:dyDescent="0.35">
      <c r="A13" s="137">
        <f t="shared" si="14"/>
        <v>10</v>
      </c>
      <c r="B13" s="137">
        <v>41</v>
      </c>
      <c r="D13" s="137">
        <f t="shared" si="15"/>
        <v>10</v>
      </c>
      <c r="E13" s="137">
        <v>41</v>
      </c>
      <c r="G13" s="137" t="e">
        <f ca="1"/>
        <v>#NAME?</v>
      </c>
      <c r="H13" s="137" t="e">
        <f ca="1"/>
        <v>#NAME?</v>
      </c>
      <c r="I13" s="137" t="e">
        <f ca="1"/>
        <v>#NAME?</v>
      </c>
      <c r="J13" s="137" t="e">
        <f ca="1"/>
        <v>#NAME?</v>
      </c>
      <c r="K13" s="137" t="e">
        <f ca="1"/>
        <v>#NAME?</v>
      </c>
      <c r="L13" s="137" t="e">
        <f ca="1"/>
        <v>#NAME?</v>
      </c>
      <c r="M13" s="137" t="e">
        <f ca="1"/>
        <v>#NAME?</v>
      </c>
      <c r="O13" s="137" t="e">
        <f ca="1"/>
        <v>#NAME?</v>
      </c>
      <c r="P13" s="137" t="e">
        <f ca="1"/>
        <v>#NAME?</v>
      </c>
      <c r="R13" s="137">
        <f t="shared" si="16"/>
        <v>10</v>
      </c>
      <c r="S13" s="137" t="e">
        <f ca="1"/>
        <v>#NAME?</v>
      </c>
      <c r="AC13" s="137">
        <f t="shared" si="6"/>
        <v>10</v>
      </c>
      <c r="AD13" s="137">
        <f t="shared" si="7"/>
        <v>41</v>
      </c>
      <c r="AE13" s="137" t="e">
        <f t="shared" ca="1" si="8"/>
        <v>#NAME?</v>
      </c>
      <c r="AF13" s="137">
        <f t="shared" si="19"/>
        <v>41</v>
      </c>
      <c r="AG13">
        <f t="shared" si="17"/>
        <v>41</v>
      </c>
      <c r="AH13">
        <f t="shared" si="18"/>
        <v>41</v>
      </c>
    </row>
    <row r="14" spans="1:44" x14ac:dyDescent="0.35">
      <c r="A14" s="137">
        <f t="shared" si="14"/>
        <v>11</v>
      </c>
      <c r="B14" s="137">
        <v>56</v>
      </c>
      <c r="D14" s="137">
        <f t="shared" si="15"/>
        <v>11</v>
      </c>
      <c r="E14" s="137">
        <v>56</v>
      </c>
      <c r="G14" s="137" t="e">
        <f ca="1"/>
        <v>#NAME?</v>
      </c>
      <c r="H14" s="137" t="e">
        <f ca="1"/>
        <v>#NAME?</v>
      </c>
      <c r="I14" s="137" t="e">
        <f ca="1"/>
        <v>#NAME?</v>
      </c>
      <c r="J14" s="137" t="e">
        <f ca="1"/>
        <v>#NAME?</v>
      </c>
      <c r="K14" s="137" t="e">
        <f ca="1"/>
        <v>#NAME?</v>
      </c>
      <c r="L14" s="137" t="e">
        <f ca="1"/>
        <v>#NAME?</v>
      </c>
      <c r="M14" s="137" t="e">
        <f ca="1"/>
        <v>#NAME?</v>
      </c>
      <c r="O14" s="10" t="e">
        <f ca="1"/>
        <v>#NAME?</v>
      </c>
      <c r="P14" s="10" t="e">
        <f ca="1"/>
        <v>#NAME?</v>
      </c>
      <c r="R14" s="137">
        <f t="shared" si="16"/>
        <v>11</v>
      </c>
      <c r="S14" s="137" t="e">
        <f ca="1"/>
        <v>#NAME?</v>
      </c>
      <c r="AC14" s="137">
        <f t="shared" si="6"/>
        <v>11</v>
      </c>
      <c r="AD14" s="137">
        <f t="shared" si="7"/>
        <v>56</v>
      </c>
      <c r="AE14" s="137" t="e">
        <f t="shared" ca="1" si="8"/>
        <v>#NAME?</v>
      </c>
      <c r="AF14" s="137">
        <f t="shared" si="19"/>
        <v>56</v>
      </c>
      <c r="AG14">
        <f t="shared" si="17"/>
        <v>56</v>
      </c>
      <c r="AH14">
        <f t="shared" si="18"/>
        <v>56</v>
      </c>
    </row>
    <row r="15" spans="1:44" x14ac:dyDescent="0.35">
      <c r="A15" s="137">
        <f t="shared" si="14"/>
        <v>12</v>
      </c>
      <c r="B15" s="137">
        <v>75</v>
      </c>
      <c r="D15" s="137">
        <f t="shared" si="15"/>
        <v>12</v>
      </c>
      <c r="E15" s="137"/>
      <c r="G15" s="137" t="e">
        <f ca="1"/>
        <v>#NAME?</v>
      </c>
      <c r="H15" s="137" t="e">
        <f ca="1"/>
        <v>#NAME?</v>
      </c>
      <c r="I15" s="137" t="e">
        <f ca="1"/>
        <v>#NAME?</v>
      </c>
      <c r="J15" s="137" t="e">
        <f ca="1"/>
        <v>#NAME?</v>
      </c>
      <c r="K15" s="137" t="e">
        <f ca="1"/>
        <v>#NAME?</v>
      </c>
      <c r="L15" s="137" t="e">
        <f ca="1"/>
        <v>#NAME?</v>
      </c>
      <c r="M15" s="137" t="e">
        <f ca="1"/>
        <v>#NAME?</v>
      </c>
      <c r="R15" s="137">
        <f t="shared" si="16"/>
        <v>12</v>
      </c>
      <c r="S15" s="137" t="e">
        <f ca="1"/>
        <v>#NAME?</v>
      </c>
      <c r="AC15" s="137">
        <f t="shared" si="6"/>
        <v>12</v>
      </c>
      <c r="AD15" s="137" t="str">
        <f t="shared" si="7"/>
        <v/>
      </c>
      <c r="AE15" s="137" t="e">
        <f t="shared" ca="1" si="8"/>
        <v>#NAME?</v>
      </c>
      <c r="AF15" s="137" t="e">
        <f t="shared" ca="1" si="19"/>
        <v>#NAME?</v>
      </c>
      <c r="AG15" t="e">
        <f t="shared" ca="1" si="17"/>
        <v>#NAME?</v>
      </c>
      <c r="AH15" t="e">
        <f t="shared" ca="1" si="18"/>
        <v>#NAME?</v>
      </c>
    </row>
    <row r="16" spans="1:44" x14ac:dyDescent="0.35">
      <c r="A16" s="137">
        <f t="shared" si="14"/>
        <v>13</v>
      </c>
      <c r="B16" s="137">
        <v>60</v>
      </c>
      <c r="D16" s="137">
        <f t="shared" si="15"/>
        <v>13</v>
      </c>
      <c r="E16" s="137">
        <v>60</v>
      </c>
      <c r="G16" s="137" t="e">
        <f ca="1"/>
        <v>#NAME?</v>
      </c>
      <c r="H16" s="137" t="e">
        <f ca="1"/>
        <v>#NAME?</v>
      </c>
      <c r="I16" s="137" t="e">
        <f ca="1"/>
        <v>#NAME?</v>
      </c>
      <c r="J16" s="137" t="e">
        <f ca="1"/>
        <v>#NAME?</v>
      </c>
      <c r="K16" s="137" t="e">
        <f ca="1"/>
        <v>#NAME?</v>
      </c>
      <c r="L16" s="137" t="e">
        <f ca="1"/>
        <v>#NAME?</v>
      </c>
      <c r="M16" s="137" t="e">
        <f ca="1"/>
        <v>#NAME?</v>
      </c>
      <c r="R16" s="137">
        <f t="shared" si="16"/>
        <v>13</v>
      </c>
      <c r="S16" s="137" t="e">
        <f ca="1"/>
        <v>#NAME?</v>
      </c>
      <c r="AC16" s="137">
        <f t="shared" si="6"/>
        <v>13</v>
      </c>
      <c r="AD16" s="137">
        <f t="shared" si="7"/>
        <v>60</v>
      </c>
      <c r="AE16" s="137" t="e">
        <f t="shared" ca="1" si="8"/>
        <v>#NAME?</v>
      </c>
      <c r="AF16" s="137">
        <f>IF(AD16="",AE16,AD16)</f>
        <v>60</v>
      </c>
      <c r="AG16">
        <f>IF(AD16="",AE16,AD16)</f>
        <v>60</v>
      </c>
      <c r="AH16">
        <f>IF(AD16="",AE16,AD16)</f>
        <v>60</v>
      </c>
    </row>
    <row r="17" spans="1:34" x14ac:dyDescent="0.35">
      <c r="A17" s="137">
        <f t="shared" si="14"/>
        <v>14</v>
      </c>
      <c r="B17" s="137">
        <v>75</v>
      </c>
      <c r="D17" s="137">
        <f t="shared" si="15"/>
        <v>14</v>
      </c>
      <c r="E17" s="137">
        <v>75</v>
      </c>
      <c r="G17" s="137" t="e">
        <f ca="1"/>
        <v>#NAME?</v>
      </c>
      <c r="H17" s="137" t="e">
        <f ca="1"/>
        <v>#NAME?</v>
      </c>
      <c r="I17" s="137" t="e">
        <f ca="1"/>
        <v>#NAME?</v>
      </c>
      <c r="J17" s="137" t="e">
        <f ca="1"/>
        <v>#NAME?</v>
      </c>
      <c r="K17" s="137" t="e">
        <f ca="1"/>
        <v>#NAME?</v>
      </c>
      <c r="L17" s="137" t="e">
        <f ca="1"/>
        <v>#NAME?</v>
      </c>
      <c r="M17" s="137" t="e">
        <f ca="1"/>
        <v>#NAME?</v>
      </c>
      <c r="R17" s="137">
        <f t="shared" si="16"/>
        <v>14</v>
      </c>
      <c r="S17" s="137" t="e">
        <f ca="1"/>
        <v>#NAME?</v>
      </c>
      <c r="AC17" s="137">
        <f t="shared" si="6"/>
        <v>14</v>
      </c>
      <c r="AD17" s="137">
        <f t="shared" si="7"/>
        <v>75</v>
      </c>
      <c r="AE17" s="137" t="e">
        <f t="shared" ca="1" si="8"/>
        <v>#NAME?</v>
      </c>
      <c r="AF17" s="137">
        <f t="shared" ref="AF17:AF18" si="20">IF(AD17="",AE17,AD17)</f>
        <v>75</v>
      </c>
      <c r="AG17">
        <f t="shared" ref="AG17:AG18" si="21">IF(AD17="",AE17,AD17)</f>
        <v>75</v>
      </c>
      <c r="AH17">
        <f t="shared" ref="AH17:AH18" si="22">IF(AD17="",AE17,AD17)</f>
        <v>75</v>
      </c>
    </row>
    <row r="18" spans="1:34" x14ac:dyDescent="0.35">
      <c r="A18" s="10">
        <f t="shared" si="14"/>
        <v>15</v>
      </c>
      <c r="B18" s="10">
        <v>88</v>
      </c>
      <c r="D18" s="10">
        <f t="shared" si="15"/>
        <v>15</v>
      </c>
      <c r="E18" s="10"/>
      <c r="G18" s="10" t="e">
        <f ca="1"/>
        <v>#NAME?</v>
      </c>
      <c r="H18" s="10" t="e">
        <f ca="1"/>
        <v>#NAME?</v>
      </c>
      <c r="I18" s="10" t="e">
        <f ca="1"/>
        <v>#NAME?</v>
      </c>
      <c r="J18" s="10" t="e">
        <f ca="1"/>
        <v>#NAME?</v>
      </c>
      <c r="K18" s="10" t="e">
        <f ca="1"/>
        <v>#NAME?</v>
      </c>
      <c r="L18" s="10" t="e">
        <f ca="1"/>
        <v>#NAME?</v>
      </c>
      <c r="M18" s="10" t="e">
        <f ca="1"/>
        <v>#NAME?</v>
      </c>
      <c r="R18" s="10">
        <f t="shared" si="16"/>
        <v>15</v>
      </c>
      <c r="S18" s="10" t="e">
        <f ca="1"/>
        <v>#NAME?</v>
      </c>
      <c r="AC18" s="10">
        <f t="shared" si="6"/>
        <v>15</v>
      </c>
      <c r="AD18" s="10" t="str">
        <f t="shared" si="7"/>
        <v/>
      </c>
      <c r="AE18" s="10" t="e">
        <f t="shared" ca="1" si="8"/>
        <v>#NAME?</v>
      </c>
      <c r="AF18" s="10" t="e">
        <f t="shared" ca="1" si="20"/>
        <v>#NAME?</v>
      </c>
      <c r="AG18" s="4" t="e">
        <f t="shared" ca="1" si="21"/>
        <v>#NAME?</v>
      </c>
      <c r="AH18" s="4" t="e">
        <f t="shared" ca="1" si="22"/>
        <v>#NAME?</v>
      </c>
    </row>
    <row r="20" spans="1:34" x14ac:dyDescent="0.35">
      <c r="AG20" s="15">
        <f>1+2*SUMPRODUCT(1/AC5:AC7)</f>
        <v>3.1666666666666665</v>
      </c>
      <c r="AH20" s="15">
        <f>1+2*SUMPRODUCT(1/2^AC4:AC6)</f>
        <v>2.75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5"/>
  <dimension ref="A1:O19"/>
  <sheetViews>
    <sheetView workbookViewId="0">
      <selection sqref="A1:XFD1048576"/>
    </sheetView>
  </sheetViews>
  <sheetFormatPr defaultRowHeight="14.5" x14ac:dyDescent="0.35"/>
  <cols>
    <col min="1" max="1" width="6.7265625" customWidth="1"/>
    <col min="2" max="2" width="5.81640625" customWidth="1"/>
  </cols>
  <sheetData>
    <row r="1" spans="1:15" x14ac:dyDescent="0.35">
      <c r="A1" s="7" t="s">
        <v>627</v>
      </c>
      <c r="I1" t="s">
        <v>630</v>
      </c>
      <c r="M1" t="s">
        <v>631</v>
      </c>
    </row>
    <row r="3" spans="1:15" x14ac:dyDescent="0.35">
      <c r="A3" s="233" t="s">
        <v>52</v>
      </c>
      <c r="B3" s="233" t="s">
        <v>3</v>
      </c>
      <c r="C3" s="233" t="s">
        <v>1</v>
      </c>
      <c r="E3" s="233" t="s">
        <v>52</v>
      </c>
      <c r="F3" s="233" t="s">
        <v>3</v>
      </c>
      <c r="G3" s="233" t="s">
        <v>1</v>
      </c>
      <c r="I3" s="238" t="s">
        <v>419</v>
      </c>
      <c r="J3" s="238" t="s">
        <v>628</v>
      </c>
      <c r="K3" s="238" t="s">
        <v>629</v>
      </c>
      <c r="M3" s="238" t="s">
        <v>419</v>
      </c>
      <c r="N3" s="238" t="s">
        <v>628</v>
      </c>
      <c r="O3" s="238" t="s">
        <v>629</v>
      </c>
    </row>
    <row r="4" spans="1:15" x14ac:dyDescent="0.35">
      <c r="A4" s="137" t="s">
        <v>32</v>
      </c>
      <c r="B4" s="137">
        <v>1</v>
      </c>
      <c r="C4" s="137">
        <v>10</v>
      </c>
      <c r="E4" s="137" t="s">
        <v>32</v>
      </c>
      <c r="F4" s="137">
        <v>1</v>
      </c>
      <c r="G4" s="137">
        <v>10</v>
      </c>
      <c r="I4" t="e">
        <f t="array" aca="1" ref="I4:I19" ca="1">TSImputed($G4:$G19,0,,0,4)</f>
        <v>#NAME?</v>
      </c>
      <c r="J4" t="e">
        <f t="array" aca="1" ref="J4:J19" ca="1">TSImputed($G4:$G19,0,,1,4)</f>
        <v>#NAME?</v>
      </c>
      <c r="K4" t="e">
        <f t="array" aca="1" ref="K4:K19" ca="1">TSImputed($G4:$G19,0,,2,4)</f>
        <v>#NAME?</v>
      </c>
      <c r="M4" t="e">
        <f t="array" aca="1" ref="M4:M19" ca="1">TSImputed($G4:$G19,-2,2,0,4)</f>
        <v>#NAME?</v>
      </c>
      <c r="N4" t="e">
        <f t="array" aca="1" ref="N4:N19" ca="1">TSImputed($G4:$G19,-2,2,1,4)</f>
        <v>#NAME?</v>
      </c>
      <c r="O4" t="e">
        <f t="array" aca="1" ref="O4:O19" ca="1">TSImputed($G4:$G19,-2,2,2,4)</f>
        <v>#NAME?</v>
      </c>
    </row>
    <row r="5" spans="1:15" x14ac:dyDescent="0.35">
      <c r="A5" s="137" t="s">
        <v>33</v>
      </c>
      <c r="B5" s="137">
        <f>B4+1</f>
        <v>2</v>
      </c>
      <c r="C5" s="137">
        <v>14</v>
      </c>
      <c r="E5" s="137" t="s">
        <v>33</v>
      </c>
      <c r="F5" s="137">
        <f>F4+1</f>
        <v>2</v>
      </c>
      <c r="G5" s="137"/>
      <c r="I5" t="e">
        <f ca="1"/>
        <v>#NAME?</v>
      </c>
      <c r="J5" t="e">
        <f ca="1"/>
        <v>#NAME?</v>
      </c>
      <c r="K5" t="e">
        <f ca="1"/>
        <v>#NAME?</v>
      </c>
      <c r="M5" t="e">
        <f ca="1"/>
        <v>#NAME?</v>
      </c>
      <c r="N5" t="e">
        <f ca="1"/>
        <v>#NAME?</v>
      </c>
      <c r="O5" t="e">
        <f ca="1"/>
        <v>#NAME?</v>
      </c>
    </row>
    <row r="6" spans="1:15" x14ac:dyDescent="0.35">
      <c r="A6" s="137" t="s">
        <v>34</v>
      </c>
      <c r="B6" s="137">
        <f t="shared" ref="B6:B19" si="0">B5+1</f>
        <v>3</v>
      </c>
      <c r="C6" s="137">
        <v>8</v>
      </c>
      <c r="E6" s="137" t="s">
        <v>34</v>
      </c>
      <c r="F6" s="137">
        <f t="shared" ref="F6:F19" si="1">F5+1</f>
        <v>3</v>
      </c>
      <c r="G6" s="137">
        <v>8</v>
      </c>
      <c r="I6" t="e">
        <f ca="1"/>
        <v>#NAME?</v>
      </c>
      <c r="J6" t="e">
        <f ca="1"/>
        <v>#NAME?</v>
      </c>
      <c r="K6" t="e">
        <f ca="1"/>
        <v>#NAME?</v>
      </c>
      <c r="M6" t="e">
        <f ca="1"/>
        <v>#NAME?</v>
      </c>
      <c r="N6" t="e">
        <f ca="1"/>
        <v>#NAME?</v>
      </c>
      <c r="O6" t="e">
        <f ca="1"/>
        <v>#NAME?</v>
      </c>
    </row>
    <row r="7" spans="1:15" x14ac:dyDescent="0.35">
      <c r="A7" s="137" t="s">
        <v>35</v>
      </c>
      <c r="B7" s="137">
        <f t="shared" si="0"/>
        <v>4</v>
      </c>
      <c r="C7" s="137">
        <v>25</v>
      </c>
      <c r="E7" s="137" t="s">
        <v>35</v>
      </c>
      <c r="F7" s="137">
        <f t="shared" si="1"/>
        <v>4</v>
      </c>
      <c r="G7" s="137">
        <v>25</v>
      </c>
      <c r="I7" t="e">
        <f ca="1"/>
        <v>#NAME?</v>
      </c>
      <c r="J7" t="e">
        <f ca="1"/>
        <v>#NAME?</v>
      </c>
      <c r="K7" t="e">
        <f ca="1"/>
        <v>#NAME?</v>
      </c>
      <c r="M7" t="e">
        <f ca="1"/>
        <v>#NAME?</v>
      </c>
      <c r="N7" t="e">
        <f ca="1"/>
        <v>#NAME?</v>
      </c>
      <c r="O7" t="e">
        <f ca="1"/>
        <v>#NAME?</v>
      </c>
    </row>
    <row r="8" spans="1:15" x14ac:dyDescent="0.35">
      <c r="A8" s="137" t="s">
        <v>36</v>
      </c>
      <c r="B8" s="137">
        <f t="shared" si="0"/>
        <v>5</v>
      </c>
      <c r="C8" s="137">
        <v>16</v>
      </c>
      <c r="E8" s="137" t="s">
        <v>36</v>
      </c>
      <c r="F8" s="137">
        <f t="shared" si="1"/>
        <v>5</v>
      </c>
      <c r="G8" s="137">
        <v>16</v>
      </c>
      <c r="I8" t="e">
        <f ca="1"/>
        <v>#NAME?</v>
      </c>
      <c r="J8" t="e">
        <f ca="1"/>
        <v>#NAME?</v>
      </c>
      <c r="K8" t="e">
        <f ca="1"/>
        <v>#NAME?</v>
      </c>
      <c r="M8" t="e">
        <f ca="1"/>
        <v>#NAME?</v>
      </c>
      <c r="N8" t="e">
        <f ca="1"/>
        <v>#NAME?</v>
      </c>
      <c r="O8" t="e">
        <f ca="1"/>
        <v>#NAME?</v>
      </c>
    </row>
    <row r="9" spans="1:15" x14ac:dyDescent="0.35">
      <c r="A9" s="137" t="s">
        <v>37</v>
      </c>
      <c r="B9" s="137">
        <f t="shared" si="0"/>
        <v>6</v>
      </c>
      <c r="C9" s="137">
        <v>22</v>
      </c>
      <c r="E9" s="137" t="s">
        <v>37</v>
      </c>
      <c r="F9" s="137">
        <f t="shared" si="1"/>
        <v>6</v>
      </c>
      <c r="G9" s="137">
        <v>22</v>
      </c>
      <c r="I9" t="e">
        <f ca="1"/>
        <v>#NAME?</v>
      </c>
      <c r="J9" t="e">
        <f ca="1"/>
        <v>#NAME?</v>
      </c>
      <c r="K9" t="e">
        <f ca="1"/>
        <v>#NAME?</v>
      </c>
      <c r="M9" t="e">
        <f ca="1"/>
        <v>#NAME?</v>
      </c>
      <c r="N9" t="e">
        <f ca="1"/>
        <v>#NAME?</v>
      </c>
      <c r="O9" t="e">
        <f ca="1"/>
        <v>#NAME?</v>
      </c>
    </row>
    <row r="10" spans="1:15" x14ac:dyDescent="0.35">
      <c r="A10" s="137" t="s">
        <v>38</v>
      </c>
      <c r="B10" s="137">
        <f t="shared" si="0"/>
        <v>7</v>
      </c>
      <c r="C10" s="137">
        <v>14</v>
      </c>
      <c r="E10" s="137" t="s">
        <v>38</v>
      </c>
      <c r="F10" s="137">
        <f t="shared" si="1"/>
        <v>7</v>
      </c>
      <c r="G10" s="137">
        <v>14</v>
      </c>
      <c r="I10" t="e">
        <f ca="1"/>
        <v>#NAME?</v>
      </c>
      <c r="J10" t="e">
        <f ca="1"/>
        <v>#NAME?</v>
      </c>
      <c r="K10" t="e">
        <f ca="1"/>
        <v>#NAME?</v>
      </c>
      <c r="M10" t="e">
        <f ca="1"/>
        <v>#NAME?</v>
      </c>
      <c r="N10" t="e">
        <f ca="1"/>
        <v>#NAME?</v>
      </c>
      <c r="O10" t="e">
        <f ca="1"/>
        <v>#NAME?</v>
      </c>
    </row>
    <row r="11" spans="1:15" x14ac:dyDescent="0.35">
      <c r="A11" s="137" t="s">
        <v>39</v>
      </c>
      <c r="B11" s="137">
        <f t="shared" si="0"/>
        <v>8</v>
      </c>
      <c r="C11" s="137">
        <v>35</v>
      </c>
      <c r="E11" s="137" t="s">
        <v>39</v>
      </c>
      <c r="F11" s="137">
        <f t="shared" si="1"/>
        <v>8</v>
      </c>
      <c r="G11" s="137">
        <v>35</v>
      </c>
      <c r="I11" t="e">
        <f ca="1"/>
        <v>#NAME?</v>
      </c>
      <c r="J11" t="e">
        <f ca="1"/>
        <v>#NAME?</v>
      </c>
      <c r="K11" t="e">
        <f ca="1"/>
        <v>#NAME?</v>
      </c>
      <c r="M11" t="e">
        <f ca="1"/>
        <v>#NAME?</v>
      </c>
      <c r="N11" t="e">
        <f ca="1"/>
        <v>#NAME?</v>
      </c>
      <c r="O11" t="e">
        <f ca="1"/>
        <v>#NAME?</v>
      </c>
    </row>
    <row r="12" spans="1:15" x14ac:dyDescent="0.35">
      <c r="A12" s="137" t="s">
        <v>40</v>
      </c>
      <c r="B12" s="137">
        <f t="shared" si="0"/>
        <v>9</v>
      </c>
      <c r="C12" s="137">
        <v>15</v>
      </c>
      <c r="E12" s="137" t="s">
        <v>40</v>
      </c>
      <c r="F12" s="137">
        <f t="shared" si="1"/>
        <v>9</v>
      </c>
      <c r="G12" s="137">
        <v>15</v>
      </c>
      <c r="I12" t="e">
        <f ca="1"/>
        <v>#NAME?</v>
      </c>
      <c r="J12" t="e">
        <f ca="1"/>
        <v>#NAME?</v>
      </c>
      <c r="K12" t="e">
        <f ca="1"/>
        <v>#NAME?</v>
      </c>
      <c r="M12" t="e">
        <f ca="1"/>
        <v>#NAME?</v>
      </c>
      <c r="N12" t="e">
        <f ca="1"/>
        <v>#NAME?</v>
      </c>
      <c r="O12" t="e">
        <f ca="1"/>
        <v>#NAME?</v>
      </c>
    </row>
    <row r="13" spans="1:15" x14ac:dyDescent="0.35">
      <c r="A13" s="137" t="s">
        <v>41</v>
      </c>
      <c r="B13" s="137">
        <f t="shared" si="0"/>
        <v>10</v>
      </c>
      <c r="C13" s="137">
        <v>27</v>
      </c>
      <c r="E13" s="137" t="s">
        <v>41</v>
      </c>
      <c r="F13" s="137">
        <f t="shared" si="1"/>
        <v>10</v>
      </c>
      <c r="G13" s="137"/>
      <c r="I13" t="e">
        <f ca="1"/>
        <v>#NAME?</v>
      </c>
      <c r="J13" t="e">
        <f ca="1"/>
        <v>#NAME?</v>
      </c>
      <c r="K13" t="e">
        <f ca="1"/>
        <v>#NAME?</v>
      </c>
      <c r="M13" t="e">
        <f ca="1"/>
        <v>#NAME?</v>
      </c>
      <c r="N13" t="e">
        <f ca="1"/>
        <v>#NAME?</v>
      </c>
      <c r="O13" t="e">
        <f ca="1"/>
        <v>#NAME?</v>
      </c>
    </row>
    <row r="14" spans="1:15" x14ac:dyDescent="0.35">
      <c r="A14" s="137" t="s">
        <v>42</v>
      </c>
      <c r="B14" s="137">
        <f t="shared" si="0"/>
        <v>11</v>
      </c>
      <c r="C14" s="137">
        <v>18</v>
      </c>
      <c r="E14" s="137" t="s">
        <v>42</v>
      </c>
      <c r="F14" s="137">
        <f t="shared" si="1"/>
        <v>11</v>
      </c>
      <c r="G14" s="137"/>
      <c r="I14" t="e">
        <f ca="1"/>
        <v>#NAME?</v>
      </c>
      <c r="J14" t="e">
        <f ca="1"/>
        <v>#NAME?</v>
      </c>
      <c r="K14" t="e">
        <f ca="1"/>
        <v>#NAME?</v>
      </c>
      <c r="M14" t="e">
        <f ca="1"/>
        <v>#NAME?</v>
      </c>
      <c r="N14" t="e">
        <f ca="1"/>
        <v>#NAME?</v>
      </c>
      <c r="O14" t="e">
        <f ca="1"/>
        <v>#NAME?</v>
      </c>
    </row>
    <row r="15" spans="1:15" x14ac:dyDescent="0.35">
      <c r="A15" s="137" t="s">
        <v>43</v>
      </c>
      <c r="B15" s="137">
        <f t="shared" si="0"/>
        <v>12</v>
      </c>
      <c r="C15" s="137">
        <v>40</v>
      </c>
      <c r="E15" s="137" t="s">
        <v>43</v>
      </c>
      <c r="F15" s="137">
        <f t="shared" si="1"/>
        <v>12</v>
      </c>
      <c r="G15" s="137">
        <v>40</v>
      </c>
      <c r="I15" t="e">
        <f ca="1"/>
        <v>#NAME?</v>
      </c>
      <c r="J15" t="e">
        <f ca="1"/>
        <v>#NAME?</v>
      </c>
      <c r="K15" t="e">
        <f ca="1"/>
        <v>#NAME?</v>
      </c>
      <c r="M15" t="e">
        <f ca="1"/>
        <v>#NAME?</v>
      </c>
      <c r="N15" t="e">
        <f ca="1"/>
        <v>#NAME?</v>
      </c>
      <c r="O15" t="e">
        <f ca="1"/>
        <v>#NAME?</v>
      </c>
    </row>
    <row r="16" spans="1:15" x14ac:dyDescent="0.35">
      <c r="A16" s="137" t="s">
        <v>44</v>
      </c>
      <c r="B16" s="137">
        <f t="shared" si="0"/>
        <v>13</v>
      </c>
      <c r="C16" s="137">
        <v>28</v>
      </c>
      <c r="E16" s="137" t="s">
        <v>44</v>
      </c>
      <c r="F16" s="137">
        <f t="shared" si="1"/>
        <v>13</v>
      </c>
      <c r="G16" s="137">
        <v>28</v>
      </c>
      <c r="I16" t="e">
        <f ca="1"/>
        <v>#NAME?</v>
      </c>
      <c r="J16" t="e">
        <f ca="1"/>
        <v>#NAME?</v>
      </c>
      <c r="K16" t="e">
        <f ca="1"/>
        <v>#NAME?</v>
      </c>
      <c r="M16" t="e">
        <f ca="1"/>
        <v>#NAME?</v>
      </c>
      <c r="N16" t="e">
        <f ca="1"/>
        <v>#NAME?</v>
      </c>
      <c r="O16" t="e">
        <f ca="1"/>
        <v>#NAME?</v>
      </c>
    </row>
    <row r="17" spans="1:15" x14ac:dyDescent="0.35">
      <c r="A17" s="137" t="s">
        <v>45</v>
      </c>
      <c r="B17" s="137">
        <f t="shared" si="0"/>
        <v>14</v>
      </c>
      <c r="C17" s="137">
        <v>40</v>
      </c>
      <c r="E17" s="137" t="s">
        <v>45</v>
      </c>
      <c r="F17" s="137">
        <f t="shared" si="1"/>
        <v>14</v>
      </c>
      <c r="G17" s="137">
        <v>40</v>
      </c>
      <c r="I17" t="e">
        <f ca="1"/>
        <v>#NAME?</v>
      </c>
      <c r="J17" t="e">
        <f ca="1"/>
        <v>#NAME?</v>
      </c>
      <c r="K17" t="e">
        <f ca="1"/>
        <v>#NAME?</v>
      </c>
      <c r="M17" t="e">
        <f ca="1"/>
        <v>#NAME?</v>
      </c>
      <c r="N17" t="e">
        <f ca="1"/>
        <v>#NAME?</v>
      </c>
      <c r="O17" t="e">
        <f ca="1"/>
        <v>#NAME?</v>
      </c>
    </row>
    <row r="18" spans="1:15" x14ac:dyDescent="0.35">
      <c r="A18" s="137" t="s">
        <v>46</v>
      </c>
      <c r="B18" s="137">
        <f t="shared" si="0"/>
        <v>15</v>
      </c>
      <c r="C18" s="137">
        <v>25</v>
      </c>
      <c r="E18" s="137" t="s">
        <v>46</v>
      </c>
      <c r="F18" s="137">
        <f t="shared" si="1"/>
        <v>15</v>
      </c>
      <c r="G18" s="137">
        <v>25</v>
      </c>
      <c r="I18" t="e">
        <f ca="1"/>
        <v>#NAME?</v>
      </c>
      <c r="J18" t="e">
        <f ca="1"/>
        <v>#NAME?</v>
      </c>
      <c r="K18" t="e">
        <f ca="1"/>
        <v>#NAME?</v>
      </c>
      <c r="M18" t="e">
        <f ca="1"/>
        <v>#NAME?</v>
      </c>
      <c r="N18" t="e">
        <f ca="1"/>
        <v>#NAME?</v>
      </c>
      <c r="O18" t="e">
        <f ca="1"/>
        <v>#NAME?</v>
      </c>
    </row>
    <row r="19" spans="1:15" x14ac:dyDescent="0.35">
      <c r="A19" s="10" t="s">
        <v>47</v>
      </c>
      <c r="B19" s="10">
        <f t="shared" si="0"/>
        <v>16</v>
      </c>
      <c r="C19" s="10">
        <v>65</v>
      </c>
      <c r="E19" s="10" t="s">
        <v>47</v>
      </c>
      <c r="F19" s="10">
        <f t="shared" si="1"/>
        <v>16</v>
      </c>
      <c r="G19" s="10"/>
      <c r="I19" s="4" t="e">
        <f ca="1"/>
        <v>#NAME?</v>
      </c>
      <c r="J19" s="4" t="e">
        <f ca="1"/>
        <v>#NAME?</v>
      </c>
      <c r="K19" s="4" t="e">
        <f ca="1"/>
        <v>#NAME?</v>
      </c>
      <c r="M19" s="4" t="e">
        <f ca="1"/>
        <v>#NAME?</v>
      </c>
      <c r="N19" s="4" t="e">
        <f ca="1"/>
        <v>#NAME?</v>
      </c>
      <c r="O19" s="4" t="e">
        <f ca="1"/>
        <v>#NAME?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4"/>
  <dimension ref="A1:AF19"/>
  <sheetViews>
    <sheetView workbookViewId="0"/>
  </sheetViews>
  <sheetFormatPr defaultRowHeight="14.5" x14ac:dyDescent="0.35"/>
  <cols>
    <col min="1" max="1" width="6.7265625" customWidth="1"/>
    <col min="2" max="2" width="5.81640625" customWidth="1"/>
    <col min="5" max="7" width="7.54296875" customWidth="1"/>
    <col min="10" max="12" width="7.54296875" customWidth="1"/>
  </cols>
  <sheetData>
    <row r="1" spans="1:32" x14ac:dyDescent="0.35">
      <c r="A1" s="7" t="s">
        <v>641</v>
      </c>
      <c r="Z1" t="s">
        <v>630</v>
      </c>
      <c r="AD1" t="s">
        <v>631</v>
      </c>
    </row>
    <row r="3" spans="1:32" x14ac:dyDescent="0.35">
      <c r="A3" s="233" t="s">
        <v>52</v>
      </c>
      <c r="B3" s="233" t="s">
        <v>3</v>
      </c>
      <c r="C3" s="233" t="s">
        <v>1</v>
      </c>
      <c r="E3" s="233" t="s">
        <v>52</v>
      </c>
      <c r="F3" s="233" t="s">
        <v>3</v>
      </c>
      <c r="G3" s="233" t="s">
        <v>1</v>
      </c>
      <c r="H3" s="233" t="s">
        <v>642</v>
      </c>
      <c r="I3" s="17"/>
      <c r="J3" s="233" t="s">
        <v>52</v>
      </c>
      <c r="K3" s="233" t="s">
        <v>3</v>
      </c>
      <c r="L3" s="233" t="s">
        <v>1</v>
      </c>
      <c r="M3" s="233" t="s">
        <v>642</v>
      </c>
      <c r="N3" s="17"/>
      <c r="O3" s="17"/>
      <c r="R3" s="17"/>
      <c r="S3" s="17"/>
      <c r="T3" s="17"/>
      <c r="U3" s="17"/>
      <c r="V3" s="17"/>
      <c r="W3" s="17"/>
      <c r="X3" s="17"/>
      <c r="Z3" s="238" t="s">
        <v>419</v>
      </c>
      <c r="AA3" s="238" t="s">
        <v>628</v>
      </c>
      <c r="AB3" s="238" t="s">
        <v>629</v>
      </c>
      <c r="AD3" s="238" t="s">
        <v>419</v>
      </c>
      <c r="AE3" s="238" t="s">
        <v>628</v>
      </c>
      <c r="AF3" s="238" t="s">
        <v>629</v>
      </c>
    </row>
    <row r="4" spans="1:32" x14ac:dyDescent="0.35">
      <c r="A4" s="137" t="s">
        <v>32</v>
      </c>
      <c r="B4" s="137">
        <v>1</v>
      </c>
      <c r="C4" s="137">
        <v>10</v>
      </c>
      <c r="E4" s="137" t="s">
        <v>32</v>
      </c>
      <c r="F4" s="137">
        <v>1</v>
      </c>
      <c r="G4" s="137">
        <v>10</v>
      </c>
      <c r="H4" s="137" t="e">
        <f t="array" aca="1" ref="H4:H19" ca="1">TSImputed(G4:G19,-3,2,2,4)</f>
        <v>#NAME?</v>
      </c>
      <c r="I4" s="137"/>
      <c r="J4" s="137" t="s">
        <v>32</v>
      </c>
      <c r="K4" s="137">
        <f>F4</f>
        <v>1</v>
      </c>
      <c r="L4" s="137">
        <v>10</v>
      </c>
      <c r="M4" s="137" t="e">
        <f t="array" aca="1" ref="M4:M7" ca="1">TSImputed(L4:L7,-2,2)</f>
        <v>#NAME?</v>
      </c>
      <c r="N4" s="137"/>
      <c r="O4" s="137"/>
      <c r="R4" s="137"/>
      <c r="S4" s="137"/>
      <c r="T4" s="137"/>
      <c r="U4" s="137"/>
      <c r="V4" s="137"/>
      <c r="W4" s="137"/>
      <c r="X4" s="137"/>
      <c r="Z4" t="e">
        <f t="array" aca="1" ref="Z4:Z19" ca="1">TSImputed($G4:$G19,0,,0,4)</f>
        <v>#NAME?</v>
      </c>
      <c r="AA4" t="e">
        <f t="array" aca="1" ref="AA4:AA19" ca="1">TSImputed($G4:$G19,0,,1,4)</f>
        <v>#NAME?</v>
      </c>
      <c r="AB4" t="e">
        <f t="array" aca="1" ref="AB4:AB19" ca="1">TSImputed($G4:$G19,0,,2,4)</f>
        <v>#NAME?</v>
      </c>
      <c r="AD4" t="e">
        <f t="array" aca="1" ref="AD4:AD19" ca="1">TSImputed($G4:$G19,-2,4,0,4)</f>
        <v>#NAME?</v>
      </c>
      <c r="AE4" t="e">
        <f t="array" aca="1" ref="AE4:AE19" ca="1">TSImputed($G4:$G19,-2,4,1,4)</f>
        <v>#NAME?</v>
      </c>
      <c r="AF4" t="e">
        <f t="array" aca="1" ref="AF4:AF19" ca="1">TSImputed($G4:$G19,-2,4,2,4)</f>
        <v>#NAME?</v>
      </c>
    </row>
    <row r="5" spans="1:32" x14ac:dyDescent="0.35">
      <c r="A5" s="137" t="s">
        <v>33</v>
      </c>
      <c r="B5" s="137">
        <f>B4+1</f>
        <v>2</v>
      </c>
      <c r="C5" s="137">
        <v>14</v>
      </c>
      <c r="E5" s="137" t="s">
        <v>33</v>
      </c>
      <c r="F5" s="137">
        <f>F4+1</f>
        <v>2</v>
      </c>
      <c r="G5" s="137"/>
      <c r="H5" s="137" t="e">
        <f ca="1"/>
        <v>#NAME?</v>
      </c>
      <c r="I5" s="137"/>
      <c r="J5" s="137" t="s">
        <v>36</v>
      </c>
      <c r="K5" s="137">
        <f>K4+4</f>
        <v>5</v>
      </c>
      <c r="L5" s="137">
        <v>16</v>
      </c>
      <c r="M5" s="137" t="e">
        <f ca="1"/>
        <v>#NAME?</v>
      </c>
      <c r="N5" s="137"/>
      <c r="O5" s="137"/>
      <c r="R5" s="137"/>
      <c r="S5" s="137"/>
      <c r="T5" s="137"/>
      <c r="U5" s="137"/>
      <c r="V5" s="137"/>
      <c r="W5" s="137"/>
      <c r="X5" s="137"/>
      <c r="Z5" t="e">
        <f ca="1"/>
        <v>#NAME?</v>
      </c>
      <c r="AA5" t="e">
        <f ca="1"/>
        <v>#NAME?</v>
      </c>
      <c r="AB5" t="e">
        <f ca="1"/>
        <v>#NAME?</v>
      </c>
      <c r="AD5" t="e">
        <f ca="1"/>
        <v>#NAME?</v>
      </c>
      <c r="AE5" t="e">
        <f ca="1"/>
        <v>#NAME?</v>
      </c>
      <c r="AF5" t="e">
        <f ca="1"/>
        <v>#NAME?</v>
      </c>
    </row>
    <row r="6" spans="1:32" x14ac:dyDescent="0.35">
      <c r="A6" s="137" t="s">
        <v>34</v>
      </c>
      <c r="B6" s="137">
        <f t="shared" ref="B6:B19" si="0">B5+1</f>
        <v>3</v>
      </c>
      <c r="C6" s="137">
        <v>8</v>
      </c>
      <c r="E6" s="137" t="s">
        <v>34</v>
      </c>
      <c r="F6" s="137">
        <f t="shared" ref="F6:F19" si="1">F5+1</f>
        <v>3</v>
      </c>
      <c r="G6" s="137">
        <v>8</v>
      </c>
      <c r="H6" s="137" t="e">
        <f ca="1"/>
        <v>#NAME?</v>
      </c>
      <c r="I6" s="137"/>
      <c r="J6" s="137" t="s">
        <v>40</v>
      </c>
      <c r="K6" s="137">
        <f t="shared" ref="K6:K7" si="2">K5+4</f>
        <v>9</v>
      </c>
      <c r="L6" s="137">
        <v>15</v>
      </c>
      <c r="M6" s="137" t="e">
        <f ca="1"/>
        <v>#NAME?</v>
      </c>
      <c r="N6" s="137"/>
      <c r="O6" s="137"/>
      <c r="R6" s="137"/>
      <c r="S6" s="137"/>
      <c r="T6" s="137"/>
      <c r="U6" s="137"/>
      <c r="V6" s="137"/>
      <c r="W6" s="137"/>
      <c r="X6" s="137"/>
      <c r="Z6" t="e">
        <f ca="1"/>
        <v>#NAME?</v>
      </c>
      <c r="AA6" t="e">
        <f ca="1"/>
        <v>#NAME?</v>
      </c>
      <c r="AB6" t="e">
        <f ca="1"/>
        <v>#NAME?</v>
      </c>
      <c r="AD6" t="e">
        <f ca="1"/>
        <v>#NAME?</v>
      </c>
      <c r="AE6" t="e">
        <f ca="1"/>
        <v>#NAME?</v>
      </c>
      <c r="AF6" t="e">
        <f ca="1"/>
        <v>#NAME?</v>
      </c>
    </row>
    <row r="7" spans="1:32" x14ac:dyDescent="0.35">
      <c r="A7" s="137" t="s">
        <v>35</v>
      </c>
      <c r="B7" s="137">
        <f t="shared" si="0"/>
        <v>4</v>
      </c>
      <c r="C7" s="137">
        <v>25</v>
      </c>
      <c r="E7" s="137" t="s">
        <v>35</v>
      </c>
      <c r="F7" s="137">
        <f t="shared" si="1"/>
        <v>4</v>
      </c>
      <c r="G7" s="137">
        <v>25</v>
      </c>
      <c r="H7" s="137" t="e">
        <f ca="1"/>
        <v>#NAME?</v>
      </c>
      <c r="I7" s="137"/>
      <c r="J7" s="10" t="s">
        <v>44</v>
      </c>
      <c r="K7" s="10">
        <f t="shared" si="2"/>
        <v>13</v>
      </c>
      <c r="L7" s="10">
        <v>28</v>
      </c>
      <c r="M7" s="10" t="e">
        <f ca="1"/>
        <v>#NAME?</v>
      </c>
      <c r="N7" s="137"/>
      <c r="O7" s="137"/>
      <c r="R7" s="137"/>
      <c r="S7" s="137"/>
      <c r="T7" s="137"/>
      <c r="U7" s="137"/>
      <c r="V7" s="137"/>
      <c r="W7" s="137"/>
      <c r="X7" s="137"/>
      <c r="Z7" t="e">
        <f ca="1"/>
        <v>#NAME?</v>
      </c>
      <c r="AA7" t="e">
        <f ca="1"/>
        <v>#NAME?</v>
      </c>
      <c r="AB7" t="e">
        <f ca="1"/>
        <v>#NAME?</v>
      </c>
      <c r="AD7" t="e">
        <f ca="1"/>
        <v>#NAME?</v>
      </c>
      <c r="AE7" t="e">
        <f ca="1"/>
        <v>#NAME?</v>
      </c>
      <c r="AF7" t="e">
        <f ca="1"/>
        <v>#NAME?</v>
      </c>
    </row>
    <row r="8" spans="1:32" x14ac:dyDescent="0.35">
      <c r="A8" s="137" t="s">
        <v>36</v>
      </c>
      <c r="B8" s="137">
        <f t="shared" si="0"/>
        <v>5</v>
      </c>
      <c r="C8" s="137">
        <v>16</v>
      </c>
      <c r="E8" s="137" t="s">
        <v>36</v>
      </c>
      <c r="F8" s="137">
        <f t="shared" si="1"/>
        <v>5</v>
      </c>
      <c r="G8" s="137">
        <v>16</v>
      </c>
      <c r="H8" s="137" t="e">
        <f ca="1"/>
        <v>#NAME?</v>
      </c>
      <c r="I8" s="137"/>
      <c r="J8" s="137" t="str">
        <f>E5</f>
        <v>10 Q2</v>
      </c>
      <c r="K8" s="137">
        <v>2</v>
      </c>
      <c r="L8" s="137"/>
      <c r="M8" s="137" t="e">
        <f t="array" aca="1" ref="M8:M11" ca="1">TSImputed(L8:L11,-2,2)</f>
        <v>#NAME?</v>
      </c>
      <c r="N8" s="137"/>
      <c r="O8" s="137"/>
      <c r="R8" s="137"/>
      <c r="S8" s="137"/>
      <c r="T8" s="137"/>
      <c r="U8" s="137"/>
      <c r="V8" s="137"/>
      <c r="W8" s="137"/>
      <c r="X8" s="137"/>
      <c r="Z8" t="e">
        <f ca="1"/>
        <v>#NAME?</v>
      </c>
      <c r="AA8" t="e">
        <f ca="1"/>
        <v>#NAME?</v>
      </c>
      <c r="AB8" t="e">
        <f ca="1"/>
        <v>#NAME?</v>
      </c>
      <c r="AD8" t="e">
        <f ca="1"/>
        <v>#NAME?</v>
      </c>
      <c r="AE8" t="e">
        <f ca="1"/>
        <v>#NAME?</v>
      </c>
      <c r="AF8" t="e">
        <f ca="1"/>
        <v>#NAME?</v>
      </c>
    </row>
    <row r="9" spans="1:32" x14ac:dyDescent="0.35">
      <c r="A9" s="137" t="s">
        <v>37</v>
      </c>
      <c r="B9" s="137">
        <f t="shared" si="0"/>
        <v>6</v>
      </c>
      <c r="C9" s="137">
        <v>22</v>
      </c>
      <c r="E9" s="137" t="s">
        <v>37</v>
      </c>
      <c r="F9" s="137">
        <f t="shared" si="1"/>
        <v>6</v>
      </c>
      <c r="G9" s="137">
        <v>22</v>
      </c>
      <c r="H9" s="137" t="e">
        <f ca="1"/>
        <v>#NAME?</v>
      </c>
      <c r="I9" s="137"/>
      <c r="J9" s="137" t="s">
        <v>37</v>
      </c>
      <c r="K9" s="137">
        <f>K8+4</f>
        <v>6</v>
      </c>
      <c r="L9" s="137">
        <v>22</v>
      </c>
      <c r="M9" s="137" t="e">
        <f ca="1"/>
        <v>#NAME?</v>
      </c>
      <c r="N9" s="137"/>
      <c r="O9" s="137"/>
      <c r="R9" s="137"/>
      <c r="S9" s="137"/>
      <c r="T9" s="137"/>
      <c r="U9" s="137"/>
      <c r="V9" s="137"/>
      <c r="W9" s="137"/>
      <c r="X9" s="137"/>
      <c r="Z9" t="e">
        <f ca="1"/>
        <v>#NAME?</v>
      </c>
      <c r="AA9" t="e">
        <f ca="1"/>
        <v>#NAME?</v>
      </c>
      <c r="AB9" t="e">
        <f ca="1"/>
        <v>#NAME?</v>
      </c>
      <c r="AD9" t="e">
        <f ca="1"/>
        <v>#NAME?</v>
      </c>
      <c r="AE9" t="e">
        <f ca="1"/>
        <v>#NAME?</v>
      </c>
      <c r="AF9" t="e">
        <f ca="1"/>
        <v>#NAME?</v>
      </c>
    </row>
    <row r="10" spans="1:32" x14ac:dyDescent="0.35">
      <c r="A10" s="137" t="s">
        <v>38</v>
      </c>
      <c r="B10" s="137">
        <f t="shared" si="0"/>
        <v>7</v>
      </c>
      <c r="C10" s="137">
        <v>14</v>
      </c>
      <c r="E10" s="137" t="s">
        <v>38</v>
      </c>
      <c r="F10" s="137">
        <f t="shared" si="1"/>
        <v>7</v>
      </c>
      <c r="G10" s="137">
        <v>14</v>
      </c>
      <c r="H10" s="137" t="e">
        <f ca="1"/>
        <v>#NAME?</v>
      </c>
      <c r="I10" s="137"/>
      <c r="J10" s="137" t="s">
        <v>41</v>
      </c>
      <c r="K10" s="137">
        <f t="shared" ref="K10:K11" si="3">K9+4</f>
        <v>10</v>
      </c>
      <c r="L10" s="137"/>
      <c r="M10" s="137" t="e">
        <f ca="1"/>
        <v>#NAME?</v>
      </c>
      <c r="N10" s="137"/>
      <c r="O10" s="137"/>
      <c r="R10" s="137"/>
      <c r="S10" s="137"/>
      <c r="T10" s="137"/>
      <c r="U10" s="137"/>
      <c r="V10" s="137"/>
      <c r="W10" s="137"/>
      <c r="X10" s="137"/>
      <c r="Z10" t="e">
        <f ca="1"/>
        <v>#NAME?</v>
      </c>
      <c r="AA10" t="e">
        <f ca="1"/>
        <v>#NAME?</v>
      </c>
      <c r="AB10" t="e">
        <f ca="1"/>
        <v>#NAME?</v>
      </c>
      <c r="AD10" t="e">
        <f ca="1"/>
        <v>#NAME?</v>
      </c>
      <c r="AE10" t="e">
        <f ca="1"/>
        <v>#NAME?</v>
      </c>
      <c r="AF10" t="e">
        <f ca="1"/>
        <v>#NAME?</v>
      </c>
    </row>
    <row r="11" spans="1:32" x14ac:dyDescent="0.35">
      <c r="A11" s="137" t="s">
        <v>39</v>
      </c>
      <c r="B11" s="137">
        <f t="shared" si="0"/>
        <v>8</v>
      </c>
      <c r="C11" s="137">
        <v>35</v>
      </c>
      <c r="E11" s="137" t="s">
        <v>39</v>
      </c>
      <c r="F11" s="137">
        <f t="shared" si="1"/>
        <v>8</v>
      </c>
      <c r="G11" s="137">
        <v>35</v>
      </c>
      <c r="H11" s="137" t="e">
        <f ca="1"/>
        <v>#NAME?</v>
      </c>
      <c r="I11" s="137"/>
      <c r="J11" s="10" t="s">
        <v>45</v>
      </c>
      <c r="K11" s="10">
        <f t="shared" si="3"/>
        <v>14</v>
      </c>
      <c r="L11" s="10">
        <v>40</v>
      </c>
      <c r="M11" s="10" t="e">
        <f ca="1"/>
        <v>#NAME?</v>
      </c>
      <c r="N11" s="137"/>
      <c r="O11" s="137"/>
      <c r="R11" s="137"/>
      <c r="S11" s="137"/>
      <c r="T11" s="137"/>
      <c r="U11" s="137"/>
      <c r="V11" s="137"/>
      <c r="W11" s="137"/>
      <c r="X11" s="137"/>
      <c r="Z11" t="e">
        <f ca="1"/>
        <v>#NAME?</v>
      </c>
      <c r="AA11" t="e">
        <f ca="1"/>
        <v>#NAME?</v>
      </c>
      <c r="AB11" t="e">
        <f ca="1"/>
        <v>#NAME?</v>
      </c>
      <c r="AD11" t="e">
        <f ca="1"/>
        <v>#NAME?</v>
      </c>
      <c r="AE11" t="e">
        <f ca="1"/>
        <v>#NAME?</v>
      </c>
      <c r="AF11" t="e">
        <f ca="1"/>
        <v>#NAME?</v>
      </c>
    </row>
    <row r="12" spans="1:32" x14ac:dyDescent="0.35">
      <c r="A12" s="137" t="s">
        <v>40</v>
      </c>
      <c r="B12" s="137">
        <f t="shared" si="0"/>
        <v>9</v>
      </c>
      <c r="C12" s="137">
        <v>15</v>
      </c>
      <c r="E12" s="137" t="s">
        <v>40</v>
      </c>
      <c r="F12" s="137">
        <f t="shared" si="1"/>
        <v>9</v>
      </c>
      <c r="G12" s="137">
        <v>15</v>
      </c>
      <c r="H12" s="137" t="e">
        <f ca="1"/>
        <v>#NAME?</v>
      </c>
      <c r="I12" s="137"/>
      <c r="J12" s="137" t="s">
        <v>34</v>
      </c>
      <c r="K12" s="137">
        <v>3</v>
      </c>
      <c r="L12" s="137">
        <v>8</v>
      </c>
      <c r="M12" s="137" t="e">
        <f t="array" aca="1" ref="M12:M15" ca="1">TSImputed(L12:L15,-2,2)</f>
        <v>#NAME?</v>
      </c>
      <c r="N12" s="137"/>
      <c r="O12" s="137"/>
      <c r="R12" s="137"/>
      <c r="S12" s="137"/>
      <c r="T12" s="137"/>
      <c r="U12" s="137"/>
      <c r="V12" s="137"/>
      <c r="W12" s="137"/>
      <c r="X12" s="137"/>
      <c r="Z12" t="e">
        <f ca="1"/>
        <v>#NAME?</v>
      </c>
      <c r="AA12" t="e">
        <f ca="1"/>
        <v>#NAME?</v>
      </c>
      <c r="AB12" t="e">
        <f ca="1"/>
        <v>#NAME?</v>
      </c>
      <c r="AD12" t="e">
        <f ca="1"/>
        <v>#NAME?</v>
      </c>
      <c r="AE12" t="e">
        <f ca="1"/>
        <v>#NAME?</v>
      </c>
      <c r="AF12" t="e">
        <f ca="1"/>
        <v>#NAME?</v>
      </c>
    </row>
    <row r="13" spans="1:32" x14ac:dyDescent="0.35">
      <c r="A13" s="137" t="s">
        <v>41</v>
      </c>
      <c r="B13" s="137">
        <f t="shared" si="0"/>
        <v>10</v>
      </c>
      <c r="C13" s="137">
        <v>27</v>
      </c>
      <c r="E13" s="137" t="s">
        <v>41</v>
      </c>
      <c r="F13" s="137">
        <f t="shared" si="1"/>
        <v>10</v>
      </c>
      <c r="G13" s="137"/>
      <c r="H13" s="137" t="e">
        <f ca="1"/>
        <v>#NAME?</v>
      </c>
      <c r="I13" s="137"/>
      <c r="J13" s="137" t="s">
        <v>38</v>
      </c>
      <c r="K13" s="137">
        <f>K12+4</f>
        <v>7</v>
      </c>
      <c r="L13" s="137">
        <v>14</v>
      </c>
      <c r="M13" s="137" t="e">
        <f ca="1"/>
        <v>#NAME?</v>
      </c>
      <c r="N13" s="137"/>
      <c r="O13" s="137"/>
      <c r="R13" s="137"/>
      <c r="S13" s="137"/>
      <c r="T13" s="137"/>
      <c r="U13" s="137"/>
      <c r="V13" s="137"/>
      <c r="W13" s="137"/>
      <c r="X13" s="137"/>
      <c r="Z13" t="e">
        <f ca="1"/>
        <v>#NAME?</v>
      </c>
      <c r="AA13" t="e">
        <f ca="1"/>
        <v>#NAME?</v>
      </c>
      <c r="AB13" t="e">
        <f ca="1"/>
        <v>#NAME?</v>
      </c>
      <c r="AD13" t="e">
        <f ca="1"/>
        <v>#NAME?</v>
      </c>
      <c r="AE13" t="e">
        <f ca="1"/>
        <v>#NAME?</v>
      </c>
      <c r="AF13" t="e">
        <f ca="1"/>
        <v>#NAME?</v>
      </c>
    </row>
    <row r="14" spans="1:32" x14ac:dyDescent="0.35">
      <c r="A14" s="137" t="s">
        <v>42</v>
      </c>
      <c r="B14" s="137">
        <f t="shared" si="0"/>
        <v>11</v>
      </c>
      <c r="C14" s="137">
        <v>18</v>
      </c>
      <c r="E14" s="137" t="s">
        <v>42</v>
      </c>
      <c r="F14" s="137">
        <f t="shared" si="1"/>
        <v>11</v>
      </c>
      <c r="G14" s="137"/>
      <c r="H14" s="137" t="e">
        <f ca="1"/>
        <v>#NAME?</v>
      </c>
      <c r="I14" s="137"/>
      <c r="J14" s="137" t="s">
        <v>42</v>
      </c>
      <c r="K14" s="137">
        <f t="shared" ref="K14:K15" si="4">K13+4</f>
        <v>11</v>
      </c>
      <c r="L14" s="137"/>
      <c r="M14" s="137" t="e">
        <f ca="1"/>
        <v>#NAME?</v>
      </c>
      <c r="N14" s="137"/>
      <c r="O14" s="137"/>
      <c r="R14" s="137"/>
      <c r="S14" s="137"/>
      <c r="T14" s="137"/>
      <c r="U14" s="137"/>
      <c r="V14" s="137"/>
      <c r="W14" s="137"/>
      <c r="X14" s="137"/>
      <c r="Z14" t="e">
        <f ca="1"/>
        <v>#NAME?</v>
      </c>
      <c r="AA14" t="e">
        <f ca="1"/>
        <v>#NAME?</v>
      </c>
      <c r="AB14" t="e">
        <f ca="1"/>
        <v>#NAME?</v>
      </c>
      <c r="AD14" t="e">
        <f ca="1"/>
        <v>#NAME?</v>
      </c>
      <c r="AE14" t="e">
        <f ca="1"/>
        <v>#NAME?</v>
      </c>
      <c r="AF14" t="e">
        <f ca="1"/>
        <v>#NAME?</v>
      </c>
    </row>
    <row r="15" spans="1:32" x14ac:dyDescent="0.35">
      <c r="A15" s="137" t="s">
        <v>43</v>
      </c>
      <c r="B15" s="137">
        <f t="shared" si="0"/>
        <v>12</v>
      </c>
      <c r="C15" s="137">
        <v>40</v>
      </c>
      <c r="E15" s="137" t="s">
        <v>43</v>
      </c>
      <c r="F15" s="137">
        <f t="shared" si="1"/>
        <v>12</v>
      </c>
      <c r="G15" s="137">
        <v>40</v>
      </c>
      <c r="H15" s="137" t="e">
        <f ca="1"/>
        <v>#NAME?</v>
      </c>
      <c r="I15" s="137"/>
      <c r="J15" s="10" t="s">
        <v>46</v>
      </c>
      <c r="K15" s="10">
        <f t="shared" si="4"/>
        <v>15</v>
      </c>
      <c r="L15" s="10">
        <v>25</v>
      </c>
      <c r="M15" s="10" t="e">
        <f ca="1"/>
        <v>#NAME?</v>
      </c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Z15" t="e">
        <f ca="1"/>
        <v>#NAME?</v>
      </c>
      <c r="AA15" t="e">
        <f ca="1"/>
        <v>#NAME?</v>
      </c>
      <c r="AB15" t="e">
        <f ca="1"/>
        <v>#NAME?</v>
      </c>
      <c r="AD15" t="e">
        <f ca="1"/>
        <v>#NAME?</v>
      </c>
      <c r="AE15" t="e">
        <f ca="1"/>
        <v>#NAME?</v>
      </c>
      <c r="AF15" t="e">
        <f ca="1"/>
        <v>#NAME?</v>
      </c>
    </row>
    <row r="16" spans="1:32" x14ac:dyDescent="0.35">
      <c r="A16" s="137" t="s">
        <v>44</v>
      </c>
      <c r="B16" s="137">
        <f t="shared" si="0"/>
        <v>13</v>
      </c>
      <c r="C16" s="137">
        <v>28</v>
      </c>
      <c r="E16" s="137" t="s">
        <v>44</v>
      </c>
      <c r="F16" s="137">
        <f t="shared" si="1"/>
        <v>13</v>
      </c>
      <c r="G16" s="137">
        <v>28</v>
      </c>
      <c r="H16" s="137" t="e">
        <f ca="1"/>
        <v>#NAME?</v>
      </c>
      <c r="I16" s="137"/>
      <c r="J16" s="137" t="s">
        <v>35</v>
      </c>
      <c r="K16" s="137">
        <f t="shared" ref="K16:K19" si="5">K15+1</f>
        <v>16</v>
      </c>
      <c r="L16" s="137">
        <v>25</v>
      </c>
      <c r="M16" s="137" t="e">
        <f t="array" aca="1" ref="M16:M19" ca="1">TSImputed(L16:L19,-2,2)</f>
        <v>#NAME?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Z16" t="e">
        <f ca="1"/>
        <v>#NAME?</v>
      </c>
      <c r="AA16" t="e">
        <f ca="1"/>
        <v>#NAME?</v>
      </c>
      <c r="AB16" t="e">
        <f ca="1"/>
        <v>#NAME?</v>
      </c>
      <c r="AD16" t="e">
        <f ca="1"/>
        <v>#NAME?</v>
      </c>
      <c r="AE16" t="e">
        <f ca="1"/>
        <v>#NAME?</v>
      </c>
      <c r="AF16" t="e">
        <f ca="1"/>
        <v>#NAME?</v>
      </c>
    </row>
    <row r="17" spans="1:32" x14ac:dyDescent="0.35">
      <c r="A17" s="137" t="s">
        <v>45</v>
      </c>
      <c r="B17" s="137">
        <f t="shared" si="0"/>
        <v>14</v>
      </c>
      <c r="C17" s="137">
        <v>40</v>
      </c>
      <c r="E17" s="137" t="s">
        <v>45</v>
      </c>
      <c r="F17" s="137">
        <f t="shared" si="1"/>
        <v>14</v>
      </c>
      <c r="G17" s="137">
        <v>40</v>
      </c>
      <c r="H17" s="137" t="e">
        <f ca="1"/>
        <v>#NAME?</v>
      </c>
      <c r="I17" s="137"/>
      <c r="J17" s="137" t="s">
        <v>39</v>
      </c>
      <c r="K17" s="137">
        <f t="shared" si="5"/>
        <v>17</v>
      </c>
      <c r="L17" s="137">
        <v>35</v>
      </c>
      <c r="M17" s="137" t="e">
        <f ca="1"/>
        <v>#NAME?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Z17" t="e">
        <f ca="1"/>
        <v>#NAME?</v>
      </c>
      <c r="AA17" t="e">
        <f ca="1"/>
        <v>#NAME?</v>
      </c>
      <c r="AB17" t="e">
        <f ca="1"/>
        <v>#NAME?</v>
      </c>
      <c r="AD17" t="e">
        <f ca="1"/>
        <v>#NAME?</v>
      </c>
      <c r="AE17" t="e">
        <f ca="1"/>
        <v>#NAME?</v>
      </c>
      <c r="AF17" t="e">
        <f ca="1"/>
        <v>#NAME?</v>
      </c>
    </row>
    <row r="18" spans="1:32" x14ac:dyDescent="0.35">
      <c r="A18" s="137" t="s">
        <v>46</v>
      </c>
      <c r="B18" s="137">
        <f t="shared" si="0"/>
        <v>15</v>
      </c>
      <c r="C18" s="137">
        <v>25</v>
      </c>
      <c r="E18" s="137" t="s">
        <v>46</v>
      </c>
      <c r="F18" s="137">
        <f t="shared" si="1"/>
        <v>15</v>
      </c>
      <c r="G18" s="137">
        <v>25</v>
      </c>
      <c r="H18" s="137" t="e">
        <f ca="1"/>
        <v>#NAME?</v>
      </c>
      <c r="I18" s="137"/>
      <c r="J18" s="137" t="s">
        <v>43</v>
      </c>
      <c r="K18" s="137">
        <f t="shared" si="5"/>
        <v>18</v>
      </c>
      <c r="L18" s="137">
        <v>40</v>
      </c>
      <c r="M18" s="137" t="e">
        <f ca="1"/>
        <v>#NAME?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Z18" t="e">
        <f ca="1"/>
        <v>#NAME?</v>
      </c>
      <c r="AA18" t="e">
        <f ca="1"/>
        <v>#NAME?</v>
      </c>
      <c r="AB18" t="e">
        <f ca="1"/>
        <v>#NAME?</v>
      </c>
      <c r="AD18" t="e">
        <f ca="1"/>
        <v>#NAME?</v>
      </c>
      <c r="AE18" t="e">
        <f ca="1"/>
        <v>#NAME?</v>
      </c>
      <c r="AF18" t="e">
        <f ca="1"/>
        <v>#NAME?</v>
      </c>
    </row>
    <row r="19" spans="1:32" x14ac:dyDescent="0.35">
      <c r="A19" s="10" t="s">
        <v>47</v>
      </c>
      <c r="B19" s="10">
        <f t="shared" si="0"/>
        <v>16</v>
      </c>
      <c r="C19" s="10">
        <v>65</v>
      </c>
      <c r="E19" s="10" t="s">
        <v>47</v>
      </c>
      <c r="F19" s="10">
        <f t="shared" si="1"/>
        <v>16</v>
      </c>
      <c r="G19" s="10"/>
      <c r="H19" s="10" t="e">
        <f ca="1"/>
        <v>#NAME?</v>
      </c>
      <c r="I19" s="17"/>
      <c r="J19" s="10" t="s">
        <v>47</v>
      </c>
      <c r="K19" s="10">
        <f t="shared" si="5"/>
        <v>19</v>
      </c>
      <c r="L19" s="10"/>
      <c r="M19" s="10" t="e">
        <f ca="1"/>
        <v>#NAME?</v>
      </c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Z19" s="4" t="e">
        <f ca="1"/>
        <v>#NAME?</v>
      </c>
      <c r="AA19" s="4" t="e">
        <f ca="1"/>
        <v>#NAME?</v>
      </c>
      <c r="AB19" s="4" t="e">
        <f ca="1"/>
        <v>#NAME?</v>
      </c>
      <c r="AD19" s="4" t="e">
        <f ca="1"/>
        <v>#NAME?</v>
      </c>
      <c r="AE19" s="4" t="e">
        <f ca="1"/>
        <v>#NAME?</v>
      </c>
      <c r="AF19" s="4" t="e">
        <f ca="1"/>
        <v>#NAME?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/>
  <dimension ref="A1:R19"/>
  <sheetViews>
    <sheetView workbookViewId="0"/>
  </sheetViews>
  <sheetFormatPr defaultRowHeight="14.5" x14ac:dyDescent="0.35"/>
  <cols>
    <col min="1" max="1" width="6.7265625" customWidth="1"/>
    <col min="2" max="2" width="5.81640625" customWidth="1"/>
    <col min="5" max="8" width="7.54296875" customWidth="1"/>
  </cols>
  <sheetData>
    <row r="1" spans="1:18" x14ac:dyDescent="0.35">
      <c r="A1" s="7" t="s">
        <v>643</v>
      </c>
    </row>
    <row r="3" spans="1:18" x14ac:dyDescent="0.35">
      <c r="A3" s="233" t="s">
        <v>52</v>
      </c>
      <c r="B3" s="233" t="s">
        <v>3</v>
      </c>
      <c r="C3" s="233" t="s">
        <v>1</v>
      </c>
      <c r="E3" s="233" t="s">
        <v>52</v>
      </c>
      <c r="F3" s="233" t="s">
        <v>3</v>
      </c>
      <c r="G3" s="233" t="s">
        <v>1</v>
      </c>
      <c r="H3" s="233" t="s">
        <v>629</v>
      </c>
      <c r="I3" s="233" t="s">
        <v>644</v>
      </c>
      <c r="J3" s="233" t="s">
        <v>642</v>
      </c>
      <c r="K3" s="233" t="s">
        <v>628</v>
      </c>
      <c r="L3" s="17"/>
      <c r="M3" s="17"/>
      <c r="N3" s="17"/>
      <c r="O3" s="17"/>
      <c r="P3" s="17"/>
      <c r="Q3" s="17"/>
      <c r="R3" s="17"/>
    </row>
    <row r="4" spans="1:18" x14ac:dyDescent="0.35">
      <c r="A4" s="137" t="s">
        <v>32</v>
      </c>
      <c r="B4" s="137">
        <v>1</v>
      </c>
      <c r="C4" s="137">
        <v>10</v>
      </c>
      <c r="E4" s="137" t="s">
        <v>32</v>
      </c>
      <c r="F4" s="137">
        <v>1</v>
      </c>
      <c r="G4" s="137">
        <v>10</v>
      </c>
      <c r="H4" s="137" t="e">
        <f t="array" aca="1" ref="H4:H7" ca="1">TSImputed(G4:G19,"wma",2,"split",4)</f>
        <v>#NAME?</v>
      </c>
      <c r="K4" s="137" t="e">
        <f ca="1">H4</f>
        <v>#NAME?</v>
      </c>
      <c r="L4" s="17"/>
      <c r="M4" s="137"/>
      <c r="N4" s="137"/>
      <c r="O4" s="137"/>
      <c r="P4" s="137"/>
      <c r="Q4" s="137"/>
      <c r="R4" s="137"/>
    </row>
    <row r="5" spans="1:18" x14ac:dyDescent="0.35">
      <c r="A5" s="137" t="s">
        <v>33</v>
      </c>
      <c r="B5" s="137">
        <f>B4+1</f>
        <v>2</v>
      </c>
      <c r="C5" s="137">
        <v>14</v>
      </c>
      <c r="E5" s="137" t="s">
        <v>33</v>
      </c>
      <c r="F5" s="137">
        <f>F4+1</f>
        <v>2</v>
      </c>
      <c r="G5" s="137"/>
      <c r="H5" s="137" t="e">
        <f ca="1"/>
        <v>#NAME?</v>
      </c>
      <c r="K5" s="137" t="e">
        <f t="shared" ref="K5:K7" ca="1" si="0">H5</f>
        <v>#NAME?</v>
      </c>
      <c r="L5" s="17"/>
      <c r="M5" s="137"/>
      <c r="N5" s="137"/>
      <c r="O5" s="137"/>
      <c r="P5" s="137"/>
      <c r="Q5" s="137"/>
      <c r="R5" s="137"/>
    </row>
    <row r="6" spans="1:18" x14ac:dyDescent="0.35">
      <c r="A6" s="137" t="s">
        <v>34</v>
      </c>
      <c r="B6" s="137">
        <f t="shared" ref="B6:B19" si="1">B5+1</f>
        <v>3</v>
      </c>
      <c r="C6" s="137">
        <v>8</v>
      </c>
      <c r="E6" s="137" t="s">
        <v>34</v>
      </c>
      <c r="F6" s="137">
        <f t="shared" ref="F6:F19" si="2">F5+1</f>
        <v>3</v>
      </c>
      <c r="G6" s="137">
        <v>8</v>
      </c>
      <c r="H6" s="137" t="e">
        <f ca="1"/>
        <v>#NAME?</v>
      </c>
      <c r="K6" s="137" t="e">
        <f t="shared" ca="1" si="0"/>
        <v>#NAME?</v>
      </c>
      <c r="L6" s="17"/>
      <c r="M6" s="137"/>
      <c r="N6" s="137"/>
      <c r="O6" s="137"/>
      <c r="P6" s="137"/>
      <c r="Q6" s="137"/>
      <c r="R6" s="137"/>
    </row>
    <row r="7" spans="1:18" x14ac:dyDescent="0.35">
      <c r="A7" s="137" t="s">
        <v>35</v>
      </c>
      <c r="B7" s="137">
        <f t="shared" si="1"/>
        <v>4</v>
      </c>
      <c r="C7" s="137">
        <v>25</v>
      </c>
      <c r="E7" s="137" t="s">
        <v>35</v>
      </c>
      <c r="F7" s="137">
        <f t="shared" si="2"/>
        <v>4</v>
      </c>
      <c r="G7" s="137">
        <v>25</v>
      </c>
      <c r="H7" s="137" t="e">
        <f ca="1"/>
        <v>#NAME?</v>
      </c>
      <c r="K7" s="137" t="e">
        <f t="shared" ca="1" si="0"/>
        <v>#NAME?</v>
      </c>
      <c r="L7" s="17"/>
      <c r="M7" s="137"/>
      <c r="N7" s="137"/>
      <c r="O7" s="137"/>
      <c r="P7" s="137"/>
      <c r="Q7" s="137"/>
      <c r="R7" s="137"/>
    </row>
    <row r="8" spans="1:18" x14ac:dyDescent="0.35">
      <c r="A8" s="137" t="s">
        <v>36</v>
      </c>
      <c r="B8" s="137">
        <f t="shared" si="1"/>
        <v>5</v>
      </c>
      <c r="C8" s="137">
        <v>16</v>
      </c>
      <c r="E8" s="137" t="s">
        <v>36</v>
      </c>
      <c r="F8" s="137">
        <f t="shared" si="2"/>
        <v>5</v>
      </c>
      <c r="G8" s="137">
        <v>16</v>
      </c>
      <c r="H8" s="137">
        <f>IF(G8="","",G8)</f>
        <v>16</v>
      </c>
      <c r="I8" s="137" t="e">
        <f ca="1">IF(H4="","",IF(H8="","",H8-H4))</f>
        <v>#NAME?</v>
      </c>
      <c r="J8" s="137" t="e">
        <f t="array" aca="1" ref="J8:J19" ca="1">TSImputed(I8:I19,"wma",2)</f>
        <v>#NAME?</v>
      </c>
      <c r="K8" s="137">
        <f>IF(G8="",J8+K4,G8)</f>
        <v>16</v>
      </c>
      <c r="L8" s="17"/>
      <c r="M8" s="137"/>
      <c r="N8" s="137"/>
      <c r="O8" s="137"/>
      <c r="P8" s="137"/>
      <c r="Q8" s="137"/>
      <c r="R8" s="137"/>
    </row>
    <row r="9" spans="1:18" x14ac:dyDescent="0.35">
      <c r="A9" s="137" t="s">
        <v>37</v>
      </c>
      <c r="B9" s="137">
        <f t="shared" si="1"/>
        <v>6</v>
      </c>
      <c r="C9" s="137">
        <v>22</v>
      </c>
      <c r="E9" s="137" t="s">
        <v>37</v>
      </c>
      <c r="F9" s="137">
        <f t="shared" si="2"/>
        <v>6</v>
      </c>
      <c r="G9" s="137">
        <v>22</v>
      </c>
      <c r="H9" s="137">
        <f t="shared" ref="H9:H19" si="3">IF(G9="","",G9)</f>
        <v>22</v>
      </c>
      <c r="I9" s="137" t="e">
        <f t="shared" ref="I9:I19" ca="1" si="4">IF(H5="","",IF(H9="","",H9-H5))</f>
        <v>#NAME?</v>
      </c>
      <c r="J9" s="137" t="e">
        <f ca="1"/>
        <v>#NAME?</v>
      </c>
      <c r="K9" s="137">
        <f t="shared" ref="K9:K19" si="5">IF(G9="",J9+K5,G9)</f>
        <v>22</v>
      </c>
      <c r="L9" s="17"/>
      <c r="M9" s="137"/>
      <c r="N9" s="137"/>
      <c r="O9" s="137"/>
      <c r="P9" s="137"/>
      <c r="Q9" s="137"/>
      <c r="R9" s="137"/>
    </row>
    <row r="10" spans="1:18" x14ac:dyDescent="0.35">
      <c r="A10" s="137" t="s">
        <v>38</v>
      </c>
      <c r="B10" s="137">
        <f t="shared" si="1"/>
        <v>7</v>
      </c>
      <c r="C10" s="137">
        <v>14</v>
      </c>
      <c r="E10" s="137" t="s">
        <v>38</v>
      </c>
      <c r="F10" s="137">
        <f t="shared" si="2"/>
        <v>7</v>
      </c>
      <c r="G10" s="137">
        <v>14</v>
      </c>
      <c r="H10" s="137">
        <f t="shared" si="3"/>
        <v>14</v>
      </c>
      <c r="I10" s="137" t="e">
        <f t="shared" ca="1" si="4"/>
        <v>#NAME?</v>
      </c>
      <c r="J10" s="137" t="e">
        <f ca="1"/>
        <v>#NAME?</v>
      </c>
      <c r="K10" s="137">
        <f t="shared" si="5"/>
        <v>14</v>
      </c>
      <c r="L10" s="17"/>
      <c r="M10" s="137"/>
      <c r="N10" s="137"/>
      <c r="O10" s="137"/>
      <c r="P10" s="137"/>
      <c r="Q10" s="137"/>
      <c r="R10" s="137"/>
    </row>
    <row r="11" spans="1:18" x14ac:dyDescent="0.35">
      <c r="A11" s="137" t="s">
        <v>39</v>
      </c>
      <c r="B11" s="137">
        <f t="shared" si="1"/>
        <v>8</v>
      </c>
      <c r="C11" s="137">
        <v>35</v>
      </c>
      <c r="E11" s="137" t="s">
        <v>39</v>
      </c>
      <c r="F11" s="137">
        <f t="shared" si="2"/>
        <v>8</v>
      </c>
      <c r="G11" s="137">
        <v>35</v>
      </c>
      <c r="H11" s="137">
        <f t="shared" si="3"/>
        <v>35</v>
      </c>
      <c r="I11" s="137" t="e">
        <f t="shared" ca="1" si="4"/>
        <v>#NAME?</v>
      </c>
      <c r="J11" s="137" t="e">
        <f ca="1"/>
        <v>#NAME?</v>
      </c>
      <c r="K11" s="137">
        <f t="shared" si="5"/>
        <v>35</v>
      </c>
      <c r="L11" s="17"/>
      <c r="M11" s="137"/>
      <c r="N11" s="137"/>
      <c r="O11" s="137"/>
      <c r="P11" s="137"/>
      <c r="Q11" s="137"/>
      <c r="R11" s="137"/>
    </row>
    <row r="12" spans="1:18" x14ac:dyDescent="0.35">
      <c r="A12" s="137" t="s">
        <v>40</v>
      </c>
      <c r="B12" s="137">
        <f t="shared" si="1"/>
        <v>9</v>
      </c>
      <c r="C12" s="137">
        <v>15</v>
      </c>
      <c r="E12" s="137" t="s">
        <v>40</v>
      </c>
      <c r="F12" s="137">
        <f t="shared" si="2"/>
        <v>9</v>
      </c>
      <c r="G12" s="137">
        <v>15</v>
      </c>
      <c r="H12" s="137">
        <f t="shared" si="3"/>
        <v>15</v>
      </c>
      <c r="I12" s="137">
        <f t="shared" si="4"/>
        <v>-1</v>
      </c>
      <c r="J12" s="137" t="e">
        <f ca="1"/>
        <v>#NAME?</v>
      </c>
      <c r="K12" s="137">
        <f t="shared" si="5"/>
        <v>15</v>
      </c>
      <c r="L12" s="17"/>
      <c r="M12" s="137"/>
      <c r="N12" s="137"/>
      <c r="O12" s="137"/>
      <c r="P12" s="137"/>
      <c r="Q12" s="137"/>
      <c r="R12" s="137"/>
    </row>
    <row r="13" spans="1:18" x14ac:dyDescent="0.35">
      <c r="A13" s="137" t="s">
        <v>41</v>
      </c>
      <c r="B13" s="137">
        <f t="shared" si="1"/>
        <v>10</v>
      </c>
      <c r="C13" s="137">
        <v>27</v>
      </c>
      <c r="E13" s="137" t="s">
        <v>41</v>
      </c>
      <c r="F13" s="137">
        <f t="shared" si="2"/>
        <v>10</v>
      </c>
      <c r="G13" s="137"/>
      <c r="H13" s="137" t="str">
        <f t="shared" si="3"/>
        <v/>
      </c>
      <c r="I13" s="137" t="str">
        <f t="shared" si="4"/>
        <v/>
      </c>
      <c r="J13" s="137" t="e">
        <f ca="1"/>
        <v>#NAME?</v>
      </c>
      <c r="K13" s="137" t="e">
        <f t="shared" ca="1" si="5"/>
        <v>#NAME?</v>
      </c>
      <c r="L13" s="17"/>
      <c r="M13" s="137"/>
      <c r="N13" s="137"/>
      <c r="O13" s="137"/>
      <c r="P13" s="137"/>
      <c r="Q13" s="137"/>
      <c r="R13" s="137"/>
    </row>
    <row r="14" spans="1:18" x14ac:dyDescent="0.35">
      <c r="A14" s="137" t="s">
        <v>42</v>
      </c>
      <c r="B14" s="137">
        <f t="shared" si="1"/>
        <v>11</v>
      </c>
      <c r="C14" s="137">
        <v>18</v>
      </c>
      <c r="E14" s="137" t="s">
        <v>42</v>
      </c>
      <c r="F14" s="137">
        <f t="shared" si="2"/>
        <v>11</v>
      </c>
      <c r="G14" s="137"/>
      <c r="H14" s="137" t="str">
        <f t="shared" si="3"/>
        <v/>
      </c>
      <c r="I14" s="137" t="str">
        <f t="shared" si="4"/>
        <v/>
      </c>
      <c r="J14" s="137" t="e">
        <f ca="1"/>
        <v>#NAME?</v>
      </c>
      <c r="K14" s="137" t="e">
        <f t="shared" ca="1" si="5"/>
        <v>#NAME?</v>
      </c>
      <c r="L14" s="17"/>
      <c r="M14" s="137"/>
      <c r="N14" s="137"/>
      <c r="O14" s="137"/>
      <c r="P14" s="137"/>
      <c r="Q14" s="137"/>
      <c r="R14" s="137"/>
    </row>
    <row r="15" spans="1:18" x14ac:dyDescent="0.35">
      <c r="A15" s="137" t="s">
        <v>43</v>
      </c>
      <c r="B15" s="137">
        <f t="shared" si="1"/>
        <v>12</v>
      </c>
      <c r="C15" s="137">
        <v>40</v>
      </c>
      <c r="E15" s="137" t="s">
        <v>43</v>
      </c>
      <c r="F15" s="137">
        <f t="shared" si="2"/>
        <v>12</v>
      </c>
      <c r="G15" s="137">
        <v>40</v>
      </c>
      <c r="H15" s="137">
        <f t="shared" si="3"/>
        <v>40</v>
      </c>
      <c r="I15" s="137">
        <f t="shared" si="4"/>
        <v>5</v>
      </c>
      <c r="J15" s="137" t="e">
        <f ca="1"/>
        <v>#NAME?</v>
      </c>
      <c r="K15" s="137">
        <f t="shared" si="5"/>
        <v>40</v>
      </c>
      <c r="L15" s="17"/>
      <c r="M15" s="137"/>
      <c r="N15" s="137"/>
      <c r="O15" s="137"/>
      <c r="P15" s="137"/>
      <c r="Q15" s="137"/>
      <c r="R15" s="137"/>
    </row>
    <row r="16" spans="1:18" x14ac:dyDescent="0.35">
      <c r="A16" s="137" t="s">
        <v>44</v>
      </c>
      <c r="B16" s="137">
        <f t="shared" si="1"/>
        <v>13</v>
      </c>
      <c r="C16" s="137">
        <v>28</v>
      </c>
      <c r="E16" s="137" t="s">
        <v>44</v>
      </c>
      <c r="F16" s="137">
        <f t="shared" si="2"/>
        <v>13</v>
      </c>
      <c r="G16" s="137">
        <v>28</v>
      </c>
      <c r="H16" s="137">
        <f t="shared" si="3"/>
        <v>28</v>
      </c>
      <c r="I16" s="137">
        <f t="shared" si="4"/>
        <v>13</v>
      </c>
      <c r="J16" s="137" t="e">
        <f ca="1"/>
        <v>#NAME?</v>
      </c>
      <c r="K16" s="137">
        <f t="shared" si="5"/>
        <v>28</v>
      </c>
      <c r="L16" s="17"/>
      <c r="M16" s="137"/>
      <c r="N16" s="137"/>
      <c r="O16" s="137"/>
      <c r="P16" s="137"/>
      <c r="Q16" s="137"/>
      <c r="R16" s="137"/>
    </row>
    <row r="17" spans="1:18" x14ac:dyDescent="0.35">
      <c r="A17" s="137" t="s">
        <v>45</v>
      </c>
      <c r="B17" s="137">
        <f t="shared" si="1"/>
        <v>14</v>
      </c>
      <c r="C17" s="137">
        <v>40</v>
      </c>
      <c r="E17" s="137" t="s">
        <v>45</v>
      </c>
      <c r="F17" s="137">
        <f t="shared" si="2"/>
        <v>14</v>
      </c>
      <c r="G17" s="137">
        <v>40</v>
      </c>
      <c r="H17" s="137">
        <f t="shared" si="3"/>
        <v>40</v>
      </c>
      <c r="I17" s="137" t="str">
        <f t="shared" si="4"/>
        <v/>
      </c>
      <c r="J17" s="137" t="e">
        <f ca="1"/>
        <v>#NAME?</v>
      </c>
      <c r="K17" s="137">
        <f t="shared" si="5"/>
        <v>40</v>
      </c>
      <c r="L17" s="17"/>
      <c r="M17" s="137"/>
      <c r="N17" s="137"/>
      <c r="O17" s="137"/>
      <c r="P17" s="137"/>
      <c r="Q17" s="137"/>
      <c r="R17" s="137"/>
    </row>
    <row r="18" spans="1:18" x14ac:dyDescent="0.35">
      <c r="A18" s="137" t="s">
        <v>46</v>
      </c>
      <c r="B18" s="137">
        <f t="shared" si="1"/>
        <v>15</v>
      </c>
      <c r="C18" s="137">
        <v>25</v>
      </c>
      <c r="E18" s="137" t="s">
        <v>46</v>
      </c>
      <c r="F18" s="137">
        <f t="shared" si="2"/>
        <v>15</v>
      </c>
      <c r="G18" s="137">
        <v>25</v>
      </c>
      <c r="H18" s="137">
        <f t="shared" si="3"/>
        <v>25</v>
      </c>
      <c r="I18" s="137" t="str">
        <f t="shared" si="4"/>
        <v/>
      </c>
      <c r="J18" s="137" t="e">
        <f ca="1"/>
        <v>#NAME?</v>
      </c>
      <c r="K18" s="137">
        <f t="shared" si="5"/>
        <v>25</v>
      </c>
      <c r="L18" s="17"/>
      <c r="M18" s="137"/>
      <c r="N18" s="137"/>
      <c r="O18" s="137"/>
      <c r="P18" s="137"/>
      <c r="Q18" s="137"/>
      <c r="R18" s="137"/>
    </row>
    <row r="19" spans="1:18" x14ac:dyDescent="0.35">
      <c r="A19" s="10" t="s">
        <v>47</v>
      </c>
      <c r="B19" s="10">
        <f t="shared" si="1"/>
        <v>16</v>
      </c>
      <c r="C19" s="10">
        <v>65</v>
      </c>
      <c r="E19" s="10" t="s">
        <v>47</v>
      </c>
      <c r="F19" s="10">
        <f t="shared" si="2"/>
        <v>16</v>
      </c>
      <c r="G19" s="10"/>
      <c r="H19" s="10" t="str">
        <f t="shared" si="3"/>
        <v/>
      </c>
      <c r="I19" s="10" t="str">
        <f t="shared" si="4"/>
        <v/>
      </c>
      <c r="J19" s="10" t="e">
        <f ca="1"/>
        <v>#NAME?</v>
      </c>
      <c r="K19" s="10" t="e">
        <f t="shared" ca="1" si="5"/>
        <v>#NAME?</v>
      </c>
      <c r="L19" s="17"/>
      <c r="M19" s="17"/>
      <c r="N19" s="17"/>
      <c r="O19" s="17"/>
      <c r="P19" s="17"/>
      <c r="Q19" s="17"/>
      <c r="R19" s="1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3"/>
  <dimension ref="A1:G21"/>
  <sheetViews>
    <sheetView workbookViewId="0"/>
  </sheetViews>
  <sheetFormatPr defaultRowHeight="14.5" x14ac:dyDescent="0.35"/>
  <cols>
    <col min="1" max="2" width="8.453125" customWidth="1"/>
    <col min="3" max="3" width="3.54296875" customWidth="1"/>
    <col min="4" max="4" width="8.26953125" customWidth="1"/>
    <col min="5" max="5" width="9.1796875" customWidth="1"/>
    <col min="6" max="6" width="2.7265625" customWidth="1"/>
    <col min="7" max="7" width="80.54296875" customWidth="1"/>
  </cols>
  <sheetData>
    <row r="1" spans="1:7" x14ac:dyDescent="0.35">
      <c r="A1" s="7" t="s">
        <v>511</v>
      </c>
    </row>
    <row r="3" spans="1:7" x14ac:dyDescent="0.35">
      <c r="A3" s="162" t="s">
        <v>194</v>
      </c>
      <c r="B3" s="162" t="s">
        <v>179</v>
      </c>
      <c r="D3" s="171" t="s">
        <v>512</v>
      </c>
      <c r="E3" s="172">
        <f>COUNT(A4:A18)</f>
        <v>15</v>
      </c>
      <c r="G3" t="e" cm="1">
        <f t="array" aca="1" ref="G3" ca="1">FTEXT(E3)</f>
        <v>#NAME?</v>
      </c>
    </row>
    <row r="4" spans="1:7" x14ac:dyDescent="0.35">
      <c r="A4" s="137">
        <v>23</v>
      </c>
      <c r="B4" s="137">
        <v>14</v>
      </c>
      <c r="D4" s="171" t="s">
        <v>513</v>
      </c>
      <c r="E4" s="173">
        <f>(COUNTIFS(A4:A18,"&gt;0",B4:B18,"&gt;0")+COUNTIFS(A4:A18,"&lt;0",B4:B18,"&lt;0"))/E3</f>
        <v>0.73333333333333328</v>
      </c>
      <c r="G4" t="e" cm="1">
        <f t="array" aca="1" ref="G4" ca="1">FTEXT(E4)</f>
        <v>#NAME?</v>
      </c>
    </row>
    <row r="5" spans="1:7" x14ac:dyDescent="0.35">
      <c r="A5" s="137">
        <v>-2</v>
      </c>
      <c r="B5" s="137">
        <v>3</v>
      </c>
      <c r="D5" s="171" t="s">
        <v>514</v>
      </c>
      <c r="E5" s="173">
        <f>COUNTIF(A4:A18,"&gt;0")/E3</f>
        <v>0.46666666666666667</v>
      </c>
      <c r="G5" t="e" cm="1">
        <f t="array" aca="1" ref="G5" ca="1">FTEXT(E5)</f>
        <v>#NAME?</v>
      </c>
    </row>
    <row r="6" spans="1:7" x14ac:dyDescent="0.35">
      <c r="A6" s="137">
        <v>56</v>
      </c>
      <c r="B6" s="137">
        <v>45</v>
      </c>
      <c r="D6" s="171" t="s">
        <v>515</v>
      </c>
      <c r="E6" s="173">
        <f>COUNTIF(B4:B18,"&gt;0")/E3</f>
        <v>0.6</v>
      </c>
      <c r="G6" t="e" cm="1">
        <f t="array" aca="1" ref="G6" ca="1">FTEXT(E6)</f>
        <v>#NAME?</v>
      </c>
    </row>
    <row r="7" spans="1:7" x14ac:dyDescent="0.35">
      <c r="A7" s="137">
        <v>51</v>
      </c>
      <c r="B7" s="137">
        <v>23</v>
      </c>
      <c r="D7" s="171" t="s">
        <v>516</v>
      </c>
      <c r="E7" s="173">
        <f>(E6*E5)+((1-E6)*(1-E5))</f>
        <v>0.49333333333333329</v>
      </c>
      <c r="G7" t="e" cm="1">
        <f t="array" aca="1" ref="G7" ca="1">FTEXT(E7)</f>
        <v>#NAME?</v>
      </c>
    </row>
    <row r="8" spans="1:7" x14ac:dyDescent="0.35">
      <c r="A8" s="137">
        <v>4</v>
      </c>
      <c r="B8" s="137">
        <v>-5</v>
      </c>
      <c r="D8" s="171" t="s">
        <v>517</v>
      </c>
      <c r="E8" s="173">
        <f>E7*(1-E7)/E3</f>
        <v>1.6663703703703701E-2</v>
      </c>
      <c r="G8" t="e" cm="1">
        <f t="array" aca="1" ref="G8" ca="1">FTEXT(E8)</f>
        <v>#NAME?</v>
      </c>
    </row>
    <row r="9" spans="1:7" x14ac:dyDescent="0.35">
      <c r="A9" s="137">
        <v>-45</v>
      </c>
      <c r="B9" s="137">
        <v>-56</v>
      </c>
      <c r="D9" s="171" t="s">
        <v>518</v>
      </c>
      <c r="E9" s="174">
        <f>(((2*E6-1)^2*E5*(1-E5))/E3)+(((2*E5-1)^2*E6*(1-E6))/E3)+((4*E5*E6*(1-E5)*(1-E6))/(E3^2))</f>
        <v>1.7967407407407405E-3</v>
      </c>
      <c r="G9" t="e" cm="1">
        <f t="array" aca="1" ref="G9" ca="1">FTEXT(E9)</f>
        <v>#NAME?</v>
      </c>
    </row>
    <row r="10" spans="1:7" x14ac:dyDescent="0.35">
      <c r="A10" s="137">
        <v>-12</v>
      </c>
      <c r="B10" s="137">
        <v>4</v>
      </c>
      <c r="D10" s="171"/>
      <c r="E10" s="175"/>
    </row>
    <row r="11" spans="1:7" x14ac:dyDescent="0.35">
      <c r="A11" s="137">
        <v>-24</v>
      </c>
      <c r="B11" s="137">
        <v>-11</v>
      </c>
      <c r="D11" s="171" t="s">
        <v>519</v>
      </c>
      <c r="E11" s="172">
        <f>(E4-E7)/SQRT(E8-E9)</f>
        <v>1.9683399718793397</v>
      </c>
      <c r="G11" t="e" cm="1">
        <f t="array" aca="1" ref="G11" ca="1">FTEXT(E11)</f>
        <v>#NAME?</v>
      </c>
    </row>
    <row r="12" spans="1:7" x14ac:dyDescent="0.35">
      <c r="A12" s="137">
        <v>-51</v>
      </c>
      <c r="B12" s="137">
        <v>-34</v>
      </c>
      <c r="D12" s="171" t="s">
        <v>92</v>
      </c>
      <c r="E12" s="173">
        <f>1-NORMSDIST(E11)</f>
        <v>2.4514466850141248E-2</v>
      </c>
      <c r="G12" s="20" t="s">
        <v>520</v>
      </c>
    </row>
    <row r="13" spans="1:7" x14ac:dyDescent="0.35">
      <c r="A13" s="137">
        <v>78</v>
      </c>
      <c r="B13" s="137">
        <v>29</v>
      </c>
      <c r="D13" s="171" t="s">
        <v>10</v>
      </c>
      <c r="E13" s="24">
        <v>0.05</v>
      </c>
    </row>
    <row r="14" spans="1:7" x14ac:dyDescent="0.35">
      <c r="A14" s="137">
        <v>-6</v>
      </c>
      <c r="B14" s="137">
        <v>3</v>
      </c>
      <c r="D14" s="171" t="s">
        <v>84</v>
      </c>
      <c r="E14" s="25" t="str">
        <f>IF(E12&lt;E13,"yes","no")</f>
        <v>yes</v>
      </c>
      <c r="G14" t="e" cm="1">
        <f t="array" aca="1" ref="G14" ca="1">FTEXT(E14)</f>
        <v>#NAME?</v>
      </c>
    </row>
    <row r="15" spans="1:7" x14ac:dyDescent="0.35">
      <c r="A15" s="137">
        <v>-7</v>
      </c>
      <c r="B15" s="137">
        <v>-11</v>
      </c>
    </row>
    <row r="16" spans="1:7" x14ac:dyDescent="0.35">
      <c r="A16" s="137">
        <v>-39</v>
      </c>
      <c r="B16" s="137">
        <v>-12</v>
      </c>
    </row>
    <row r="17" spans="1:5" x14ac:dyDescent="0.35">
      <c r="A17" s="137">
        <v>31</v>
      </c>
      <c r="B17" s="137">
        <v>24</v>
      </c>
    </row>
    <row r="18" spans="1:5" x14ac:dyDescent="0.35">
      <c r="A18" s="10">
        <v>35</v>
      </c>
      <c r="B18" s="10">
        <v>3</v>
      </c>
    </row>
    <row r="20" spans="1:5" x14ac:dyDescent="0.35">
      <c r="D20" s="171" t="s">
        <v>519</v>
      </c>
      <c r="E20" s="139" t="e" cm="1">
        <f t="array" aca="1" ref="E20" ca="1">PESARAN(A4:A18,B4:B18)</f>
        <v>#NAME?</v>
      </c>
    </row>
    <row r="21" spans="1:5" x14ac:dyDescent="0.35">
      <c r="D21" s="171" t="s">
        <v>92</v>
      </c>
      <c r="E21" s="34" t="e" cm="1">
        <f t="array" aca="1" ref="E21" ca="1">PTTEST(A4:A18,B4:B18)</f>
        <v>#NAME?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8"/>
  <dimension ref="A1:Z103"/>
  <sheetViews>
    <sheetView workbookViewId="0"/>
  </sheetViews>
  <sheetFormatPr defaultRowHeight="14.5" x14ac:dyDescent="0.35"/>
  <cols>
    <col min="1" max="1" width="5.26953125" style="52" customWidth="1"/>
    <col min="26" max="26" width="9.453125" customWidth="1"/>
  </cols>
  <sheetData>
    <row r="1" spans="1:26" x14ac:dyDescent="0.35">
      <c r="A1" s="61" t="s">
        <v>111</v>
      </c>
    </row>
    <row r="3" spans="1:26" x14ac:dyDescent="0.35">
      <c r="B3" s="8" t="s">
        <v>107</v>
      </c>
      <c r="C3" s="8" t="s">
        <v>110</v>
      </c>
      <c r="E3" s="8" t="s">
        <v>78</v>
      </c>
      <c r="F3" s="8" t="s">
        <v>77</v>
      </c>
      <c r="G3" s="8" t="s">
        <v>116</v>
      </c>
      <c r="Y3" s="147" t="s">
        <v>78</v>
      </c>
      <c r="Z3" s="147" t="s">
        <v>77</v>
      </c>
    </row>
    <row r="4" spans="1:26" x14ac:dyDescent="0.35">
      <c r="A4" s="52">
        <v>1</v>
      </c>
      <c r="B4">
        <v>-0.69785249480192335</v>
      </c>
      <c r="C4">
        <f>5+0.4*0+B4</f>
        <v>4.3021475051980769</v>
      </c>
      <c r="E4" s="3"/>
      <c r="Y4" s="137"/>
    </row>
    <row r="5" spans="1:26" x14ac:dyDescent="0.35">
      <c r="A5" s="52">
        <f>A4+1</f>
        <v>2</v>
      </c>
      <c r="B5">
        <v>-0.57784409098609946</v>
      </c>
      <c r="C5">
        <f>5+0.4*C4+B5</f>
        <v>6.1430149110931316</v>
      </c>
      <c r="E5" s="3">
        <v>1</v>
      </c>
      <c r="F5" s="26" t="e" cm="1">
        <f t="array" aca="1" ref="F5" ca="1">ACF($C$4:$C$103,E5)</f>
        <v>#NAME?</v>
      </c>
      <c r="G5" s="58">
        <f t="shared" ref="G5:G19" si="0">0.4^E5</f>
        <v>0.4</v>
      </c>
      <c r="Y5" s="137">
        <v>1</v>
      </c>
      <c r="Z5" s="139">
        <f ca="1">SUMPRODUCT(OFFSET($C$4:$C$103,0,0,COUNT($C$4:$C$103)-Y5)-AVERAGE($C$4:$C$103),OFFSET($C$4:$C$103,Y5,0,COUNT($C$4:$C$103)-Y5)-AVERAGE($C$4:$C$103))/DEVSQ($C$4:$C$103)</f>
        <v>0.39437108360082401</v>
      </c>
    </row>
    <row r="6" spans="1:26" x14ac:dyDescent="0.35">
      <c r="A6" s="52">
        <f t="shared" ref="A6:A69" si="1">A5+1</f>
        <v>3</v>
      </c>
      <c r="B6">
        <v>-1.1112486969478823</v>
      </c>
      <c r="C6">
        <f t="shared" ref="C6:C69" si="2">5+0.4*C5+B6</f>
        <v>6.3459572674893705</v>
      </c>
      <c r="E6" s="3">
        <f t="shared" ref="E6:E19" si="3">E5+1</f>
        <v>2</v>
      </c>
      <c r="F6" s="29" t="e" cm="1">
        <f t="array" aca="1" ref="F6" ca="1">ACF($C$4:$C$103,E6)</f>
        <v>#NAME?</v>
      </c>
      <c r="G6" s="30">
        <f t="shared" si="0"/>
        <v>0.16000000000000003</v>
      </c>
      <c r="Y6" s="137">
        <f t="shared" ref="Y6:Y19" si="4">Y5+1</f>
        <v>2</v>
      </c>
      <c r="Z6" s="24">
        <f t="shared" ref="Z6:Z19" ca="1" si="5">SUMPRODUCT(OFFSET($C$4:$C$103,0,0,COUNT($C$4:$C$103)-Y6)-AVERAGE($C$4:$C$103),OFFSET($C$4:$C$103,Y6,0,COUNT($C$4:$C$103)-Y6)-AVERAGE($C$4:$C$103))/DEVSQ($C$4:$C$103)</f>
        <v>0.15840974163405716</v>
      </c>
    </row>
    <row r="7" spans="1:26" x14ac:dyDescent="0.35">
      <c r="A7" s="52">
        <f t="shared" si="1"/>
        <v>4</v>
      </c>
      <c r="B7">
        <v>-0.5603335917027612</v>
      </c>
      <c r="C7">
        <f t="shared" si="2"/>
        <v>6.9780493152929868</v>
      </c>
      <c r="E7" s="3">
        <f t="shared" si="3"/>
        <v>3</v>
      </c>
      <c r="F7" s="29" t="e" cm="1">
        <f t="array" aca="1" ref="F7" ca="1">ACF($C$4:$C$103,E7)</f>
        <v>#NAME?</v>
      </c>
      <c r="G7" s="30">
        <f t="shared" si="0"/>
        <v>6.4000000000000015E-2</v>
      </c>
      <c r="Y7" s="137">
        <f t="shared" si="4"/>
        <v>3</v>
      </c>
      <c r="Z7" s="24">
        <f t="shared" ca="1" si="5"/>
        <v>3.4080638684069992E-2</v>
      </c>
    </row>
    <row r="8" spans="1:26" x14ac:dyDescent="0.35">
      <c r="A8" s="52">
        <f t="shared" si="1"/>
        <v>5</v>
      </c>
      <c r="B8">
        <v>1.656533975333653</v>
      </c>
      <c r="C8">
        <f t="shared" si="2"/>
        <v>9.4477537014508481</v>
      </c>
      <c r="E8" s="3">
        <f t="shared" si="3"/>
        <v>4</v>
      </c>
      <c r="F8" s="29" t="e" cm="1">
        <f t="array" aca="1" ref="F8" ca="1">ACF($C$4:$C$103,E8)</f>
        <v>#NAME?</v>
      </c>
      <c r="G8" s="30">
        <f t="shared" si="0"/>
        <v>2.5600000000000012E-2</v>
      </c>
      <c r="Y8" s="137">
        <f t="shared" si="4"/>
        <v>4</v>
      </c>
      <c r="Z8" s="24">
        <f t="shared" ca="1" si="5"/>
        <v>-0.17672085115113781</v>
      </c>
    </row>
    <row r="9" spans="1:26" x14ac:dyDescent="0.35">
      <c r="A9" s="52">
        <f t="shared" si="1"/>
        <v>6</v>
      </c>
      <c r="B9">
        <v>-0.41484923591072326</v>
      </c>
      <c r="C9">
        <f t="shared" si="2"/>
        <v>8.3642522446696148</v>
      </c>
      <c r="E9" s="3">
        <f t="shared" si="3"/>
        <v>5</v>
      </c>
      <c r="F9" s="29" t="e" cm="1">
        <f t="array" aca="1" ref="F9" ca="1">ACF($C$4:$C$103,E9)</f>
        <v>#NAME?</v>
      </c>
      <c r="G9" s="30">
        <f t="shared" si="0"/>
        <v>1.0240000000000006E-2</v>
      </c>
      <c r="Y9" s="137">
        <f t="shared" si="4"/>
        <v>5</v>
      </c>
      <c r="Z9" s="24">
        <f t="shared" ca="1" si="5"/>
        <v>-4.4096354642670546E-2</v>
      </c>
    </row>
    <row r="10" spans="1:26" x14ac:dyDescent="0.35">
      <c r="A10" s="52">
        <f t="shared" si="1"/>
        <v>7</v>
      </c>
      <c r="B10">
        <v>-1.274931208283298</v>
      </c>
      <c r="C10">
        <f t="shared" si="2"/>
        <v>7.0707696895845489</v>
      </c>
      <c r="E10" s="3">
        <f t="shared" si="3"/>
        <v>6</v>
      </c>
      <c r="F10" s="29" t="e" cm="1">
        <f t="array" aca="1" ref="F10" ca="1">ACF($C$4:$C$103,E10)</f>
        <v>#NAME?</v>
      </c>
      <c r="G10" s="30">
        <f t="shared" si="0"/>
        <v>4.0960000000000024E-3</v>
      </c>
      <c r="Y10" s="137">
        <f t="shared" si="4"/>
        <v>6</v>
      </c>
      <c r="Z10" s="24">
        <f t="shared" ca="1" si="5"/>
        <v>4.4618058059970052E-2</v>
      </c>
    </row>
    <row r="11" spans="1:26" x14ac:dyDescent="0.35">
      <c r="A11" s="52">
        <f t="shared" si="1"/>
        <v>8</v>
      </c>
      <c r="B11">
        <v>-0.80593538272356346</v>
      </c>
      <c r="C11">
        <f t="shared" si="2"/>
        <v>7.0223724931102565</v>
      </c>
      <c r="E11" s="3">
        <f t="shared" si="3"/>
        <v>7</v>
      </c>
      <c r="F11" s="29" t="e" cm="1">
        <f t="array" aca="1" ref="F11" ca="1">ACF($C$4:$C$103,E11)</f>
        <v>#NAME?</v>
      </c>
      <c r="G11" s="30">
        <f t="shared" si="0"/>
        <v>1.6384000000000012E-3</v>
      </c>
      <c r="Y11" s="137">
        <f t="shared" si="4"/>
        <v>7</v>
      </c>
      <c r="Z11" s="24">
        <f t="shared" ca="1" si="5"/>
        <v>4.6570100611284831E-2</v>
      </c>
    </row>
    <row r="12" spans="1:26" x14ac:dyDescent="0.35">
      <c r="A12" s="52">
        <f t="shared" si="1"/>
        <v>9</v>
      </c>
      <c r="B12">
        <v>-0.17954155743882044</v>
      </c>
      <c r="C12">
        <f t="shared" si="2"/>
        <v>7.6294074398052825</v>
      </c>
      <c r="E12" s="3">
        <f t="shared" si="3"/>
        <v>8</v>
      </c>
      <c r="F12" s="29" t="e" cm="1">
        <f t="array" aca="1" ref="F12" ca="1">ACF($C$4:$C$103,E12)</f>
        <v>#NAME?</v>
      </c>
      <c r="G12" s="30">
        <f t="shared" si="0"/>
        <v>6.5536000000000056E-4</v>
      </c>
      <c r="Y12" s="137">
        <f t="shared" si="4"/>
        <v>8</v>
      </c>
      <c r="Z12" s="24">
        <f t="shared" ca="1" si="5"/>
        <v>7.7240784861657322E-2</v>
      </c>
    </row>
    <row r="13" spans="1:26" x14ac:dyDescent="0.35">
      <c r="A13" s="52">
        <f t="shared" si="1"/>
        <v>10</v>
      </c>
      <c r="B13">
        <v>-0.60002179872810912</v>
      </c>
      <c r="C13">
        <f t="shared" si="2"/>
        <v>7.4517411771940036</v>
      </c>
      <c r="E13" s="3">
        <f t="shared" si="3"/>
        <v>9</v>
      </c>
      <c r="F13" s="29" t="e" cm="1">
        <f t="array" aca="1" ref="F13" ca="1">ACF($C$4:$C$103,E13)</f>
        <v>#NAME?</v>
      </c>
      <c r="G13" s="30">
        <f t="shared" si="0"/>
        <v>2.6214400000000023E-4</v>
      </c>
      <c r="Y13" s="137">
        <f t="shared" si="4"/>
        <v>9</v>
      </c>
      <c r="Z13" s="24">
        <f t="shared" ca="1" si="5"/>
        <v>8.3525235379419485E-2</v>
      </c>
    </row>
    <row r="14" spans="1:26" x14ac:dyDescent="0.35">
      <c r="A14" s="52">
        <f t="shared" si="1"/>
        <v>11</v>
      </c>
      <c r="B14">
        <v>-0.66763333953713533</v>
      </c>
      <c r="C14">
        <f t="shared" si="2"/>
        <v>7.3130631313404661</v>
      </c>
      <c r="E14" s="3">
        <f t="shared" si="3"/>
        <v>10</v>
      </c>
      <c r="F14" s="29" t="e" cm="1">
        <f t="array" aca="1" ref="F14" ca="1">ACF($C$4:$C$103,E14)</f>
        <v>#NAME?</v>
      </c>
      <c r="G14" s="30">
        <f t="shared" si="0"/>
        <v>1.0485760000000011E-4</v>
      </c>
      <c r="Y14" s="137">
        <f t="shared" si="4"/>
        <v>10</v>
      </c>
      <c r="Z14" s="24">
        <f t="shared" ca="1" si="5"/>
        <v>-0.10317251689535022</v>
      </c>
    </row>
    <row r="15" spans="1:26" x14ac:dyDescent="0.35">
      <c r="A15" s="52">
        <f t="shared" si="1"/>
        <v>12</v>
      </c>
      <c r="B15">
        <v>-1.1882740654292401</v>
      </c>
      <c r="C15">
        <f t="shared" si="2"/>
        <v>6.7369511871069463</v>
      </c>
      <c r="E15" s="3">
        <f t="shared" si="3"/>
        <v>11</v>
      </c>
      <c r="F15" s="29" t="e" cm="1">
        <f t="array" aca="1" ref="F15" ca="1">ACF($C$4:$C$103,E15)</f>
        <v>#NAME?</v>
      </c>
      <c r="G15" s="30">
        <f t="shared" si="0"/>
        <v>4.1943040000000045E-5</v>
      </c>
      <c r="Y15" s="137">
        <f t="shared" si="4"/>
        <v>11</v>
      </c>
      <c r="Z15" s="24">
        <f t="shared" ca="1" si="5"/>
        <v>-0.13043408946525242</v>
      </c>
    </row>
    <row r="16" spans="1:26" x14ac:dyDescent="0.35">
      <c r="A16" s="52">
        <f t="shared" si="1"/>
        <v>13</v>
      </c>
      <c r="B16">
        <v>-5.9362987216999438E-2</v>
      </c>
      <c r="C16">
        <f t="shared" si="2"/>
        <v>7.6354174876257783</v>
      </c>
      <c r="E16" s="3">
        <f t="shared" si="3"/>
        <v>12</v>
      </c>
      <c r="F16" s="29" t="e" cm="1">
        <f t="array" aca="1" ref="F16" ca="1">ACF($C$4:$C$103,E16)</f>
        <v>#NAME?</v>
      </c>
      <c r="G16" s="30">
        <f t="shared" si="0"/>
        <v>1.6777216000000023E-5</v>
      </c>
      <c r="Y16" s="137">
        <f t="shared" si="4"/>
        <v>12</v>
      </c>
      <c r="Z16" s="24">
        <f t="shared" ca="1" si="5"/>
        <v>-0.14120536086333504</v>
      </c>
    </row>
    <row r="17" spans="1:26" x14ac:dyDescent="0.35">
      <c r="A17" s="52">
        <f t="shared" si="1"/>
        <v>14</v>
      </c>
      <c r="B17">
        <v>0.2800890126112825</v>
      </c>
      <c r="C17">
        <f t="shared" si="2"/>
        <v>8.3342560076615939</v>
      </c>
      <c r="E17" s="3">
        <f t="shared" si="3"/>
        <v>13</v>
      </c>
      <c r="F17" s="29" t="e" cm="1">
        <f t="array" aca="1" ref="F17" ca="1">ACF($C$4:$C$103,E17)</f>
        <v>#NAME?</v>
      </c>
      <c r="G17" s="30">
        <f t="shared" si="0"/>
        <v>6.7108864000000095E-6</v>
      </c>
      <c r="Y17" s="137">
        <f t="shared" si="4"/>
        <v>13</v>
      </c>
      <c r="Z17" s="24">
        <f t="shared" ca="1" si="5"/>
        <v>-8.1483379619504803E-2</v>
      </c>
    </row>
    <row r="18" spans="1:26" x14ac:dyDescent="0.35">
      <c r="A18" s="52">
        <f t="shared" si="1"/>
        <v>15</v>
      </c>
      <c r="B18">
        <v>0.18047523554544689</v>
      </c>
      <c r="C18">
        <f t="shared" si="2"/>
        <v>8.5141776386100858</v>
      </c>
      <c r="E18" s="3">
        <f t="shared" si="3"/>
        <v>14</v>
      </c>
      <c r="F18" s="29" t="e" cm="1">
        <f t="array" aca="1" ref="F18" ca="1">ACF($C$4:$C$103,E18)</f>
        <v>#NAME?</v>
      </c>
      <c r="G18" s="30">
        <f t="shared" si="0"/>
        <v>2.6843545600000038E-6</v>
      </c>
      <c r="Y18" s="137">
        <f t="shared" si="4"/>
        <v>14</v>
      </c>
      <c r="Z18" s="24">
        <f t="shared" ca="1" si="5"/>
        <v>-4.2365988683897397E-3</v>
      </c>
    </row>
    <row r="19" spans="1:26" x14ac:dyDescent="0.35">
      <c r="A19" s="52">
        <f t="shared" si="1"/>
        <v>16</v>
      </c>
      <c r="B19">
        <v>1.0704437186023568</v>
      </c>
      <c r="C19">
        <f t="shared" si="2"/>
        <v>9.4761147740463922</v>
      </c>
      <c r="E19" s="3">
        <f t="shared" si="3"/>
        <v>15</v>
      </c>
      <c r="F19" s="31" t="e" cm="1">
        <f t="array" aca="1" ref="F19" ca="1">ACF($C$4:$C$103,E19)</f>
        <v>#NAME?</v>
      </c>
      <c r="G19" s="32">
        <f t="shared" si="0"/>
        <v>1.0737418240000018E-6</v>
      </c>
      <c r="Y19" s="137">
        <f t="shared" si="4"/>
        <v>15</v>
      </c>
      <c r="Z19" s="34">
        <f t="shared" ca="1" si="5"/>
        <v>8.9675849789374124E-2</v>
      </c>
    </row>
    <row r="20" spans="1:26" x14ac:dyDescent="0.35">
      <c r="A20" s="52">
        <f t="shared" si="1"/>
        <v>17</v>
      </c>
      <c r="B20">
        <v>-0.34072311283254131</v>
      </c>
      <c r="C20">
        <f t="shared" si="2"/>
        <v>8.4497227967860145</v>
      </c>
      <c r="E20" s="3"/>
      <c r="Y20" s="137"/>
    </row>
    <row r="21" spans="1:26" ht="15.5" x14ac:dyDescent="0.35">
      <c r="A21" s="52">
        <f t="shared" si="1"/>
        <v>18</v>
      </c>
      <c r="B21">
        <v>1.1245741006977241</v>
      </c>
      <c r="C21">
        <f t="shared" si="2"/>
        <v>9.5044632194121306</v>
      </c>
      <c r="E21" s="35" t="s">
        <v>112</v>
      </c>
      <c r="F21" s="23">
        <f>5/(1-0.4)</f>
        <v>8.3333333333333339</v>
      </c>
      <c r="H21" s="35" t="s">
        <v>113</v>
      </c>
      <c r="I21" s="23">
        <f>AVERAGE(C4:C103)</f>
        <v>8.2275470269258193</v>
      </c>
      <c r="Z21" s="148"/>
    </row>
    <row r="22" spans="1:26" ht="16.5" x14ac:dyDescent="0.35">
      <c r="A22" s="52">
        <f t="shared" si="1"/>
        <v>19</v>
      </c>
      <c r="B22">
        <v>-2.1341842125122983</v>
      </c>
      <c r="C22">
        <f t="shared" si="2"/>
        <v>6.6676010752525539</v>
      </c>
      <c r="E22" s="35" t="s">
        <v>219</v>
      </c>
      <c r="F22" s="34">
        <f>1^2/(1-0.4^2)</f>
        <v>1.1904761904761905</v>
      </c>
      <c r="H22" s="3" t="s">
        <v>115</v>
      </c>
      <c r="I22" s="34">
        <f>VAR(C4:C103)</f>
        <v>1.7005473095527894</v>
      </c>
    </row>
    <row r="23" spans="1:26" x14ac:dyDescent="0.35">
      <c r="A23" s="52">
        <f t="shared" si="1"/>
        <v>20</v>
      </c>
      <c r="B23">
        <v>0.18527521137964745</v>
      </c>
      <c r="C23">
        <f t="shared" si="2"/>
        <v>7.8523156414806694</v>
      </c>
    </row>
    <row r="24" spans="1:26" ht="15" customHeight="1" x14ac:dyDescent="0.35">
      <c r="A24" s="52">
        <f t="shared" si="1"/>
        <v>21</v>
      </c>
      <c r="B24">
        <v>-0.2220638394273014</v>
      </c>
      <c r="C24">
        <f t="shared" si="2"/>
        <v>7.9188624171649664</v>
      </c>
      <c r="E24" s="35" t="s">
        <v>135</v>
      </c>
      <c r="F24" s="19">
        <f>VARP(B4:B103)</f>
        <v>1.2706033763345888</v>
      </c>
    </row>
    <row r="25" spans="1:26" x14ac:dyDescent="0.35">
      <c r="A25" s="52">
        <f t="shared" si="1"/>
        <v>22</v>
      </c>
      <c r="B25">
        <v>0.60504116436601907</v>
      </c>
      <c r="C25">
        <f t="shared" si="2"/>
        <v>8.7725861312320053</v>
      </c>
      <c r="E25" s="3"/>
    </row>
    <row r="26" spans="1:26" ht="15" customHeight="1" x14ac:dyDescent="0.35">
      <c r="A26" s="52">
        <f t="shared" si="1"/>
        <v>23</v>
      </c>
      <c r="B26">
        <v>2.4090628953263193</v>
      </c>
      <c r="C26">
        <f t="shared" si="2"/>
        <v>10.918097347819121</v>
      </c>
    </row>
    <row r="27" spans="1:26" x14ac:dyDescent="0.35">
      <c r="A27" s="52">
        <f t="shared" si="1"/>
        <v>24</v>
      </c>
      <c r="B27">
        <v>-0.22785690261685324</v>
      </c>
      <c r="C27">
        <f t="shared" si="2"/>
        <v>9.1393820365107956</v>
      </c>
      <c r="E27" s="3"/>
    </row>
    <row r="28" spans="1:26" x14ac:dyDescent="0.35">
      <c r="A28" s="52">
        <f t="shared" si="1"/>
        <v>25</v>
      </c>
      <c r="B28">
        <v>1.4933040877872454</v>
      </c>
      <c r="C28">
        <f t="shared" si="2"/>
        <v>10.149056902391564</v>
      </c>
      <c r="E28" s="3"/>
      <c r="Y28" s="137"/>
    </row>
    <row r="29" spans="1:26" x14ac:dyDescent="0.35">
      <c r="A29" s="52">
        <f t="shared" si="1"/>
        <v>26</v>
      </c>
      <c r="B29">
        <v>0.71349407818724175</v>
      </c>
      <c r="C29">
        <f t="shared" si="2"/>
        <v>9.7731168391438672</v>
      </c>
      <c r="E29" s="3"/>
      <c r="Y29" s="137"/>
    </row>
    <row r="30" spans="1:26" x14ac:dyDescent="0.35">
      <c r="A30" s="52">
        <f t="shared" si="1"/>
        <v>27</v>
      </c>
      <c r="B30">
        <v>-0.76524343436916209</v>
      </c>
      <c r="C30">
        <f t="shared" si="2"/>
        <v>8.1440033012883841</v>
      </c>
      <c r="E30" s="3"/>
      <c r="Y30" s="137"/>
    </row>
    <row r="31" spans="1:26" x14ac:dyDescent="0.35">
      <c r="A31" s="52">
        <f t="shared" si="1"/>
        <v>28</v>
      </c>
      <c r="B31">
        <v>-1.4191009440900102</v>
      </c>
      <c r="C31">
        <f t="shared" si="2"/>
        <v>6.838500376425344</v>
      </c>
      <c r="E31" s="3"/>
      <c r="Y31" s="137"/>
    </row>
    <row r="32" spans="1:26" x14ac:dyDescent="0.35">
      <c r="A32" s="52">
        <f t="shared" si="1"/>
        <v>29</v>
      </c>
      <c r="B32">
        <v>1.4740369863748075</v>
      </c>
      <c r="C32">
        <f t="shared" si="2"/>
        <v>9.2094371369449455</v>
      </c>
      <c r="E32" s="3"/>
      <c r="Y32" s="137"/>
    </row>
    <row r="33" spans="1:25" x14ac:dyDescent="0.35">
      <c r="A33" s="52">
        <f t="shared" si="1"/>
        <v>30</v>
      </c>
      <c r="B33">
        <v>0.15337369729432532</v>
      </c>
      <c r="C33">
        <f t="shared" si="2"/>
        <v>8.8371485520723034</v>
      </c>
      <c r="E33" s="3"/>
      <c r="Y33" s="137"/>
    </row>
    <row r="34" spans="1:25" x14ac:dyDescent="0.35">
      <c r="A34" s="52">
        <f t="shared" si="1"/>
        <v>31</v>
      </c>
      <c r="B34">
        <v>-0.913929957875393</v>
      </c>
      <c r="C34">
        <f t="shared" si="2"/>
        <v>7.6209294629535282</v>
      </c>
      <c r="E34" s="3"/>
      <c r="Y34" s="137"/>
    </row>
    <row r="35" spans="1:25" x14ac:dyDescent="0.35">
      <c r="A35" s="52">
        <f t="shared" si="1"/>
        <v>32</v>
      </c>
      <c r="B35">
        <v>-0.25821378573000997</v>
      </c>
      <c r="C35">
        <f t="shared" si="2"/>
        <v>7.7901579994514005</v>
      </c>
      <c r="E35" s="3"/>
      <c r="Y35" s="137"/>
    </row>
    <row r="36" spans="1:25" x14ac:dyDescent="0.35">
      <c r="A36" s="52">
        <f t="shared" si="1"/>
        <v>33</v>
      </c>
      <c r="B36">
        <v>-0.4966112314661153</v>
      </c>
      <c r="C36">
        <f t="shared" si="2"/>
        <v>7.6194519683144453</v>
      </c>
      <c r="E36" s="3"/>
      <c r="Y36" s="137"/>
    </row>
    <row r="37" spans="1:25" x14ac:dyDescent="0.35">
      <c r="A37" s="52">
        <f t="shared" si="1"/>
        <v>34</v>
      </c>
      <c r="B37">
        <v>1.0801200937235274</v>
      </c>
      <c r="C37">
        <f t="shared" si="2"/>
        <v>9.127900881049305</v>
      </c>
      <c r="E37" s="3"/>
      <c r="Y37" s="137"/>
    </row>
    <row r="38" spans="1:25" x14ac:dyDescent="0.35">
      <c r="A38" s="52">
        <f t="shared" si="1"/>
        <v>35</v>
      </c>
      <c r="B38">
        <v>0.62769726735219578</v>
      </c>
      <c r="C38">
        <f t="shared" si="2"/>
        <v>9.2788576197719177</v>
      </c>
      <c r="E38" s="3"/>
      <c r="Y38" s="137"/>
    </row>
    <row r="39" spans="1:25" x14ac:dyDescent="0.35">
      <c r="A39" s="52">
        <f t="shared" si="1"/>
        <v>36</v>
      </c>
      <c r="B39">
        <v>-4.7183894609775658E-2</v>
      </c>
      <c r="C39">
        <f t="shared" si="2"/>
        <v>8.6643591532989923</v>
      </c>
      <c r="E39" s="3"/>
      <c r="Y39" s="137"/>
    </row>
    <row r="40" spans="1:25" x14ac:dyDescent="0.35">
      <c r="A40" s="52">
        <f t="shared" si="1"/>
        <v>37</v>
      </c>
      <c r="B40">
        <v>1.2597876850887306</v>
      </c>
      <c r="C40">
        <f t="shared" si="2"/>
        <v>9.7255313464083262</v>
      </c>
      <c r="E40" s="3"/>
      <c r="Y40" s="137"/>
    </row>
    <row r="41" spans="1:25" x14ac:dyDescent="0.35">
      <c r="A41" s="52">
        <f t="shared" si="1"/>
        <v>38</v>
      </c>
      <c r="B41">
        <v>2.5165584473214784</v>
      </c>
      <c r="C41">
        <f t="shared" si="2"/>
        <v>11.406770985884808</v>
      </c>
      <c r="E41" s="3"/>
      <c r="Y41" s="137"/>
    </row>
    <row r="42" spans="1:25" x14ac:dyDescent="0.35">
      <c r="A42" s="52">
        <f t="shared" si="1"/>
        <v>39</v>
      </c>
      <c r="B42">
        <v>0.27095358748665704</v>
      </c>
      <c r="C42">
        <f t="shared" si="2"/>
        <v>9.8336619818405797</v>
      </c>
      <c r="E42" s="3"/>
      <c r="Y42" s="137"/>
    </row>
    <row r="43" spans="1:25" x14ac:dyDescent="0.35">
      <c r="A43" s="52">
        <f t="shared" si="1"/>
        <v>40</v>
      </c>
      <c r="B43">
        <v>-0.47142727098497039</v>
      </c>
      <c r="C43">
        <f t="shared" si="2"/>
        <v>8.4620375217512613</v>
      </c>
      <c r="E43" s="3"/>
      <c r="Y43" s="137"/>
    </row>
    <row r="44" spans="1:25" x14ac:dyDescent="0.35">
      <c r="A44" s="52">
        <f t="shared" si="1"/>
        <v>41</v>
      </c>
      <c r="B44">
        <v>-1.3509821338183612</v>
      </c>
      <c r="C44">
        <f t="shared" si="2"/>
        <v>7.0338328748821439</v>
      </c>
      <c r="E44" s="3"/>
      <c r="Y44" s="137"/>
    </row>
    <row r="45" spans="1:25" x14ac:dyDescent="0.35">
      <c r="A45" s="52">
        <f t="shared" si="1"/>
        <v>42</v>
      </c>
      <c r="B45">
        <v>-0.52523357627441403</v>
      </c>
      <c r="C45">
        <f t="shared" si="2"/>
        <v>7.2882995736784437</v>
      </c>
      <c r="E45" s="3"/>
      <c r="Y45" s="137"/>
    </row>
    <row r="46" spans="1:25" x14ac:dyDescent="0.35">
      <c r="A46" s="52">
        <f t="shared" si="1"/>
        <v>43</v>
      </c>
      <c r="B46">
        <v>0.97135557619367507</v>
      </c>
      <c r="C46">
        <f t="shared" si="2"/>
        <v>8.8866754056650521</v>
      </c>
      <c r="E46" s="3"/>
      <c r="Y46" s="137"/>
    </row>
    <row r="47" spans="1:25" x14ac:dyDescent="0.35">
      <c r="A47" s="52">
        <f t="shared" si="1"/>
        <v>44</v>
      </c>
      <c r="B47">
        <v>-1.0748501156519588</v>
      </c>
      <c r="C47">
        <f t="shared" si="2"/>
        <v>7.4798200466140621</v>
      </c>
      <c r="E47" s="3"/>
      <c r="Y47" s="137"/>
    </row>
    <row r="48" spans="1:25" x14ac:dyDescent="0.35">
      <c r="A48" s="52">
        <f t="shared" si="1"/>
        <v>45</v>
      </c>
      <c r="B48">
        <v>1.7738103479768892</v>
      </c>
      <c r="C48">
        <f t="shared" si="2"/>
        <v>9.7657383666225144</v>
      </c>
      <c r="E48" s="3"/>
      <c r="Y48" s="137"/>
    </row>
    <row r="49" spans="1:25" x14ac:dyDescent="0.35">
      <c r="A49" s="52">
        <f t="shared" si="1"/>
        <v>46</v>
      </c>
      <c r="B49">
        <v>-0.96159497995241328</v>
      </c>
      <c r="C49">
        <f t="shared" si="2"/>
        <v>7.9447003666965932</v>
      </c>
      <c r="E49" s="3"/>
      <c r="Y49" s="137"/>
    </row>
    <row r="50" spans="1:25" x14ac:dyDescent="0.35">
      <c r="A50" s="52">
        <f t="shared" si="1"/>
        <v>47</v>
      </c>
      <c r="B50">
        <v>-1.348796891215885</v>
      </c>
      <c r="C50">
        <f t="shared" si="2"/>
        <v>6.8290832554627521</v>
      </c>
      <c r="E50" s="3"/>
      <c r="Y50" s="137"/>
    </row>
    <row r="51" spans="1:25" x14ac:dyDescent="0.35">
      <c r="A51" s="52">
        <f t="shared" si="1"/>
        <v>48</v>
      </c>
      <c r="B51">
        <v>0.18934575003145279</v>
      </c>
      <c r="C51">
        <f t="shared" si="2"/>
        <v>7.9209790522165529</v>
      </c>
      <c r="E51" s="3"/>
      <c r="Y51" s="137"/>
    </row>
    <row r="52" spans="1:25" x14ac:dyDescent="0.35">
      <c r="A52" s="52">
        <f t="shared" si="1"/>
        <v>49</v>
      </c>
      <c r="B52">
        <v>-2.2171935642462177</v>
      </c>
      <c r="C52">
        <f t="shared" si="2"/>
        <v>5.9511980566404041</v>
      </c>
      <c r="E52" s="3"/>
      <c r="Y52" s="137"/>
    </row>
    <row r="53" spans="1:25" x14ac:dyDescent="0.35">
      <c r="A53" s="52">
        <f t="shared" si="1"/>
        <v>50</v>
      </c>
      <c r="B53">
        <v>-0.15611584341500756</v>
      </c>
      <c r="C53">
        <f t="shared" si="2"/>
        <v>7.2243633792411535</v>
      </c>
      <c r="E53" s="3"/>
      <c r="Y53" s="137"/>
    </row>
    <row r="54" spans="1:25" x14ac:dyDescent="0.35">
      <c r="A54" s="52">
        <f t="shared" si="1"/>
        <v>51</v>
      </c>
      <c r="B54">
        <v>0.1487533713317542</v>
      </c>
      <c r="C54">
        <f t="shared" si="2"/>
        <v>8.0384987230282157</v>
      </c>
      <c r="E54" s="3"/>
      <c r="Y54" s="137"/>
    </row>
    <row r="55" spans="1:25" x14ac:dyDescent="0.35">
      <c r="A55" s="52">
        <f t="shared" si="1"/>
        <v>52</v>
      </c>
      <c r="B55">
        <v>-0.47544656135152197</v>
      </c>
      <c r="C55">
        <f t="shared" si="2"/>
        <v>7.7399529278597647</v>
      </c>
      <c r="E55" s="3"/>
      <c r="Y55" s="137"/>
    </row>
    <row r="56" spans="1:25" x14ac:dyDescent="0.35">
      <c r="A56" s="52">
        <f t="shared" si="1"/>
        <v>53</v>
      </c>
      <c r="B56">
        <v>0.85919497639068354</v>
      </c>
      <c r="C56">
        <f t="shared" si="2"/>
        <v>8.9551761475345906</v>
      </c>
      <c r="E56" s="3"/>
      <c r="Y56" s="137"/>
    </row>
    <row r="57" spans="1:25" x14ac:dyDescent="0.35">
      <c r="A57" s="52">
        <f t="shared" si="1"/>
        <v>54</v>
      </c>
      <c r="B57">
        <v>1.3246162518823317</v>
      </c>
      <c r="C57">
        <f t="shared" si="2"/>
        <v>9.9066867108961674</v>
      </c>
      <c r="E57" s="3"/>
      <c r="Y57" s="137"/>
    </row>
    <row r="58" spans="1:25" x14ac:dyDescent="0.35">
      <c r="A58" s="52">
        <f t="shared" si="1"/>
        <v>55</v>
      </c>
      <c r="B58">
        <v>1.2039291261462839</v>
      </c>
      <c r="C58">
        <f t="shared" si="2"/>
        <v>10.16660381050475</v>
      </c>
      <c r="E58" s="3"/>
      <c r="Y58" s="137"/>
    </row>
    <row r="59" spans="1:25" x14ac:dyDescent="0.35">
      <c r="A59" s="52">
        <f t="shared" si="1"/>
        <v>56</v>
      </c>
      <c r="B59">
        <v>4.9959592389363885E-2</v>
      </c>
      <c r="C59">
        <f t="shared" si="2"/>
        <v>9.1166011165912639</v>
      </c>
      <c r="E59" s="3"/>
      <c r="Y59" s="137"/>
    </row>
    <row r="60" spans="1:25" x14ac:dyDescent="0.35">
      <c r="A60" s="52">
        <f t="shared" si="1"/>
        <v>57</v>
      </c>
      <c r="B60">
        <v>-1.1481030425994976</v>
      </c>
      <c r="C60">
        <f t="shared" si="2"/>
        <v>7.4985374040370072</v>
      </c>
      <c r="E60" s="3"/>
      <c r="Y60" s="137"/>
    </row>
    <row r="61" spans="1:25" x14ac:dyDescent="0.35">
      <c r="A61" s="52">
        <f t="shared" si="1"/>
        <v>58</v>
      </c>
      <c r="B61">
        <v>-1.2999610098507186</v>
      </c>
      <c r="C61">
        <f t="shared" si="2"/>
        <v>6.6994539517640845</v>
      </c>
      <c r="E61" s="3"/>
      <c r="Y61" s="137"/>
    </row>
    <row r="62" spans="1:25" x14ac:dyDescent="0.35">
      <c r="A62" s="52">
        <f t="shared" si="1"/>
        <v>59</v>
      </c>
      <c r="B62">
        <v>2.3091411480625066</v>
      </c>
      <c r="C62">
        <f t="shared" si="2"/>
        <v>9.9889227287681415</v>
      </c>
      <c r="E62" s="3"/>
      <c r="Y62" s="137"/>
    </row>
    <row r="63" spans="1:25" x14ac:dyDescent="0.35">
      <c r="A63" s="52">
        <f t="shared" si="1"/>
        <v>60</v>
      </c>
      <c r="B63">
        <v>-0.42761844974413893</v>
      </c>
      <c r="C63">
        <f t="shared" si="2"/>
        <v>8.567950641763117</v>
      </c>
      <c r="E63" s="3"/>
      <c r="Y63" s="137"/>
    </row>
    <row r="64" spans="1:25" x14ac:dyDescent="0.35">
      <c r="A64" s="52">
        <f t="shared" si="1"/>
        <v>61</v>
      </c>
      <c r="B64">
        <v>2.7134767554812296</v>
      </c>
      <c r="C64">
        <f t="shared" si="2"/>
        <v>11.140657012186477</v>
      </c>
      <c r="E64" s="3"/>
      <c r="Y64" s="137"/>
    </row>
    <row r="65" spans="1:25" x14ac:dyDescent="0.35">
      <c r="A65" s="52">
        <f t="shared" si="1"/>
        <v>62</v>
      </c>
      <c r="B65">
        <v>1.4055530411870729</v>
      </c>
      <c r="C65">
        <f t="shared" si="2"/>
        <v>10.861815846061663</v>
      </c>
      <c r="E65" s="3"/>
      <c r="Y65" s="137"/>
    </row>
    <row r="66" spans="1:25" x14ac:dyDescent="0.35">
      <c r="A66" s="52">
        <f t="shared" si="1"/>
        <v>63</v>
      </c>
      <c r="B66">
        <v>-2.3970970128170634</v>
      </c>
      <c r="C66">
        <f t="shared" si="2"/>
        <v>6.9476293256076023</v>
      </c>
      <c r="E66" s="3"/>
      <c r="Y66" s="137"/>
    </row>
    <row r="67" spans="1:25" x14ac:dyDescent="0.35">
      <c r="A67" s="52">
        <f t="shared" si="1"/>
        <v>64</v>
      </c>
      <c r="B67">
        <v>-1.3982167784378965</v>
      </c>
      <c r="C67">
        <f t="shared" si="2"/>
        <v>6.380834951805145</v>
      </c>
      <c r="E67" s="3"/>
      <c r="Y67" s="137"/>
    </row>
    <row r="68" spans="1:25" x14ac:dyDescent="0.35">
      <c r="A68" s="52">
        <f t="shared" si="1"/>
        <v>65</v>
      </c>
      <c r="B68">
        <v>1.5203453639068958</v>
      </c>
      <c r="C68">
        <f t="shared" si="2"/>
        <v>9.0726793446289538</v>
      </c>
      <c r="E68" s="3"/>
      <c r="Y68" s="137"/>
    </row>
    <row r="69" spans="1:25" x14ac:dyDescent="0.35">
      <c r="A69" s="52">
        <f t="shared" si="1"/>
        <v>66</v>
      </c>
      <c r="B69">
        <v>-1.796693354333766</v>
      </c>
      <c r="C69">
        <f t="shared" si="2"/>
        <v>6.832378383517816</v>
      </c>
      <c r="E69" s="3"/>
      <c r="Y69" s="137"/>
    </row>
    <row r="70" spans="1:25" x14ac:dyDescent="0.35">
      <c r="A70" s="52">
        <f t="shared" ref="A70:A103" si="6">A69+1</f>
        <v>67</v>
      </c>
      <c r="B70">
        <v>-0.38337016660247258</v>
      </c>
      <c r="C70">
        <f t="shared" ref="C70:C103" si="7">5+0.4*C69+B70</f>
        <v>7.3495811868046541</v>
      </c>
      <c r="E70" s="3"/>
      <c r="Y70" s="137"/>
    </row>
    <row r="71" spans="1:25" x14ac:dyDescent="0.35">
      <c r="A71" s="52">
        <f t="shared" si="6"/>
        <v>68</v>
      </c>
      <c r="B71">
        <v>0.7237406021617061</v>
      </c>
      <c r="C71">
        <f t="shared" si="7"/>
        <v>8.6635730768835675</v>
      </c>
      <c r="E71" s="3"/>
      <c r="Y71" s="137"/>
    </row>
    <row r="72" spans="1:25" x14ac:dyDescent="0.35">
      <c r="A72" s="52">
        <f t="shared" si="6"/>
        <v>69</v>
      </c>
      <c r="B72">
        <v>0.15450598594324805</v>
      </c>
      <c r="C72">
        <f t="shared" si="7"/>
        <v>8.6199352166966747</v>
      </c>
      <c r="E72" s="3"/>
      <c r="Y72" s="137"/>
    </row>
    <row r="73" spans="1:25" x14ac:dyDescent="0.35">
      <c r="A73" s="52">
        <f t="shared" si="6"/>
        <v>70</v>
      </c>
      <c r="B73">
        <v>0.63496088513469295</v>
      </c>
      <c r="C73">
        <f t="shared" si="7"/>
        <v>9.0829349718133621</v>
      </c>
      <c r="E73" s="3"/>
      <c r="Y73" s="137"/>
    </row>
    <row r="74" spans="1:25" x14ac:dyDescent="0.35">
      <c r="A74" s="52">
        <f t="shared" si="6"/>
        <v>71</v>
      </c>
      <c r="B74">
        <v>0.54648580305162842</v>
      </c>
      <c r="C74">
        <f t="shared" si="7"/>
        <v>9.1796597917769738</v>
      </c>
      <c r="E74" s="3"/>
      <c r="Y74" s="137"/>
    </row>
    <row r="75" spans="1:25" x14ac:dyDescent="0.35">
      <c r="A75" s="52">
        <f t="shared" si="6"/>
        <v>72</v>
      </c>
      <c r="B75">
        <v>-1.8232742163593527</v>
      </c>
      <c r="C75">
        <f t="shared" si="7"/>
        <v>6.848589700351436</v>
      </c>
      <c r="E75" s="3"/>
      <c r="Y75" s="137"/>
    </row>
    <row r="76" spans="1:25" x14ac:dyDescent="0.35">
      <c r="A76" s="52">
        <f t="shared" si="6"/>
        <v>73</v>
      </c>
      <c r="B76">
        <v>1.075018827880697E-2</v>
      </c>
      <c r="C76">
        <f t="shared" si="7"/>
        <v>7.7501860684193806</v>
      </c>
      <c r="E76" s="3"/>
      <c r="Y76" s="137"/>
    </row>
    <row r="77" spans="1:25" x14ac:dyDescent="0.35">
      <c r="A77" s="52">
        <f t="shared" si="6"/>
        <v>74</v>
      </c>
      <c r="B77">
        <v>0.73307753821250599</v>
      </c>
      <c r="C77">
        <f t="shared" si="7"/>
        <v>8.8331519655802584</v>
      </c>
      <c r="E77" s="3"/>
      <c r="Y77" s="137"/>
    </row>
    <row r="78" spans="1:25" x14ac:dyDescent="0.35">
      <c r="A78" s="52">
        <f t="shared" si="6"/>
        <v>75</v>
      </c>
      <c r="B78">
        <v>0.83783470743166344</v>
      </c>
      <c r="C78">
        <f t="shared" si="7"/>
        <v>9.3710954936637663</v>
      </c>
      <c r="E78" s="3"/>
      <c r="Y78" s="137"/>
    </row>
    <row r="79" spans="1:25" x14ac:dyDescent="0.35">
      <c r="A79" s="52">
        <f t="shared" si="6"/>
        <v>76</v>
      </c>
      <c r="B79">
        <v>-9.5603721077263268E-2</v>
      </c>
      <c r="C79">
        <f t="shared" si="7"/>
        <v>8.6528344763882448</v>
      </c>
      <c r="E79" s="3"/>
      <c r="Y79" s="137"/>
    </row>
    <row r="80" spans="1:25" x14ac:dyDescent="0.35">
      <c r="A80" s="52">
        <f t="shared" si="6"/>
        <v>77</v>
      </c>
      <c r="B80">
        <v>0.79533209633253321</v>
      </c>
      <c r="C80">
        <f t="shared" si="7"/>
        <v>9.2564658868878311</v>
      </c>
      <c r="E80" s="3"/>
      <c r="Y80" s="137"/>
    </row>
    <row r="81" spans="1:25" x14ac:dyDescent="0.35">
      <c r="A81" s="52">
        <f t="shared" si="6"/>
        <v>78</v>
      </c>
      <c r="B81">
        <v>0.94881052998886894</v>
      </c>
      <c r="C81">
        <f t="shared" si="7"/>
        <v>9.6513968847440008</v>
      </c>
      <c r="E81" s="3"/>
      <c r="Y81" s="137"/>
    </row>
    <row r="82" spans="1:25" x14ac:dyDescent="0.35">
      <c r="A82" s="52">
        <f t="shared" si="6"/>
        <v>79</v>
      </c>
      <c r="B82">
        <v>-2.2091954953374748</v>
      </c>
      <c r="C82">
        <f t="shared" si="7"/>
        <v>6.6513632585601243</v>
      </c>
      <c r="E82" s="3"/>
      <c r="Y82" s="137"/>
    </row>
    <row r="83" spans="1:25" x14ac:dyDescent="0.35">
      <c r="A83" s="52">
        <f t="shared" si="6"/>
        <v>80</v>
      </c>
      <c r="B83">
        <v>0.58428471659950154</v>
      </c>
      <c r="C83">
        <f t="shared" si="7"/>
        <v>8.2448300200235511</v>
      </c>
      <c r="E83" s="3"/>
      <c r="Y83" s="137"/>
    </row>
    <row r="84" spans="1:25" x14ac:dyDescent="0.35">
      <c r="A84" s="52">
        <f t="shared" si="6"/>
        <v>81</v>
      </c>
      <c r="B84">
        <v>-2.2565728658251021</v>
      </c>
      <c r="C84">
        <f t="shared" si="7"/>
        <v>6.0413591421843176</v>
      </c>
      <c r="E84" s="3"/>
      <c r="Y84" s="137"/>
    </row>
    <row r="85" spans="1:25" x14ac:dyDescent="0.35">
      <c r="A85" s="52">
        <f t="shared" si="6"/>
        <v>82</v>
      </c>
      <c r="B85">
        <v>0.23281908394472797</v>
      </c>
      <c r="C85">
        <f t="shared" si="7"/>
        <v>7.6493627408184555</v>
      </c>
      <c r="E85" s="3"/>
      <c r="Y85" s="137"/>
    </row>
    <row r="86" spans="1:25" x14ac:dyDescent="0.35">
      <c r="A86" s="52">
        <f t="shared" si="6"/>
        <v>83</v>
      </c>
      <c r="B86">
        <v>0.49524033527740019</v>
      </c>
      <c r="C86">
        <f t="shared" si="7"/>
        <v>8.5549854316047824</v>
      </c>
      <c r="E86" s="3"/>
      <c r="Y86" s="137"/>
    </row>
    <row r="87" spans="1:25" x14ac:dyDescent="0.35">
      <c r="A87" s="52">
        <f t="shared" si="6"/>
        <v>84</v>
      </c>
      <c r="B87">
        <v>0.89450133380532859</v>
      </c>
      <c r="C87">
        <f t="shared" si="7"/>
        <v>9.3164955064472412</v>
      </c>
      <c r="E87" s="3"/>
      <c r="Y87" s="137"/>
    </row>
    <row r="88" spans="1:25" x14ac:dyDescent="0.35">
      <c r="A88" s="52">
        <f t="shared" si="6"/>
        <v>85</v>
      </c>
      <c r="B88">
        <v>0.66143975641931108</v>
      </c>
      <c r="C88">
        <f t="shared" si="7"/>
        <v>9.3880379589982077</v>
      </c>
      <c r="E88" s="3"/>
      <c r="Y88" s="137"/>
    </row>
    <row r="89" spans="1:25" x14ac:dyDescent="0.35">
      <c r="A89" s="52">
        <f t="shared" si="6"/>
        <v>86</v>
      </c>
      <c r="B89">
        <v>6.3199556908929588E-2</v>
      </c>
      <c r="C89">
        <f t="shared" si="7"/>
        <v>8.8184147405082118</v>
      </c>
      <c r="E89" s="3"/>
      <c r="Y89" s="137"/>
    </row>
    <row r="90" spans="1:25" x14ac:dyDescent="0.35">
      <c r="A90" s="52">
        <f t="shared" si="6"/>
        <v>87</v>
      </c>
      <c r="B90">
        <v>0.38254277742889303</v>
      </c>
      <c r="C90">
        <f t="shared" si="7"/>
        <v>8.9099086736321791</v>
      </c>
      <c r="E90" s="3"/>
      <c r="Y90" s="137"/>
    </row>
    <row r="91" spans="1:25" x14ac:dyDescent="0.35">
      <c r="A91" s="52">
        <f t="shared" si="6"/>
        <v>88</v>
      </c>
      <c r="B91">
        <v>-6.7312472198635689E-2</v>
      </c>
      <c r="C91">
        <f t="shared" si="7"/>
        <v>8.4966509972542372</v>
      </c>
      <c r="E91" s="3"/>
      <c r="Y91" s="137"/>
    </row>
    <row r="92" spans="1:25" x14ac:dyDescent="0.35">
      <c r="A92" s="52">
        <f t="shared" si="6"/>
        <v>89</v>
      </c>
      <c r="B92">
        <v>1.1971018891493823</v>
      </c>
      <c r="C92">
        <f t="shared" si="7"/>
        <v>9.5957622880510769</v>
      </c>
      <c r="E92" s="3"/>
      <c r="Y92" s="137"/>
    </row>
    <row r="93" spans="1:25" x14ac:dyDescent="0.35">
      <c r="A93" s="52">
        <f t="shared" si="6"/>
        <v>90</v>
      </c>
      <c r="B93">
        <v>0.59579933443828115</v>
      </c>
      <c r="C93">
        <f t="shared" si="7"/>
        <v>9.4341042496587111</v>
      </c>
      <c r="E93" s="3"/>
      <c r="Y93" s="137"/>
    </row>
    <row r="94" spans="1:25" x14ac:dyDescent="0.35">
      <c r="A94" s="52">
        <f t="shared" si="6"/>
        <v>91</v>
      </c>
      <c r="B94">
        <v>-0.41866766867043603</v>
      </c>
      <c r="C94">
        <f t="shared" si="7"/>
        <v>8.3549740311930485</v>
      </c>
      <c r="E94" s="3"/>
      <c r="Y94" s="137"/>
    </row>
    <row r="95" spans="1:25" x14ac:dyDescent="0.35">
      <c r="A95" s="52">
        <f t="shared" si="6"/>
        <v>92</v>
      </c>
      <c r="B95">
        <v>0.49549703119367106</v>
      </c>
      <c r="C95">
        <f t="shared" si="7"/>
        <v>8.8374866436708892</v>
      </c>
      <c r="E95" s="3"/>
      <c r="Y95" s="137"/>
    </row>
    <row r="96" spans="1:25" x14ac:dyDescent="0.35">
      <c r="A96" s="52">
        <f t="shared" si="6"/>
        <v>93</v>
      </c>
      <c r="B96">
        <v>-0.73198957727372738</v>
      </c>
      <c r="C96">
        <f t="shared" si="7"/>
        <v>7.8030050801946294</v>
      </c>
      <c r="E96" s="3"/>
      <c r="Y96" s="137"/>
    </row>
    <row r="97" spans="1:25" x14ac:dyDescent="0.35">
      <c r="A97" s="52">
        <f t="shared" si="6"/>
        <v>94</v>
      </c>
      <c r="B97">
        <v>-1.689069405111556</v>
      </c>
      <c r="C97">
        <f t="shared" si="7"/>
        <v>6.432132626966296</v>
      </c>
      <c r="E97" s="3"/>
      <c r="Y97" s="137"/>
    </row>
    <row r="98" spans="1:25" x14ac:dyDescent="0.35">
      <c r="A98" s="52">
        <f t="shared" si="6"/>
        <v>95</v>
      </c>
      <c r="B98">
        <v>0.63418513232695806</v>
      </c>
      <c r="C98">
        <f t="shared" si="7"/>
        <v>8.2070381831134771</v>
      </c>
      <c r="E98" s="3"/>
      <c r="Y98" s="137"/>
    </row>
    <row r="99" spans="1:25" x14ac:dyDescent="0.35">
      <c r="A99" s="52">
        <f t="shared" si="6"/>
        <v>96</v>
      </c>
      <c r="B99">
        <v>-1.3893141203729287</v>
      </c>
      <c r="C99">
        <f t="shared" si="7"/>
        <v>6.8935011528724619</v>
      </c>
      <c r="E99" s="3"/>
      <c r="Y99" s="137"/>
    </row>
    <row r="100" spans="1:25" x14ac:dyDescent="0.35">
      <c r="A100" s="52">
        <f t="shared" si="6"/>
        <v>97</v>
      </c>
      <c r="B100">
        <v>-1.1760428057670618</v>
      </c>
      <c r="C100">
        <f t="shared" si="7"/>
        <v>6.5813576553819226</v>
      </c>
      <c r="E100" s="3"/>
      <c r="Y100" s="137"/>
    </row>
    <row r="101" spans="1:25" x14ac:dyDescent="0.35">
      <c r="A101" s="52">
        <f t="shared" si="6"/>
        <v>98</v>
      </c>
      <c r="B101">
        <v>-0.90942951113553827</v>
      </c>
      <c r="C101">
        <f t="shared" si="7"/>
        <v>6.7231135510172306</v>
      </c>
      <c r="E101" s="3"/>
      <c r="Y101" s="137"/>
    </row>
    <row r="102" spans="1:25" x14ac:dyDescent="0.35">
      <c r="A102" s="52">
        <f t="shared" si="6"/>
        <v>99</v>
      </c>
      <c r="B102">
        <v>-2.0861429707489747</v>
      </c>
      <c r="C102">
        <f t="shared" si="7"/>
        <v>5.6031024496579178</v>
      </c>
      <c r="E102" s="3"/>
      <c r="Y102" s="137"/>
    </row>
    <row r="103" spans="1:25" x14ac:dyDescent="0.35">
      <c r="A103" s="52">
        <f t="shared" si="6"/>
        <v>100</v>
      </c>
      <c r="B103" s="4">
        <v>1.0086025406962058</v>
      </c>
      <c r="C103" s="4">
        <f t="shared" si="7"/>
        <v>8.2498435205593736</v>
      </c>
      <c r="E103" s="3"/>
      <c r="Y103" s="137"/>
    </row>
  </sheetData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8"/>
  <dimension ref="A1:G103"/>
  <sheetViews>
    <sheetView workbookViewId="0"/>
  </sheetViews>
  <sheetFormatPr defaultRowHeight="14.5" x14ac:dyDescent="0.35"/>
  <cols>
    <col min="1" max="1" width="5.26953125" style="52" customWidth="1"/>
    <col min="6" max="7" width="10.1796875" customWidth="1"/>
  </cols>
  <sheetData>
    <row r="1" spans="1:7" x14ac:dyDescent="0.35">
      <c r="A1" s="61" t="s">
        <v>111</v>
      </c>
    </row>
    <row r="3" spans="1:7" x14ac:dyDescent="0.35">
      <c r="B3" s="8" t="s">
        <v>107</v>
      </c>
      <c r="C3" s="8" t="s">
        <v>110</v>
      </c>
      <c r="E3" s="8" t="s">
        <v>78</v>
      </c>
      <c r="F3" s="8" t="s">
        <v>119</v>
      </c>
      <c r="G3" s="8" t="s">
        <v>195</v>
      </c>
    </row>
    <row r="4" spans="1:7" x14ac:dyDescent="0.35">
      <c r="A4" s="52">
        <v>1</v>
      </c>
      <c r="B4">
        <v>-0.69785249480192335</v>
      </c>
      <c r="C4">
        <f>5+0.4*0+B4</f>
        <v>4.3021475051980769</v>
      </c>
      <c r="E4" s="52"/>
    </row>
    <row r="5" spans="1:7" x14ac:dyDescent="0.35">
      <c r="A5" s="52">
        <f>A4+1</f>
        <v>2</v>
      </c>
      <c r="B5">
        <v>-0.57784409098609946</v>
      </c>
      <c r="C5">
        <f>5+0.4*C4+B5</f>
        <v>6.1430149110931316</v>
      </c>
      <c r="E5" s="52"/>
    </row>
    <row r="6" spans="1:7" x14ac:dyDescent="0.35">
      <c r="A6" s="52">
        <f t="shared" ref="A6:A69" si="0">A5+1</f>
        <v>3</v>
      </c>
      <c r="B6">
        <v>-1.1112486969478823</v>
      </c>
      <c r="C6">
        <f t="shared" ref="C6:C69" si="1">5+0.4*C5+B6</f>
        <v>6.3459572674893705</v>
      </c>
      <c r="E6" s="52">
        <v>1</v>
      </c>
      <c r="F6" s="26" t="e" cm="1">
        <f t="array" aca="1" ref="F6" ca="1">PACF($C$4:$C$103,E6)</f>
        <v>#NAME?</v>
      </c>
      <c r="G6" s="58">
        <f>0.4^E6</f>
        <v>0.4</v>
      </c>
    </row>
    <row r="7" spans="1:7" x14ac:dyDescent="0.35">
      <c r="A7" s="52">
        <f t="shared" si="0"/>
        <v>4</v>
      </c>
      <c r="B7">
        <v>-0.5603335917027612</v>
      </c>
      <c r="C7">
        <f t="shared" si="1"/>
        <v>6.9780493152929868</v>
      </c>
      <c r="E7" s="52">
        <f>E6+1</f>
        <v>2</v>
      </c>
      <c r="F7" s="29" t="e" cm="1">
        <f t="array" aca="1" ref="F7" ca="1">PACF($C$4:$C$103,E7)</f>
        <v>#NAME?</v>
      </c>
      <c r="G7" s="30">
        <v>0</v>
      </c>
    </row>
    <row r="8" spans="1:7" x14ac:dyDescent="0.35">
      <c r="A8" s="52">
        <f t="shared" si="0"/>
        <v>5</v>
      </c>
      <c r="B8">
        <v>1.656533975333653</v>
      </c>
      <c r="C8">
        <f t="shared" si="1"/>
        <v>9.4477537014508481</v>
      </c>
      <c r="E8" s="52">
        <f t="shared" ref="E8:E20" si="2">E7+1</f>
        <v>3</v>
      </c>
      <c r="F8" s="29" t="e" cm="1">
        <f t="array" aca="1" ref="F8" ca="1">PACF($C$4:$C$103,E8)</f>
        <v>#NAME?</v>
      </c>
      <c r="G8" s="30">
        <v>0</v>
      </c>
    </row>
    <row r="9" spans="1:7" x14ac:dyDescent="0.35">
      <c r="A9" s="52">
        <f t="shared" si="0"/>
        <v>6</v>
      </c>
      <c r="B9">
        <v>-0.41484923591072326</v>
      </c>
      <c r="C9">
        <f t="shared" si="1"/>
        <v>8.3642522446696148</v>
      </c>
      <c r="E9" s="52">
        <f t="shared" si="2"/>
        <v>4</v>
      </c>
      <c r="F9" s="29" t="e" cm="1">
        <f t="array" aca="1" ref="F9" ca="1">PACF($C$4:$C$103,E9)</f>
        <v>#NAME?</v>
      </c>
      <c r="G9" s="30">
        <v>0</v>
      </c>
    </row>
    <row r="10" spans="1:7" x14ac:dyDescent="0.35">
      <c r="A10" s="52">
        <f t="shared" si="0"/>
        <v>7</v>
      </c>
      <c r="B10">
        <v>-1.274931208283298</v>
      </c>
      <c r="C10">
        <f t="shared" si="1"/>
        <v>7.0707696895845489</v>
      </c>
      <c r="E10" s="52">
        <f t="shared" si="2"/>
        <v>5</v>
      </c>
      <c r="F10" s="29" t="e" cm="1">
        <f t="array" aca="1" ref="F10" ca="1">PACF($C$4:$C$103,E10)</f>
        <v>#NAME?</v>
      </c>
      <c r="G10" s="30">
        <v>0</v>
      </c>
    </row>
    <row r="11" spans="1:7" x14ac:dyDescent="0.35">
      <c r="A11" s="52">
        <f t="shared" si="0"/>
        <v>8</v>
      </c>
      <c r="B11">
        <v>-0.80593538272356346</v>
      </c>
      <c r="C11">
        <f t="shared" si="1"/>
        <v>7.0223724931102565</v>
      </c>
      <c r="E11" s="52">
        <f t="shared" si="2"/>
        <v>6</v>
      </c>
      <c r="F11" s="29" t="e" cm="1">
        <f t="array" aca="1" ref="F11" ca="1">PACF($C$4:$C$103,E11)</f>
        <v>#NAME?</v>
      </c>
      <c r="G11" s="30">
        <v>0</v>
      </c>
    </row>
    <row r="12" spans="1:7" x14ac:dyDescent="0.35">
      <c r="A12" s="52">
        <f t="shared" si="0"/>
        <v>9</v>
      </c>
      <c r="B12">
        <v>-0.17954155743882044</v>
      </c>
      <c r="C12">
        <f t="shared" si="1"/>
        <v>7.6294074398052825</v>
      </c>
      <c r="E12" s="52">
        <f t="shared" si="2"/>
        <v>7</v>
      </c>
      <c r="F12" s="29" t="e" cm="1">
        <f t="array" aca="1" ref="F12" ca="1">PACF($C$4:$C$103,E12)</f>
        <v>#NAME?</v>
      </c>
      <c r="G12" s="30">
        <v>0</v>
      </c>
    </row>
    <row r="13" spans="1:7" x14ac:dyDescent="0.35">
      <c r="A13" s="52">
        <f t="shared" si="0"/>
        <v>10</v>
      </c>
      <c r="B13">
        <v>-0.60002179872810912</v>
      </c>
      <c r="C13">
        <f t="shared" si="1"/>
        <v>7.4517411771940036</v>
      </c>
      <c r="E13" s="52">
        <f t="shared" si="2"/>
        <v>8</v>
      </c>
      <c r="F13" s="29" t="e" cm="1">
        <f t="array" aca="1" ref="F13" ca="1">PACF($C$4:$C$103,E13)</f>
        <v>#NAME?</v>
      </c>
      <c r="G13" s="30">
        <v>0</v>
      </c>
    </row>
    <row r="14" spans="1:7" x14ac:dyDescent="0.35">
      <c r="A14" s="52">
        <f t="shared" si="0"/>
        <v>11</v>
      </c>
      <c r="B14">
        <v>-0.66763333953713533</v>
      </c>
      <c r="C14">
        <f t="shared" si="1"/>
        <v>7.3130631313404661</v>
      </c>
      <c r="E14" s="52">
        <f t="shared" si="2"/>
        <v>9</v>
      </c>
      <c r="F14" s="29" t="e" cm="1">
        <f t="array" aca="1" ref="F14" ca="1">PACF($C$4:$C$103,E14)</f>
        <v>#NAME?</v>
      </c>
      <c r="G14" s="30">
        <v>0</v>
      </c>
    </row>
    <row r="15" spans="1:7" x14ac:dyDescent="0.35">
      <c r="A15" s="52">
        <f t="shared" si="0"/>
        <v>12</v>
      </c>
      <c r="B15">
        <v>-1.1882740654292401</v>
      </c>
      <c r="C15">
        <f t="shared" si="1"/>
        <v>6.7369511871069463</v>
      </c>
      <c r="E15" s="52">
        <f t="shared" si="2"/>
        <v>10</v>
      </c>
      <c r="F15" s="29" t="e" cm="1">
        <f t="array" aca="1" ref="F15" ca="1">PACF($C$4:$C$103,E15)</f>
        <v>#NAME?</v>
      </c>
      <c r="G15" s="30">
        <v>0</v>
      </c>
    </row>
    <row r="16" spans="1:7" x14ac:dyDescent="0.35">
      <c r="A16" s="52">
        <f t="shared" si="0"/>
        <v>13</v>
      </c>
      <c r="B16">
        <v>-5.9362987216999438E-2</v>
      </c>
      <c r="C16">
        <f t="shared" si="1"/>
        <v>7.6354174876257783</v>
      </c>
      <c r="E16" s="52">
        <f t="shared" si="2"/>
        <v>11</v>
      </c>
      <c r="F16" s="29" t="e" cm="1">
        <f t="array" aca="1" ref="F16" ca="1">PACF($C$4:$C$103,E16)</f>
        <v>#NAME?</v>
      </c>
      <c r="G16" s="30">
        <v>0</v>
      </c>
    </row>
    <row r="17" spans="1:7" x14ac:dyDescent="0.35">
      <c r="A17" s="52">
        <f t="shared" si="0"/>
        <v>14</v>
      </c>
      <c r="B17">
        <v>0.2800890126112825</v>
      </c>
      <c r="C17">
        <f t="shared" si="1"/>
        <v>8.3342560076615939</v>
      </c>
      <c r="E17" s="52">
        <f t="shared" si="2"/>
        <v>12</v>
      </c>
      <c r="F17" s="29" t="e" cm="1">
        <f t="array" aca="1" ref="F17" ca="1">PACF($C$4:$C$103,E17)</f>
        <v>#NAME?</v>
      </c>
      <c r="G17" s="30">
        <v>0</v>
      </c>
    </row>
    <row r="18" spans="1:7" x14ac:dyDescent="0.35">
      <c r="A18" s="52">
        <f t="shared" si="0"/>
        <v>15</v>
      </c>
      <c r="B18">
        <v>0.18047523554544689</v>
      </c>
      <c r="C18">
        <f t="shared" si="1"/>
        <v>8.5141776386100858</v>
      </c>
      <c r="E18" s="52">
        <f t="shared" si="2"/>
        <v>13</v>
      </c>
      <c r="F18" s="29" t="e" cm="1">
        <f t="array" aca="1" ref="F18" ca="1">PACF($C$4:$C$103,E18)</f>
        <v>#NAME?</v>
      </c>
      <c r="G18" s="30">
        <v>0</v>
      </c>
    </row>
    <row r="19" spans="1:7" x14ac:dyDescent="0.35">
      <c r="A19" s="52">
        <f t="shared" si="0"/>
        <v>16</v>
      </c>
      <c r="B19">
        <v>1.0704437186023568</v>
      </c>
      <c r="C19">
        <f t="shared" si="1"/>
        <v>9.4761147740463922</v>
      </c>
      <c r="E19" s="52">
        <f t="shared" si="2"/>
        <v>14</v>
      </c>
      <c r="F19" s="29" t="e" cm="1">
        <f t="array" aca="1" ref="F19" ca="1">PACF($C$4:$C$103,E19)</f>
        <v>#NAME?</v>
      </c>
      <c r="G19" s="30">
        <v>0</v>
      </c>
    </row>
    <row r="20" spans="1:7" x14ac:dyDescent="0.35">
      <c r="A20" s="52">
        <f t="shared" si="0"/>
        <v>17</v>
      </c>
      <c r="B20">
        <v>-0.34072311283254131</v>
      </c>
      <c r="C20">
        <f t="shared" si="1"/>
        <v>8.4497227967860145</v>
      </c>
      <c r="E20" s="52">
        <f t="shared" si="2"/>
        <v>15</v>
      </c>
      <c r="F20" s="31" t="e" cm="1">
        <f t="array" aca="1" ref="F20" ca="1">PACF($C$4:$C$103,E20)</f>
        <v>#NAME?</v>
      </c>
      <c r="G20" s="32">
        <v>0</v>
      </c>
    </row>
    <row r="21" spans="1:7" x14ac:dyDescent="0.35">
      <c r="A21" s="52">
        <f t="shared" si="0"/>
        <v>18</v>
      </c>
      <c r="B21">
        <v>1.1245741006977241</v>
      </c>
      <c r="C21">
        <f t="shared" si="1"/>
        <v>9.5044632194121306</v>
      </c>
    </row>
    <row r="22" spans="1:7" x14ac:dyDescent="0.35">
      <c r="A22" s="52">
        <f t="shared" si="0"/>
        <v>19</v>
      </c>
      <c r="B22">
        <v>-2.1341842125122983</v>
      </c>
      <c r="C22">
        <f t="shared" si="1"/>
        <v>6.6676010752525539</v>
      </c>
    </row>
    <row r="23" spans="1:7" x14ac:dyDescent="0.35">
      <c r="A23" s="52">
        <f t="shared" si="0"/>
        <v>20</v>
      </c>
      <c r="B23">
        <v>0.18527521137964745</v>
      </c>
      <c r="C23">
        <f t="shared" si="1"/>
        <v>7.8523156414806694</v>
      </c>
    </row>
    <row r="24" spans="1:7" x14ac:dyDescent="0.35">
      <c r="A24" s="52">
        <f t="shared" si="0"/>
        <v>21</v>
      </c>
      <c r="B24">
        <v>-0.2220638394273014</v>
      </c>
      <c r="C24">
        <f t="shared" si="1"/>
        <v>7.9188624171649664</v>
      </c>
    </row>
    <row r="25" spans="1:7" x14ac:dyDescent="0.35">
      <c r="A25" s="52">
        <f t="shared" si="0"/>
        <v>22</v>
      </c>
      <c r="B25">
        <v>0.60504116436601907</v>
      </c>
      <c r="C25">
        <f t="shared" si="1"/>
        <v>8.7725861312320053</v>
      </c>
    </row>
    <row r="26" spans="1:7" x14ac:dyDescent="0.35">
      <c r="A26" s="52">
        <f t="shared" si="0"/>
        <v>23</v>
      </c>
      <c r="B26">
        <v>2.4090628953263193</v>
      </c>
      <c r="C26">
        <f t="shared" si="1"/>
        <v>10.918097347819121</v>
      </c>
    </row>
    <row r="27" spans="1:7" x14ac:dyDescent="0.35">
      <c r="A27" s="52">
        <f t="shared" si="0"/>
        <v>24</v>
      </c>
      <c r="B27">
        <v>-0.22785690261685324</v>
      </c>
      <c r="C27">
        <f t="shared" si="1"/>
        <v>9.1393820365107956</v>
      </c>
    </row>
    <row r="28" spans="1:7" x14ac:dyDescent="0.35">
      <c r="A28" s="52">
        <f t="shared" si="0"/>
        <v>25</v>
      </c>
      <c r="B28">
        <v>1.4933040877872454</v>
      </c>
      <c r="C28">
        <f t="shared" si="1"/>
        <v>10.149056902391564</v>
      </c>
    </row>
    <row r="29" spans="1:7" x14ac:dyDescent="0.35">
      <c r="A29" s="52">
        <f t="shared" si="0"/>
        <v>26</v>
      </c>
      <c r="B29">
        <v>0.71349407818724175</v>
      </c>
      <c r="C29">
        <f t="shared" si="1"/>
        <v>9.7731168391438672</v>
      </c>
    </row>
    <row r="30" spans="1:7" x14ac:dyDescent="0.35">
      <c r="A30" s="52">
        <f t="shared" si="0"/>
        <v>27</v>
      </c>
      <c r="B30">
        <v>-0.76524343436916209</v>
      </c>
      <c r="C30">
        <f t="shared" si="1"/>
        <v>8.1440033012883841</v>
      </c>
    </row>
    <row r="31" spans="1:7" x14ac:dyDescent="0.35">
      <c r="A31" s="52">
        <f t="shared" si="0"/>
        <v>28</v>
      </c>
      <c r="B31">
        <v>-1.4191009440900102</v>
      </c>
      <c r="C31">
        <f t="shared" si="1"/>
        <v>6.838500376425344</v>
      </c>
    </row>
    <row r="32" spans="1:7" x14ac:dyDescent="0.35">
      <c r="A32" s="52">
        <f t="shared" si="0"/>
        <v>29</v>
      </c>
      <c r="B32">
        <v>1.4740369863748075</v>
      </c>
      <c r="C32">
        <f t="shared" si="1"/>
        <v>9.2094371369449455</v>
      </c>
    </row>
    <row r="33" spans="1:3" x14ac:dyDescent="0.35">
      <c r="A33" s="52">
        <f t="shared" si="0"/>
        <v>30</v>
      </c>
      <c r="B33">
        <v>0.15337369729432532</v>
      </c>
      <c r="C33">
        <f t="shared" si="1"/>
        <v>8.8371485520723034</v>
      </c>
    </row>
    <row r="34" spans="1:3" x14ac:dyDescent="0.35">
      <c r="A34" s="52">
        <f t="shared" si="0"/>
        <v>31</v>
      </c>
      <c r="B34">
        <v>-0.913929957875393</v>
      </c>
      <c r="C34">
        <f t="shared" si="1"/>
        <v>7.6209294629535282</v>
      </c>
    </row>
    <row r="35" spans="1:3" x14ac:dyDescent="0.35">
      <c r="A35" s="52">
        <f t="shared" si="0"/>
        <v>32</v>
      </c>
      <c r="B35">
        <v>-0.25821378573000997</v>
      </c>
      <c r="C35">
        <f t="shared" si="1"/>
        <v>7.7901579994514005</v>
      </c>
    </row>
    <row r="36" spans="1:3" x14ac:dyDescent="0.35">
      <c r="A36" s="52">
        <f t="shared" si="0"/>
        <v>33</v>
      </c>
      <c r="B36">
        <v>-0.4966112314661153</v>
      </c>
      <c r="C36">
        <f t="shared" si="1"/>
        <v>7.6194519683144453</v>
      </c>
    </row>
    <row r="37" spans="1:3" x14ac:dyDescent="0.35">
      <c r="A37" s="52">
        <f t="shared" si="0"/>
        <v>34</v>
      </c>
      <c r="B37">
        <v>1.0801200937235274</v>
      </c>
      <c r="C37">
        <f t="shared" si="1"/>
        <v>9.127900881049305</v>
      </c>
    </row>
    <row r="38" spans="1:3" x14ac:dyDescent="0.35">
      <c r="A38" s="52">
        <f t="shared" si="0"/>
        <v>35</v>
      </c>
      <c r="B38">
        <v>0.62769726735219578</v>
      </c>
      <c r="C38">
        <f t="shared" si="1"/>
        <v>9.2788576197719177</v>
      </c>
    </row>
    <row r="39" spans="1:3" x14ac:dyDescent="0.35">
      <c r="A39" s="52">
        <f t="shared" si="0"/>
        <v>36</v>
      </c>
      <c r="B39">
        <v>-4.7183894609775658E-2</v>
      </c>
      <c r="C39">
        <f t="shared" si="1"/>
        <v>8.6643591532989923</v>
      </c>
    </row>
    <row r="40" spans="1:3" x14ac:dyDescent="0.35">
      <c r="A40" s="52">
        <f t="shared" si="0"/>
        <v>37</v>
      </c>
      <c r="B40">
        <v>1.2597876850887306</v>
      </c>
      <c r="C40">
        <f t="shared" si="1"/>
        <v>9.7255313464083262</v>
      </c>
    </row>
    <row r="41" spans="1:3" x14ac:dyDescent="0.35">
      <c r="A41" s="52">
        <f t="shared" si="0"/>
        <v>38</v>
      </c>
      <c r="B41">
        <v>2.5165584473214784</v>
      </c>
      <c r="C41">
        <f t="shared" si="1"/>
        <v>11.406770985884808</v>
      </c>
    </row>
    <row r="42" spans="1:3" x14ac:dyDescent="0.35">
      <c r="A42" s="52">
        <f t="shared" si="0"/>
        <v>39</v>
      </c>
      <c r="B42">
        <v>0.27095358748665704</v>
      </c>
      <c r="C42">
        <f t="shared" si="1"/>
        <v>9.8336619818405797</v>
      </c>
    </row>
    <row r="43" spans="1:3" x14ac:dyDescent="0.35">
      <c r="A43" s="52">
        <f t="shared" si="0"/>
        <v>40</v>
      </c>
      <c r="B43">
        <v>-0.47142727098497039</v>
      </c>
      <c r="C43">
        <f t="shared" si="1"/>
        <v>8.4620375217512613</v>
      </c>
    </row>
    <row r="44" spans="1:3" x14ac:dyDescent="0.35">
      <c r="A44" s="52">
        <f t="shared" si="0"/>
        <v>41</v>
      </c>
      <c r="B44">
        <v>-1.3509821338183612</v>
      </c>
      <c r="C44">
        <f t="shared" si="1"/>
        <v>7.0338328748821439</v>
      </c>
    </row>
    <row r="45" spans="1:3" x14ac:dyDescent="0.35">
      <c r="A45" s="52">
        <f t="shared" si="0"/>
        <v>42</v>
      </c>
      <c r="B45">
        <v>-0.52523357627441403</v>
      </c>
      <c r="C45">
        <f t="shared" si="1"/>
        <v>7.2882995736784437</v>
      </c>
    </row>
    <row r="46" spans="1:3" x14ac:dyDescent="0.35">
      <c r="A46" s="52">
        <f t="shared" si="0"/>
        <v>43</v>
      </c>
      <c r="B46">
        <v>0.97135557619367507</v>
      </c>
      <c r="C46">
        <f t="shared" si="1"/>
        <v>8.8866754056650521</v>
      </c>
    </row>
    <row r="47" spans="1:3" x14ac:dyDescent="0.35">
      <c r="A47" s="52">
        <f t="shared" si="0"/>
        <v>44</v>
      </c>
      <c r="B47">
        <v>-1.0748501156519588</v>
      </c>
      <c r="C47">
        <f t="shared" si="1"/>
        <v>7.4798200466140621</v>
      </c>
    </row>
    <row r="48" spans="1:3" x14ac:dyDescent="0.35">
      <c r="A48" s="52">
        <f t="shared" si="0"/>
        <v>45</v>
      </c>
      <c r="B48">
        <v>1.7738103479768892</v>
      </c>
      <c r="C48">
        <f t="shared" si="1"/>
        <v>9.7657383666225144</v>
      </c>
    </row>
    <row r="49" spans="1:3" x14ac:dyDescent="0.35">
      <c r="A49" s="52">
        <f t="shared" si="0"/>
        <v>46</v>
      </c>
      <c r="B49">
        <v>-0.96159497995241328</v>
      </c>
      <c r="C49">
        <f t="shared" si="1"/>
        <v>7.9447003666965932</v>
      </c>
    </row>
    <row r="50" spans="1:3" x14ac:dyDescent="0.35">
      <c r="A50" s="52">
        <f t="shared" si="0"/>
        <v>47</v>
      </c>
      <c r="B50">
        <v>-1.348796891215885</v>
      </c>
      <c r="C50">
        <f t="shared" si="1"/>
        <v>6.8290832554627521</v>
      </c>
    </row>
    <row r="51" spans="1:3" x14ac:dyDescent="0.35">
      <c r="A51" s="52">
        <f t="shared" si="0"/>
        <v>48</v>
      </c>
      <c r="B51">
        <v>0.18934575003145279</v>
      </c>
      <c r="C51">
        <f t="shared" si="1"/>
        <v>7.9209790522165529</v>
      </c>
    </row>
    <row r="52" spans="1:3" x14ac:dyDescent="0.35">
      <c r="A52" s="52">
        <f t="shared" si="0"/>
        <v>49</v>
      </c>
      <c r="B52">
        <v>-2.2171935642462177</v>
      </c>
      <c r="C52">
        <f t="shared" si="1"/>
        <v>5.9511980566404041</v>
      </c>
    </row>
    <row r="53" spans="1:3" x14ac:dyDescent="0.35">
      <c r="A53" s="52">
        <f t="shared" si="0"/>
        <v>50</v>
      </c>
      <c r="B53">
        <v>-0.15611584341500756</v>
      </c>
      <c r="C53">
        <f t="shared" si="1"/>
        <v>7.2243633792411535</v>
      </c>
    </row>
    <row r="54" spans="1:3" x14ac:dyDescent="0.35">
      <c r="A54" s="52">
        <f t="shared" si="0"/>
        <v>51</v>
      </c>
      <c r="B54">
        <v>0.1487533713317542</v>
      </c>
      <c r="C54">
        <f t="shared" si="1"/>
        <v>8.0384987230282157</v>
      </c>
    </row>
    <row r="55" spans="1:3" x14ac:dyDescent="0.35">
      <c r="A55" s="52">
        <f t="shared" si="0"/>
        <v>52</v>
      </c>
      <c r="B55">
        <v>-0.47544656135152197</v>
      </c>
      <c r="C55">
        <f t="shared" si="1"/>
        <v>7.7399529278597647</v>
      </c>
    </row>
    <row r="56" spans="1:3" x14ac:dyDescent="0.35">
      <c r="A56" s="52">
        <f t="shared" si="0"/>
        <v>53</v>
      </c>
      <c r="B56">
        <v>0.85919497639068354</v>
      </c>
      <c r="C56">
        <f t="shared" si="1"/>
        <v>8.9551761475345906</v>
      </c>
    </row>
    <row r="57" spans="1:3" x14ac:dyDescent="0.35">
      <c r="A57" s="52">
        <f t="shared" si="0"/>
        <v>54</v>
      </c>
      <c r="B57">
        <v>1.3246162518823317</v>
      </c>
      <c r="C57">
        <f t="shared" si="1"/>
        <v>9.9066867108961674</v>
      </c>
    </row>
    <row r="58" spans="1:3" x14ac:dyDescent="0.35">
      <c r="A58" s="52">
        <f t="shared" si="0"/>
        <v>55</v>
      </c>
      <c r="B58">
        <v>1.2039291261462839</v>
      </c>
      <c r="C58">
        <f t="shared" si="1"/>
        <v>10.16660381050475</v>
      </c>
    </row>
    <row r="59" spans="1:3" x14ac:dyDescent="0.35">
      <c r="A59" s="52">
        <f t="shared" si="0"/>
        <v>56</v>
      </c>
      <c r="B59">
        <v>4.9959592389363885E-2</v>
      </c>
      <c r="C59">
        <f t="shared" si="1"/>
        <v>9.1166011165912639</v>
      </c>
    </row>
    <row r="60" spans="1:3" x14ac:dyDescent="0.35">
      <c r="A60" s="52">
        <f t="shared" si="0"/>
        <v>57</v>
      </c>
      <c r="B60">
        <v>-1.1481030425994976</v>
      </c>
      <c r="C60">
        <f t="shared" si="1"/>
        <v>7.4985374040370072</v>
      </c>
    </row>
    <row r="61" spans="1:3" x14ac:dyDescent="0.35">
      <c r="A61" s="52">
        <f t="shared" si="0"/>
        <v>58</v>
      </c>
      <c r="B61">
        <v>-1.2999610098507186</v>
      </c>
      <c r="C61">
        <f t="shared" si="1"/>
        <v>6.6994539517640845</v>
      </c>
    </row>
    <row r="62" spans="1:3" x14ac:dyDescent="0.35">
      <c r="A62" s="52">
        <f t="shared" si="0"/>
        <v>59</v>
      </c>
      <c r="B62">
        <v>2.3091411480625066</v>
      </c>
      <c r="C62">
        <f t="shared" si="1"/>
        <v>9.9889227287681415</v>
      </c>
    </row>
    <row r="63" spans="1:3" x14ac:dyDescent="0.35">
      <c r="A63" s="52">
        <f t="shared" si="0"/>
        <v>60</v>
      </c>
      <c r="B63">
        <v>-0.42761844974413893</v>
      </c>
      <c r="C63">
        <f t="shared" si="1"/>
        <v>8.567950641763117</v>
      </c>
    </row>
    <row r="64" spans="1:3" x14ac:dyDescent="0.35">
      <c r="A64" s="52">
        <f t="shared" si="0"/>
        <v>61</v>
      </c>
      <c r="B64">
        <v>2.7134767554812296</v>
      </c>
      <c r="C64">
        <f t="shared" si="1"/>
        <v>11.140657012186477</v>
      </c>
    </row>
    <row r="65" spans="1:3" x14ac:dyDescent="0.35">
      <c r="A65" s="52">
        <f t="shared" si="0"/>
        <v>62</v>
      </c>
      <c r="B65">
        <v>1.4055530411870729</v>
      </c>
      <c r="C65">
        <f t="shared" si="1"/>
        <v>10.861815846061663</v>
      </c>
    </row>
    <row r="66" spans="1:3" x14ac:dyDescent="0.35">
      <c r="A66" s="52">
        <f t="shared" si="0"/>
        <v>63</v>
      </c>
      <c r="B66">
        <v>-2.3970970128170634</v>
      </c>
      <c r="C66">
        <f t="shared" si="1"/>
        <v>6.9476293256076023</v>
      </c>
    </row>
    <row r="67" spans="1:3" x14ac:dyDescent="0.35">
      <c r="A67" s="52">
        <f t="shared" si="0"/>
        <v>64</v>
      </c>
      <c r="B67">
        <v>-1.3982167784378965</v>
      </c>
      <c r="C67">
        <f t="shared" si="1"/>
        <v>6.380834951805145</v>
      </c>
    </row>
    <row r="68" spans="1:3" x14ac:dyDescent="0.35">
      <c r="A68" s="52">
        <f t="shared" si="0"/>
        <v>65</v>
      </c>
      <c r="B68">
        <v>1.5203453639068958</v>
      </c>
      <c r="C68">
        <f t="shared" si="1"/>
        <v>9.0726793446289538</v>
      </c>
    </row>
    <row r="69" spans="1:3" x14ac:dyDescent="0.35">
      <c r="A69" s="52">
        <f t="shared" si="0"/>
        <v>66</v>
      </c>
      <c r="B69">
        <v>-1.796693354333766</v>
      </c>
      <c r="C69">
        <f t="shared" si="1"/>
        <v>6.832378383517816</v>
      </c>
    </row>
    <row r="70" spans="1:3" x14ac:dyDescent="0.35">
      <c r="A70" s="52">
        <f t="shared" ref="A70:A103" si="3">A69+1</f>
        <v>67</v>
      </c>
      <c r="B70">
        <v>-0.38337016660247258</v>
      </c>
      <c r="C70">
        <f t="shared" ref="C70:C103" si="4">5+0.4*C69+B70</f>
        <v>7.3495811868046541</v>
      </c>
    </row>
    <row r="71" spans="1:3" x14ac:dyDescent="0.35">
      <c r="A71" s="52">
        <f t="shared" si="3"/>
        <v>68</v>
      </c>
      <c r="B71">
        <v>0.7237406021617061</v>
      </c>
      <c r="C71">
        <f t="shared" si="4"/>
        <v>8.6635730768835675</v>
      </c>
    </row>
    <row r="72" spans="1:3" x14ac:dyDescent="0.35">
      <c r="A72" s="52">
        <f t="shared" si="3"/>
        <v>69</v>
      </c>
      <c r="B72">
        <v>0.15450598594324805</v>
      </c>
      <c r="C72">
        <f t="shared" si="4"/>
        <v>8.6199352166966747</v>
      </c>
    </row>
    <row r="73" spans="1:3" x14ac:dyDescent="0.35">
      <c r="A73" s="52">
        <f t="shared" si="3"/>
        <v>70</v>
      </c>
      <c r="B73">
        <v>0.63496088513469295</v>
      </c>
      <c r="C73">
        <f t="shared" si="4"/>
        <v>9.0829349718133621</v>
      </c>
    </row>
    <row r="74" spans="1:3" x14ac:dyDescent="0.35">
      <c r="A74" s="52">
        <f t="shared" si="3"/>
        <v>71</v>
      </c>
      <c r="B74">
        <v>0.54648580305162842</v>
      </c>
      <c r="C74">
        <f t="shared" si="4"/>
        <v>9.1796597917769738</v>
      </c>
    </row>
    <row r="75" spans="1:3" x14ac:dyDescent="0.35">
      <c r="A75" s="52">
        <f t="shared" si="3"/>
        <v>72</v>
      </c>
      <c r="B75">
        <v>-1.8232742163593527</v>
      </c>
      <c r="C75">
        <f t="shared" si="4"/>
        <v>6.848589700351436</v>
      </c>
    </row>
    <row r="76" spans="1:3" x14ac:dyDescent="0.35">
      <c r="A76" s="52">
        <f t="shared" si="3"/>
        <v>73</v>
      </c>
      <c r="B76">
        <v>1.075018827880697E-2</v>
      </c>
      <c r="C76">
        <f t="shared" si="4"/>
        <v>7.7501860684193806</v>
      </c>
    </row>
    <row r="77" spans="1:3" x14ac:dyDescent="0.35">
      <c r="A77" s="52">
        <f t="shared" si="3"/>
        <v>74</v>
      </c>
      <c r="B77">
        <v>0.73307753821250599</v>
      </c>
      <c r="C77">
        <f t="shared" si="4"/>
        <v>8.8331519655802584</v>
      </c>
    </row>
    <row r="78" spans="1:3" x14ac:dyDescent="0.35">
      <c r="A78" s="52">
        <f t="shared" si="3"/>
        <v>75</v>
      </c>
      <c r="B78">
        <v>0.83783470743166344</v>
      </c>
      <c r="C78">
        <f t="shared" si="4"/>
        <v>9.3710954936637663</v>
      </c>
    </row>
    <row r="79" spans="1:3" x14ac:dyDescent="0.35">
      <c r="A79" s="52">
        <f t="shared" si="3"/>
        <v>76</v>
      </c>
      <c r="B79">
        <v>-9.5603721077263268E-2</v>
      </c>
      <c r="C79">
        <f t="shared" si="4"/>
        <v>8.6528344763882448</v>
      </c>
    </row>
    <row r="80" spans="1:3" x14ac:dyDescent="0.35">
      <c r="A80" s="52">
        <f t="shared" si="3"/>
        <v>77</v>
      </c>
      <c r="B80">
        <v>0.79533209633253321</v>
      </c>
      <c r="C80">
        <f t="shared" si="4"/>
        <v>9.2564658868878311</v>
      </c>
    </row>
    <row r="81" spans="1:3" x14ac:dyDescent="0.35">
      <c r="A81" s="52">
        <f t="shared" si="3"/>
        <v>78</v>
      </c>
      <c r="B81">
        <v>0.94881052998886894</v>
      </c>
      <c r="C81">
        <f t="shared" si="4"/>
        <v>9.6513968847440008</v>
      </c>
    </row>
    <row r="82" spans="1:3" x14ac:dyDescent="0.35">
      <c r="A82" s="52">
        <f t="shared" si="3"/>
        <v>79</v>
      </c>
      <c r="B82">
        <v>-2.2091954953374748</v>
      </c>
      <c r="C82">
        <f t="shared" si="4"/>
        <v>6.6513632585601243</v>
      </c>
    </row>
    <row r="83" spans="1:3" x14ac:dyDescent="0.35">
      <c r="A83" s="52">
        <f t="shared" si="3"/>
        <v>80</v>
      </c>
      <c r="B83">
        <v>0.58428471659950154</v>
      </c>
      <c r="C83">
        <f t="shared" si="4"/>
        <v>8.2448300200235511</v>
      </c>
    </row>
    <row r="84" spans="1:3" x14ac:dyDescent="0.35">
      <c r="A84" s="52">
        <f t="shared" si="3"/>
        <v>81</v>
      </c>
      <c r="B84">
        <v>-2.2565728658251021</v>
      </c>
      <c r="C84">
        <f t="shared" si="4"/>
        <v>6.0413591421843176</v>
      </c>
    </row>
    <row r="85" spans="1:3" x14ac:dyDescent="0.35">
      <c r="A85" s="52">
        <f t="shared" si="3"/>
        <v>82</v>
      </c>
      <c r="B85">
        <v>0.23281908394472797</v>
      </c>
      <c r="C85">
        <f t="shared" si="4"/>
        <v>7.6493627408184555</v>
      </c>
    </row>
    <row r="86" spans="1:3" x14ac:dyDescent="0.35">
      <c r="A86" s="52">
        <f t="shared" si="3"/>
        <v>83</v>
      </c>
      <c r="B86">
        <v>0.49524033527740019</v>
      </c>
      <c r="C86">
        <f t="shared" si="4"/>
        <v>8.5549854316047824</v>
      </c>
    </row>
    <row r="87" spans="1:3" x14ac:dyDescent="0.35">
      <c r="A87" s="52">
        <f t="shared" si="3"/>
        <v>84</v>
      </c>
      <c r="B87">
        <v>0.89450133380532859</v>
      </c>
      <c r="C87">
        <f t="shared" si="4"/>
        <v>9.3164955064472412</v>
      </c>
    </row>
    <row r="88" spans="1:3" x14ac:dyDescent="0.35">
      <c r="A88" s="52">
        <f t="shared" si="3"/>
        <v>85</v>
      </c>
      <c r="B88">
        <v>0.66143975641931108</v>
      </c>
      <c r="C88">
        <f t="shared" si="4"/>
        <v>9.3880379589982077</v>
      </c>
    </row>
    <row r="89" spans="1:3" x14ac:dyDescent="0.35">
      <c r="A89" s="52">
        <f t="shared" si="3"/>
        <v>86</v>
      </c>
      <c r="B89">
        <v>6.3199556908929588E-2</v>
      </c>
      <c r="C89">
        <f t="shared" si="4"/>
        <v>8.8184147405082118</v>
      </c>
    </row>
    <row r="90" spans="1:3" x14ac:dyDescent="0.35">
      <c r="A90" s="52">
        <f t="shared" si="3"/>
        <v>87</v>
      </c>
      <c r="B90">
        <v>0.38254277742889303</v>
      </c>
      <c r="C90">
        <f t="shared" si="4"/>
        <v>8.9099086736321791</v>
      </c>
    </row>
    <row r="91" spans="1:3" x14ac:dyDescent="0.35">
      <c r="A91" s="52">
        <f t="shared" si="3"/>
        <v>88</v>
      </c>
      <c r="B91">
        <v>-6.7312472198635689E-2</v>
      </c>
      <c r="C91">
        <f t="shared" si="4"/>
        <v>8.4966509972542372</v>
      </c>
    </row>
    <row r="92" spans="1:3" x14ac:dyDescent="0.35">
      <c r="A92" s="52">
        <f t="shared" si="3"/>
        <v>89</v>
      </c>
      <c r="B92">
        <v>1.1971018891493823</v>
      </c>
      <c r="C92">
        <f t="shared" si="4"/>
        <v>9.5957622880510769</v>
      </c>
    </row>
    <row r="93" spans="1:3" x14ac:dyDescent="0.35">
      <c r="A93" s="52">
        <f t="shared" si="3"/>
        <v>90</v>
      </c>
      <c r="B93">
        <v>0.59579933443828115</v>
      </c>
      <c r="C93">
        <f t="shared" si="4"/>
        <v>9.4341042496587111</v>
      </c>
    </row>
    <row r="94" spans="1:3" x14ac:dyDescent="0.35">
      <c r="A94" s="52">
        <f t="shared" si="3"/>
        <v>91</v>
      </c>
      <c r="B94">
        <v>-0.41866766867043603</v>
      </c>
      <c r="C94">
        <f t="shared" si="4"/>
        <v>8.3549740311930485</v>
      </c>
    </row>
    <row r="95" spans="1:3" x14ac:dyDescent="0.35">
      <c r="A95" s="52">
        <f t="shared" si="3"/>
        <v>92</v>
      </c>
      <c r="B95">
        <v>0.49549703119367106</v>
      </c>
      <c r="C95">
        <f t="shared" si="4"/>
        <v>8.8374866436708892</v>
      </c>
    </row>
    <row r="96" spans="1:3" x14ac:dyDescent="0.35">
      <c r="A96" s="52">
        <f t="shared" si="3"/>
        <v>93</v>
      </c>
      <c r="B96">
        <v>-0.73198957727372738</v>
      </c>
      <c r="C96">
        <f t="shared" si="4"/>
        <v>7.8030050801946294</v>
      </c>
    </row>
    <row r="97" spans="1:3" x14ac:dyDescent="0.35">
      <c r="A97" s="52">
        <f t="shared" si="3"/>
        <v>94</v>
      </c>
      <c r="B97">
        <v>-1.689069405111556</v>
      </c>
      <c r="C97">
        <f t="shared" si="4"/>
        <v>6.432132626966296</v>
      </c>
    </row>
    <row r="98" spans="1:3" x14ac:dyDescent="0.35">
      <c r="A98" s="52">
        <f t="shared" si="3"/>
        <v>95</v>
      </c>
      <c r="B98">
        <v>0.63418513232695806</v>
      </c>
      <c r="C98">
        <f t="shared" si="4"/>
        <v>8.2070381831134771</v>
      </c>
    </row>
    <row r="99" spans="1:3" x14ac:dyDescent="0.35">
      <c r="A99" s="52">
        <f t="shared" si="3"/>
        <v>96</v>
      </c>
      <c r="B99">
        <v>-1.3893141203729287</v>
      </c>
      <c r="C99">
        <f t="shared" si="4"/>
        <v>6.8935011528724619</v>
      </c>
    </row>
    <row r="100" spans="1:3" x14ac:dyDescent="0.35">
      <c r="A100" s="52">
        <f t="shared" si="3"/>
        <v>97</v>
      </c>
      <c r="B100">
        <v>-1.1760428057670618</v>
      </c>
      <c r="C100">
        <f t="shared" si="4"/>
        <v>6.5813576553819226</v>
      </c>
    </row>
    <row r="101" spans="1:3" x14ac:dyDescent="0.35">
      <c r="A101" s="52">
        <f t="shared" si="3"/>
        <v>98</v>
      </c>
      <c r="B101">
        <v>-0.90942951113553827</v>
      </c>
      <c r="C101">
        <f t="shared" si="4"/>
        <v>6.7231135510172306</v>
      </c>
    </row>
    <row r="102" spans="1:3" x14ac:dyDescent="0.35">
      <c r="A102" s="52">
        <f t="shared" si="3"/>
        <v>99</v>
      </c>
      <c r="B102">
        <v>-2.0861429707489747</v>
      </c>
      <c r="C102">
        <f t="shared" si="4"/>
        <v>5.6031024496579178</v>
      </c>
    </row>
    <row r="103" spans="1:3" x14ac:dyDescent="0.35">
      <c r="A103" s="52">
        <f t="shared" si="3"/>
        <v>100</v>
      </c>
      <c r="B103" s="4">
        <v>1.0086025406962058</v>
      </c>
      <c r="C103" s="4">
        <f t="shared" si="4"/>
        <v>8.2498435205593736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3"/>
  <dimension ref="A1:P103"/>
  <sheetViews>
    <sheetView topLeftCell="A81" workbookViewId="0">
      <selection activeCell="I103" sqref="I103"/>
    </sheetView>
  </sheetViews>
  <sheetFormatPr defaultRowHeight="14.5" x14ac:dyDescent="0.35"/>
  <cols>
    <col min="1" max="1" width="3.81640625" customWidth="1"/>
    <col min="3" max="3" width="3.81640625" customWidth="1"/>
    <col min="4" max="4" width="3.7265625" customWidth="1"/>
    <col min="6" max="6" width="2.7265625" customWidth="1"/>
    <col min="8" max="8" width="2.7265625" customWidth="1"/>
    <col min="10" max="10" width="4.26953125" customWidth="1"/>
    <col min="14" max="14" width="4" customWidth="1"/>
    <col min="15" max="15" width="9.1796875" customWidth="1"/>
  </cols>
  <sheetData>
    <row r="1" spans="1:15" x14ac:dyDescent="0.35">
      <c r="A1" s="7" t="s">
        <v>197</v>
      </c>
    </row>
    <row r="3" spans="1:15" x14ac:dyDescent="0.35">
      <c r="B3" s="8" t="s">
        <v>110</v>
      </c>
      <c r="D3" s="277" t="s">
        <v>122</v>
      </c>
      <c r="E3" s="277"/>
      <c r="G3" s="68" t="s">
        <v>110</v>
      </c>
      <c r="I3" s="68" t="s">
        <v>196</v>
      </c>
      <c r="J3" s="52"/>
      <c r="K3" s="8" t="s">
        <v>124</v>
      </c>
      <c r="L3" s="8" t="s">
        <v>123</v>
      </c>
      <c r="M3" s="8" t="s">
        <v>107</v>
      </c>
      <c r="O3" s="68" t="s">
        <v>4</v>
      </c>
    </row>
    <row r="4" spans="1:15" x14ac:dyDescent="0.35">
      <c r="A4">
        <v>1</v>
      </c>
      <c r="B4">
        <f>'AR 1'!C4</f>
        <v>4.3021475051980769</v>
      </c>
      <c r="K4">
        <f>B4</f>
        <v>4.3021475051980769</v>
      </c>
      <c r="O4">
        <f>SUMSQ(M5:M103)</f>
        <v>126.60512044357128</v>
      </c>
    </row>
    <row r="5" spans="1:15" x14ac:dyDescent="0.35">
      <c r="A5">
        <f>A4+1</f>
        <v>2</v>
      </c>
      <c r="B5">
        <f>'AR 1'!C5</f>
        <v>6.1430149110931316</v>
      </c>
      <c r="D5" s="26">
        <v>1</v>
      </c>
      <c r="E5" s="28">
        <f>B4</f>
        <v>4.3021475051980769</v>
      </c>
      <c r="G5" s="23">
        <f>B5</f>
        <v>6.1430149110931316</v>
      </c>
      <c r="I5" s="23">
        <f t="array" ref="I5:I6">MMULT(MINVERSE(MMULT(TRANSPOSE(D5:E103),D5:E103)),MMULT(TRANSPOSE(D5:E103),G5:G103))</f>
        <v>5.0225268283082301</v>
      </c>
      <c r="J5" s="13"/>
      <c r="K5">
        <f t="shared" ref="K5:K68" si="0">B5</f>
        <v>6.1430149110931316</v>
      </c>
      <c r="L5">
        <f>I$5+K4*I$6</f>
        <v>6.7191970540349821</v>
      </c>
      <c r="M5">
        <f>K5-L5</f>
        <v>-0.57618214294185055</v>
      </c>
    </row>
    <row r="6" spans="1:15" x14ac:dyDescent="0.35">
      <c r="A6">
        <f t="shared" ref="A6:A69" si="1">A5+1</f>
        <v>3</v>
      </c>
      <c r="B6">
        <f>'AR 1'!C6</f>
        <v>6.3459572674893705</v>
      </c>
      <c r="D6" s="29">
        <v>1</v>
      </c>
      <c r="E6" s="30">
        <f t="shared" ref="E6:E69" si="2">B5</f>
        <v>6.1430149110931316</v>
      </c>
      <c r="G6" s="24">
        <f t="shared" ref="G6:G69" si="3">B6</f>
        <v>6.3459572674893705</v>
      </c>
      <c r="I6" s="34">
        <v>0.39437751115617203</v>
      </c>
      <c r="J6" s="13"/>
      <c r="K6">
        <f t="shared" si="0"/>
        <v>6.3459572674893705</v>
      </c>
      <c r="L6">
        <f t="shared" ref="L6:L69" si="4">I$5+K5*I$6</f>
        <v>7.445193759940393</v>
      </c>
      <c r="M6">
        <f t="shared" ref="M6:M69" si="5">K6-L6</f>
        <v>-1.0992364924510225</v>
      </c>
      <c r="O6" s="68" t="s">
        <v>202</v>
      </c>
    </row>
    <row r="7" spans="1:15" x14ac:dyDescent="0.35">
      <c r="A7">
        <f t="shared" si="1"/>
        <v>4</v>
      </c>
      <c r="B7">
        <f>'AR 1'!C7</f>
        <v>6.9780493152929868</v>
      </c>
      <c r="D7" s="29">
        <v>1</v>
      </c>
      <c r="E7" s="30">
        <f t="shared" si="2"/>
        <v>6.3459572674893705</v>
      </c>
      <c r="G7" s="24">
        <f t="shared" si="3"/>
        <v>6.9780493152929868</v>
      </c>
      <c r="K7">
        <f t="shared" si="0"/>
        <v>6.9780493152929868</v>
      </c>
      <c r="L7">
        <f t="shared" si="4"/>
        <v>7.5252296613641096</v>
      </c>
      <c r="M7">
        <f t="shared" si="5"/>
        <v>-0.54718034607112287</v>
      </c>
      <c r="O7">
        <f>AVERAGE(M5:M103)</f>
        <v>-1.8328772842902585E-14</v>
      </c>
    </row>
    <row r="8" spans="1:15" x14ac:dyDescent="0.35">
      <c r="A8">
        <f t="shared" si="1"/>
        <v>5</v>
      </c>
      <c r="B8">
        <f>'AR 1'!C8</f>
        <v>9.4477537014508481</v>
      </c>
      <c r="D8" s="29">
        <v>1</v>
      </c>
      <c r="E8" s="30">
        <f t="shared" si="2"/>
        <v>6.9780493152929868</v>
      </c>
      <c r="G8" s="24">
        <f t="shared" si="3"/>
        <v>9.4477537014508481</v>
      </c>
      <c r="K8">
        <f t="shared" si="0"/>
        <v>9.4477537014508481</v>
      </c>
      <c r="L8">
        <f t="shared" si="4"/>
        <v>7.7745125499985086</v>
      </c>
      <c r="M8">
        <f t="shared" si="5"/>
        <v>1.6732411514523395</v>
      </c>
    </row>
    <row r="9" spans="1:15" x14ac:dyDescent="0.35">
      <c r="A9">
        <f t="shared" si="1"/>
        <v>6</v>
      </c>
      <c r="B9">
        <f>'AR 1'!C9</f>
        <v>8.3642522446696148</v>
      </c>
      <c r="D9" s="29">
        <v>1</v>
      </c>
      <c r="E9" s="30">
        <f t="shared" si="2"/>
        <v>9.4477537014508481</v>
      </c>
      <c r="G9" s="24">
        <f t="shared" si="3"/>
        <v>8.3642522446696148</v>
      </c>
      <c r="K9">
        <f t="shared" si="0"/>
        <v>8.3642522446696148</v>
      </c>
      <c r="L9">
        <f t="shared" si="4"/>
        <v>8.7485084191029276</v>
      </c>
      <c r="M9">
        <f t="shared" si="5"/>
        <v>-0.38425617443331284</v>
      </c>
      <c r="O9" s="68" t="s">
        <v>203</v>
      </c>
    </row>
    <row r="10" spans="1:15" x14ac:dyDescent="0.35">
      <c r="A10">
        <f t="shared" si="1"/>
        <v>7</v>
      </c>
      <c r="B10">
        <f>'AR 1'!C10</f>
        <v>7.0707696895845489</v>
      </c>
      <c r="D10" s="29">
        <v>1</v>
      </c>
      <c r="E10" s="30">
        <f t="shared" si="2"/>
        <v>8.3642522446696148</v>
      </c>
      <c r="G10" s="24">
        <f t="shared" si="3"/>
        <v>7.0707696895845489</v>
      </c>
      <c r="K10">
        <f t="shared" si="0"/>
        <v>7.0707696895845489</v>
      </c>
      <c r="L10">
        <f t="shared" si="4"/>
        <v>8.3211998112434582</v>
      </c>
      <c r="M10">
        <f t="shared" si="5"/>
        <v>-1.2504301216589093</v>
      </c>
      <c r="O10">
        <f>VAR(M5:M103)</f>
        <v>1.2918889841180743</v>
      </c>
    </row>
    <row r="11" spans="1:15" x14ac:dyDescent="0.35">
      <c r="A11">
        <f t="shared" si="1"/>
        <v>8</v>
      </c>
      <c r="B11">
        <f>'AR 1'!C11</f>
        <v>7.0223724931102565</v>
      </c>
      <c r="D11" s="29">
        <v>1</v>
      </c>
      <c r="E11" s="30">
        <f t="shared" si="2"/>
        <v>7.0707696895845489</v>
      </c>
      <c r="G11" s="24">
        <f t="shared" si="3"/>
        <v>7.0223724931102565</v>
      </c>
      <c r="K11">
        <f t="shared" si="0"/>
        <v>7.0223724931102565</v>
      </c>
      <c r="L11">
        <f t="shared" si="4"/>
        <v>7.8110793804450838</v>
      </c>
      <c r="M11">
        <f t="shared" si="5"/>
        <v>-0.7887068873348273</v>
      </c>
    </row>
    <row r="12" spans="1:15" x14ac:dyDescent="0.35">
      <c r="A12">
        <f t="shared" si="1"/>
        <v>9</v>
      </c>
      <c r="B12">
        <f>'AR 1'!C12</f>
        <v>7.6294074398052825</v>
      </c>
      <c r="D12" s="29">
        <v>1</v>
      </c>
      <c r="E12" s="30">
        <f t="shared" si="2"/>
        <v>7.0223724931102565</v>
      </c>
      <c r="G12" s="24">
        <f t="shared" si="3"/>
        <v>7.6294074398052825</v>
      </c>
      <c r="K12">
        <f t="shared" si="0"/>
        <v>7.6294074398052825</v>
      </c>
      <c r="L12">
        <f t="shared" si="4"/>
        <v>7.7919926145526155</v>
      </c>
      <c r="M12">
        <f t="shared" si="5"/>
        <v>-0.16258517474733303</v>
      </c>
    </row>
    <row r="13" spans="1:15" x14ac:dyDescent="0.35">
      <c r="A13">
        <f t="shared" si="1"/>
        <v>10</v>
      </c>
      <c r="B13">
        <f>'AR 1'!C13</f>
        <v>7.4517411771940036</v>
      </c>
      <c r="D13" s="29">
        <v>1</v>
      </c>
      <c r="E13" s="30">
        <f t="shared" si="2"/>
        <v>7.6294074398052825</v>
      </c>
      <c r="G13" s="24">
        <f t="shared" si="3"/>
        <v>7.4517411771940036</v>
      </c>
      <c r="K13">
        <f t="shared" si="0"/>
        <v>7.4517411771940036</v>
      </c>
      <c r="L13">
        <f t="shared" si="4"/>
        <v>8.0313935460150194</v>
      </c>
      <c r="M13">
        <f t="shared" si="5"/>
        <v>-0.57965236882101578</v>
      </c>
    </row>
    <row r="14" spans="1:15" x14ac:dyDescent="0.35">
      <c r="A14">
        <f t="shared" si="1"/>
        <v>11</v>
      </c>
      <c r="B14">
        <f>'AR 1'!C14</f>
        <v>7.3130631313404661</v>
      </c>
      <c r="D14" s="29">
        <v>1</v>
      </c>
      <c r="E14" s="30">
        <f t="shared" si="2"/>
        <v>7.4517411771940036</v>
      </c>
      <c r="G14" s="24">
        <f t="shared" si="3"/>
        <v>7.3130631313404661</v>
      </c>
      <c r="K14">
        <f t="shared" si="0"/>
        <v>7.3130631313404661</v>
      </c>
      <c r="L14">
        <f t="shared" si="4"/>
        <v>7.9613259675499641</v>
      </c>
      <c r="M14">
        <f t="shared" si="5"/>
        <v>-0.64826283620949798</v>
      </c>
    </row>
    <row r="15" spans="1:15" x14ac:dyDescent="0.35">
      <c r="A15">
        <f t="shared" si="1"/>
        <v>12</v>
      </c>
      <c r="B15">
        <f>'AR 1'!C15</f>
        <v>6.7369511871069463</v>
      </c>
      <c r="D15" s="29">
        <v>1</v>
      </c>
      <c r="E15" s="30">
        <f t="shared" si="2"/>
        <v>7.3130631313404661</v>
      </c>
      <c r="G15" s="24">
        <f t="shared" si="3"/>
        <v>6.7369511871069463</v>
      </c>
      <c r="K15">
        <f t="shared" si="0"/>
        <v>6.7369511871069463</v>
      </c>
      <c r="L15">
        <f t="shared" si="4"/>
        <v>7.9066344649742453</v>
      </c>
      <c r="M15">
        <f t="shared" si="5"/>
        <v>-1.169683277867299</v>
      </c>
    </row>
    <row r="16" spans="1:15" x14ac:dyDescent="0.35">
      <c r="A16">
        <f t="shared" si="1"/>
        <v>13</v>
      </c>
      <c r="B16">
        <f>'AR 1'!C16</f>
        <v>7.6354174876257783</v>
      </c>
      <c r="D16" s="29">
        <v>1</v>
      </c>
      <c r="E16" s="30">
        <f t="shared" si="2"/>
        <v>6.7369511871069463</v>
      </c>
      <c r="G16" s="24">
        <f t="shared" si="3"/>
        <v>7.6354174876257783</v>
      </c>
      <c r="K16">
        <f t="shared" si="0"/>
        <v>7.6354174876257783</v>
      </c>
      <c r="L16">
        <f t="shared" si="4"/>
        <v>7.6794288702600859</v>
      </c>
      <c r="M16">
        <f t="shared" si="5"/>
        <v>-4.4011382634307594E-2</v>
      </c>
    </row>
    <row r="17" spans="1:16" x14ac:dyDescent="0.35">
      <c r="A17">
        <f t="shared" si="1"/>
        <v>14</v>
      </c>
      <c r="B17">
        <f>'AR 1'!C17</f>
        <v>8.3342560076615939</v>
      </c>
      <c r="D17" s="29">
        <v>1</v>
      </c>
      <c r="E17" s="30">
        <f t="shared" si="2"/>
        <v>7.6354174876257783</v>
      </c>
      <c r="G17" s="24">
        <f t="shared" si="3"/>
        <v>8.3342560076615939</v>
      </c>
      <c r="K17">
        <f t="shared" si="0"/>
        <v>8.3342560076615939</v>
      </c>
      <c r="L17">
        <f t="shared" si="4"/>
        <v>8.0337637737163963</v>
      </c>
      <c r="M17">
        <f t="shared" si="5"/>
        <v>0.30049223394519764</v>
      </c>
    </row>
    <row r="18" spans="1:16" x14ac:dyDescent="0.35">
      <c r="A18">
        <f t="shared" si="1"/>
        <v>15</v>
      </c>
      <c r="B18">
        <f>'AR 1'!C18</f>
        <v>8.5141776386100858</v>
      </c>
      <c r="D18" s="29">
        <v>1</v>
      </c>
      <c r="E18" s="30">
        <f t="shared" si="2"/>
        <v>8.3342560076615939</v>
      </c>
      <c r="G18" s="24">
        <f t="shared" si="3"/>
        <v>8.5141776386100858</v>
      </c>
      <c r="K18">
        <f t="shared" si="0"/>
        <v>8.5141776386100858</v>
      </c>
      <c r="L18">
        <f t="shared" si="4"/>
        <v>8.3093699699481842</v>
      </c>
      <c r="M18">
        <f t="shared" si="5"/>
        <v>0.20480766866190159</v>
      </c>
    </row>
    <row r="19" spans="1:16" x14ac:dyDescent="0.35">
      <c r="A19">
        <f t="shared" si="1"/>
        <v>16</v>
      </c>
      <c r="B19">
        <f>'AR 1'!C19</f>
        <v>9.4761147740463922</v>
      </c>
      <c r="D19" s="29">
        <v>1</v>
      </c>
      <c r="E19" s="30">
        <f t="shared" si="2"/>
        <v>8.5141776386100858</v>
      </c>
      <c r="G19" s="24">
        <f t="shared" si="3"/>
        <v>9.4761147740463922</v>
      </c>
      <c r="K19">
        <f t="shared" si="0"/>
        <v>9.4761147740463922</v>
      </c>
      <c r="L19">
        <f t="shared" si="4"/>
        <v>8.3803270149648093</v>
      </c>
      <c r="M19">
        <f t="shared" si="5"/>
        <v>1.095787759081583</v>
      </c>
    </row>
    <row r="20" spans="1:16" x14ac:dyDescent="0.35">
      <c r="A20">
        <f t="shared" si="1"/>
        <v>17</v>
      </c>
      <c r="B20">
        <f>'AR 1'!C20</f>
        <v>8.4497227967860145</v>
      </c>
      <c r="D20" s="29">
        <v>1</v>
      </c>
      <c r="E20" s="30">
        <f t="shared" si="2"/>
        <v>9.4761147740463922</v>
      </c>
      <c r="G20" s="24">
        <f t="shared" si="3"/>
        <v>8.4497227967860145</v>
      </c>
      <c r="K20">
        <f t="shared" si="0"/>
        <v>8.4497227967860145</v>
      </c>
      <c r="L20">
        <f t="shared" si="4"/>
        <v>8.7596933883268768</v>
      </c>
      <c r="M20">
        <f t="shared" si="5"/>
        <v>-0.30997059154086237</v>
      </c>
    </row>
    <row r="21" spans="1:16" x14ac:dyDescent="0.35">
      <c r="A21">
        <f t="shared" si="1"/>
        <v>18</v>
      </c>
      <c r="B21">
        <f>'AR 1'!C21</f>
        <v>9.5044632194121306</v>
      </c>
      <c r="D21" s="29">
        <v>1</v>
      </c>
      <c r="E21" s="30">
        <f t="shared" si="2"/>
        <v>8.4497227967860145</v>
      </c>
      <c r="G21" s="24">
        <f t="shared" si="3"/>
        <v>9.5044632194121306</v>
      </c>
      <c r="K21">
        <f t="shared" si="0"/>
        <v>9.5044632194121306</v>
      </c>
      <c r="L21">
        <f t="shared" si="4"/>
        <v>8.3549074748642678</v>
      </c>
      <c r="M21">
        <f t="shared" si="5"/>
        <v>1.1495557445478628</v>
      </c>
    </row>
    <row r="22" spans="1:16" x14ac:dyDescent="0.35">
      <c r="A22">
        <f t="shared" si="1"/>
        <v>19</v>
      </c>
      <c r="B22">
        <f>'AR 1'!C22</f>
        <v>6.6676010752525539</v>
      </c>
      <c r="D22" s="29">
        <v>1</v>
      </c>
      <c r="E22" s="30">
        <f t="shared" si="2"/>
        <v>9.5044632194121306</v>
      </c>
      <c r="G22" s="24">
        <f t="shared" si="3"/>
        <v>6.6676010752525539</v>
      </c>
      <c r="K22">
        <f t="shared" si="0"/>
        <v>6.6676010752525539</v>
      </c>
      <c r="L22">
        <f t="shared" si="4"/>
        <v>8.7708733776553647</v>
      </c>
      <c r="M22">
        <f t="shared" si="5"/>
        <v>-2.1032723024028108</v>
      </c>
      <c r="O22" t="s">
        <v>198</v>
      </c>
      <c r="P22" s="23" t="e" cm="1">
        <f t="array" aca="1" ref="P22" ca="1">PACF(B4:B103,1)</f>
        <v>#NAME?</v>
      </c>
    </row>
    <row r="23" spans="1:16" x14ac:dyDescent="0.35">
      <c r="A23">
        <f t="shared" si="1"/>
        <v>20</v>
      </c>
      <c r="B23">
        <f>'AR 1'!C23</f>
        <v>7.8523156414806694</v>
      </c>
      <c r="D23" s="29">
        <v>1</v>
      </c>
      <c r="E23" s="30">
        <f t="shared" si="2"/>
        <v>6.6676010752525539</v>
      </c>
      <c r="G23" s="24">
        <f t="shared" si="3"/>
        <v>7.8523156414806694</v>
      </c>
      <c r="K23">
        <f t="shared" si="0"/>
        <v>7.8523156414806694</v>
      </c>
      <c r="L23">
        <f t="shared" si="4"/>
        <v>7.6520787457485486</v>
      </c>
      <c r="M23">
        <f t="shared" si="5"/>
        <v>0.20023689573212078</v>
      </c>
      <c r="O23" t="s">
        <v>199</v>
      </c>
      <c r="P23" s="24" t="e" cm="1">
        <f t="array" aca="1" ref="P23" ca="1">PACF(B4:B103,2)</f>
        <v>#NAME?</v>
      </c>
    </row>
    <row r="24" spans="1:16" x14ac:dyDescent="0.35">
      <c r="A24">
        <f t="shared" si="1"/>
        <v>21</v>
      </c>
      <c r="B24">
        <f>'AR 1'!C24</f>
        <v>7.9188624171649664</v>
      </c>
      <c r="D24" s="29">
        <v>1</v>
      </c>
      <c r="E24" s="30">
        <f t="shared" si="2"/>
        <v>7.8523156414806694</v>
      </c>
      <c r="G24" s="24">
        <f t="shared" si="3"/>
        <v>7.9188624171649664</v>
      </c>
      <c r="K24">
        <f t="shared" si="0"/>
        <v>7.9188624171649664</v>
      </c>
      <c r="L24">
        <f t="shared" si="4"/>
        <v>8.1193035278080572</v>
      </c>
      <c r="M24">
        <f t="shared" si="5"/>
        <v>-0.20044111064309078</v>
      </c>
      <c r="O24" t="s">
        <v>120</v>
      </c>
      <c r="P24" s="24">
        <f>AVERAGE(B4:B103)</f>
        <v>8.2275470269258193</v>
      </c>
    </row>
    <row r="25" spans="1:16" x14ac:dyDescent="0.35">
      <c r="A25">
        <f t="shared" si="1"/>
        <v>22</v>
      </c>
      <c r="B25">
        <f>'AR 1'!C25</f>
        <v>8.7725861312320053</v>
      </c>
      <c r="D25" s="29">
        <v>1</v>
      </c>
      <c r="E25" s="30">
        <f t="shared" si="2"/>
        <v>7.9188624171649664</v>
      </c>
      <c r="G25" s="24">
        <f t="shared" si="3"/>
        <v>8.7725861312320053</v>
      </c>
      <c r="K25">
        <f t="shared" si="0"/>
        <v>8.7725861312320053</v>
      </c>
      <c r="L25">
        <f t="shared" si="4"/>
        <v>8.1455480795778978</v>
      </c>
      <c r="M25">
        <f t="shared" si="5"/>
        <v>0.62703805165410742</v>
      </c>
      <c r="O25" t="s">
        <v>200</v>
      </c>
      <c r="P25" s="24" t="e">
        <f ca="1">P24*(1-P26)</f>
        <v>#NAME?</v>
      </c>
    </row>
    <row r="26" spans="1:16" x14ac:dyDescent="0.35">
      <c r="A26">
        <f t="shared" si="1"/>
        <v>23</v>
      </c>
      <c r="B26">
        <f>'AR 1'!C26</f>
        <v>10.918097347819121</v>
      </c>
      <c r="D26" s="29">
        <v>1</v>
      </c>
      <c r="E26" s="30">
        <f t="shared" si="2"/>
        <v>8.7725861312320053</v>
      </c>
      <c r="G26" s="24">
        <f t="shared" si="3"/>
        <v>10.918097347819121</v>
      </c>
      <c r="K26">
        <f t="shared" si="0"/>
        <v>10.918097347819121</v>
      </c>
      <c r="L26">
        <f t="shared" si="4"/>
        <v>8.4822375131466607</v>
      </c>
      <c r="M26">
        <f t="shared" si="5"/>
        <v>2.4358598346724598</v>
      </c>
      <c r="O26" t="s">
        <v>170</v>
      </c>
      <c r="P26" s="34" t="e">
        <f ca="1">P22</f>
        <v>#NAME?</v>
      </c>
    </row>
    <row r="27" spans="1:16" x14ac:dyDescent="0.35">
      <c r="A27">
        <f t="shared" si="1"/>
        <v>24</v>
      </c>
      <c r="B27">
        <f>'AR 1'!C27</f>
        <v>9.1393820365107956</v>
      </c>
      <c r="D27" s="29">
        <v>1</v>
      </c>
      <c r="E27" s="30">
        <f t="shared" si="2"/>
        <v>10.918097347819121</v>
      </c>
      <c r="G27" s="24">
        <f t="shared" si="3"/>
        <v>9.1393820365107956</v>
      </c>
      <c r="K27">
        <f t="shared" si="0"/>
        <v>9.1393820365107956</v>
      </c>
      <c r="L27">
        <f t="shared" si="4"/>
        <v>9.3283788869019375</v>
      </c>
      <c r="M27">
        <f t="shared" si="5"/>
        <v>-0.18899685039114189</v>
      </c>
    </row>
    <row r="28" spans="1:16" x14ac:dyDescent="0.35">
      <c r="A28">
        <f t="shared" si="1"/>
        <v>25</v>
      </c>
      <c r="B28">
        <f>'AR 1'!C28</f>
        <v>10.149056902391564</v>
      </c>
      <c r="D28" s="29">
        <v>1</v>
      </c>
      <c r="E28" s="30">
        <f t="shared" si="2"/>
        <v>9.1393820365107956</v>
      </c>
      <c r="G28" s="24">
        <f t="shared" si="3"/>
        <v>10.149056902391564</v>
      </c>
      <c r="K28">
        <f t="shared" si="0"/>
        <v>10.149056902391564</v>
      </c>
      <c r="L28">
        <f t="shared" si="4"/>
        <v>8.6268935693727844</v>
      </c>
      <c r="M28">
        <f t="shared" si="5"/>
        <v>1.5221633330187796</v>
      </c>
    </row>
    <row r="29" spans="1:16" x14ac:dyDescent="0.35">
      <c r="A29">
        <f t="shared" si="1"/>
        <v>26</v>
      </c>
      <c r="B29">
        <f>'AR 1'!C29</f>
        <v>9.7731168391438672</v>
      </c>
      <c r="D29" s="29">
        <v>1</v>
      </c>
      <c r="E29" s="30">
        <f t="shared" si="2"/>
        <v>10.149056902391564</v>
      </c>
      <c r="G29" s="24">
        <f t="shared" si="3"/>
        <v>9.7731168391438672</v>
      </c>
      <c r="K29">
        <f t="shared" si="0"/>
        <v>9.7731168391438672</v>
      </c>
      <c r="L29">
        <f t="shared" si="4"/>
        <v>9.0250866300557835</v>
      </c>
      <c r="M29">
        <f t="shared" si="5"/>
        <v>0.74803020908808371</v>
      </c>
    </row>
    <row r="30" spans="1:16" x14ac:dyDescent="0.35">
      <c r="A30">
        <f t="shared" si="1"/>
        <v>27</v>
      </c>
      <c r="B30">
        <f>'AR 1'!C30</f>
        <v>8.1440033012883841</v>
      </c>
      <c r="D30" s="29">
        <v>1</v>
      </c>
      <c r="E30" s="30">
        <f t="shared" si="2"/>
        <v>9.7731168391438672</v>
      </c>
      <c r="G30" s="24">
        <f t="shared" si="3"/>
        <v>8.1440033012883841</v>
      </c>
      <c r="K30">
        <f t="shared" si="0"/>
        <v>8.1440033012883841</v>
      </c>
      <c r="L30">
        <f t="shared" si="4"/>
        <v>8.8768243235682629</v>
      </c>
      <c r="M30">
        <f t="shared" si="5"/>
        <v>-0.73282102227987878</v>
      </c>
    </row>
    <row r="31" spans="1:16" x14ac:dyDescent="0.35">
      <c r="A31">
        <f t="shared" si="1"/>
        <v>28</v>
      </c>
      <c r="B31">
        <f>'AR 1'!C31</f>
        <v>6.838500376425344</v>
      </c>
      <c r="D31" s="29">
        <v>1</v>
      </c>
      <c r="E31" s="30">
        <f t="shared" si="2"/>
        <v>8.1440033012883841</v>
      </c>
      <c r="G31" s="24">
        <f t="shared" si="3"/>
        <v>6.838500376425344</v>
      </c>
      <c r="K31">
        <f t="shared" si="0"/>
        <v>6.838500376425344</v>
      </c>
      <c r="L31">
        <f t="shared" si="4"/>
        <v>8.2343385811179921</v>
      </c>
      <c r="M31">
        <f t="shared" si="5"/>
        <v>-1.3958382046926481</v>
      </c>
    </row>
    <row r="32" spans="1:16" x14ac:dyDescent="0.35">
      <c r="A32">
        <f t="shared" si="1"/>
        <v>29</v>
      </c>
      <c r="B32">
        <f>'AR 1'!C32</f>
        <v>9.2094371369449455</v>
      </c>
      <c r="D32" s="29">
        <v>1</v>
      </c>
      <c r="E32" s="30">
        <f t="shared" si="2"/>
        <v>6.838500376425344</v>
      </c>
      <c r="G32" s="24">
        <f t="shared" si="3"/>
        <v>9.2094371369449455</v>
      </c>
      <c r="K32">
        <f t="shared" si="0"/>
        <v>9.2094371369449455</v>
      </c>
      <c r="L32">
        <f t="shared" si="4"/>
        <v>7.7194775868034027</v>
      </c>
      <c r="M32">
        <f t="shared" si="5"/>
        <v>1.4899595501415428</v>
      </c>
    </row>
    <row r="33" spans="1:13" x14ac:dyDescent="0.35">
      <c r="A33">
        <f t="shared" si="1"/>
        <v>30</v>
      </c>
      <c r="B33">
        <f>'AR 1'!C33</f>
        <v>8.8371485520723034</v>
      </c>
      <c r="D33" s="29">
        <v>1</v>
      </c>
      <c r="E33" s="30">
        <f t="shared" si="2"/>
        <v>9.2094371369449455</v>
      </c>
      <c r="G33" s="24">
        <f t="shared" si="3"/>
        <v>8.8371485520723034</v>
      </c>
      <c r="K33">
        <f t="shared" si="0"/>
        <v>8.8371485520723034</v>
      </c>
      <c r="L33">
        <f t="shared" si="4"/>
        <v>8.6545217255258002</v>
      </c>
      <c r="M33">
        <f t="shared" si="5"/>
        <v>0.1826268265465032</v>
      </c>
    </row>
    <row r="34" spans="1:13" x14ac:dyDescent="0.35">
      <c r="A34">
        <f t="shared" si="1"/>
        <v>31</v>
      </c>
      <c r="B34">
        <f>'AR 1'!C34</f>
        <v>7.6209294629535282</v>
      </c>
      <c r="D34" s="29">
        <v>1</v>
      </c>
      <c r="E34" s="30">
        <f t="shared" si="2"/>
        <v>8.8371485520723034</v>
      </c>
      <c r="G34" s="24">
        <f t="shared" si="3"/>
        <v>7.6209294629535282</v>
      </c>
      <c r="K34">
        <f t="shared" si="0"/>
        <v>7.6209294629535282</v>
      </c>
      <c r="L34">
        <f t="shared" si="4"/>
        <v>8.5076994799918744</v>
      </c>
      <c r="M34">
        <f t="shared" si="5"/>
        <v>-0.88677001703834613</v>
      </c>
    </row>
    <row r="35" spans="1:13" x14ac:dyDescent="0.35">
      <c r="A35">
        <f t="shared" si="1"/>
        <v>32</v>
      </c>
      <c r="B35">
        <f>'AR 1'!C35</f>
        <v>7.7901579994514005</v>
      </c>
      <c r="D35" s="29">
        <v>1</v>
      </c>
      <c r="E35" s="30">
        <f t="shared" si="2"/>
        <v>7.6209294629535282</v>
      </c>
      <c r="G35" s="24">
        <f t="shared" si="3"/>
        <v>7.7901579994514005</v>
      </c>
      <c r="K35">
        <f t="shared" si="0"/>
        <v>7.7901579994514005</v>
      </c>
      <c r="L35">
        <f t="shared" si="4"/>
        <v>8.0280500226045852</v>
      </c>
      <c r="M35">
        <f t="shared" si="5"/>
        <v>-0.2378920231531847</v>
      </c>
    </row>
    <row r="36" spans="1:13" x14ac:dyDescent="0.35">
      <c r="A36">
        <f t="shared" si="1"/>
        <v>33</v>
      </c>
      <c r="B36">
        <f>'AR 1'!C36</f>
        <v>7.6194519683144453</v>
      </c>
      <c r="D36" s="29">
        <v>1</v>
      </c>
      <c r="E36" s="30">
        <f t="shared" si="2"/>
        <v>7.7901579994514005</v>
      </c>
      <c r="G36" s="24">
        <f t="shared" si="3"/>
        <v>7.6194519683144453</v>
      </c>
      <c r="K36">
        <f t="shared" si="0"/>
        <v>7.6194519683144453</v>
      </c>
      <c r="L36">
        <f t="shared" si="4"/>
        <v>8.0947899516452182</v>
      </c>
      <c r="M36">
        <f t="shared" si="5"/>
        <v>-0.47533798333077293</v>
      </c>
    </row>
    <row r="37" spans="1:13" x14ac:dyDescent="0.35">
      <c r="A37">
        <f t="shared" si="1"/>
        <v>34</v>
      </c>
      <c r="B37">
        <f>'AR 1'!C37</f>
        <v>9.127900881049305</v>
      </c>
      <c r="D37" s="29">
        <v>1</v>
      </c>
      <c r="E37" s="30">
        <f t="shared" si="2"/>
        <v>7.6194519683144453</v>
      </c>
      <c r="G37" s="24">
        <f t="shared" si="3"/>
        <v>9.127900881049305</v>
      </c>
      <c r="K37">
        <f t="shared" si="0"/>
        <v>9.127900881049305</v>
      </c>
      <c r="L37">
        <f t="shared" si="4"/>
        <v>8.0274673319460774</v>
      </c>
      <c r="M37">
        <f t="shared" si="5"/>
        <v>1.1004335491032275</v>
      </c>
    </row>
    <row r="38" spans="1:13" x14ac:dyDescent="0.35">
      <c r="A38">
        <f t="shared" si="1"/>
        <v>35</v>
      </c>
      <c r="B38">
        <f>'AR 1'!C38</f>
        <v>9.2788576197719177</v>
      </c>
      <c r="D38" s="29">
        <v>1</v>
      </c>
      <c r="E38" s="30">
        <f t="shared" si="2"/>
        <v>9.127900881049305</v>
      </c>
      <c r="G38" s="24">
        <f t="shared" si="3"/>
        <v>9.2788576197719177</v>
      </c>
      <c r="K38">
        <f t="shared" si="0"/>
        <v>9.2788576197719177</v>
      </c>
      <c r="L38">
        <f t="shared" si="4"/>
        <v>8.6223656598566851</v>
      </c>
      <c r="M38">
        <f t="shared" si="5"/>
        <v>0.65649195991523257</v>
      </c>
    </row>
    <row r="39" spans="1:13" x14ac:dyDescent="0.35">
      <c r="A39">
        <f t="shared" si="1"/>
        <v>36</v>
      </c>
      <c r="B39">
        <f>'AR 1'!C39</f>
        <v>8.6643591532989923</v>
      </c>
      <c r="D39" s="29">
        <v>1</v>
      </c>
      <c r="E39" s="30">
        <f t="shared" si="2"/>
        <v>9.2788576197719177</v>
      </c>
      <c r="G39" s="24">
        <f t="shared" si="3"/>
        <v>8.6643591532989923</v>
      </c>
      <c r="K39">
        <f t="shared" si="0"/>
        <v>8.6643591532989923</v>
      </c>
      <c r="L39">
        <f t="shared" si="4"/>
        <v>8.6818996027663609</v>
      </c>
      <c r="M39">
        <f t="shared" si="5"/>
        <v>-1.7540449467368546E-2</v>
      </c>
    </row>
    <row r="40" spans="1:13" x14ac:dyDescent="0.35">
      <c r="A40">
        <f t="shared" si="1"/>
        <v>37</v>
      </c>
      <c r="B40">
        <f>'AR 1'!C40</f>
        <v>9.7255313464083262</v>
      </c>
      <c r="D40" s="29">
        <v>1</v>
      </c>
      <c r="E40" s="30">
        <f t="shared" si="2"/>
        <v>8.6643591532989923</v>
      </c>
      <c r="G40" s="24">
        <f t="shared" si="3"/>
        <v>9.7255313464083262</v>
      </c>
      <c r="K40">
        <f t="shared" si="0"/>
        <v>9.7255313464083262</v>
      </c>
      <c r="L40">
        <f t="shared" si="4"/>
        <v>8.4395552269494836</v>
      </c>
      <c r="M40">
        <f t="shared" si="5"/>
        <v>1.2859761194588426</v>
      </c>
    </row>
    <row r="41" spans="1:13" x14ac:dyDescent="0.35">
      <c r="A41">
        <f t="shared" si="1"/>
        <v>38</v>
      </c>
      <c r="B41">
        <f>'AR 1'!C41</f>
        <v>11.406770985884808</v>
      </c>
      <c r="D41" s="29">
        <v>1</v>
      </c>
      <c r="E41" s="30">
        <f t="shared" si="2"/>
        <v>9.7255313464083262</v>
      </c>
      <c r="G41" s="24">
        <f t="shared" si="3"/>
        <v>11.406770985884808</v>
      </c>
      <c r="K41">
        <f t="shared" si="0"/>
        <v>11.406770985884808</v>
      </c>
      <c r="L41">
        <f t="shared" si="4"/>
        <v>8.8580576753760809</v>
      </c>
      <c r="M41">
        <f t="shared" si="5"/>
        <v>2.5487133105087274</v>
      </c>
    </row>
    <row r="42" spans="1:13" x14ac:dyDescent="0.35">
      <c r="A42">
        <f t="shared" si="1"/>
        <v>39</v>
      </c>
      <c r="B42">
        <f>'AR 1'!C42</f>
        <v>9.8336619818405797</v>
      </c>
      <c r="D42" s="29">
        <v>1</v>
      </c>
      <c r="E42" s="30">
        <f t="shared" si="2"/>
        <v>11.406770985884808</v>
      </c>
      <c r="G42" s="24">
        <f t="shared" si="3"/>
        <v>9.8336619818405797</v>
      </c>
      <c r="K42">
        <f t="shared" si="0"/>
        <v>9.8336619818405797</v>
      </c>
      <c r="L42">
        <f t="shared" si="4"/>
        <v>9.5211007800499168</v>
      </c>
      <c r="M42">
        <f t="shared" si="5"/>
        <v>0.31256120179066293</v>
      </c>
    </row>
    <row r="43" spans="1:13" x14ac:dyDescent="0.35">
      <c r="A43">
        <f t="shared" si="1"/>
        <v>40</v>
      </c>
      <c r="B43">
        <f>'AR 1'!C43</f>
        <v>8.4620375217512613</v>
      </c>
      <c r="D43" s="29">
        <v>1</v>
      </c>
      <c r="E43" s="30">
        <f t="shared" si="2"/>
        <v>9.8336619818405797</v>
      </c>
      <c r="G43" s="24">
        <f t="shared" si="3"/>
        <v>8.4620375217512613</v>
      </c>
      <c r="K43">
        <f t="shared" si="0"/>
        <v>8.4620375217512613</v>
      </c>
      <c r="L43">
        <f t="shared" si="4"/>
        <v>8.9007019662575875</v>
      </c>
      <c r="M43">
        <f t="shared" si="5"/>
        <v>-0.43866444450632613</v>
      </c>
    </row>
    <row r="44" spans="1:13" x14ac:dyDescent="0.35">
      <c r="A44">
        <f t="shared" si="1"/>
        <v>41</v>
      </c>
      <c r="B44">
        <f>'AR 1'!C44</f>
        <v>7.0338328748821439</v>
      </c>
      <c r="D44" s="29">
        <v>1</v>
      </c>
      <c r="E44" s="30">
        <f t="shared" si="2"/>
        <v>8.4620375217512613</v>
      </c>
      <c r="G44" s="24">
        <f t="shared" si="3"/>
        <v>7.0338328748821439</v>
      </c>
      <c r="K44">
        <f t="shared" si="0"/>
        <v>7.0338328748821439</v>
      </c>
      <c r="L44">
        <f t="shared" si="4"/>
        <v>8.3597641254466346</v>
      </c>
      <c r="M44">
        <f t="shared" si="5"/>
        <v>-1.3259312505644907</v>
      </c>
    </row>
    <row r="45" spans="1:13" x14ac:dyDescent="0.35">
      <c r="A45">
        <f t="shared" si="1"/>
        <v>42</v>
      </c>
      <c r="B45">
        <f>'AR 1'!C45</f>
        <v>7.2882995736784437</v>
      </c>
      <c r="D45" s="29">
        <v>1</v>
      </c>
      <c r="E45" s="30">
        <f t="shared" si="2"/>
        <v>7.0338328748821439</v>
      </c>
      <c r="G45" s="24">
        <f t="shared" si="3"/>
        <v>7.2882995736784437</v>
      </c>
      <c r="K45">
        <f t="shared" si="0"/>
        <v>7.2882995736784437</v>
      </c>
      <c r="L45">
        <f t="shared" si="4"/>
        <v>7.7965123313927123</v>
      </c>
      <c r="M45">
        <f t="shared" si="5"/>
        <v>-0.50821275771426855</v>
      </c>
    </row>
    <row r="46" spans="1:13" x14ac:dyDescent="0.35">
      <c r="A46">
        <f t="shared" si="1"/>
        <v>43</v>
      </c>
      <c r="B46">
        <f>'AR 1'!C46</f>
        <v>8.8866754056650521</v>
      </c>
      <c r="D46" s="29">
        <v>1</v>
      </c>
      <c r="E46" s="30">
        <f t="shared" si="2"/>
        <v>7.2882995736784437</v>
      </c>
      <c r="G46" s="24">
        <f t="shared" si="3"/>
        <v>8.8866754056650521</v>
      </c>
      <c r="K46">
        <f t="shared" si="0"/>
        <v>8.8866754056650521</v>
      </c>
      <c r="L46">
        <f t="shared" si="4"/>
        <v>7.896868274736125</v>
      </c>
      <c r="M46">
        <f t="shared" si="5"/>
        <v>0.98980713092892714</v>
      </c>
    </row>
    <row r="47" spans="1:13" x14ac:dyDescent="0.35">
      <c r="A47">
        <f t="shared" si="1"/>
        <v>44</v>
      </c>
      <c r="B47">
        <f>'AR 1'!C47</f>
        <v>7.4798200466140621</v>
      </c>
      <c r="D47" s="29">
        <v>1</v>
      </c>
      <c r="E47" s="30">
        <f t="shared" si="2"/>
        <v>8.8866754056650521</v>
      </c>
      <c r="G47" s="24">
        <f t="shared" si="3"/>
        <v>7.4798200466140621</v>
      </c>
      <c r="K47">
        <f t="shared" si="0"/>
        <v>7.4798200466140621</v>
      </c>
      <c r="L47">
        <f t="shared" si="4"/>
        <v>8.5272317572471792</v>
      </c>
      <c r="M47">
        <f t="shared" si="5"/>
        <v>-1.0474117106331171</v>
      </c>
    </row>
    <row r="48" spans="1:13" x14ac:dyDescent="0.35">
      <c r="A48">
        <f t="shared" si="1"/>
        <v>45</v>
      </c>
      <c r="B48">
        <f>'AR 1'!C48</f>
        <v>9.7657383666225144</v>
      </c>
      <c r="D48" s="29">
        <v>1</v>
      </c>
      <c r="E48" s="30">
        <f t="shared" si="2"/>
        <v>7.4798200466140621</v>
      </c>
      <c r="G48" s="24">
        <f t="shared" si="3"/>
        <v>9.7657383666225144</v>
      </c>
      <c r="K48">
        <f t="shared" si="0"/>
        <v>9.7657383666225144</v>
      </c>
      <c r="L48">
        <f t="shared" si="4"/>
        <v>7.9723996421879271</v>
      </c>
      <c r="M48">
        <f t="shared" si="5"/>
        <v>1.7933387244345873</v>
      </c>
    </row>
    <row r="49" spans="1:13" x14ac:dyDescent="0.35">
      <c r="A49">
        <f t="shared" si="1"/>
        <v>46</v>
      </c>
      <c r="B49">
        <f>'AR 1'!C49</f>
        <v>7.9447003666965932</v>
      </c>
      <c r="D49" s="29">
        <v>1</v>
      </c>
      <c r="E49" s="30">
        <f t="shared" si="2"/>
        <v>9.7657383666225144</v>
      </c>
      <c r="G49" s="24">
        <f t="shared" si="3"/>
        <v>7.9447003666965932</v>
      </c>
      <c r="K49">
        <f t="shared" si="0"/>
        <v>7.9447003666965932</v>
      </c>
      <c r="L49">
        <f t="shared" si="4"/>
        <v>8.8739144199391582</v>
      </c>
      <c r="M49">
        <f t="shared" si="5"/>
        <v>-0.92921405324256501</v>
      </c>
    </row>
    <row r="50" spans="1:13" x14ac:dyDescent="0.35">
      <c r="A50">
        <f t="shared" si="1"/>
        <v>47</v>
      </c>
      <c r="B50">
        <f>'AR 1'!C50</f>
        <v>6.8290832554627521</v>
      </c>
      <c r="D50" s="29">
        <v>1</v>
      </c>
      <c r="E50" s="30">
        <f t="shared" si="2"/>
        <v>7.9447003666965932</v>
      </c>
      <c r="G50" s="24">
        <f t="shared" si="3"/>
        <v>6.8290832554627521</v>
      </c>
      <c r="K50">
        <f t="shared" si="0"/>
        <v>6.8290832554627521</v>
      </c>
      <c r="L50">
        <f t="shared" si="4"/>
        <v>8.1557379858075603</v>
      </c>
      <c r="M50">
        <f t="shared" si="5"/>
        <v>-1.3266547303448082</v>
      </c>
    </row>
    <row r="51" spans="1:13" x14ac:dyDescent="0.35">
      <c r="A51">
        <f t="shared" si="1"/>
        <v>48</v>
      </c>
      <c r="B51">
        <f>'AR 1'!C51</f>
        <v>7.9209790522165529</v>
      </c>
      <c r="D51" s="29">
        <v>1</v>
      </c>
      <c r="E51" s="30">
        <f t="shared" si="2"/>
        <v>6.8290832554627521</v>
      </c>
      <c r="G51" s="24">
        <f t="shared" si="3"/>
        <v>7.9209790522165529</v>
      </c>
      <c r="K51">
        <f t="shared" si="0"/>
        <v>7.9209790522165529</v>
      </c>
      <c r="L51">
        <f t="shared" si="4"/>
        <v>7.7157636860759187</v>
      </c>
      <c r="M51">
        <f t="shared" si="5"/>
        <v>0.20521536614063418</v>
      </c>
    </row>
    <row r="52" spans="1:13" x14ac:dyDescent="0.35">
      <c r="A52">
        <f t="shared" si="1"/>
        <v>49</v>
      </c>
      <c r="B52">
        <f>'AR 1'!C52</f>
        <v>5.9511980566404041</v>
      </c>
      <c r="D52" s="29">
        <v>1</v>
      </c>
      <c r="E52" s="30">
        <f t="shared" si="2"/>
        <v>7.9209790522165529</v>
      </c>
      <c r="G52" s="24">
        <f t="shared" si="3"/>
        <v>5.9511980566404041</v>
      </c>
      <c r="K52">
        <f t="shared" si="0"/>
        <v>5.9511980566404041</v>
      </c>
      <c r="L52">
        <f t="shared" si="4"/>
        <v>8.1463828328415691</v>
      </c>
      <c r="M52">
        <f t="shared" si="5"/>
        <v>-2.1951847762011649</v>
      </c>
    </row>
    <row r="53" spans="1:13" x14ac:dyDescent="0.35">
      <c r="A53">
        <f t="shared" si="1"/>
        <v>50</v>
      </c>
      <c r="B53">
        <f>'AR 1'!C53</f>
        <v>7.2243633792411535</v>
      </c>
      <c r="D53" s="29">
        <v>1</v>
      </c>
      <c r="E53" s="30">
        <f t="shared" si="2"/>
        <v>5.9511980566404041</v>
      </c>
      <c r="G53" s="24">
        <f t="shared" si="3"/>
        <v>7.2243633792411535</v>
      </c>
      <c r="K53">
        <f t="shared" si="0"/>
        <v>7.2243633792411535</v>
      </c>
      <c r="L53">
        <f t="shared" si="4"/>
        <v>7.3695455062835205</v>
      </c>
      <c r="M53">
        <f t="shared" si="5"/>
        <v>-0.14518212704236699</v>
      </c>
    </row>
    <row r="54" spans="1:13" x14ac:dyDescent="0.35">
      <c r="A54">
        <f t="shared" si="1"/>
        <v>51</v>
      </c>
      <c r="B54">
        <f>'AR 1'!C54</f>
        <v>8.0384987230282157</v>
      </c>
      <c r="D54" s="29">
        <v>1</v>
      </c>
      <c r="E54" s="30">
        <f t="shared" si="2"/>
        <v>7.2243633792411535</v>
      </c>
      <c r="G54" s="24">
        <f t="shared" si="3"/>
        <v>8.0384987230282157</v>
      </c>
      <c r="K54">
        <f t="shared" si="0"/>
        <v>8.0384987230282157</v>
      </c>
      <c r="L54">
        <f t="shared" si="4"/>
        <v>7.8716532775011494</v>
      </c>
      <c r="M54">
        <f t="shared" si="5"/>
        <v>0.16684544552706626</v>
      </c>
    </row>
    <row r="55" spans="1:13" x14ac:dyDescent="0.35">
      <c r="A55">
        <f t="shared" si="1"/>
        <v>52</v>
      </c>
      <c r="B55">
        <f>'AR 1'!C55</f>
        <v>7.7399529278597647</v>
      </c>
      <c r="D55" s="29">
        <v>1</v>
      </c>
      <c r="E55" s="30">
        <f t="shared" si="2"/>
        <v>8.0384987230282157</v>
      </c>
      <c r="G55" s="24">
        <f t="shared" si="3"/>
        <v>7.7399529278597647</v>
      </c>
      <c r="K55">
        <f t="shared" si="0"/>
        <v>7.7399529278597647</v>
      </c>
      <c r="L55">
        <f t="shared" si="4"/>
        <v>8.1927299481281644</v>
      </c>
      <c r="M55">
        <f t="shared" si="5"/>
        <v>-0.45277702026839961</v>
      </c>
    </row>
    <row r="56" spans="1:13" x14ac:dyDescent="0.35">
      <c r="A56">
        <f t="shared" si="1"/>
        <v>53</v>
      </c>
      <c r="B56">
        <f>'AR 1'!C56</f>
        <v>8.9551761475345906</v>
      </c>
      <c r="D56" s="29">
        <v>1</v>
      </c>
      <c r="E56" s="30">
        <f t="shared" si="2"/>
        <v>7.7399529278597647</v>
      </c>
      <c r="G56" s="24">
        <f t="shared" si="3"/>
        <v>8.9551761475345906</v>
      </c>
      <c r="K56">
        <f t="shared" si="0"/>
        <v>8.9551761475345906</v>
      </c>
      <c r="L56">
        <f t="shared" si="4"/>
        <v>8.0749902004634908</v>
      </c>
      <c r="M56">
        <f t="shared" si="5"/>
        <v>0.88018594707109976</v>
      </c>
    </row>
    <row r="57" spans="1:13" x14ac:dyDescent="0.35">
      <c r="A57">
        <f t="shared" si="1"/>
        <v>54</v>
      </c>
      <c r="B57">
        <f>'AR 1'!C57</f>
        <v>9.9066867108961674</v>
      </c>
      <c r="D57" s="29">
        <v>1</v>
      </c>
      <c r="E57" s="30">
        <f t="shared" si="2"/>
        <v>8.9551761475345906</v>
      </c>
      <c r="G57" s="24">
        <f t="shared" si="3"/>
        <v>9.9066867108961674</v>
      </c>
      <c r="K57">
        <f t="shared" si="0"/>
        <v>9.9066867108961674</v>
      </c>
      <c r="L57">
        <f t="shared" si="4"/>
        <v>8.5542469093380387</v>
      </c>
      <c r="M57">
        <f t="shared" si="5"/>
        <v>1.3524398015581287</v>
      </c>
    </row>
    <row r="58" spans="1:13" x14ac:dyDescent="0.35">
      <c r="A58">
        <f t="shared" si="1"/>
        <v>55</v>
      </c>
      <c r="B58">
        <f>'AR 1'!C58</f>
        <v>10.16660381050475</v>
      </c>
      <c r="D58" s="29">
        <v>1</v>
      </c>
      <c r="E58" s="30">
        <f t="shared" si="2"/>
        <v>9.9066867108961674</v>
      </c>
      <c r="G58" s="24">
        <f t="shared" si="3"/>
        <v>10.16660381050475</v>
      </c>
      <c r="K58">
        <f t="shared" si="0"/>
        <v>10.16660381050475</v>
      </c>
      <c r="L58">
        <f t="shared" si="4"/>
        <v>8.929501277155385</v>
      </c>
      <c r="M58">
        <f t="shared" si="5"/>
        <v>1.2371025333493648</v>
      </c>
    </row>
    <row r="59" spans="1:13" x14ac:dyDescent="0.35">
      <c r="A59">
        <f t="shared" si="1"/>
        <v>56</v>
      </c>
      <c r="B59">
        <f>'AR 1'!C59</f>
        <v>9.1166011165912639</v>
      </c>
      <c r="D59" s="29">
        <v>1</v>
      </c>
      <c r="E59" s="30">
        <f t="shared" si="2"/>
        <v>10.16660381050475</v>
      </c>
      <c r="G59" s="24">
        <f t="shared" si="3"/>
        <v>9.1166011165912639</v>
      </c>
      <c r="K59">
        <f t="shared" si="0"/>
        <v>9.1166011165912639</v>
      </c>
      <c r="L59">
        <f t="shared" si="4"/>
        <v>9.0320067360059468</v>
      </c>
      <c r="M59">
        <f t="shared" si="5"/>
        <v>8.4594380585317097E-2</v>
      </c>
    </row>
    <row r="60" spans="1:13" x14ac:dyDescent="0.35">
      <c r="A60">
        <f t="shared" si="1"/>
        <v>57</v>
      </c>
      <c r="B60">
        <f>'AR 1'!C60</f>
        <v>7.4985374040370072</v>
      </c>
      <c r="D60" s="29">
        <v>1</v>
      </c>
      <c r="E60" s="30">
        <f t="shared" si="2"/>
        <v>9.1166011165912639</v>
      </c>
      <c r="G60" s="24">
        <f t="shared" si="3"/>
        <v>7.4985374040370072</v>
      </c>
      <c r="K60">
        <f t="shared" si="0"/>
        <v>7.4985374040370072</v>
      </c>
      <c r="L60">
        <f t="shared" si="4"/>
        <v>8.617909286873072</v>
      </c>
      <c r="M60">
        <f t="shared" si="5"/>
        <v>-1.1193718828360648</v>
      </c>
    </row>
    <row r="61" spans="1:13" x14ac:dyDescent="0.35">
      <c r="A61">
        <f t="shared" si="1"/>
        <v>58</v>
      </c>
      <c r="B61">
        <f>'AR 1'!C61</f>
        <v>6.6994539517640845</v>
      </c>
      <c r="D61" s="29">
        <v>1</v>
      </c>
      <c r="E61" s="30">
        <f t="shared" si="2"/>
        <v>7.4985374040370072</v>
      </c>
      <c r="G61" s="24">
        <f t="shared" si="3"/>
        <v>6.6994539517640845</v>
      </c>
      <c r="K61">
        <f t="shared" si="0"/>
        <v>6.6994539517640845</v>
      </c>
      <c r="L61">
        <f t="shared" si="4"/>
        <v>7.9797813470238079</v>
      </c>
      <c r="M61">
        <f t="shared" si="5"/>
        <v>-1.2803273952597234</v>
      </c>
    </row>
    <row r="62" spans="1:13" x14ac:dyDescent="0.35">
      <c r="A62">
        <f t="shared" si="1"/>
        <v>59</v>
      </c>
      <c r="B62">
        <f>'AR 1'!C62</f>
        <v>9.9889227287681415</v>
      </c>
      <c r="D62" s="29">
        <v>1</v>
      </c>
      <c r="E62" s="30">
        <f t="shared" si="2"/>
        <v>6.6994539517640845</v>
      </c>
      <c r="G62" s="24">
        <f t="shared" si="3"/>
        <v>9.9889227287681415</v>
      </c>
      <c r="K62">
        <f t="shared" si="0"/>
        <v>9.9889227287681415</v>
      </c>
      <c r="L62">
        <f t="shared" si="4"/>
        <v>7.6646408039103306</v>
      </c>
      <c r="M62">
        <f t="shared" si="5"/>
        <v>2.3242819248578108</v>
      </c>
    </row>
    <row r="63" spans="1:13" x14ac:dyDescent="0.35">
      <c r="A63">
        <f t="shared" si="1"/>
        <v>60</v>
      </c>
      <c r="B63">
        <f>'AR 1'!C63</f>
        <v>8.567950641763117</v>
      </c>
      <c r="D63" s="29">
        <v>1</v>
      </c>
      <c r="E63" s="30">
        <f t="shared" si="2"/>
        <v>9.9889227287681415</v>
      </c>
      <c r="G63" s="24">
        <f t="shared" si="3"/>
        <v>8.567950641763117</v>
      </c>
      <c r="K63">
        <f t="shared" si="0"/>
        <v>8.567950641763117</v>
      </c>
      <c r="L63">
        <f t="shared" si="4"/>
        <v>8.9619333132111283</v>
      </c>
      <c r="M63">
        <f t="shared" si="5"/>
        <v>-0.39398267144801125</v>
      </c>
    </row>
    <row r="64" spans="1:13" x14ac:dyDescent="0.35">
      <c r="A64">
        <f t="shared" si="1"/>
        <v>61</v>
      </c>
      <c r="B64">
        <f>'AR 1'!C64</f>
        <v>11.140657012186477</v>
      </c>
      <c r="D64" s="29">
        <v>1</v>
      </c>
      <c r="E64" s="30">
        <f t="shared" si="2"/>
        <v>8.567950641763117</v>
      </c>
      <c r="G64" s="24">
        <f t="shared" si="3"/>
        <v>11.140657012186477</v>
      </c>
      <c r="K64">
        <f t="shared" si="0"/>
        <v>11.140657012186477</v>
      </c>
      <c r="L64">
        <f t="shared" si="4"/>
        <v>8.4015338781156945</v>
      </c>
      <c r="M64">
        <f t="shared" si="5"/>
        <v>2.7391231340707822</v>
      </c>
    </row>
    <row r="65" spans="1:13" x14ac:dyDescent="0.35">
      <c r="A65">
        <f t="shared" si="1"/>
        <v>62</v>
      </c>
      <c r="B65">
        <f>'AR 1'!C65</f>
        <v>10.861815846061663</v>
      </c>
      <c r="D65" s="29">
        <v>1</v>
      </c>
      <c r="E65" s="30">
        <f t="shared" si="2"/>
        <v>11.140657012186477</v>
      </c>
      <c r="G65" s="24">
        <f t="shared" si="3"/>
        <v>10.861815846061663</v>
      </c>
      <c r="K65">
        <f t="shared" si="0"/>
        <v>10.861815846061663</v>
      </c>
      <c r="L65">
        <f t="shared" si="4"/>
        <v>9.4161514134188877</v>
      </c>
      <c r="M65">
        <f t="shared" si="5"/>
        <v>1.4456644326427757</v>
      </c>
    </row>
    <row r="66" spans="1:13" x14ac:dyDescent="0.35">
      <c r="A66">
        <f t="shared" si="1"/>
        <v>63</v>
      </c>
      <c r="B66">
        <f>'AR 1'!C66</f>
        <v>6.9476293256076023</v>
      </c>
      <c r="D66" s="29">
        <v>1</v>
      </c>
      <c r="E66" s="30">
        <f t="shared" si="2"/>
        <v>10.861815846061663</v>
      </c>
      <c r="G66" s="24">
        <f t="shared" si="3"/>
        <v>6.9476293256076023</v>
      </c>
      <c r="K66">
        <f t="shared" si="0"/>
        <v>6.9476293256076023</v>
      </c>
      <c r="L66">
        <f t="shared" si="4"/>
        <v>9.3061827283146989</v>
      </c>
      <c r="M66">
        <f t="shared" si="5"/>
        <v>-2.3585534027070967</v>
      </c>
    </row>
    <row r="67" spans="1:13" x14ac:dyDescent="0.35">
      <c r="A67">
        <f t="shared" si="1"/>
        <v>64</v>
      </c>
      <c r="B67">
        <f>'AR 1'!C67</f>
        <v>6.380834951805145</v>
      </c>
      <c r="D67" s="29">
        <v>1</v>
      </c>
      <c r="E67" s="30">
        <f t="shared" si="2"/>
        <v>6.9476293256076023</v>
      </c>
      <c r="G67" s="24">
        <f t="shared" si="3"/>
        <v>6.380834951805145</v>
      </c>
      <c r="K67">
        <f t="shared" si="0"/>
        <v>6.380834951805145</v>
      </c>
      <c r="L67">
        <f t="shared" si="4"/>
        <v>7.7625155901769904</v>
      </c>
      <c r="M67">
        <f t="shared" si="5"/>
        <v>-1.3816806383718454</v>
      </c>
    </row>
    <row r="68" spans="1:13" x14ac:dyDescent="0.35">
      <c r="A68">
        <f t="shared" si="1"/>
        <v>65</v>
      </c>
      <c r="B68">
        <f>'AR 1'!C68</f>
        <v>9.0726793446289538</v>
      </c>
      <c r="D68" s="29">
        <v>1</v>
      </c>
      <c r="E68" s="30">
        <f t="shared" si="2"/>
        <v>6.380834951805145</v>
      </c>
      <c r="G68" s="24">
        <f t="shared" si="3"/>
        <v>9.0726793446289538</v>
      </c>
      <c r="K68">
        <f t="shared" si="0"/>
        <v>9.0726793446289538</v>
      </c>
      <c r="L68">
        <f t="shared" si="4"/>
        <v>7.5389846356994559</v>
      </c>
      <c r="M68">
        <f t="shared" si="5"/>
        <v>1.5336947089294979</v>
      </c>
    </row>
    <row r="69" spans="1:13" x14ac:dyDescent="0.35">
      <c r="A69">
        <f t="shared" si="1"/>
        <v>66</v>
      </c>
      <c r="B69">
        <f>'AR 1'!C69</f>
        <v>6.832378383517816</v>
      </c>
      <c r="D69" s="29">
        <v>1</v>
      </c>
      <c r="E69" s="30">
        <f t="shared" si="2"/>
        <v>9.0726793446289538</v>
      </c>
      <c r="G69" s="24">
        <f t="shared" si="3"/>
        <v>6.832378383517816</v>
      </c>
      <c r="K69">
        <f t="shared" ref="K69:K103" si="6">B69</f>
        <v>6.832378383517816</v>
      </c>
      <c r="L69">
        <f t="shared" si="4"/>
        <v>8.6005875277610073</v>
      </c>
      <c r="M69">
        <f t="shared" si="5"/>
        <v>-1.7682091442431913</v>
      </c>
    </row>
    <row r="70" spans="1:13" x14ac:dyDescent="0.35">
      <c r="A70">
        <f t="shared" ref="A70:A103" si="7">A69+1</f>
        <v>67</v>
      </c>
      <c r="B70">
        <f>'AR 1'!C70</f>
        <v>7.3495811868046541</v>
      </c>
      <c r="D70" s="29">
        <v>1</v>
      </c>
      <c r="E70" s="30">
        <f t="shared" ref="E70:E103" si="8">B69</f>
        <v>6.832378383517816</v>
      </c>
      <c r="G70" s="24">
        <f t="shared" ref="G70:G103" si="9">B70</f>
        <v>7.3495811868046541</v>
      </c>
      <c r="K70">
        <f t="shared" si="6"/>
        <v>7.3495811868046541</v>
      </c>
      <c r="L70">
        <f t="shared" ref="L70:L103" si="10">I$5+K69*I$6</f>
        <v>7.7170632104772157</v>
      </c>
      <c r="M70">
        <f t="shared" ref="M70:M103" si="11">K70-L70</f>
        <v>-0.36748202367256155</v>
      </c>
    </row>
    <row r="71" spans="1:13" x14ac:dyDescent="0.35">
      <c r="A71">
        <f t="shared" si="7"/>
        <v>68</v>
      </c>
      <c r="B71">
        <f>'AR 1'!C71</f>
        <v>8.6635730768835675</v>
      </c>
      <c r="D71" s="29">
        <v>1</v>
      </c>
      <c r="E71" s="30">
        <f t="shared" si="8"/>
        <v>7.3495811868046541</v>
      </c>
      <c r="G71" s="24">
        <f t="shared" si="9"/>
        <v>8.6635730768835675</v>
      </c>
      <c r="K71">
        <f t="shared" si="6"/>
        <v>8.6635730768835675</v>
      </c>
      <c r="L71">
        <f t="shared" si="10"/>
        <v>7.9210363648004751</v>
      </c>
      <c r="M71">
        <f t="shared" si="11"/>
        <v>0.74253671208309235</v>
      </c>
    </row>
    <row r="72" spans="1:13" x14ac:dyDescent="0.35">
      <c r="A72">
        <f t="shared" si="7"/>
        <v>69</v>
      </c>
      <c r="B72">
        <f>'AR 1'!C72</f>
        <v>8.6199352166966747</v>
      </c>
      <c r="D72" s="29">
        <v>1</v>
      </c>
      <c r="E72" s="30">
        <f t="shared" si="8"/>
        <v>8.6635730768835675</v>
      </c>
      <c r="G72" s="24">
        <f t="shared" si="9"/>
        <v>8.6199352166966747</v>
      </c>
      <c r="K72">
        <f t="shared" si="6"/>
        <v>8.6199352166966747</v>
      </c>
      <c r="L72">
        <f t="shared" si="10"/>
        <v>8.4392452160891906</v>
      </c>
      <c r="M72">
        <f t="shared" si="11"/>
        <v>0.18069000060748408</v>
      </c>
    </row>
    <row r="73" spans="1:13" x14ac:dyDescent="0.35">
      <c r="A73">
        <f t="shared" si="7"/>
        <v>70</v>
      </c>
      <c r="B73">
        <f>'AR 1'!C73</f>
        <v>9.0829349718133621</v>
      </c>
      <c r="D73" s="29">
        <v>1</v>
      </c>
      <c r="E73" s="30">
        <f t="shared" si="8"/>
        <v>8.6199352166966747</v>
      </c>
      <c r="G73" s="24">
        <f t="shared" si="9"/>
        <v>9.0829349718133621</v>
      </c>
      <c r="K73">
        <f t="shared" si="6"/>
        <v>9.0829349718133621</v>
      </c>
      <c r="L73">
        <f t="shared" si="10"/>
        <v>8.4220354253965031</v>
      </c>
      <c r="M73">
        <f t="shared" si="11"/>
        <v>0.660899546416859</v>
      </c>
    </row>
    <row r="74" spans="1:13" x14ac:dyDescent="0.35">
      <c r="A74">
        <f t="shared" si="7"/>
        <v>71</v>
      </c>
      <c r="B74">
        <f>'AR 1'!C74</f>
        <v>9.1796597917769738</v>
      </c>
      <c r="D74" s="29">
        <v>1</v>
      </c>
      <c r="E74" s="30">
        <f t="shared" si="8"/>
        <v>9.0829349718133621</v>
      </c>
      <c r="G74" s="24">
        <f t="shared" si="9"/>
        <v>9.1796597917769738</v>
      </c>
      <c r="K74">
        <f t="shared" si="6"/>
        <v>9.1796597917769738</v>
      </c>
      <c r="L74">
        <f t="shared" si="10"/>
        <v>8.6046321164853392</v>
      </c>
      <c r="M74">
        <f t="shared" si="11"/>
        <v>0.57502767529163457</v>
      </c>
    </row>
    <row r="75" spans="1:13" x14ac:dyDescent="0.35">
      <c r="A75">
        <f t="shared" si="7"/>
        <v>72</v>
      </c>
      <c r="B75">
        <f>'AR 1'!C75</f>
        <v>6.848589700351436</v>
      </c>
      <c r="D75" s="29">
        <v>1</v>
      </c>
      <c r="E75" s="30">
        <f t="shared" si="8"/>
        <v>9.1796597917769738</v>
      </c>
      <c r="G75" s="24">
        <f t="shared" si="9"/>
        <v>6.848589700351436</v>
      </c>
      <c r="K75">
        <f t="shared" si="6"/>
        <v>6.848589700351436</v>
      </c>
      <c r="L75">
        <f t="shared" si="10"/>
        <v>8.6427782102496167</v>
      </c>
      <c r="M75">
        <f t="shared" si="11"/>
        <v>-1.7941885098981807</v>
      </c>
    </row>
    <row r="76" spans="1:13" x14ac:dyDescent="0.35">
      <c r="A76">
        <f t="shared" si="7"/>
        <v>73</v>
      </c>
      <c r="B76">
        <f>'AR 1'!C76</f>
        <v>7.7501860684193806</v>
      </c>
      <c r="D76" s="29">
        <v>1</v>
      </c>
      <c r="E76" s="30">
        <f t="shared" si="8"/>
        <v>6.848589700351436</v>
      </c>
      <c r="G76" s="24">
        <f t="shared" si="9"/>
        <v>7.7501860684193806</v>
      </c>
      <c r="K76">
        <f t="shared" si="6"/>
        <v>7.7501860684193806</v>
      </c>
      <c r="L76">
        <f t="shared" si="10"/>
        <v>7.7234565892626232</v>
      </c>
      <c r="M76">
        <f t="shared" si="11"/>
        <v>2.6729479156757385E-2</v>
      </c>
    </row>
    <row r="77" spans="1:13" x14ac:dyDescent="0.35">
      <c r="A77">
        <f t="shared" si="7"/>
        <v>74</v>
      </c>
      <c r="B77">
        <f>'AR 1'!C77</f>
        <v>8.8331519655802584</v>
      </c>
      <c r="D77" s="29">
        <v>1</v>
      </c>
      <c r="E77" s="30">
        <f t="shared" si="8"/>
        <v>7.7501860684193806</v>
      </c>
      <c r="G77" s="24">
        <f t="shared" si="9"/>
        <v>8.8331519655802584</v>
      </c>
      <c r="K77">
        <f t="shared" si="6"/>
        <v>8.8331519655802584</v>
      </c>
      <c r="L77">
        <f t="shared" si="10"/>
        <v>8.0790259209687036</v>
      </c>
      <c r="M77">
        <f t="shared" si="11"/>
        <v>0.75412604461155475</v>
      </c>
    </row>
    <row r="78" spans="1:13" x14ac:dyDescent="0.35">
      <c r="A78">
        <f t="shared" si="7"/>
        <v>75</v>
      </c>
      <c r="B78">
        <f>'AR 1'!C78</f>
        <v>9.3710954936637663</v>
      </c>
      <c r="D78" s="29">
        <v>1</v>
      </c>
      <c r="E78" s="30">
        <f t="shared" si="8"/>
        <v>8.8331519655802584</v>
      </c>
      <c r="G78" s="24">
        <f t="shared" si="9"/>
        <v>9.3710954936637663</v>
      </c>
      <c r="K78">
        <f t="shared" si="6"/>
        <v>9.3710954936637663</v>
      </c>
      <c r="L78">
        <f t="shared" si="10"/>
        <v>8.5061233161580212</v>
      </c>
      <c r="M78">
        <f t="shared" si="11"/>
        <v>0.86497217750574507</v>
      </c>
    </row>
    <row r="79" spans="1:13" x14ac:dyDescent="0.35">
      <c r="A79">
        <f t="shared" si="7"/>
        <v>76</v>
      </c>
      <c r="B79">
        <f>'AR 1'!C79</f>
        <v>8.6528344763882448</v>
      </c>
      <c r="D79" s="29">
        <v>1</v>
      </c>
      <c r="E79" s="30">
        <f t="shared" si="8"/>
        <v>9.3710954936637663</v>
      </c>
      <c r="G79" s="24">
        <f t="shared" si="9"/>
        <v>8.6528344763882448</v>
      </c>
      <c r="K79">
        <f t="shared" si="6"/>
        <v>8.6528344763882448</v>
      </c>
      <c r="L79">
        <f t="shared" si="10"/>
        <v>8.7182761459061648</v>
      </c>
      <c r="M79">
        <f t="shared" si="11"/>
        <v>-6.5441669517920076E-2</v>
      </c>
    </row>
    <row r="80" spans="1:13" x14ac:dyDescent="0.35">
      <c r="A80">
        <f t="shared" si="7"/>
        <v>77</v>
      </c>
      <c r="B80">
        <f>'AR 1'!C80</f>
        <v>9.2564658868878311</v>
      </c>
      <c r="D80" s="29">
        <v>1</v>
      </c>
      <c r="E80" s="30">
        <f t="shared" si="8"/>
        <v>8.6528344763882448</v>
      </c>
      <c r="G80" s="24">
        <f t="shared" si="9"/>
        <v>9.2564658868878311</v>
      </c>
      <c r="K80">
        <f t="shared" si="6"/>
        <v>9.2564658868878311</v>
      </c>
      <c r="L80">
        <f t="shared" si="10"/>
        <v>8.435010153552545</v>
      </c>
      <c r="M80">
        <f t="shared" si="11"/>
        <v>0.8214557333352861</v>
      </c>
    </row>
    <row r="81" spans="1:13" x14ac:dyDescent="0.35">
      <c r="A81">
        <f t="shared" si="7"/>
        <v>78</v>
      </c>
      <c r="B81">
        <f>'AR 1'!C81</f>
        <v>9.6513968847440008</v>
      </c>
      <c r="D81" s="29">
        <v>1</v>
      </c>
      <c r="E81" s="30">
        <f t="shared" si="8"/>
        <v>9.2564658868878311</v>
      </c>
      <c r="G81" s="24">
        <f t="shared" si="9"/>
        <v>9.6513968847440008</v>
      </c>
      <c r="K81">
        <f t="shared" si="6"/>
        <v>9.6513968847440008</v>
      </c>
      <c r="L81">
        <f t="shared" si="10"/>
        <v>8.6730688068810622</v>
      </c>
      <c r="M81">
        <f t="shared" si="11"/>
        <v>0.97832807786293863</v>
      </c>
    </row>
    <row r="82" spans="1:13" x14ac:dyDescent="0.35">
      <c r="A82">
        <f t="shared" si="7"/>
        <v>79</v>
      </c>
      <c r="B82">
        <f>'AR 1'!C82</f>
        <v>6.6513632585601243</v>
      </c>
      <c r="D82" s="29">
        <v>1</v>
      </c>
      <c r="E82" s="30">
        <f t="shared" si="8"/>
        <v>9.6513968847440008</v>
      </c>
      <c r="G82" s="24">
        <f t="shared" si="9"/>
        <v>6.6513632585601243</v>
      </c>
      <c r="K82">
        <f t="shared" si="6"/>
        <v>6.6513632585601243</v>
      </c>
      <c r="L82">
        <f t="shared" si="10"/>
        <v>8.8288207108940018</v>
      </c>
      <c r="M82">
        <f t="shared" si="11"/>
        <v>-2.1774574523338774</v>
      </c>
    </row>
    <row r="83" spans="1:13" x14ac:dyDescent="0.35">
      <c r="A83">
        <f t="shared" si="7"/>
        <v>80</v>
      </c>
      <c r="B83">
        <f>'AR 1'!C83</f>
        <v>8.2448300200235511</v>
      </c>
      <c r="D83" s="29">
        <v>1</v>
      </c>
      <c r="E83" s="30">
        <f t="shared" si="8"/>
        <v>6.6513632585601243</v>
      </c>
      <c r="G83" s="24">
        <f t="shared" si="9"/>
        <v>8.2448300200235511</v>
      </c>
      <c r="K83">
        <f t="shared" si="6"/>
        <v>8.2448300200235511</v>
      </c>
      <c r="L83">
        <f t="shared" si="10"/>
        <v>7.6456749160147783</v>
      </c>
      <c r="M83">
        <f t="shared" si="11"/>
        <v>0.59915510400877281</v>
      </c>
    </row>
    <row r="84" spans="1:13" x14ac:dyDescent="0.35">
      <c r="A84">
        <f t="shared" si="7"/>
        <v>81</v>
      </c>
      <c r="B84">
        <f>'AR 1'!C84</f>
        <v>6.0413591421843176</v>
      </c>
      <c r="D84" s="29">
        <v>1</v>
      </c>
      <c r="E84" s="30">
        <f t="shared" si="8"/>
        <v>8.2448300200235511</v>
      </c>
      <c r="G84" s="24">
        <f t="shared" si="9"/>
        <v>6.0413591421843176</v>
      </c>
      <c r="K84">
        <f t="shared" si="6"/>
        <v>6.0413591421843176</v>
      </c>
      <c r="L84">
        <f t="shared" si="10"/>
        <v>8.2741023715108106</v>
      </c>
      <c r="M84">
        <f t="shared" si="11"/>
        <v>-2.2327432293264931</v>
      </c>
    </row>
    <row r="85" spans="1:13" x14ac:dyDescent="0.35">
      <c r="A85">
        <f t="shared" si="7"/>
        <v>82</v>
      </c>
      <c r="B85">
        <f>'AR 1'!C85</f>
        <v>7.6493627408184555</v>
      </c>
      <c r="D85" s="29">
        <v>1</v>
      </c>
      <c r="E85" s="30">
        <f t="shared" si="8"/>
        <v>6.0413591421843176</v>
      </c>
      <c r="G85" s="24">
        <f t="shared" si="9"/>
        <v>7.6493627408184555</v>
      </c>
      <c r="K85">
        <f t="shared" si="6"/>
        <v>7.6493627408184555</v>
      </c>
      <c r="L85">
        <f t="shared" si="10"/>
        <v>7.405103010803467</v>
      </c>
      <c r="M85">
        <f t="shared" si="11"/>
        <v>0.24425973001498846</v>
      </c>
    </row>
    <row r="86" spans="1:13" x14ac:dyDescent="0.35">
      <c r="A86">
        <f t="shared" si="7"/>
        <v>83</v>
      </c>
      <c r="B86">
        <f>'AR 1'!C86</f>
        <v>8.5549854316047824</v>
      </c>
      <c r="D86" s="29">
        <v>1</v>
      </c>
      <c r="E86" s="30">
        <f t="shared" si="8"/>
        <v>7.6493627408184555</v>
      </c>
      <c r="G86" s="24">
        <f t="shared" si="9"/>
        <v>8.5549854316047824</v>
      </c>
      <c r="K86">
        <f t="shared" si="6"/>
        <v>8.5549854316047824</v>
      </c>
      <c r="L86">
        <f t="shared" si="10"/>
        <v>8.039263467962968</v>
      </c>
      <c r="M86">
        <f t="shared" si="11"/>
        <v>0.51572196364181444</v>
      </c>
    </row>
    <row r="87" spans="1:13" x14ac:dyDescent="0.35">
      <c r="A87">
        <f t="shared" si="7"/>
        <v>84</v>
      </c>
      <c r="B87">
        <f>'AR 1'!C87</f>
        <v>9.3164955064472412</v>
      </c>
      <c r="D87" s="29">
        <v>1</v>
      </c>
      <c r="E87" s="30">
        <f t="shared" si="8"/>
        <v>8.5549854316047824</v>
      </c>
      <c r="G87" s="24">
        <f t="shared" si="9"/>
        <v>9.3164955064472412</v>
      </c>
      <c r="K87">
        <f t="shared" si="6"/>
        <v>9.3164955064472412</v>
      </c>
      <c r="L87">
        <f t="shared" si="10"/>
        <v>8.3964206908018344</v>
      </c>
      <c r="M87">
        <f t="shared" si="11"/>
        <v>0.92007481564540683</v>
      </c>
    </row>
    <row r="88" spans="1:13" x14ac:dyDescent="0.35">
      <c r="A88">
        <f t="shared" si="7"/>
        <v>85</v>
      </c>
      <c r="B88">
        <f>'AR 1'!C88</f>
        <v>9.3880379589982077</v>
      </c>
      <c r="D88" s="29">
        <v>1</v>
      </c>
      <c r="E88" s="30">
        <f t="shared" si="8"/>
        <v>9.3164955064472412</v>
      </c>
      <c r="G88" s="24">
        <f t="shared" si="9"/>
        <v>9.3880379589982077</v>
      </c>
      <c r="K88">
        <f t="shared" si="6"/>
        <v>9.3880379589982077</v>
      </c>
      <c r="L88">
        <f t="shared" si="10"/>
        <v>8.6967431388385528</v>
      </c>
      <c r="M88">
        <f t="shared" si="11"/>
        <v>0.69129482015965493</v>
      </c>
    </row>
    <row r="89" spans="1:13" x14ac:dyDescent="0.35">
      <c r="A89">
        <f t="shared" si="7"/>
        <v>86</v>
      </c>
      <c r="B89">
        <f>'AR 1'!C89</f>
        <v>8.8184147405082118</v>
      </c>
      <c r="D89" s="29">
        <v>1</v>
      </c>
      <c r="E89" s="30">
        <f t="shared" si="8"/>
        <v>9.3880379589982077</v>
      </c>
      <c r="G89" s="24">
        <f t="shared" si="9"/>
        <v>8.8184147405082118</v>
      </c>
      <c r="K89">
        <f t="shared" si="6"/>
        <v>8.8184147405082118</v>
      </c>
      <c r="L89">
        <f t="shared" si="10"/>
        <v>8.7249578732176118</v>
      </c>
      <c r="M89">
        <f t="shared" si="11"/>
        <v>9.3456867290599988E-2</v>
      </c>
    </row>
    <row r="90" spans="1:13" x14ac:dyDescent="0.35">
      <c r="A90">
        <f t="shared" si="7"/>
        <v>87</v>
      </c>
      <c r="B90">
        <f>'AR 1'!C90</f>
        <v>8.9099086736321791</v>
      </c>
      <c r="D90" s="29">
        <v>1</v>
      </c>
      <c r="E90" s="30">
        <f t="shared" si="8"/>
        <v>8.8184147405082118</v>
      </c>
      <c r="G90" s="24">
        <f t="shared" si="9"/>
        <v>8.9099086736321791</v>
      </c>
      <c r="K90">
        <f t="shared" si="6"/>
        <v>8.9099086736321791</v>
      </c>
      <c r="L90">
        <f t="shared" si="10"/>
        <v>8.5003112860127601</v>
      </c>
      <c r="M90">
        <f t="shared" si="11"/>
        <v>0.409597387619419</v>
      </c>
    </row>
    <row r="91" spans="1:13" x14ac:dyDescent="0.35">
      <c r="A91">
        <f t="shared" si="7"/>
        <v>88</v>
      </c>
      <c r="B91">
        <f>'AR 1'!C91</f>
        <v>8.4966509972542372</v>
      </c>
      <c r="D91" s="29">
        <v>1</v>
      </c>
      <c r="E91" s="30">
        <f t="shared" si="8"/>
        <v>8.9099086736321791</v>
      </c>
      <c r="G91" s="24">
        <f t="shared" si="9"/>
        <v>8.4966509972542372</v>
      </c>
      <c r="K91">
        <f t="shared" si="6"/>
        <v>8.4966509972542372</v>
      </c>
      <c r="L91">
        <f t="shared" si="10"/>
        <v>8.5363944356440786</v>
      </c>
      <c r="M91">
        <f t="shared" si="11"/>
        <v>-3.9743438389841401E-2</v>
      </c>
    </row>
    <row r="92" spans="1:13" x14ac:dyDescent="0.35">
      <c r="A92">
        <f t="shared" si="7"/>
        <v>89</v>
      </c>
      <c r="B92">
        <f>'AR 1'!C92</f>
        <v>9.5957622880510769</v>
      </c>
      <c r="D92" s="29">
        <v>1</v>
      </c>
      <c r="E92" s="30">
        <f t="shared" si="8"/>
        <v>8.4966509972542372</v>
      </c>
      <c r="G92" s="24">
        <f t="shared" si="9"/>
        <v>9.5957622880510769</v>
      </c>
      <c r="K92">
        <f t="shared" si="6"/>
        <v>9.5957622880510769</v>
      </c>
      <c r="L92">
        <f t="shared" si="10"/>
        <v>8.3734149017679638</v>
      </c>
      <c r="M92">
        <f t="shared" si="11"/>
        <v>1.2223473862831131</v>
      </c>
    </row>
    <row r="93" spans="1:13" x14ac:dyDescent="0.35">
      <c r="A93">
        <f t="shared" si="7"/>
        <v>90</v>
      </c>
      <c r="B93">
        <f>'AR 1'!C93</f>
        <v>9.4341042496587111</v>
      </c>
      <c r="D93" s="29">
        <v>1</v>
      </c>
      <c r="E93" s="30">
        <f t="shared" si="8"/>
        <v>9.5957622880510769</v>
      </c>
      <c r="G93" s="24">
        <f t="shared" si="9"/>
        <v>9.4341042496587111</v>
      </c>
      <c r="K93">
        <f t="shared" si="6"/>
        <v>9.4341042496587111</v>
      </c>
      <c r="L93">
        <f t="shared" si="10"/>
        <v>8.8068796771160685</v>
      </c>
      <c r="M93">
        <f t="shared" si="11"/>
        <v>0.62722457254264263</v>
      </c>
    </row>
    <row r="94" spans="1:13" x14ac:dyDescent="0.35">
      <c r="A94">
        <f t="shared" si="7"/>
        <v>91</v>
      </c>
      <c r="B94">
        <f>'AR 1'!C94</f>
        <v>8.3549740311930485</v>
      </c>
      <c r="D94" s="29">
        <v>1</v>
      </c>
      <c r="E94" s="30">
        <f t="shared" si="8"/>
        <v>9.4341042496587111</v>
      </c>
      <c r="G94" s="24">
        <f t="shared" si="9"/>
        <v>8.3549740311930485</v>
      </c>
      <c r="K94">
        <f t="shared" si="6"/>
        <v>8.3549740311930485</v>
      </c>
      <c r="L94">
        <f t="shared" si="10"/>
        <v>8.7431253822764994</v>
      </c>
      <c r="M94">
        <f t="shared" si="11"/>
        <v>-0.38815135108345089</v>
      </c>
    </row>
    <row r="95" spans="1:13" x14ac:dyDescent="0.35">
      <c r="A95">
        <f t="shared" si="7"/>
        <v>92</v>
      </c>
      <c r="B95">
        <f>'AR 1'!C95</f>
        <v>8.8374866436708892</v>
      </c>
      <c r="D95" s="29">
        <v>1</v>
      </c>
      <c r="E95" s="30">
        <f t="shared" si="8"/>
        <v>8.3549740311930485</v>
      </c>
      <c r="G95" s="24">
        <f t="shared" si="9"/>
        <v>8.8374866436708892</v>
      </c>
      <c r="K95">
        <f t="shared" si="6"/>
        <v>8.8374866436708892</v>
      </c>
      <c r="L95">
        <f t="shared" si="10"/>
        <v>8.3175406925045934</v>
      </c>
      <c r="M95">
        <f t="shared" si="11"/>
        <v>0.51994595116629583</v>
      </c>
    </row>
    <row r="96" spans="1:13" x14ac:dyDescent="0.35">
      <c r="A96">
        <f t="shared" si="7"/>
        <v>93</v>
      </c>
      <c r="B96">
        <f>'AR 1'!C96</f>
        <v>7.8030050801946294</v>
      </c>
      <c r="D96" s="29">
        <v>1</v>
      </c>
      <c r="E96" s="30">
        <f t="shared" si="8"/>
        <v>8.8374866436708892</v>
      </c>
      <c r="G96" s="24">
        <f t="shared" si="9"/>
        <v>7.8030050801946294</v>
      </c>
      <c r="K96">
        <f t="shared" si="6"/>
        <v>7.8030050801946294</v>
      </c>
      <c r="L96">
        <f t="shared" si="10"/>
        <v>8.5078328157150676</v>
      </c>
      <c r="M96">
        <f t="shared" si="11"/>
        <v>-0.7048277355204382</v>
      </c>
    </row>
    <row r="97" spans="1:13" x14ac:dyDescent="0.35">
      <c r="A97">
        <f t="shared" si="7"/>
        <v>94</v>
      </c>
      <c r="B97">
        <f>'AR 1'!C97</f>
        <v>6.432132626966296</v>
      </c>
      <c r="D97" s="29">
        <v>1</v>
      </c>
      <c r="E97" s="30">
        <f t="shared" si="8"/>
        <v>7.8030050801946294</v>
      </c>
      <c r="G97" s="24">
        <f t="shared" si="9"/>
        <v>6.432132626966296</v>
      </c>
      <c r="K97">
        <f t="shared" si="6"/>
        <v>6.432132626966296</v>
      </c>
      <c r="L97">
        <f t="shared" si="10"/>
        <v>8.099856551374355</v>
      </c>
      <c r="M97">
        <f t="shared" si="11"/>
        <v>-1.6677239244080591</v>
      </c>
    </row>
    <row r="98" spans="1:13" x14ac:dyDescent="0.35">
      <c r="A98">
        <f t="shared" si="7"/>
        <v>95</v>
      </c>
      <c r="B98">
        <f>'AR 1'!C98</f>
        <v>8.2070381831134771</v>
      </c>
      <c r="D98" s="29">
        <v>1</v>
      </c>
      <c r="E98" s="30">
        <f t="shared" si="8"/>
        <v>6.432132626966296</v>
      </c>
      <c r="G98" s="24">
        <f t="shared" si="9"/>
        <v>8.2070381831134771</v>
      </c>
      <c r="K98">
        <f t="shared" si="6"/>
        <v>8.2070381831134771</v>
      </c>
      <c r="L98">
        <f t="shared" si="10"/>
        <v>7.5592152851576087</v>
      </c>
      <c r="M98">
        <f t="shared" si="11"/>
        <v>0.64782289795586845</v>
      </c>
    </row>
    <row r="99" spans="1:13" x14ac:dyDescent="0.35">
      <c r="A99">
        <f t="shared" si="7"/>
        <v>96</v>
      </c>
      <c r="B99">
        <f>'AR 1'!C99</f>
        <v>6.8935011528724619</v>
      </c>
      <c r="D99" s="29">
        <v>1</v>
      </c>
      <c r="E99" s="30">
        <f t="shared" si="8"/>
        <v>8.2070381831134771</v>
      </c>
      <c r="G99" s="24">
        <f t="shared" si="9"/>
        <v>6.8935011528724619</v>
      </c>
      <c r="K99">
        <f t="shared" si="6"/>
        <v>6.8935011528724619</v>
      </c>
      <c r="L99">
        <f t="shared" si="10"/>
        <v>8.2591981209281951</v>
      </c>
      <c r="M99">
        <f t="shared" si="11"/>
        <v>-1.3656969680557332</v>
      </c>
    </row>
    <row r="100" spans="1:13" x14ac:dyDescent="0.35">
      <c r="A100">
        <f t="shared" si="7"/>
        <v>97</v>
      </c>
      <c r="B100">
        <f>'AR 1'!C100</f>
        <v>6.5813576553819226</v>
      </c>
      <c r="D100" s="29">
        <v>1</v>
      </c>
      <c r="E100" s="30">
        <f t="shared" si="8"/>
        <v>6.8935011528724619</v>
      </c>
      <c r="G100" s="24">
        <f t="shared" si="9"/>
        <v>6.5813576553819226</v>
      </c>
      <c r="K100">
        <f t="shared" si="6"/>
        <v>6.5813576553819226</v>
      </c>
      <c r="L100">
        <f t="shared" si="10"/>
        <v>7.7411686561302737</v>
      </c>
      <c r="M100">
        <f t="shared" si="11"/>
        <v>-1.1598110007483511</v>
      </c>
    </row>
    <row r="101" spans="1:13" x14ac:dyDescent="0.35">
      <c r="A101">
        <f t="shared" si="7"/>
        <v>98</v>
      </c>
      <c r="B101">
        <f>'AR 1'!C101</f>
        <v>6.7231135510172306</v>
      </c>
      <c r="D101" s="29">
        <v>1</v>
      </c>
      <c r="E101" s="30">
        <f t="shared" si="8"/>
        <v>6.5813576553819226</v>
      </c>
      <c r="G101" s="24">
        <f t="shared" si="9"/>
        <v>6.7231135510172306</v>
      </c>
      <c r="K101">
        <f t="shared" si="6"/>
        <v>6.7231135510172306</v>
      </c>
      <c r="L101">
        <f t="shared" si="10"/>
        <v>7.6180662804663726</v>
      </c>
      <c r="M101">
        <f t="shared" si="11"/>
        <v>-0.89495272944914195</v>
      </c>
    </row>
    <row r="102" spans="1:13" x14ac:dyDescent="0.35">
      <c r="A102">
        <f t="shared" si="7"/>
        <v>99</v>
      </c>
      <c r="B102">
        <f>'AR 1'!C102</f>
        <v>5.6031024496579178</v>
      </c>
      <c r="D102" s="29">
        <v>1</v>
      </c>
      <c r="E102" s="30">
        <f t="shared" si="8"/>
        <v>6.7231135510172306</v>
      </c>
      <c r="G102" s="24">
        <f t="shared" si="9"/>
        <v>5.6031024496579178</v>
      </c>
      <c r="K102">
        <f t="shared" si="6"/>
        <v>5.6031024496579178</v>
      </c>
      <c r="L102">
        <f t="shared" si="10"/>
        <v>7.6739716177787392</v>
      </c>
      <c r="M102">
        <f t="shared" si="11"/>
        <v>-2.0708691681208213</v>
      </c>
    </row>
    <row r="103" spans="1:13" x14ac:dyDescent="0.35">
      <c r="A103">
        <f t="shared" si="7"/>
        <v>100</v>
      </c>
      <c r="B103" s="4">
        <f>'AR 1'!C103</f>
        <v>8.2498435205593736</v>
      </c>
      <c r="D103" s="31">
        <v>1</v>
      </c>
      <c r="E103" s="32">
        <f t="shared" si="8"/>
        <v>5.6031024496579178</v>
      </c>
      <c r="G103" s="34">
        <f t="shared" si="9"/>
        <v>8.2498435205593736</v>
      </c>
      <c r="K103" s="4">
        <f t="shared" si="6"/>
        <v>8.2498435205593736</v>
      </c>
      <c r="L103" s="4">
        <f t="shared" si="10"/>
        <v>7.2322644271573697</v>
      </c>
      <c r="M103" s="4">
        <f t="shared" si="11"/>
        <v>1.0175790934020039</v>
      </c>
    </row>
  </sheetData>
  <mergeCells count="1">
    <mergeCell ref="D3:E3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68"/>
  <dimension ref="A1:G103"/>
  <sheetViews>
    <sheetView workbookViewId="0">
      <selection activeCell="B4" sqref="B4"/>
    </sheetView>
  </sheetViews>
  <sheetFormatPr defaultRowHeight="14.5" x14ac:dyDescent="0.35"/>
  <cols>
    <col min="1" max="1" width="5.26953125" customWidth="1"/>
    <col min="5" max="5" width="6.26953125" customWidth="1"/>
  </cols>
  <sheetData>
    <row r="1" spans="1:7" x14ac:dyDescent="0.35">
      <c r="A1" s="7" t="s">
        <v>215</v>
      </c>
    </row>
    <row r="3" spans="1:7" x14ac:dyDescent="0.35">
      <c r="B3" s="66" t="s">
        <v>107</v>
      </c>
      <c r="C3" s="66" t="s">
        <v>110</v>
      </c>
      <c r="D3" s="66" t="s">
        <v>177</v>
      </c>
      <c r="F3" s="35" t="s">
        <v>196</v>
      </c>
    </row>
    <row r="4" spans="1:7" x14ac:dyDescent="0.35">
      <c r="A4">
        <v>1</v>
      </c>
      <c r="B4">
        <v>-0.69785249480192335</v>
      </c>
      <c r="C4">
        <f>'AR 1'!C4</f>
        <v>4.3021475051980769</v>
      </c>
    </row>
    <row r="5" spans="1:7" x14ac:dyDescent="0.35">
      <c r="A5">
        <f>A4+1</f>
        <v>2</v>
      </c>
      <c r="B5">
        <v>-0.57784409098609946</v>
      </c>
      <c r="C5">
        <f>'AR 1'!C5</f>
        <v>6.1430149110931316</v>
      </c>
      <c r="D5">
        <f>$F$5+C4*$F$6</f>
        <v>6.7192043987954024</v>
      </c>
      <c r="F5" s="23">
        <v>5.0225532685473393</v>
      </c>
    </row>
    <row r="6" spans="1:7" x14ac:dyDescent="0.35">
      <c r="A6">
        <f t="shared" ref="A6:A69" si="0">A5+1</f>
        <v>3</v>
      </c>
      <c r="B6">
        <v>-1.1112486969478823</v>
      </c>
      <c r="C6">
        <f>'AR 1'!C6</f>
        <v>6.3459572674893705</v>
      </c>
      <c r="D6">
        <f t="shared" ref="D6:D69" si="1">$F$5+C5*$F$6</f>
        <v>7.4451929338409624</v>
      </c>
      <c r="F6" s="34">
        <v>0.39437307256389548</v>
      </c>
    </row>
    <row r="7" spans="1:7" x14ac:dyDescent="0.35">
      <c r="A7">
        <f t="shared" si="0"/>
        <v>4</v>
      </c>
      <c r="B7">
        <v>-0.5603335917027612</v>
      </c>
      <c r="C7">
        <f>'AR 1'!C7</f>
        <v>6.9780493152929868</v>
      </c>
      <c r="D7">
        <f t="shared" si="1"/>
        <v>7.5252279344863044</v>
      </c>
    </row>
    <row r="8" spans="1:7" x14ac:dyDescent="0.35">
      <c r="A8">
        <f t="shared" si="0"/>
        <v>5</v>
      </c>
      <c r="B8">
        <v>1.656533975333653</v>
      </c>
      <c r="C8">
        <f>'AR 1'!C8</f>
        <v>9.4477537014508481</v>
      </c>
      <c r="D8">
        <f t="shared" si="1"/>
        <v>7.7745080175218213</v>
      </c>
      <c r="F8" s="65" t="s">
        <v>4</v>
      </c>
    </row>
    <row r="9" spans="1:7" x14ac:dyDescent="0.35">
      <c r="A9">
        <f t="shared" si="0"/>
        <v>6</v>
      </c>
      <c r="B9">
        <v>-0.41484923591072326</v>
      </c>
      <c r="C9">
        <f>'AR 1'!C9</f>
        <v>8.3642522446696148</v>
      </c>
      <c r="D9">
        <f t="shared" si="1"/>
        <v>8.7484929246154266</v>
      </c>
      <c r="F9" s="19">
        <f>SUMXMY2(C5:C103,D5:D103)</f>
        <v>126.60512045694205</v>
      </c>
    </row>
    <row r="10" spans="1:7" x14ac:dyDescent="0.35">
      <c r="A10">
        <f t="shared" si="0"/>
        <v>7</v>
      </c>
      <c r="B10">
        <v>-1.274931208283298</v>
      </c>
      <c r="C10">
        <f>'AR 1'!C10</f>
        <v>7.0707696895845489</v>
      </c>
      <c r="D10">
        <f t="shared" si="1"/>
        <v>8.3211891259771544</v>
      </c>
    </row>
    <row r="11" spans="1:7" ht="16.5" x14ac:dyDescent="0.45">
      <c r="A11">
        <f t="shared" si="0"/>
        <v>8</v>
      </c>
      <c r="B11">
        <v>-0.80593538272356346</v>
      </c>
      <c r="C11">
        <f>'AR 1'!C11</f>
        <v>7.0223724931102565</v>
      </c>
      <c r="D11">
        <f t="shared" si="1"/>
        <v>7.8110744364204594</v>
      </c>
      <c r="F11" s="65" t="s">
        <v>214</v>
      </c>
      <c r="G11" t="s">
        <v>125</v>
      </c>
    </row>
    <row r="12" spans="1:7" x14ac:dyDescent="0.35">
      <c r="A12">
        <f t="shared" si="0"/>
        <v>9</v>
      </c>
      <c r="B12">
        <v>-0.17954155743882044</v>
      </c>
      <c r="C12">
        <f>'AR 1'!C12</f>
        <v>7.6294074398052825</v>
      </c>
      <c r="D12">
        <f t="shared" si="1"/>
        <v>7.7919878853434135</v>
      </c>
      <c r="F12" s="19">
        <f>ABS(F6)</f>
        <v>0.39437307256389548</v>
      </c>
    </row>
    <row r="13" spans="1:7" x14ac:dyDescent="0.35">
      <c r="A13">
        <f t="shared" si="0"/>
        <v>10</v>
      </c>
      <c r="B13">
        <v>-0.60002179872810912</v>
      </c>
      <c r="C13">
        <f>'AR 1'!C13</f>
        <v>7.4517411771940036</v>
      </c>
      <c r="D13">
        <f t="shared" si="1"/>
        <v>8.031386122425193</v>
      </c>
    </row>
    <row r="14" spans="1:7" x14ac:dyDescent="0.35">
      <c r="A14">
        <f t="shared" si="0"/>
        <v>11</v>
      </c>
      <c r="B14">
        <v>-0.66763333953713533</v>
      </c>
      <c r="C14">
        <f>'AR 1'!C14</f>
        <v>7.3130631313404661</v>
      </c>
      <c r="D14">
        <f t="shared" si="1"/>
        <v>7.9613193325482374</v>
      </c>
    </row>
    <row r="15" spans="1:7" x14ac:dyDescent="0.35">
      <c r="A15">
        <f t="shared" si="0"/>
        <v>12</v>
      </c>
      <c r="B15">
        <v>-1.1882740654292401</v>
      </c>
      <c r="C15">
        <f>'AR 1'!C15</f>
        <v>6.7369511871069463</v>
      </c>
      <c r="D15">
        <f t="shared" si="1"/>
        <v>7.9066284455078222</v>
      </c>
    </row>
    <row r="16" spans="1:7" x14ac:dyDescent="0.35">
      <c r="A16">
        <f t="shared" si="0"/>
        <v>13</v>
      </c>
      <c r="B16">
        <v>-5.9362987216999438E-2</v>
      </c>
      <c r="C16">
        <f>'AR 1'!C16</f>
        <v>7.6354174876257783</v>
      </c>
      <c r="D16">
        <f t="shared" si="1"/>
        <v>7.6794254079196893</v>
      </c>
    </row>
    <row r="17" spans="1:4" x14ac:dyDescent="0.35">
      <c r="A17">
        <f t="shared" si="0"/>
        <v>14</v>
      </c>
      <c r="B17">
        <v>0.2800890126112825</v>
      </c>
      <c r="C17">
        <f>'AR 1'!C17</f>
        <v>8.3342560076615939</v>
      </c>
      <c r="D17">
        <f t="shared" si="1"/>
        <v>8.033756323450417</v>
      </c>
    </row>
    <row r="18" spans="1:4" x14ac:dyDescent="0.35">
      <c r="A18">
        <f t="shared" si="0"/>
        <v>15</v>
      </c>
      <c r="B18">
        <v>0.18047523554544689</v>
      </c>
      <c r="C18">
        <f>'AR 1'!C18</f>
        <v>8.5141776386100858</v>
      </c>
      <c r="D18">
        <f t="shared" si="1"/>
        <v>8.3093594178229466</v>
      </c>
    </row>
    <row r="19" spans="1:4" x14ac:dyDescent="0.35">
      <c r="A19">
        <f t="shared" si="0"/>
        <v>16</v>
      </c>
      <c r="B19">
        <v>1.0704437186023568</v>
      </c>
      <c r="C19">
        <f>'AR 1'!C19</f>
        <v>9.4761147740463922</v>
      </c>
      <c r="D19">
        <f t="shared" si="1"/>
        <v>8.3803156642408112</v>
      </c>
    </row>
    <row r="20" spans="1:4" x14ac:dyDescent="0.35">
      <c r="A20">
        <f t="shared" si="0"/>
        <v>17</v>
      </c>
      <c r="B20">
        <v>-0.34072311283254131</v>
      </c>
      <c r="C20">
        <f>'AR 1'!C20</f>
        <v>8.4497227967860145</v>
      </c>
      <c r="D20">
        <f t="shared" si="1"/>
        <v>8.7596777679561395</v>
      </c>
    </row>
    <row r="21" spans="1:4" x14ac:dyDescent="0.35">
      <c r="A21">
        <f t="shared" si="0"/>
        <v>18</v>
      </c>
      <c r="B21">
        <v>1.1245741006977241</v>
      </c>
      <c r="C21">
        <f>'AR 1'!C21</f>
        <v>9.5044632194121306</v>
      </c>
      <c r="D21">
        <f t="shared" si="1"/>
        <v>8.3548964102290313</v>
      </c>
    </row>
    <row r="22" spans="1:4" x14ac:dyDescent="0.35">
      <c r="A22">
        <f t="shared" si="0"/>
        <v>19</v>
      </c>
      <c r="B22">
        <v>-2.1341842125122983</v>
      </c>
      <c r="C22">
        <f>'AR 1'!C22</f>
        <v>6.6676010752525539</v>
      </c>
      <c r="D22">
        <f t="shared" si="1"/>
        <v>8.7708576314574351</v>
      </c>
    </row>
    <row r="23" spans="1:4" x14ac:dyDescent="0.35">
      <c r="A23">
        <f t="shared" si="0"/>
        <v>20</v>
      </c>
      <c r="B23">
        <v>0.18527521137964745</v>
      </c>
      <c r="C23">
        <f>'AR 1'!C23</f>
        <v>7.8523156414806694</v>
      </c>
      <c r="D23">
        <f t="shared" si="1"/>
        <v>7.6520755912250227</v>
      </c>
    </row>
    <row r="24" spans="1:4" x14ac:dyDescent="0.35">
      <c r="A24">
        <f t="shared" si="0"/>
        <v>21</v>
      </c>
      <c r="B24">
        <v>-0.2220638394273014</v>
      </c>
      <c r="C24">
        <f>'AR 1'!C24</f>
        <v>7.9188624171649664</v>
      </c>
      <c r="D24">
        <f t="shared" si="1"/>
        <v>8.1192951148196073</v>
      </c>
    </row>
    <row r="25" spans="1:4" x14ac:dyDescent="0.35">
      <c r="A25">
        <f t="shared" si="0"/>
        <v>22</v>
      </c>
      <c r="B25">
        <v>0.60504116436601907</v>
      </c>
      <c r="C25">
        <f>'AR 1'!C25</f>
        <v>8.7725861312320053</v>
      </c>
      <c r="D25">
        <f t="shared" si="1"/>
        <v>8.1455393712154436</v>
      </c>
    </row>
    <row r="26" spans="1:4" x14ac:dyDescent="0.35">
      <c r="A26">
        <f t="shared" si="0"/>
        <v>23</v>
      </c>
      <c r="B26">
        <v>2.4090628953263193</v>
      </c>
      <c r="C26">
        <f>'AR 1'!C26</f>
        <v>10.918097347819121</v>
      </c>
      <c r="D26">
        <f t="shared" si="1"/>
        <v>8.4822250154527215</v>
      </c>
    </row>
    <row r="27" spans="1:4" x14ac:dyDescent="0.35">
      <c r="A27">
        <f t="shared" si="0"/>
        <v>24</v>
      </c>
      <c r="B27">
        <v>-0.22785690261685324</v>
      </c>
      <c r="C27">
        <f>'AR 1'!C27</f>
        <v>9.1393820365107956</v>
      </c>
      <c r="D27">
        <f t="shared" si="1"/>
        <v>9.328356866158483</v>
      </c>
    </row>
    <row r="28" spans="1:4" x14ac:dyDescent="0.35">
      <c r="A28">
        <f t="shared" si="0"/>
        <v>25</v>
      </c>
      <c r="B28">
        <v>1.4933040877872454</v>
      </c>
      <c r="C28">
        <f>'AR 1'!C28</f>
        <v>10.149056902391564</v>
      </c>
      <c r="D28">
        <f t="shared" si="1"/>
        <v>8.6268794436213732</v>
      </c>
    </row>
    <row r="29" spans="1:4" x14ac:dyDescent="0.35">
      <c r="A29">
        <f t="shared" si="0"/>
        <v>26</v>
      </c>
      <c r="B29">
        <v>0.71349407818724175</v>
      </c>
      <c r="C29">
        <f>'AR 1'!C29</f>
        <v>9.7731168391438672</v>
      </c>
      <c r="D29">
        <f t="shared" si="1"/>
        <v>9.025068022769311</v>
      </c>
    </row>
    <row r="30" spans="1:4" x14ac:dyDescent="0.35">
      <c r="A30">
        <f t="shared" si="0"/>
        <v>27</v>
      </c>
      <c r="B30">
        <v>-0.76524343436916209</v>
      </c>
      <c r="C30">
        <f>'AR 1'!C30</f>
        <v>8.1440033012883841</v>
      </c>
      <c r="D30">
        <f t="shared" si="1"/>
        <v>8.8768073849264528</v>
      </c>
    </row>
    <row r="31" spans="1:4" x14ac:dyDescent="0.35">
      <c r="A31">
        <f t="shared" si="0"/>
        <v>28</v>
      </c>
      <c r="B31">
        <v>-1.4191009440900102</v>
      </c>
      <c r="C31">
        <f>'AR 1'!C31</f>
        <v>6.838500376425344</v>
      </c>
      <c r="D31">
        <f t="shared" si="1"/>
        <v>8.2343288734469482</v>
      </c>
    </row>
    <row r="32" spans="1:4" x14ac:dyDescent="0.35">
      <c r="A32">
        <f t="shared" si="0"/>
        <v>29</v>
      </c>
      <c r="B32">
        <v>1.4740369863748075</v>
      </c>
      <c r="C32">
        <f>'AR 1'!C32</f>
        <v>9.2094371369449455</v>
      </c>
      <c r="D32">
        <f t="shared" si="1"/>
        <v>7.719473673727558</v>
      </c>
    </row>
    <row r="33" spans="1:4" x14ac:dyDescent="0.35">
      <c r="A33">
        <f t="shared" si="0"/>
        <v>30</v>
      </c>
      <c r="B33">
        <v>0.15337369729432532</v>
      </c>
      <c r="C33">
        <f>'AR 1'!C33</f>
        <v>8.8371485520723034</v>
      </c>
      <c r="D33">
        <f t="shared" si="1"/>
        <v>8.6545072888283627</v>
      </c>
    </row>
    <row r="34" spans="1:4" x14ac:dyDescent="0.35">
      <c r="A34">
        <f t="shared" si="0"/>
        <v>31</v>
      </c>
      <c r="B34">
        <v>-0.913929957875393</v>
      </c>
      <c r="C34">
        <f>'AR 1'!C34</f>
        <v>7.6209294629535282</v>
      </c>
      <c r="D34">
        <f t="shared" si="1"/>
        <v>8.5076866957316746</v>
      </c>
    </row>
    <row r="35" spans="1:4" x14ac:dyDescent="0.35">
      <c r="A35">
        <f t="shared" si="0"/>
        <v>32</v>
      </c>
      <c r="B35">
        <v>-0.25821378573000997</v>
      </c>
      <c r="C35">
        <f>'AR 1'!C35</f>
        <v>7.7901579994514005</v>
      </c>
      <c r="D35">
        <f t="shared" si="1"/>
        <v>8.0280426366450399</v>
      </c>
    </row>
    <row r="36" spans="1:4" x14ac:dyDescent="0.35">
      <c r="A36">
        <f t="shared" si="0"/>
        <v>33</v>
      </c>
      <c r="B36">
        <v>-0.4966112314661153</v>
      </c>
      <c r="C36">
        <f>'AR 1'!C36</f>
        <v>7.6194519683144453</v>
      </c>
      <c r="D36">
        <f t="shared" si="1"/>
        <v>8.0947818145491972</v>
      </c>
    </row>
    <row r="37" spans="1:4" x14ac:dyDescent="0.35">
      <c r="A37">
        <f t="shared" si="0"/>
        <v>34</v>
      </c>
      <c r="B37">
        <v>1.0801200937235274</v>
      </c>
      <c r="C37">
        <f>'AR 1'!C37</f>
        <v>9.127900881049305</v>
      </c>
      <c r="D37">
        <f t="shared" si="1"/>
        <v>8.0274599525445289</v>
      </c>
    </row>
    <row r="38" spans="1:4" x14ac:dyDescent="0.35">
      <c r="A38">
        <f t="shared" si="0"/>
        <v>35</v>
      </c>
      <c r="B38">
        <v>0.62769726735219578</v>
      </c>
      <c r="C38">
        <f>'AR 1'!C38</f>
        <v>9.2788576197719177</v>
      </c>
      <c r="D38">
        <f t="shared" si="1"/>
        <v>8.6223515850654415</v>
      </c>
    </row>
    <row r="39" spans="1:4" x14ac:dyDescent="0.35">
      <c r="A39">
        <f t="shared" si="0"/>
        <v>36</v>
      </c>
      <c r="B39">
        <v>-4.7183894609775658E-2</v>
      </c>
      <c r="C39">
        <f>'AR 1'!C39</f>
        <v>8.6643591532989923</v>
      </c>
      <c r="D39">
        <f t="shared" si="1"/>
        <v>8.6818848579397034</v>
      </c>
    </row>
    <row r="40" spans="1:4" x14ac:dyDescent="0.35">
      <c r="A40">
        <f t="shared" si="0"/>
        <v>37</v>
      </c>
      <c r="B40">
        <v>1.2597876850887306</v>
      </c>
      <c r="C40">
        <f>'AR 1'!C40</f>
        <v>9.7255313464083262</v>
      </c>
      <c r="D40">
        <f t="shared" si="1"/>
        <v>8.4395432096309744</v>
      </c>
    </row>
    <row r="41" spans="1:4" x14ac:dyDescent="0.35">
      <c r="A41">
        <f t="shared" si="0"/>
        <v>38</v>
      </c>
      <c r="B41">
        <v>2.5165584473214784</v>
      </c>
      <c r="C41">
        <f>'AR 1'!C41</f>
        <v>11.406770985884808</v>
      </c>
      <c r="D41">
        <f t="shared" si="1"/>
        <v>8.8580409479468702</v>
      </c>
    </row>
    <row r="42" spans="1:4" x14ac:dyDescent="0.35">
      <c r="A42">
        <f t="shared" si="0"/>
        <v>39</v>
      </c>
      <c r="B42">
        <v>0.27095358748665704</v>
      </c>
      <c r="C42">
        <f>'AR 1'!C42</f>
        <v>9.8336619818405797</v>
      </c>
      <c r="D42">
        <f t="shared" si="1"/>
        <v>9.5210765902834265</v>
      </c>
    </row>
    <row r="43" spans="1:4" x14ac:dyDescent="0.35">
      <c r="A43">
        <f t="shared" si="0"/>
        <v>40</v>
      </c>
      <c r="B43">
        <v>-0.47142727098497039</v>
      </c>
      <c r="C43">
        <f>'AR 1'!C43</f>
        <v>8.4620375217512613</v>
      </c>
      <c r="D43">
        <f t="shared" si="1"/>
        <v>8.9006847588805744</v>
      </c>
    </row>
    <row r="44" spans="1:4" x14ac:dyDescent="0.35">
      <c r="A44">
        <f t="shared" si="0"/>
        <v>41</v>
      </c>
      <c r="B44">
        <v>-1.3509821338183612</v>
      </c>
      <c r="C44">
        <f>'AR 1'!C44</f>
        <v>7.0338328748821439</v>
      </c>
      <c r="D44">
        <f t="shared" si="1"/>
        <v>8.3597530061513563</v>
      </c>
    </row>
    <row r="45" spans="1:4" x14ac:dyDescent="0.35">
      <c r="A45">
        <f t="shared" si="0"/>
        <v>42</v>
      </c>
      <c r="B45">
        <v>-0.52523357627441403</v>
      </c>
      <c r="C45">
        <f>'AR 1'!C45</f>
        <v>7.2882995736784437</v>
      </c>
      <c r="D45">
        <f t="shared" si="1"/>
        <v>7.796507551315548</v>
      </c>
    </row>
    <row r="46" spans="1:4" x14ac:dyDescent="0.35">
      <c r="A46">
        <f t="shared" si="0"/>
        <v>43</v>
      </c>
      <c r="B46">
        <v>0.97135557619367507</v>
      </c>
      <c r="C46">
        <f>'AR 1'!C46</f>
        <v>8.8866754056650521</v>
      </c>
      <c r="D46">
        <f t="shared" si="1"/>
        <v>7.8968623651850365</v>
      </c>
    </row>
    <row r="47" spans="1:4" x14ac:dyDescent="0.35">
      <c r="A47">
        <f t="shared" si="0"/>
        <v>44</v>
      </c>
      <c r="B47">
        <v>-1.0748501156519588</v>
      </c>
      <c r="C47">
        <f>'AR 1'!C47</f>
        <v>7.4798200466140621</v>
      </c>
      <c r="D47">
        <f t="shared" si="1"/>
        <v>8.5272187531574684</v>
      </c>
    </row>
    <row r="48" spans="1:4" x14ac:dyDescent="0.35">
      <c r="A48">
        <f t="shared" si="0"/>
        <v>45</v>
      </c>
      <c r="B48">
        <v>1.7738103479768892</v>
      </c>
      <c r="C48">
        <f>'AR 1'!C48</f>
        <v>9.7657383666225144</v>
      </c>
      <c r="D48">
        <f t="shared" si="1"/>
        <v>7.972392882555547</v>
      </c>
    </row>
    <row r="49" spans="1:4" x14ac:dyDescent="0.35">
      <c r="A49">
        <f t="shared" si="0"/>
        <v>46</v>
      </c>
      <c r="B49">
        <v>-0.96159497995241328</v>
      </c>
      <c r="C49">
        <f>'AR 1'!C49</f>
        <v>7.9447003666965932</v>
      </c>
      <c r="D49">
        <f t="shared" si="1"/>
        <v>8.8738975140473784</v>
      </c>
    </row>
    <row r="50" spans="1:4" x14ac:dyDescent="0.35">
      <c r="A50">
        <f t="shared" si="0"/>
        <v>47</v>
      </c>
      <c r="B50">
        <v>-1.348796891215885</v>
      </c>
      <c r="C50">
        <f>'AR 1'!C50</f>
        <v>6.8290832554627521</v>
      </c>
      <c r="D50">
        <f t="shared" si="1"/>
        <v>8.1557291627609825</v>
      </c>
    </row>
    <row r="51" spans="1:4" x14ac:dyDescent="0.35">
      <c r="A51">
        <f t="shared" si="0"/>
        <v>48</v>
      </c>
      <c r="B51">
        <v>0.18934575003145279</v>
      </c>
      <c r="C51">
        <f>'AR 1'!C51</f>
        <v>7.9209790522165529</v>
      </c>
      <c r="D51">
        <f t="shared" si="1"/>
        <v>7.7157598147988349</v>
      </c>
    </row>
    <row r="52" spans="1:4" x14ac:dyDescent="0.35">
      <c r="A52">
        <f t="shared" si="0"/>
        <v>49</v>
      </c>
      <c r="B52">
        <v>-2.2171935642462177</v>
      </c>
      <c r="C52">
        <f>'AR 1'!C52</f>
        <v>5.9511980566404041</v>
      </c>
      <c r="D52">
        <f t="shared" si="1"/>
        <v>8.1463741150842335</v>
      </c>
    </row>
    <row r="53" spans="1:4" x14ac:dyDescent="0.35">
      <c r="A53">
        <f t="shared" si="0"/>
        <v>50</v>
      </c>
      <c r="B53">
        <v>-0.15611584341500756</v>
      </c>
      <c r="C53">
        <f>'AR 1'!C53</f>
        <v>7.2243633792411535</v>
      </c>
      <c r="D53">
        <f t="shared" si="1"/>
        <v>7.3695455315808989</v>
      </c>
    </row>
    <row r="54" spans="1:4" x14ac:dyDescent="0.35">
      <c r="A54">
        <f t="shared" si="0"/>
        <v>51</v>
      </c>
      <c r="B54">
        <v>0.1487533713317542</v>
      </c>
      <c r="C54">
        <f>'AR 1'!C54</f>
        <v>8.0384987230282157</v>
      </c>
      <c r="D54">
        <f t="shared" si="1"/>
        <v>7.87164765173676</v>
      </c>
    </row>
    <row r="55" spans="1:4" x14ac:dyDescent="0.35">
      <c r="A55">
        <f t="shared" si="0"/>
        <v>52</v>
      </c>
      <c r="B55">
        <v>-0.47544656135152197</v>
      </c>
      <c r="C55">
        <f>'AR 1'!C55</f>
        <v>7.7399529278597647</v>
      </c>
      <c r="D55">
        <f t="shared" si="1"/>
        <v>8.1927207087489275</v>
      </c>
    </row>
    <row r="56" spans="1:4" x14ac:dyDescent="0.35">
      <c r="A56">
        <f t="shared" si="0"/>
        <v>53</v>
      </c>
      <c r="B56">
        <v>0.85919497639068354</v>
      </c>
      <c r="C56">
        <f>'AR 1'!C56</f>
        <v>8.9551761475345906</v>
      </c>
      <c r="D56">
        <f t="shared" si="1"/>
        <v>8.0749822862073142</v>
      </c>
    </row>
    <row r="57" spans="1:4" x14ac:dyDescent="0.35">
      <c r="A57">
        <f t="shared" si="0"/>
        <v>54</v>
      </c>
      <c r="B57">
        <v>1.3246162518823317</v>
      </c>
      <c r="C57">
        <f>'AR 1'!C57</f>
        <v>9.9066867108961674</v>
      </c>
      <c r="D57">
        <f t="shared" si="1"/>
        <v>8.5542336012014637</v>
      </c>
    </row>
    <row r="58" spans="1:4" x14ac:dyDescent="0.35">
      <c r="A58">
        <f t="shared" si="0"/>
        <v>55</v>
      </c>
      <c r="B58">
        <v>1.2039291261462839</v>
      </c>
      <c r="C58">
        <f>'AR 1'!C58</f>
        <v>10.16660381050475</v>
      </c>
      <c r="D58">
        <f t="shared" si="1"/>
        <v>8.9294837456513729</v>
      </c>
    </row>
    <row r="59" spans="1:4" x14ac:dyDescent="0.35">
      <c r="A59">
        <f t="shared" si="0"/>
        <v>56</v>
      </c>
      <c r="B59">
        <v>4.9959592389363885E-2</v>
      </c>
      <c r="C59">
        <f>'AR 1'!C59</f>
        <v>9.1166011165912639</v>
      </c>
      <c r="D59">
        <f t="shared" si="1"/>
        <v>9.0319880508359063</v>
      </c>
    </row>
    <row r="60" spans="1:4" x14ac:dyDescent="0.35">
      <c r="A60">
        <f t="shared" si="0"/>
        <v>57</v>
      </c>
      <c r="B60">
        <v>-1.1481030425994976</v>
      </c>
      <c r="C60">
        <f>'AR 1'!C60</f>
        <v>7.4985374040370072</v>
      </c>
      <c r="D60">
        <f t="shared" si="1"/>
        <v>8.6178952622368765</v>
      </c>
    </row>
    <row r="61" spans="1:4" x14ac:dyDescent="0.35">
      <c r="A61">
        <f t="shared" si="0"/>
        <v>58</v>
      </c>
      <c r="B61">
        <v>-1.2999610098507186</v>
      </c>
      <c r="C61">
        <f>'AR 1'!C61</f>
        <v>6.6994539517640845</v>
      </c>
      <c r="D61">
        <f t="shared" si="1"/>
        <v>7.9797745043127097</v>
      </c>
    </row>
    <row r="62" spans="1:4" x14ac:dyDescent="0.35">
      <c r="A62">
        <f t="shared" si="0"/>
        <v>59</v>
      </c>
      <c r="B62">
        <v>2.3091411480625066</v>
      </c>
      <c r="C62">
        <f>'AR 1'!C62</f>
        <v>9.9889227287681415</v>
      </c>
      <c r="D62">
        <f t="shared" si="1"/>
        <v>7.6646375080048728</v>
      </c>
    </row>
    <row r="63" spans="1:4" x14ac:dyDescent="0.35">
      <c r="A63">
        <f t="shared" si="0"/>
        <v>60</v>
      </c>
      <c r="B63">
        <v>-0.42761844974413893</v>
      </c>
      <c r="C63">
        <f>'AR 1'!C63</f>
        <v>8.567950641763117</v>
      </c>
      <c r="D63">
        <f t="shared" si="1"/>
        <v>8.9619154166949624</v>
      </c>
    </row>
    <row r="64" spans="1:4" x14ac:dyDescent="0.35">
      <c r="A64">
        <f t="shared" si="0"/>
        <v>61</v>
      </c>
      <c r="B64">
        <v>2.7134767554812296</v>
      </c>
      <c r="C64">
        <f>'AR 1'!C64</f>
        <v>11.140657012186477</v>
      </c>
      <c r="D64">
        <f t="shared" si="1"/>
        <v>8.4015222887152596</v>
      </c>
    </row>
    <row r="65" spans="1:4" x14ac:dyDescent="0.35">
      <c r="A65">
        <f t="shared" si="0"/>
        <v>62</v>
      </c>
      <c r="B65">
        <v>1.4055530411870729</v>
      </c>
      <c r="C65">
        <f>'AR 1'!C65</f>
        <v>10.861815846061663</v>
      </c>
      <c r="D65">
        <f t="shared" si="1"/>
        <v>9.4161284048238265</v>
      </c>
    </row>
    <row r="66" spans="1:4" x14ac:dyDescent="0.35">
      <c r="A66">
        <f t="shared" si="0"/>
        <v>63</v>
      </c>
      <c r="B66">
        <v>-2.3970970128170634</v>
      </c>
      <c r="C66">
        <f>'AR 1'!C66</f>
        <v>6.9476293256076023</v>
      </c>
      <c r="D66">
        <f t="shared" si="1"/>
        <v>9.3061609573818842</v>
      </c>
    </row>
    <row r="67" spans="1:4" x14ac:dyDescent="0.35">
      <c r="A67">
        <f t="shared" si="0"/>
        <v>64</v>
      </c>
      <c r="B67">
        <v>-1.3982167784378965</v>
      </c>
      <c r="C67">
        <f>'AR 1'!C67</f>
        <v>6.380834951805145</v>
      </c>
      <c r="D67">
        <f t="shared" si="1"/>
        <v>7.7625111927222346</v>
      </c>
    </row>
    <row r="68" spans="1:4" x14ac:dyDescent="0.35">
      <c r="A68">
        <f t="shared" si="0"/>
        <v>65</v>
      </c>
      <c r="B68">
        <v>1.5203453639068958</v>
      </c>
      <c r="C68">
        <f>'AR 1'!C68</f>
        <v>9.0726793446289538</v>
      </c>
      <c r="D68">
        <f t="shared" si="1"/>
        <v>7.5389827540138299</v>
      </c>
    </row>
    <row r="69" spans="1:4" x14ac:dyDescent="0.35">
      <c r="A69">
        <f t="shared" si="0"/>
        <v>66</v>
      </c>
      <c r="B69">
        <v>-1.796693354333766</v>
      </c>
      <c r="C69">
        <f>'AR 1'!C69</f>
        <v>6.832378383517816</v>
      </c>
      <c r="D69">
        <f t="shared" si="1"/>
        <v>8.6005736980756495</v>
      </c>
    </row>
    <row r="70" spans="1:4" x14ac:dyDescent="0.35">
      <c r="A70">
        <f t="shared" ref="A70:A103" si="2">A69+1</f>
        <v>67</v>
      </c>
      <c r="B70">
        <v>-0.38337016660247258</v>
      </c>
      <c r="C70">
        <f>'AR 1'!C70</f>
        <v>7.3495811868046541</v>
      </c>
      <c r="D70">
        <f t="shared" ref="D70:D103" si="3">$F$5+C69*$F$6</f>
        <v>7.7170593245744019</v>
      </c>
    </row>
    <row r="71" spans="1:4" x14ac:dyDescent="0.35">
      <c r="A71">
        <f t="shared" si="2"/>
        <v>68</v>
      </c>
      <c r="B71">
        <v>0.7237406021617061</v>
      </c>
      <c r="C71">
        <f>'AR 1'!C71</f>
        <v>8.6635730768835675</v>
      </c>
      <c r="D71">
        <f t="shared" si="3"/>
        <v>7.9210301832452927</v>
      </c>
    </row>
    <row r="72" spans="1:4" x14ac:dyDescent="0.35">
      <c r="A72">
        <f t="shared" si="2"/>
        <v>69</v>
      </c>
      <c r="B72">
        <v>0.15450598594324805</v>
      </c>
      <c r="C72">
        <f>'AR 1'!C72</f>
        <v>8.6199352166966747</v>
      </c>
      <c r="D72">
        <f t="shared" si="3"/>
        <v>8.4392332022597536</v>
      </c>
    </row>
    <row r="73" spans="1:4" x14ac:dyDescent="0.35">
      <c r="A73">
        <f t="shared" si="2"/>
        <v>70</v>
      </c>
      <c r="B73">
        <v>0.63496088513469295</v>
      </c>
      <c r="C73">
        <f>'AR 1'!C73</f>
        <v>9.0829349718133621</v>
      </c>
      <c r="D73">
        <f t="shared" si="3"/>
        <v>8.4220236052577349</v>
      </c>
    </row>
    <row r="74" spans="1:4" x14ac:dyDescent="0.35">
      <c r="A74">
        <f t="shared" si="2"/>
        <v>71</v>
      </c>
      <c r="B74">
        <v>0.54648580305162842</v>
      </c>
      <c r="C74">
        <f>'AR 1'!C74</f>
        <v>9.1796597917769738</v>
      </c>
      <c r="D74">
        <f t="shared" si="3"/>
        <v>8.6046182412794341</v>
      </c>
    </row>
    <row r="75" spans="1:4" x14ac:dyDescent="0.35">
      <c r="A75">
        <f t="shared" si="2"/>
        <v>72</v>
      </c>
      <c r="B75">
        <v>-1.8232742163593527</v>
      </c>
      <c r="C75">
        <f>'AR 1'!C75</f>
        <v>6.848589700351436</v>
      </c>
      <c r="D75">
        <f t="shared" si="3"/>
        <v>8.6427639057216741</v>
      </c>
    </row>
    <row r="76" spans="1:4" x14ac:dyDescent="0.35">
      <c r="A76">
        <f t="shared" si="2"/>
        <v>73</v>
      </c>
      <c r="B76">
        <v>1.075018827880697E-2</v>
      </c>
      <c r="C76">
        <f>'AR 1'!C76</f>
        <v>7.7501860684193806</v>
      </c>
      <c r="D76">
        <f t="shared" si="3"/>
        <v>7.723452631404383</v>
      </c>
    </row>
    <row r="77" spans="1:4" x14ac:dyDescent="0.35">
      <c r="A77">
        <f t="shared" si="2"/>
        <v>74</v>
      </c>
      <c r="B77">
        <v>0.73307753821250599</v>
      </c>
      <c r="C77">
        <f>'AR 1'!C77</f>
        <v>8.8331519655802584</v>
      </c>
      <c r="D77">
        <f t="shared" si="3"/>
        <v>8.0790179612917878</v>
      </c>
    </row>
    <row r="78" spans="1:4" x14ac:dyDescent="0.35">
      <c r="A78">
        <f t="shared" si="2"/>
        <v>75</v>
      </c>
      <c r="B78">
        <v>0.83783470743166344</v>
      </c>
      <c r="C78">
        <f>'AR 1'!C78</f>
        <v>9.3710954936637663</v>
      </c>
      <c r="D78">
        <f t="shared" si="3"/>
        <v>8.5061105496370395</v>
      </c>
    </row>
    <row r="79" spans="1:4" x14ac:dyDescent="0.35">
      <c r="A79">
        <f t="shared" si="2"/>
        <v>76</v>
      </c>
      <c r="B79">
        <v>-9.5603721077263268E-2</v>
      </c>
      <c r="C79">
        <f>'AR 1'!C79</f>
        <v>8.6528344763882448</v>
      </c>
      <c r="D79">
        <f t="shared" si="3"/>
        <v>8.7182609916731941</v>
      </c>
    </row>
    <row r="80" spans="1:4" x14ac:dyDescent="0.35">
      <c r="A80">
        <f t="shared" si="2"/>
        <v>77</v>
      </c>
      <c r="B80">
        <v>0.79533209633253321</v>
      </c>
      <c r="C80">
        <f>'AR 1'!C80</f>
        <v>9.2564658868878311</v>
      </c>
      <c r="D80">
        <f t="shared" si="3"/>
        <v>8.4349981873873769</v>
      </c>
    </row>
    <row r="81" spans="1:4" x14ac:dyDescent="0.35">
      <c r="A81">
        <f t="shared" si="2"/>
        <v>78</v>
      </c>
      <c r="B81">
        <v>0.94881052998886894</v>
      </c>
      <c r="C81">
        <f>'AR 1'!C81</f>
        <v>9.6513968847440008</v>
      </c>
      <c r="D81">
        <f t="shared" si="3"/>
        <v>8.6730541614421774</v>
      </c>
    </row>
    <row r="82" spans="1:4" x14ac:dyDescent="0.35">
      <c r="A82">
        <f t="shared" si="2"/>
        <v>79</v>
      </c>
      <c r="B82">
        <v>-2.2091954953374748</v>
      </c>
      <c r="C82">
        <f>'AR 1'!C82</f>
        <v>6.6513632585601243</v>
      </c>
      <c r="D82">
        <f t="shared" si="3"/>
        <v>8.8288043125174394</v>
      </c>
    </row>
    <row r="83" spans="1:4" x14ac:dyDescent="0.35">
      <c r="A83">
        <f t="shared" si="2"/>
        <v>80</v>
      </c>
      <c r="B83">
        <v>0.58428471659950154</v>
      </c>
      <c r="C83">
        <f>'AR 1'!C83</f>
        <v>8.2448300200235511</v>
      </c>
      <c r="D83">
        <f t="shared" si="3"/>
        <v>7.6456718335642995</v>
      </c>
    </row>
    <row r="84" spans="1:4" x14ac:dyDescent="0.35">
      <c r="A84">
        <f t="shared" si="2"/>
        <v>81</v>
      </c>
      <c r="B84">
        <v>-2.2565728658251021</v>
      </c>
      <c r="C84">
        <f>'AR 1'!C84</f>
        <v>6.0413591421843176</v>
      </c>
      <c r="D84">
        <f t="shared" si="3"/>
        <v>8.2740922163110717</v>
      </c>
    </row>
    <row r="85" spans="1:4" x14ac:dyDescent="0.35">
      <c r="A85">
        <f t="shared" si="2"/>
        <v>82</v>
      </c>
      <c r="B85">
        <v>0.23281908394472797</v>
      </c>
      <c r="C85">
        <f>'AR 1'!C85</f>
        <v>7.6493627408184555</v>
      </c>
      <c r="D85">
        <f t="shared" si="3"/>
        <v>7.4051026359125487</v>
      </c>
    </row>
    <row r="86" spans="1:4" x14ac:dyDescent="0.35">
      <c r="A86">
        <f t="shared" si="2"/>
        <v>83</v>
      </c>
      <c r="B86">
        <v>0.49524033527740019</v>
      </c>
      <c r="C86">
        <f>'AR 1'!C86</f>
        <v>8.5549854316047824</v>
      </c>
      <c r="D86">
        <f t="shared" si="3"/>
        <v>8.0392559557996943</v>
      </c>
    </row>
    <row r="87" spans="1:4" x14ac:dyDescent="0.35">
      <c r="A87">
        <f t="shared" si="2"/>
        <v>84</v>
      </c>
      <c r="B87">
        <v>0.89450133380532859</v>
      </c>
      <c r="C87">
        <f>'AR 1'!C87</f>
        <v>9.3164955064472412</v>
      </c>
      <c r="D87">
        <f t="shared" si="3"/>
        <v>8.3964091589486802</v>
      </c>
    </row>
    <row r="88" spans="1:4" x14ac:dyDescent="0.35">
      <c r="A88">
        <f t="shared" si="2"/>
        <v>85</v>
      </c>
      <c r="B88">
        <v>0.66143975641931108</v>
      </c>
      <c r="C88">
        <f>'AR 1'!C88</f>
        <v>9.3880379589982077</v>
      </c>
      <c r="D88">
        <f t="shared" si="3"/>
        <v>8.6967282269526631</v>
      </c>
    </row>
    <row r="89" spans="1:4" x14ac:dyDescent="0.35">
      <c r="A89">
        <f t="shared" si="2"/>
        <v>86</v>
      </c>
      <c r="B89">
        <v>6.3199556908929588E-2</v>
      </c>
      <c r="C89">
        <f>'AR 1'!C89</f>
        <v>8.8184147405082118</v>
      </c>
      <c r="D89">
        <f t="shared" si="3"/>
        <v>8.7249426437839439</v>
      </c>
    </row>
    <row r="90" spans="1:4" x14ac:dyDescent="0.35">
      <c r="A90">
        <f t="shared" si="2"/>
        <v>87</v>
      </c>
      <c r="B90">
        <v>0.38254277742889303</v>
      </c>
      <c r="C90">
        <f>'AR 1'!C90</f>
        <v>8.9099086736321791</v>
      </c>
      <c r="D90">
        <f t="shared" si="3"/>
        <v>8.5002985849043107</v>
      </c>
    </row>
    <row r="91" spans="1:4" x14ac:dyDescent="0.35">
      <c r="A91">
        <f t="shared" si="2"/>
        <v>88</v>
      </c>
      <c r="B91">
        <v>-6.7312472198635689E-2</v>
      </c>
      <c r="C91">
        <f>'AR 1'!C91</f>
        <v>8.4966509972542372</v>
      </c>
      <c r="D91">
        <f t="shared" si="3"/>
        <v>8.5363813284313643</v>
      </c>
    </row>
    <row r="92" spans="1:4" x14ac:dyDescent="0.35">
      <c r="A92">
        <f t="shared" si="2"/>
        <v>89</v>
      </c>
      <c r="B92">
        <v>1.1971018891493823</v>
      </c>
      <c r="C92">
        <f>'AR 1'!C92</f>
        <v>9.5957622880510769</v>
      </c>
      <c r="D92">
        <f t="shared" si="3"/>
        <v>8.373403628837579</v>
      </c>
    </row>
    <row r="93" spans="1:4" x14ac:dyDescent="0.35">
      <c r="A93">
        <f t="shared" si="2"/>
        <v>90</v>
      </c>
      <c r="B93">
        <v>0.59579933443828115</v>
      </c>
      <c r="C93">
        <f>'AR 1'!C93</f>
        <v>9.4341042496587111</v>
      </c>
      <c r="D93">
        <f t="shared" si="3"/>
        <v>8.8068635256787982</v>
      </c>
    </row>
    <row r="94" spans="1:4" x14ac:dyDescent="0.35">
      <c r="A94">
        <f t="shared" si="2"/>
        <v>91</v>
      </c>
      <c r="B94">
        <v>-0.41866766867043603</v>
      </c>
      <c r="C94">
        <f>'AR 1'!C94</f>
        <v>8.3549740311930485</v>
      </c>
      <c r="D94">
        <f t="shared" si="3"/>
        <v>8.7431099483733483</v>
      </c>
    </row>
    <row r="95" spans="1:4" x14ac:dyDescent="0.35">
      <c r="A95">
        <f t="shared" si="2"/>
        <v>92</v>
      </c>
      <c r="B95">
        <v>0.49549703119367106</v>
      </c>
      <c r="C95">
        <f>'AR 1'!C95</f>
        <v>8.8374866436708892</v>
      </c>
      <c r="D95">
        <f t="shared" si="3"/>
        <v>8.3175300484204975</v>
      </c>
    </row>
    <row r="96" spans="1:4" x14ac:dyDescent="0.35">
      <c r="A96">
        <f t="shared" si="2"/>
        <v>93</v>
      </c>
      <c r="B96">
        <v>-0.73198957727372738</v>
      </c>
      <c r="C96">
        <f>'AR 1'!C96</f>
        <v>7.8030050801946294</v>
      </c>
      <c r="D96">
        <f t="shared" si="3"/>
        <v>8.5078200299542157</v>
      </c>
    </row>
    <row r="97" spans="1:4" x14ac:dyDescent="0.35">
      <c r="A97">
        <f t="shared" si="2"/>
        <v>94</v>
      </c>
      <c r="B97">
        <v>-1.689069405111556</v>
      </c>
      <c r="C97">
        <f>'AR 1'!C97</f>
        <v>6.432132626966296</v>
      </c>
      <c r="D97">
        <f t="shared" si="3"/>
        <v>8.0998483572553805</v>
      </c>
    </row>
    <row r="98" spans="1:4" x14ac:dyDescent="0.35">
      <c r="A98">
        <f t="shared" si="2"/>
        <v>95</v>
      </c>
      <c r="B98">
        <v>0.63418513232695806</v>
      </c>
      <c r="C98">
        <f>'AR 1'!C98</f>
        <v>8.2070381831134771</v>
      </c>
      <c r="D98">
        <f t="shared" si="3"/>
        <v>7.5592131757825181</v>
      </c>
    </row>
    <row r="99" spans="1:4" x14ac:dyDescent="0.35">
      <c r="A99">
        <f t="shared" si="2"/>
        <v>96</v>
      </c>
      <c r="B99">
        <v>-1.3893141203729287</v>
      </c>
      <c r="C99">
        <f>'AR 1'!C99</f>
        <v>6.8935011528724619</v>
      </c>
      <c r="D99">
        <f t="shared" si="3"/>
        <v>8.259188133471012</v>
      </c>
    </row>
    <row r="100" spans="1:4" x14ac:dyDescent="0.35">
      <c r="A100">
        <f t="shared" si="2"/>
        <v>97</v>
      </c>
      <c r="B100">
        <v>-1.1760428057670618</v>
      </c>
      <c r="C100">
        <f>'AR 1'!C100</f>
        <v>6.5813576553819226</v>
      </c>
      <c r="D100">
        <f t="shared" si="3"/>
        <v>7.7411644989284074</v>
      </c>
    </row>
    <row r="101" spans="1:4" x14ac:dyDescent="0.35">
      <c r="A101">
        <f t="shared" si="2"/>
        <v>98</v>
      </c>
      <c r="B101">
        <v>-0.90942951113553827</v>
      </c>
      <c r="C101">
        <f>'AR 1'!C101</f>
        <v>6.7231135510172306</v>
      </c>
      <c r="D101">
        <f t="shared" si="3"/>
        <v>7.6180635087422228</v>
      </c>
    </row>
    <row r="102" spans="1:4" x14ac:dyDescent="0.35">
      <c r="A102">
        <f t="shared" si="2"/>
        <v>99</v>
      </c>
      <c r="B102">
        <v>-2.0861429707489747</v>
      </c>
      <c r="C102">
        <f>'AR 1'!C102</f>
        <v>5.6031024496579178</v>
      </c>
      <c r="D102">
        <f t="shared" si="3"/>
        <v>7.6739682168579666</v>
      </c>
    </row>
    <row r="103" spans="1:4" x14ac:dyDescent="0.35">
      <c r="A103">
        <f t="shared" si="2"/>
        <v>100</v>
      </c>
      <c r="B103" s="4">
        <v>1.0086025406962058</v>
      </c>
      <c r="C103" s="4">
        <f>'AR 1'!C103</f>
        <v>8.2498435205593736</v>
      </c>
      <c r="D103" s="4">
        <f t="shared" si="3"/>
        <v>7.2322659975092218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72"/>
  <dimension ref="A1:G103"/>
  <sheetViews>
    <sheetView workbookViewId="0"/>
  </sheetViews>
  <sheetFormatPr defaultRowHeight="14.5" x14ac:dyDescent="0.35"/>
  <cols>
    <col min="1" max="1" width="5.26953125" style="67" customWidth="1"/>
    <col min="6" max="6" width="4.26953125" customWidth="1"/>
    <col min="7" max="7" width="18.1796875" customWidth="1"/>
  </cols>
  <sheetData>
    <row r="1" spans="1:7" x14ac:dyDescent="0.35">
      <c r="A1" s="61" t="s">
        <v>111</v>
      </c>
    </row>
    <row r="3" spans="1:7" x14ac:dyDescent="0.35">
      <c r="B3" s="68" t="s">
        <v>154</v>
      </c>
      <c r="D3" t="s">
        <v>120</v>
      </c>
      <c r="E3" s="23">
        <f>AVERAGE(B4:B103)</f>
        <v>8.2275470269258193</v>
      </c>
      <c r="G3" t="e" cm="1">
        <f t="array" aca="1" ref="G3" ca="1">FTEXT(E3)</f>
        <v>#NAME?</v>
      </c>
    </row>
    <row r="4" spans="1:7" x14ac:dyDescent="0.35">
      <c r="A4" s="67">
        <v>1</v>
      </c>
      <c r="B4">
        <v>4.3021475051980769</v>
      </c>
      <c r="D4" t="s">
        <v>204</v>
      </c>
      <c r="E4" s="24">
        <f>VARP(B4:B103)</f>
        <v>1.6835418364572572</v>
      </c>
      <c r="G4" t="e" cm="1">
        <f t="array" aca="1" ref="G4" ca="1">FTEXT(E4)</f>
        <v>#NAME?</v>
      </c>
    </row>
    <row r="5" spans="1:7" x14ac:dyDescent="0.35">
      <c r="A5" s="67">
        <f>A4+1</f>
        <v>2</v>
      </c>
      <c r="B5">
        <v>6.1430149110931316</v>
      </c>
      <c r="D5" t="s">
        <v>205</v>
      </c>
      <c r="E5" s="24" t="e" cm="1">
        <f t="array" aca="1" ref="E5" ca="1">ACF(B4:B103,1)</f>
        <v>#NAME?</v>
      </c>
      <c r="G5" t="e" cm="1">
        <f t="array" aca="1" ref="G5" ca="1">FTEXT(E5)</f>
        <v>#NAME?</v>
      </c>
    </row>
    <row r="6" spans="1:7" x14ac:dyDescent="0.35">
      <c r="A6" s="67">
        <f t="shared" ref="A6:A69" si="0">A5+1</f>
        <v>3</v>
      </c>
      <c r="B6">
        <v>6.3459572674893705</v>
      </c>
      <c r="D6" t="s">
        <v>198</v>
      </c>
      <c r="E6" s="34" t="e" cm="1">
        <f t="array" aca="1" ref="E6" ca="1">PACF(B4:B103,1)</f>
        <v>#NAME?</v>
      </c>
      <c r="G6" t="e" cm="1">
        <f t="array" aca="1" ref="G6" ca="1">FTEXT(E6)</f>
        <v>#NAME?</v>
      </c>
    </row>
    <row r="7" spans="1:7" x14ac:dyDescent="0.35">
      <c r="A7" s="67">
        <f t="shared" si="0"/>
        <v>4</v>
      </c>
      <c r="B7">
        <v>6.9780493152929868</v>
      </c>
    </row>
    <row r="8" spans="1:7" x14ac:dyDescent="0.35">
      <c r="A8" s="67">
        <f t="shared" si="0"/>
        <v>5</v>
      </c>
      <c r="B8">
        <v>9.4477537014508481</v>
      </c>
      <c r="D8" s="36" t="s">
        <v>170</v>
      </c>
      <c r="E8" s="23" t="e">
        <f ca="1">E6</f>
        <v>#NAME?</v>
      </c>
      <c r="G8" t="e" cm="1">
        <f t="array" aca="1" ref="G8" ca="1">FTEXT(E8)</f>
        <v>#NAME?</v>
      </c>
    </row>
    <row r="9" spans="1:7" x14ac:dyDescent="0.35">
      <c r="A9" s="67">
        <f t="shared" si="0"/>
        <v>6</v>
      </c>
      <c r="B9">
        <v>8.3642522446696148</v>
      </c>
      <c r="D9" s="36" t="s">
        <v>200</v>
      </c>
      <c r="E9" s="24" t="e">
        <f ca="1">E3*(1-E8)</f>
        <v>#NAME?</v>
      </c>
      <c r="G9" t="e" cm="1">
        <f t="array" aca="1" ref="G9" ca="1">FTEXT(E9)</f>
        <v>#NAME?</v>
      </c>
    </row>
    <row r="10" spans="1:7" ht="15" customHeight="1" x14ac:dyDescent="0.35">
      <c r="A10" s="67">
        <f t="shared" si="0"/>
        <v>7</v>
      </c>
      <c r="B10">
        <v>7.0707696895845489</v>
      </c>
      <c r="D10" s="40" t="s">
        <v>114</v>
      </c>
      <c r="E10" s="34" t="e">
        <f ca="1">E4*(1-E8^2)</f>
        <v>#NAME?</v>
      </c>
      <c r="G10" t="e" cm="1">
        <f t="array" aca="1" ref="G10" ca="1">FTEXT(E10)</f>
        <v>#NAME?</v>
      </c>
    </row>
    <row r="11" spans="1:7" x14ac:dyDescent="0.35">
      <c r="A11" s="67">
        <f t="shared" si="0"/>
        <v>8</v>
      </c>
      <c r="B11">
        <v>7.0223724931102565</v>
      </c>
    </row>
    <row r="12" spans="1:7" x14ac:dyDescent="0.35">
      <c r="A12" s="67">
        <f t="shared" si="0"/>
        <v>9</v>
      </c>
      <c r="B12">
        <v>7.6294074398052825</v>
      </c>
    </row>
    <row r="13" spans="1:7" x14ac:dyDescent="0.35">
      <c r="A13" s="67">
        <f t="shared" si="0"/>
        <v>10</v>
      </c>
      <c r="B13">
        <v>7.4517411771940036</v>
      </c>
    </row>
    <row r="14" spans="1:7" x14ac:dyDescent="0.35">
      <c r="A14" s="67">
        <f t="shared" si="0"/>
        <v>11</v>
      </c>
      <c r="B14">
        <v>7.3130631313404661</v>
      </c>
    </row>
    <row r="15" spans="1:7" x14ac:dyDescent="0.35">
      <c r="A15" s="67">
        <f t="shared" si="0"/>
        <v>12</v>
      </c>
      <c r="B15">
        <v>6.7369511871069463</v>
      </c>
    </row>
    <row r="16" spans="1:7" x14ac:dyDescent="0.35">
      <c r="A16" s="67">
        <f t="shared" si="0"/>
        <v>13</v>
      </c>
      <c r="B16">
        <v>7.6354174876257783</v>
      </c>
    </row>
    <row r="17" spans="1:2" x14ac:dyDescent="0.35">
      <c r="A17" s="67">
        <f t="shared" si="0"/>
        <v>14</v>
      </c>
      <c r="B17">
        <v>8.3342560076615939</v>
      </c>
    </row>
    <row r="18" spans="1:2" x14ac:dyDescent="0.35">
      <c r="A18" s="67">
        <f t="shared" si="0"/>
        <v>15</v>
      </c>
      <c r="B18">
        <v>8.5141776386100858</v>
      </c>
    </row>
    <row r="19" spans="1:2" x14ac:dyDescent="0.35">
      <c r="A19" s="67">
        <f t="shared" si="0"/>
        <v>16</v>
      </c>
      <c r="B19">
        <v>9.4761147740463922</v>
      </c>
    </row>
    <row r="20" spans="1:2" x14ac:dyDescent="0.35">
      <c r="A20" s="67">
        <f t="shared" si="0"/>
        <v>17</v>
      </c>
      <c r="B20">
        <v>8.4497227967860145</v>
      </c>
    </row>
    <row r="21" spans="1:2" x14ac:dyDescent="0.35">
      <c r="A21" s="67">
        <f t="shared" si="0"/>
        <v>18</v>
      </c>
      <c r="B21">
        <v>9.5044632194121306</v>
      </c>
    </row>
    <row r="22" spans="1:2" x14ac:dyDescent="0.35">
      <c r="A22" s="67">
        <f t="shared" si="0"/>
        <v>19</v>
      </c>
      <c r="B22">
        <v>6.6676010752525539</v>
      </c>
    </row>
    <row r="23" spans="1:2" x14ac:dyDescent="0.35">
      <c r="A23" s="67">
        <f t="shared" si="0"/>
        <v>20</v>
      </c>
      <c r="B23">
        <v>7.8523156414806694</v>
      </c>
    </row>
    <row r="24" spans="1:2" x14ac:dyDescent="0.35">
      <c r="A24" s="67">
        <f t="shared" si="0"/>
        <v>21</v>
      </c>
      <c r="B24">
        <v>7.9188624171649664</v>
      </c>
    </row>
    <row r="25" spans="1:2" x14ac:dyDescent="0.35">
      <c r="A25" s="67">
        <f t="shared" si="0"/>
        <v>22</v>
      </c>
      <c r="B25">
        <v>8.7725861312320053</v>
      </c>
    </row>
    <row r="26" spans="1:2" x14ac:dyDescent="0.35">
      <c r="A26" s="67">
        <f t="shared" si="0"/>
        <v>23</v>
      </c>
      <c r="B26">
        <v>10.918097347819121</v>
      </c>
    </row>
    <row r="27" spans="1:2" x14ac:dyDescent="0.35">
      <c r="A27" s="67">
        <f t="shared" si="0"/>
        <v>24</v>
      </c>
      <c r="B27">
        <v>9.1393820365107956</v>
      </c>
    </row>
    <row r="28" spans="1:2" x14ac:dyDescent="0.35">
      <c r="A28" s="67">
        <f t="shared" si="0"/>
        <v>25</v>
      </c>
      <c r="B28">
        <v>10.149056902391564</v>
      </c>
    </row>
    <row r="29" spans="1:2" x14ac:dyDescent="0.35">
      <c r="A29" s="67">
        <f t="shared" si="0"/>
        <v>26</v>
      </c>
      <c r="B29">
        <v>9.7731168391438672</v>
      </c>
    </row>
    <row r="30" spans="1:2" x14ac:dyDescent="0.35">
      <c r="A30" s="67">
        <f t="shared" si="0"/>
        <v>27</v>
      </c>
      <c r="B30">
        <v>8.1440033012883841</v>
      </c>
    </row>
    <row r="31" spans="1:2" x14ac:dyDescent="0.35">
      <c r="A31" s="67">
        <f t="shared" si="0"/>
        <v>28</v>
      </c>
      <c r="B31">
        <v>6.838500376425344</v>
      </c>
    </row>
    <row r="32" spans="1:2" x14ac:dyDescent="0.35">
      <c r="A32" s="67">
        <f t="shared" si="0"/>
        <v>29</v>
      </c>
      <c r="B32">
        <v>9.2094371369449455</v>
      </c>
    </row>
    <row r="33" spans="1:2" x14ac:dyDescent="0.35">
      <c r="A33" s="67">
        <f t="shared" si="0"/>
        <v>30</v>
      </c>
      <c r="B33">
        <v>8.8371485520723034</v>
      </c>
    </row>
    <row r="34" spans="1:2" x14ac:dyDescent="0.35">
      <c r="A34" s="67">
        <f t="shared" si="0"/>
        <v>31</v>
      </c>
      <c r="B34">
        <v>7.6209294629535282</v>
      </c>
    </row>
    <row r="35" spans="1:2" x14ac:dyDescent="0.35">
      <c r="A35" s="67">
        <f t="shared" si="0"/>
        <v>32</v>
      </c>
      <c r="B35">
        <v>7.7901579994514005</v>
      </c>
    </row>
    <row r="36" spans="1:2" x14ac:dyDescent="0.35">
      <c r="A36" s="67">
        <f t="shared" si="0"/>
        <v>33</v>
      </c>
      <c r="B36">
        <v>7.6194519683144453</v>
      </c>
    </row>
    <row r="37" spans="1:2" x14ac:dyDescent="0.35">
      <c r="A37" s="67">
        <f t="shared" si="0"/>
        <v>34</v>
      </c>
      <c r="B37">
        <v>9.127900881049305</v>
      </c>
    </row>
    <row r="38" spans="1:2" x14ac:dyDescent="0.35">
      <c r="A38" s="67">
        <f t="shared" si="0"/>
        <v>35</v>
      </c>
      <c r="B38">
        <v>9.2788576197719177</v>
      </c>
    </row>
    <row r="39" spans="1:2" x14ac:dyDescent="0.35">
      <c r="A39" s="67">
        <f t="shared" si="0"/>
        <v>36</v>
      </c>
      <c r="B39">
        <v>8.6643591532989923</v>
      </c>
    </row>
    <row r="40" spans="1:2" x14ac:dyDescent="0.35">
      <c r="A40" s="67">
        <f t="shared" si="0"/>
        <v>37</v>
      </c>
      <c r="B40">
        <v>9.7255313464083262</v>
      </c>
    </row>
    <row r="41" spans="1:2" x14ac:dyDescent="0.35">
      <c r="A41" s="67">
        <f t="shared" si="0"/>
        <v>38</v>
      </c>
      <c r="B41">
        <v>11.406770985884808</v>
      </c>
    </row>
    <row r="42" spans="1:2" x14ac:dyDescent="0.35">
      <c r="A42" s="67">
        <f t="shared" si="0"/>
        <v>39</v>
      </c>
      <c r="B42">
        <v>9.8336619818405797</v>
      </c>
    </row>
    <row r="43" spans="1:2" x14ac:dyDescent="0.35">
      <c r="A43" s="67">
        <f t="shared" si="0"/>
        <v>40</v>
      </c>
      <c r="B43">
        <v>8.4620375217512613</v>
      </c>
    </row>
    <row r="44" spans="1:2" x14ac:dyDescent="0.35">
      <c r="A44" s="67">
        <f t="shared" si="0"/>
        <v>41</v>
      </c>
      <c r="B44">
        <v>7.0338328748821439</v>
      </c>
    </row>
    <row r="45" spans="1:2" x14ac:dyDescent="0.35">
      <c r="A45" s="67">
        <f t="shared" si="0"/>
        <v>42</v>
      </c>
      <c r="B45">
        <v>7.2882995736784437</v>
      </c>
    </row>
    <row r="46" spans="1:2" x14ac:dyDescent="0.35">
      <c r="A46" s="67">
        <f t="shared" si="0"/>
        <v>43</v>
      </c>
      <c r="B46">
        <v>8.8866754056650521</v>
      </c>
    </row>
    <row r="47" spans="1:2" x14ac:dyDescent="0.35">
      <c r="A47" s="67">
        <f t="shared" si="0"/>
        <v>44</v>
      </c>
      <c r="B47">
        <v>7.4798200466140621</v>
      </c>
    </row>
    <row r="48" spans="1:2" x14ac:dyDescent="0.35">
      <c r="A48" s="67">
        <f t="shared" si="0"/>
        <v>45</v>
      </c>
      <c r="B48">
        <v>9.7657383666225144</v>
      </c>
    </row>
    <row r="49" spans="1:2" x14ac:dyDescent="0.35">
      <c r="A49" s="67">
        <f t="shared" si="0"/>
        <v>46</v>
      </c>
      <c r="B49">
        <v>7.9447003666965932</v>
      </c>
    </row>
    <row r="50" spans="1:2" x14ac:dyDescent="0.35">
      <c r="A50" s="67">
        <f t="shared" si="0"/>
        <v>47</v>
      </c>
      <c r="B50">
        <v>6.8290832554627521</v>
      </c>
    </row>
    <row r="51" spans="1:2" x14ac:dyDescent="0.35">
      <c r="A51" s="67">
        <f t="shared" si="0"/>
        <v>48</v>
      </c>
      <c r="B51">
        <v>7.9209790522165529</v>
      </c>
    </row>
    <row r="52" spans="1:2" x14ac:dyDescent="0.35">
      <c r="A52" s="67">
        <f t="shared" si="0"/>
        <v>49</v>
      </c>
      <c r="B52">
        <v>5.9511980566404041</v>
      </c>
    </row>
    <row r="53" spans="1:2" x14ac:dyDescent="0.35">
      <c r="A53" s="67">
        <f t="shared" si="0"/>
        <v>50</v>
      </c>
      <c r="B53">
        <v>7.2243633792411535</v>
      </c>
    </row>
    <row r="54" spans="1:2" x14ac:dyDescent="0.35">
      <c r="A54" s="67">
        <f t="shared" si="0"/>
        <v>51</v>
      </c>
      <c r="B54">
        <v>8.0384987230282157</v>
      </c>
    </row>
    <row r="55" spans="1:2" x14ac:dyDescent="0.35">
      <c r="A55" s="67">
        <f t="shared" si="0"/>
        <v>52</v>
      </c>
      <c r="B55">
        <v>7.7399529278597647</v>
      </c>
    </row>
    <row r="56" spans="1:2" x14ac:dyDescent="0.35">
      <c r="A56" s="67">
        <f t="shared" si="0"/>
        <v>53</v>
      </c>
      <c r="B56">
        <v>8.9551761475345906</v>
      </c>
    </row>
    <row r="57" spans="1:2" x14ac:dyDescent="0.35">
      <c r="A57" s="67">
        <f t="shared" si="0"/>
        <v>54</v>
      </c>
      <c r="B57">
        <v>9.9066867108961674</v>
      </c>
    </row>
    <row r="58" spans="1:2" x14ac:dyDescent="0.35">
      <c r="A58" s="67">
        <f t="shared" si="0"/>
        <v>55</v>
      </c>
      <c r="B58">
        <v>10.16660381050475</v>
      </c>
    </row>
    <row r="59" spans="1:2" x14ac:dyDescent="0.35">
      <c r="A59" s="67">
        <f t="shared" si="0"/>
        <v>56</v>
      </c>
      <c r="B59">
        <v>9.1166011165912639</v>
      </c>
    </row>
    <row r="60" spans="1:2" x14ac:dyDescent="0.35">
      <c r="A60" s="67">
        <f t="shared" si="0"/>
        <v>57</v>
      </c>
      <c r="B60">
        <v>7.4985374040370072</v>
      </c>
    </row>
    <row r="61" spans="1:2" x14ac:dyDescent="0.35">
      <c r="A61" s="67">
        <f t="shared" si="0"/>
        <v>58</v>
      </c>
      <c r="B61">
        <v>6.6994539517640845</v>
      </c>
    </row>
    <row r="62" spans="1:2" x14ac:dyDescent="0.35">
      <c r="A62" s="67">
        <f t="shared" si="0"/>
        <v>59</v>
      </c>
      <c r="B62">
        <v>9.9889227287681415</v>
      </c>
    </row>
    <row r="63" spans="1:2" x14ac:dyDescent="0.35">
      <c r="A63" s="67">
        <f t="shared" si="0"/>
        <v>60</v>
      </c>
      <c r="B63">
        <v>8.567950641763117</v>
      </c>
    </row>
    <row r="64" spans="1:2" x14ac:dyDescent="0.35">
      <c r="A64" s="67">
        <f t="shared" si="0"/>
        <v>61</v>
      </c>
      <c r="B64">
        <v>11.140657012186477</v>
      </c>
    </row>
    <row r="65" spans="1:2" x14ac:dyDescent="0.35">
      <c r="A65" s="67">
        <f t="shared" si="0"/>
        <v>62</v>
      </c>
      <c r="B65">
        <v>10.861815846061663</v>
      </c>
    </row>
    <row r="66" spans="1:2" x14ac:dyDescent="0.35">
      <c r="A66" s="67">
        <f t="shared" si="0"/>
        <v>63</v>
      </c>
      <c r="B66">
        <v>6.9476293256076023</v>
      </c>
    </row>
    <row r="67" spans="1:2" x14ac:dyDescent="0.35">
      <c r="A67" s="67">
        <f t="shared" si="0"/>
        <v>64</v>
      </c>
      <c r="B67">
        <v>6.380834951805145</v>
      </c>
    </row>
    <row r="68" spans="1:2" x14ac:dyDescent="0.35">
      <c r="A68" s="67">
        <f t="shared" si="0"/>
        <v>65</v>
      </c>
      <c r="B68">
        <v>9.0726793446289538</v>
      </c>
    </row>
    <row r="69" spans="1:2" x14ac:dyDescent="0.35">
      <c r="A69" s="67">
        <f t="shared" si="0"/>
        <v>66</v>
      </c>
      <c r="B69">
        <v>6.832378383517816</v>
      </c>
    </row>
    <row r="70" spans="1:2" x14ac:dyDescent="0.35">
      <c r="A70" s="67">
        <f t="shared" ref="A70:A103" si="1">A69+1</f>
        <v>67</v>
      </c>
      <c r="B70">
        <v>7.3495811868046541</v>
      </c>
    </row>
    <row r="71" spans="1:2" x14ac:dyDescent="0.35">
      <c r="A71" s="67">
        <f t="shared" si="1"/>
        <v>68</v>
      </c>
      <c r="B71">
        <v>8.6635730768835675</v>
      </c>
    </row>
    <row r="72" spans="1:2" x14ac:dyDescent="0.35">
      <c r="A72" s="67">
        <f t="shared" si="1"/>
        <v>69</v>
      </c>
      <c r="B72">
        <v>8.6199352166966747</v>
      </c>
    </row>
    <row r="73" spans="1:2" x14ac:dyDescent="0.35">
      <c r="A73" s="67">
        <f t="shared" si="1"/>
        <v>70</v>
      </c>
      <c r="B73">
        <v>9.0829349718133621</v>
      </c>
    </row>
    <row r="74" spans="1:2" x14ac:dyDescent="0.35">
      <c r="A74" s="67">
        <f t="shared" si="1"/>
        <v>71</v>
      </c>
      <c r="B74">
        <v>9.1796597917769738</v>
      </c>
    </row>
    <row r="75" spans="1:2" x14ac:dyDescent="0.35">
      <c r="A75" s="67">
        <f t="shared" si="1"/>
        <v>72</v>
      </c>
      <c r="B75">
        <v>6.848589700351436</v>
      </c>
    </row>
    <row r="76" spans="1:2" x14ac:dyDescent="0.35">
      <c r="A76" s="67">
        <f t="shared" si="1"/>
        <v>73</v>
      </c>
      <c r="B76">
        <v>7.7501860684193806</v>
      </c>
    </row>
    <row r="77" spans="1:2" x14ac:dyDescent="0.35">
      <c r="A77" s="67">
        <f t="shared" si="1"/>
        <v>74</v>
      </c>
      <c r="B77">
        <v>8.8331519655802584</v>
      </c>
    </row>
    <row r="78" spans="1:2" x14ac:dyDescent="0.35">
      <c r="A78" s="67">
        <f t="shared" si="1"/>
        <v>75</v>
      </c>
      <c r="B78">
        <v>9.3710954936637663</v>
      </c>
    </row>
    <row r="79" spans="1:2" x14ac:dyDescent="0.35">
      <c r="A79" s="67">
        <f t="shared" si="1"/>
        <v>76</v>
      </c>
      <c r="B79">
        <v>8.6528344763882448</v>
      </c>
    </row>
    <row r="80" spans="1:2" x14ac:dyDescent="0.35">
      <c r="A80" s="67">
        <f t="shared" si="1"/>
        <v>77</v>
      </c>
      <c r="B80">
        <v>9.2564658868878311</v>
      </c>
    </row>
    <row r="81" spans="1:2" x14ac:dyDescent="0.35">
      <c r="A81" s="67">
        <f t="shared" si="1"/>
        <v>78</v>
      </c>
      <c r="B81">
        <v>9.6513968847440008</v>
      </c>
    </row>
    <row r="82" spans="1:2" x14ac:dyDescent="0.35">
      <c r="A82" s="67">
        <f t="shared" si="1"/>
        <v>79</v>
      </c>
      <c r="B82">
        <v>6.6513632585601243</v>
      </c>
    </row>
    <row r="83" spans="1:2" x14ac:dyDescent="0.35">
      <c r="A83" s="67">
        <f t="shared" si="1"/>
        <v>80</v>
      </c>
      <c r="B83">
        <v>8.2448300200235511</v>
      </c>
    </row>
    <row r="84" spans="1:2" x14ac:dyDescent="0.35">
      <c r="A84" s="67">
        <f t="shared" si="1"/>
        <v>81</v>
      </c>
      <c r="B84">
        <v>6.0413591421843176</v>
      </c>
    </row>
    <row r="85" spans="1:2" x14ac:dyDescent="0.35">
      <c r="A85" s="67">
        <f t="shared" si="1"/>
        <v>82</v>
      </c>
      <c r="B85">
        <v>7.6493627408184555</v>
      </c>
    </row>
    <row r="86" spans="1:2" x14ac:dyDescent="0.35">
      <c r="A86" s="67">
        <f t="shared" si="1"/>
        <v>83</v>
      </c>
      <c r="B86">
        <v>8.5549854316047824</v>
      </c>
    </row>
    <row r="87" spans="1:2" x14ac:dyDescent="0.35">
      <c r="A87" s="67">
        <f t="shared" si="1"/>
        <v>84</v>
      </c>
      <c r="B87">
        <v>9.3164955064472412</v>
      </c>
    </row>
    <row r="88" spans="1:2" x14ac:dyDescent="0.35">
      <c r="A88" s="67">
        <f t="shared" si="1"/>
        <v>85</v>
      </c>
      <c r="B88">
        <v>9.3880379589982077</v>
      </c>
    </row>
    <row r="89" spans="1:2" x14ac:dyDescent="0.35">
      <c r="A89" s="67">
        <f t="shared" si="1"/>
        <v>86</v>
      </c>
      <c r="B89">
        <v>8.8184147405082118</v>
      </c>
    </row>
    <row r="90" spans="1:2" x14ac:dyDescent="0.35">
      <c r="A90" s="67">
        <f t="shared" si="1"/>
        <v>87</v>
      </c>
      <c r="B90">
        <v>8.9099086736321791</v>
      </c>
    </row>
    <row r="91" spans="1:2" x14ac:dyDescent="0.35">
      <c r="A91" s="67">
        <f t="shared" si="1"/>
        <v>88</v>
      </c>
      <c r="B91">
        <v>8.4966509972542372</v>
      </c>
    </row>
    <row r="92" spans="1:2" x14ac:dyDescent="0.35">
      <c r="A92" s="67">
        <f t="shared" si="1"/>
        <v>89</v>
      </c>
      <c r="B92">
        <v>9.5957622880510769</v>
      </c>
    </row>
    <row r="93" spans="1:2" x14ac:dyDescent="0.35">
      <c r="A93" s="67">
        <f t="shared" si="1"/>
        <v>90</v>
      </c>
      <c r="B93">
        <v>9.4341042496587111</v>
      </c>
    </row>
    <row r="94" spans="1:2" x14ac:dyDescent="0.35">
      <c r="A94" s="67">
        <f t="shared" si="1"/>
        <v>91</v>
      </c>
      <c r="B94">
        <v>8.3549740311930485</v>
      </c>
    </row>
    <row r="95" spans="1:2" x14ac:dyDescent="0.35">
      <c r="A95" s="67">
        <f t="shared" si="1"/>
        <v>92</v>
      </c>
      <c r="B95">
        <v>8.8374866436708892</v>
      </c>
    </row>
    <row r="96" spans="1:2" x14ac:dyDescent="0.35">
      <c r="A96" s="67">
        <f t="shared" si="1"/>
        <v>93</v>
      </c>
      <c r="B96">
        <v>7.8030050801946294</v>
      </c>
    </row>
    <row r="97" spans="1:2" x14ac:dyDescent="0.35">
      <c r="A97" s="67">
        <f t="shared" si="1"/>
        <v>94</v>
      </c>
      <c r="B97">
        <v>6.432132626966296</v>
      </c>
    </row>
    <row r="98" spans="1:2" x14ac:dyDescent="0.35">
      <c r="A98" s="67">
        <f t="shared" si="1"/>
        <v>95</v>
      </c>
      <c r="B98">
        <v>8.2070381831134771</v>
      </c>
    </row>
    <row r="99" spans="1:2" x14ac:dyDescent="0.35">
      <c r="A99" s="67">
        <f t="shared" si="1"/>
        <v>96</v>
      </c>
      <c r="B99">
        <v>6.8935011528724619</v>
      </c>
    </row>
    <row r="100" spans="1:2" x14ac:dyDescent="0.35">
      <c r="A100" s="67">
        <f t="shared" si="1"/>
        <v>97</v>
      </c>
      <c r="B100">
        <v>6.5813576553819226</v>
      </c>
    </row>
    <row r="101" spans="1:2" x14ac:dyDescent="0.35">
      <c r="A101" s="67">
        <f t="shared" si="1"/>
        <v>98</v>
      </c>
      <c r="B101">
        <v>6.7231135510172306</v>
      </c>
    </row>
    <row r="102" spans="1:2" x14ac:dyDescent="0.35">
      <c r="A102" s="67">
        <f t="shared" si="1"/>
        <v>99</v>
      </c>
      <c r="B102">
        <v>5.6031024496579178</v>
      </c>
    </row>
    <row r="103" spans="1:2" x14ac:dyDescent="0.35">
      <c r="A103" s="67">
        <f t="shared" si="1"/>
        <v>100</v>
      </c>
      <c r="B103" s="4">
        <v>8.2498435205593736</v>
      </c>
    </row>
  </sheetData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4"/>
  <dimension ref="A1:AA103"/>
  <sheetViews>
    <sheetView workbookViewId="0"/>
  </sheetViews>
  <sheetFormatPr defaultRowHeight="14.5" x14ac:dyDescent="0.35"/>
  <cols>
    <col min="1" max="1" width="5.26953125" style="52" customWidth="1"/>
    <col min="4" max="4" width="5" customWidth="1"/>
    <col min="26" max="27" width="10.1796875" customWidth="1"/>
  </cols>
  <sheetData>
    <row r="1" spans="1:27" x14ac:dyDescent="0.35">
      <c r="A1" s="61" t="s">
        <v>201</v>
      </c>
    </row>
    <row r="3" spans="1:27" x14ac:dyDescent="0.35">
      <c r="B3" s="8" t="s">
        <v>107</v>
      </c>
      <c r="C3" s="8" t="s">
        <v>110</v>
      </c>
      <c r="E3" s="8" t="s">
        <v>78</v>
      </c>
      <c r="F3" s="8" t="s">
        <v>77</v>
      </c>
      <c r="G3" s="8" t="s">
        <v>116</v>
      </c>
      <c r="Y3" s="8" t="s">
        <v>78</v>
      </c>
      <c r="Z3" s="8" t="s">
        <v>119</v>
      </c>
      <c r="AA3" s="8" t="s">
        <v>195</v>
      </c>
    </row>
    <row r="4" spans="1:27" x14ac:dyDescent="0.35">
      <c r="A4" s="52">
        <v>1</v>
      </c>
      <c r="B4">
        <v>-0.47324253014025192</v>
      </c>
      <c r="C4">
        <f>5+0.4*0-0.1*0+B4</f>
        <v>4.5267574698597484</v>
      </c>
      <c r="E4" s="52"/>
      <c r="Y4" s="52"/>
    </row>
    <row r="5" spans="1:27" x14ac:dyDescent="0.35">
      <c r="A5" s="52">
        <f>A4+1</f>
        <v>2</v>
      </c>
      <c r="B5">
        <v>8.2667789568597605E-2</v>
      </c>
      <c r="C5">
        <f>5+0.4*C4-0.1*0+B5</f>
        <v>6.893370777512497</v>
      </c>
      <c r="E5" s="52"/>
      <c r="Y5" s="52"/>
    </row>
    <row r="6" spans="1:27" x14ac:dyDescent="0.35">
      <c r="A6" s="52">
        <f t="shared" ref="A6:A69" si="0">A5+1</f>
        <v>3</v>
      </c>
      <c r="B6">
        <v>1.1207225535485557</v>
      </c>
      <c r="C6">
        <f>5+0.4*C5-0.1*C4+B6</f>
        <v>8.4253951175675805</v>
      </c>
      <c r="E6" s="52">
        <v>1</v>
      </c>
      <c r="F6" s="26" t="e" cm="1">
        <f t="array" aca="1" ref="F6" ca="1">ACF($C$4:$C$103,E6)</f>
        <v>#NAME?</v>
      </c>
      <c r="G6" s="58">
        <f t="shared" ref="G6:G20" si="1">0.4^E6</f>
        <v>0.4</v>
      </c>
      <c r="Y6" s="52">
        <v>1</v>
      </c>
      <c r="Z6" s="26" t="e" cm="1">
        <f t="array" aca="1" ref="Z6" ca="1">PACF($C$4:$C$103,Y6)</f>
        <v>#NAME?</v>
      </c>
      <c r="AA6" s="58">
        <f>M22</f>
        <v>0.4</v>
      </c>
    </row>
    <row r="7" spans="1:27" x14ac:dyDescent="0.35">
      <c r="A7" s="52">
        <f t="shared" si="0"/>
        <v>4</v>
      </c>
      <c r="B7">
        <v>-0.68131888228678594</v>
      </c>
      <c r="C7">
        <f t="shared" ref="C7:C70" si="2">5+0.4*C6-0.1*C5+B7</f>
        <v>6.999502086988997</v>
      </c>
      <c r="E7" s="52">
        <f t="shared" ref="E7:E20" si="3">E6+1</f>
        <v>2</v>
      </c>
      <c r="F7" s="29" t="e" cm="1">
        <f t="array" aca="1" ref="F7" ca="1">ACF($C$4:$C$103,E7)</f>
        <v>#NAME?</v>
      </c>
      <c r="G7" s="30">
        <f t="shared" si="1"/>
        <v>0.16000000000000003</v>
      </c>
      <c r="Y7" s="52">
        <f t="shared" ref="Y7:Y20" si="4">Y6+1</f>
        <v>2</v>
      </c>
      <c r="Z7" s="29" t="e" cm="1">
        <f t="array" aca="1" ref="Z7" ca="1">PACF($C$4:$C$103,Y7)</f>
        <v>#NAME?</v>
      </c>
      <c r="AA7" s="30">
        <f>M23</f>
        <v>-0.1</v>
      </c>
    </row>
    <row r="8" spans="1:27" x14ac:dyDescent="0.35">
      <c r="A8" s="52">
        <f t="shared" si="0"/>
        <v>5</v>
      </c>
      <c r="B8">
        <v>-0.76966716140875779</v>
      </c>
      <c r="C8">
        <f t="shared" si="2"/>
        <v>6.1875941616300834</v>
      </c>
      <c r="E8" s="52">
        <f t="shared" si="3"/>
        <v>3</v>
      </c>
      <c r="F8" s="29" t="e" cm="1">
        <f t="array" aca="1" ref="F8" ca="1">ACF($C$4:$C$103,E8)</f>
        <v>#NAME?</v>
      </c>
      <c r="G8" s="30">
        <f t="shared" si="1"/>
        <v>6.4000000000000015E-2</v>
      </c>
      <c r="Y8" s="52">
        <f t="shared" si="4"/>
        <v>3</v>
      </c>
      <c r="Z8" s="29" t="e" cm="1">
        <f t="array" aca="1" ref="Z8" ca="1">PACF($C$4:$C$103,Y8)</f>
        <v>#NAME?</v>
      </c>
      <c r="AA8" s="30">
        <v>0</v>
      </c>
    </row>
    <row r="9" spans="1:27" x14ac:dyDescent="0.35">
      <c r="A9" s="52">
        <f t="shared" si="0"/>
        <v>6</v>
      </c>
      <c r="B9">
        <v>-0.96211098507331017</v>
      </c>
      <c r="C9">
        <f t="shared" si="2"/>
        <v>5.8129764708798239</v>
      </c>
      <c r="E9" s="52">
        <f t="shared" si="3"/>
        <v>4</v>
      </c>
      <c r="F9" s="29" t="e" cm="1">
        <f t="array" aca="1" ref="F9" ca="1">ACF($C$4:$C$103,E9)</f>
        <v>#NAME?</v>
      </c>
      <c r="G9" s="30">
        <f t="shared" si="1"/>
        <v>2.5600000000000012E-2</v>
      </c>
      <c r="Y9" s="52">
        <f t="shared" si="4"/>
        <v>4</v>
      </c>
      <c r="Z9" s="29" t="e" cm="1">
        <f t="array" aca="1" ref="Z9" ca="1">PACF($C$4:$C$103,Y9)</f>
        <v>#NAME?</v>
      </c>
      <c r="AA9" s="30">
        <v>0</v>
      </c>
    </row>
    <row r="10" spans="1:27" x14ac:dyDescent="0.35">
      <c r="A10" s="52">
        <f t="shared" si="0"/>
        <v>7</v>
      </c>
      <c r="B10">
        <v>0.41364151532991683</v>
      </c>
      <c r="C10">
        <f t="shared" si="2"/>
        <v>7.1200726875188378</v>
      </c>
      <c r="E10" s="52">
        <f t="shared" si="3"/>
        <v>5</v>
      </c>
      <c r="F10" s="29" t="e" cm="1">
        <f t="array" aca="1" ref="F10" ca="1">ACF($C$4:$C$103,E10)</f>
        <v>#NAME?</v>
      </c>
      <c r="G10" s="30">
        <f t="shared" si="1"/>
        <v>1.0240000000000006E-2</v>
      </c>
      <c r="Y10" s="52">
        <f t="shared" si="4"/>
        <v>5</v>
      </c>
      <c r="Z10" s="29" t="e" cm="1">
        <f t="array" aca="1" ref="Z10" ca="1">PACF($C$4:$C$103,Y10)</f>
        <v>#NAME?</v>
      </c>
      <c r="AA10" s="30">
        <v>0</v>
      </c>
    </row>
    <row r="11" spans="1:27" x14ac:dyDescent="0.35">
      <c r="A11" s="52">
        <f t="shared" si="0"/>
        <v>8</v>
      </c>
      <c r="B11">
        <v>1.2351835053545517</v>
      </c>
      <c r="C11">
        <f t="shared" si="2"/>
        <v>8.5019149332741044</v>
      </c>
      <c r="E11" s="52">
        <f t="shared" si="3"/>
        <v>6</v>
      </c>
      <c r="F11" s="29" t="e" cm="1">
        <f t="array" aca="1" ref="F11" ca="1">ACF($C$4:$C$103,E11)</f>
        <v>#NAME?</v>
      </c>
      <c r="G11" s="30">
        <f t="shared" si="1"/>
        <v>4.0960000000000024E-3</v>
      </c>
      <c r="Y11" s="52">
        <f t="shared" si="4"/>
        <v>6</v>
      </c>
      <c r="Z11" s="29" t="e" cm="1">
        <f t="array" aca="1" ref="Z11" ca="1">PACF($C$4:$C$103,Y11)</f>
        <v>#NAME?</v>
      </c>
      <c r="AA11" s="30">
        <v>0</v>
      </c>
    </row>
    <row r="12" spans="1:27" x14ac:dyDescent="0.35">
      <c r="A12" s="52">
        <f t="shared" si="0"/>
        <v>9</v>
      </c>
      <c r="B12">
        <v>-0.38753659937569779</v>
      </c>
      <c r="C12">
        <f t="shared" si="2"/>
        <v>7.3012221051820614</v>
      </c>
      <c r="E12" s="52">
        <f t="shared" si="3"/>
        <v>7</v>
      </c>
      <c r="F12" s="29" t="e" cm="1">
        <f t="array" aca="1" ref="F12" ca="1">ACF($C$4:$C$103,E12)</f>
        <v>#NAME?</v>
      </c>
      <c r="G12" s="30">
        <f t="shared" si="1"/>
        <v>1.6384000000000012E-3</v>
      </c>
      <c r="Y12" s="52">
        <f t="shared" si="4"/>
        <v>7</v>
      </c>
      <c r="Z12" s="29" t="e" cm="1">
        <f t="array" aca="1" ref="Z12" ca="1">PACF($C$4:$C$103,Y12)</f>
        <v>#NAME?</v>
      </c>
      <c r="AA12" s="30">
        <v>0</v>
      </c>
    </row>
    <row r="13" spans="1:27" x14ac:dyDescent="0.35">
      <c r="A13" s="52">
        <f t="shared" si="0"/>
        <v>10</v>
      </c>
      <c r="B13">
        <v>-1.0314205193621429</v>
      </c>
      <c r="C13">
        <f t="shared" si="2"/>
        <v>6.0388768293832715</v>
      </c>
      <c r="E13" s="52">
        <f t="shared" si="3"/>
        <v>8</v>
      </c>
      <c r="F13" s="29" t="e" cm="1">
        <f t="array" aca="1" ref="F13" ca="1">ACF($C$4:$C$103,E13)</f>
        <v>#NAME?</v>
      </c>
      <c r="G13" s="30">
        <f t="shared" si="1"/>
        <v>6.5536000000000056E-4</v>
      </c>
      <c r="Y13" s="52">
        <f t="shared" si="4"/>
        <v>8</v>
      </c>
      <c r="Z13" s="29" t="e" cm="1">
        <f t="array" aca="1" ref="Z13" ca="1">PACF($C$4:$C$103,Y13)</f>
        <v>#NAME?</v>
      </c>
      <c r="AA13" s="30">
        <v>0</v>
      </c>
    </row>
    <row r="14" spans="1:27" x14ac:dyDescent="0.35">
      <c r="A14" s="52">
        <f t="shared" si="0"/>
        <v>11</v>
      </c>
      <c r="B14">
        <v>-1.9393388320973128</v>
      </c>
      <c r="C14">
        <f t="shared" si="2"/>
        <v>4.7460896891377891</v>
      </c>
      <c r="E14" s="52">
        <f t="shared" si="3"/>
        <v>9</v>
      </c>
      <c r="F14" s="29" t="e" cm="1">
        <f t="array" aca="1" ref="F14" ca="1">ACF($C$4:$C$103,E14)</f>
        <v>#NAME?</v>
      </c>
      <c r="G14" s="30">
        <f t="shared" si="1"/>
        <v>2.6214400000000023E-4</v>
      </c>
      <c r="Y14" s="52">
        <f t="shared" si="4"/>
        <v>9</v>
      </c>
      <c r="Z14" s="29" t="e" cm="1">
        <f t="array" aca="1" ref="Z14" ca="1">PACF($C$4:$C$103,Y14)</f>
        <v>#NAME?</v>
      </c>
      <c r="AA14" s="30">
        <v>0</v>
      </c>
    </row>
    <row r="15" spans="1:27" x14ac:dyDescent="0.35">
      <c r="A15" s="52">
        <f t="shared" si="0"/>
        <v>12</v>
      </c>
      <c r="B15">
        <v>0.35912852564205311</v>
      </c>
      <c r="C15">
        <f t="shared" si="2"/>
        <v>6.6536767183588417</v>
      </c>
      <c r="E15" s="52">
        <f t="shared" si="3"/>
        <v>10</v>
      </c>
      <c r="F15" s="29" t="e" cm="1">
        <f t="array" aca="1" ref="F15" ca="1">ACF($C$4:$C$103,E15)</f>
        <v>#NAME?</v>
      </c>
      <c r="G15" s="30">
        <f t="shared" si="1"/>
        <v>1.0485760000000011E-4</v>
      </c>
      <c r="Y15" s="52">
        <f t="shared" si="4"/>
        <v>10</v>
      </c>
      <c r="Z15" s="29" t="e" cm="1">
        <f t="array" aca="1" ref="Z15" ca="1">PACF($C$4:$C$103,Y15)</f>
        <v>#NAME?</v>
      </c>
      <c r="AA15" s="30">
        <v>0</v>
      </c>
    </row>
    <row r="16" spans="1:27" x14ac:dyDescent="0.35">
      <c r="A16" s="52">
        <f t="shared" si="0"/>
        <v>13</v>
      </c>
      <c r="B16">
        <v>1.0071142010572023</v>
      </c>
      <c r="C16">
        <f t="shared" si="2"/>
        <v>8.1939759194869595</v>
      </c>
      <c r="E16" s="52">
        <f t="shared" si="3"/>
        <v>11</v>
      </c>
      <c r="F16" s="29" t="e" cm="1">
        <f t="array" aca="1" ref="F16" ca="1">ACF($C$4:$C$103,E16)</f>
        <v>#NAME?</v>
      </c>
      <c r="G16" s="30">
        <f t="shared" si="1"/>
        <v>4.1943040000000045E-5</v>
      </c>
      <c r="Y16" s="52">
        <f t="shared" si="4"/>
        <v>11</v>
      </c>
      <c r="Z16" s="29" t="e" cm="1">
        <f t="array" aca="1" ref="Z16" ca="1">PACF($C$4:$C$103,Y16)</f>
        <v>#NAME?</v>
      </c>
      <c r="AA16" s="30">
        <v>0</v>
      </c>
    </row>
    <row r="17" spans="1:27" x14ac:dyDescent="0.35">
      <c r="A17" s="52">
        <f t="shared" si="0"/>
        <v>14</v>
      </c>
      <c r="B17">
        <v>-5.1959162489554053E-2</v>
      </c>
      <c r="C17">
        <f t="shared" si="2"/>
        <v>7.5602635334693442</v>
      </c>
      <c r="E17" s="52">
        <f t="shared" si="3"/>
        <v>12</v>
      </c>
      <c r="F17" s="29" t="e" cm="1">
        <f t="array" aca="1" ref="F17" ca="1">ACF($C$4:$C$103,E17)</f>
        <v>#NAME?</v>
      </c>
      <c r="G17" s="30">
        <f t="shared" si="1"/>
        <v>1.6777216000000023E-5</v>
      </c>
      <c r="Y17" s="52">
        <f t="shared" si="4"/>
        <v>12</v>
      </c>
      <c r="Z17" s="29" t="e" cm="1">
        <f t="array" aca="1" ref="Z17" ca="1">PACF($C$4:$C$103,Y17)</f>
        <v>#NAME?</v>
      </c>
      <c r="AA17" s="30">
        <v>0</v>
      </c>
    </row>
    <row r="18" spans="1:27" x14ac:dyDescent="0.35">
      <c r="A18" s="52">
        <f t="shared" si="0"/>
        <v>15</v>
      </c>
      <c r="B18">
        <v>-0.41025652430283599</v>
      </c>
      <c r="C18">
        <f t="shared" si="2"/>
        <v>6.794451297136205</v>
      </c>
      <c r="E18" s="52">
        <f t="shared" si="3"/>
        <v>13</v>
      </c>
      <c r="F18" s="29" t="e" cm="1">
        <f t="array" aca="1" ref="F18" ca="1">ACF($C$4:$C$103,E18)</f>
        <v>#NAME?</v>
      </c>
      <c r="G18" s="30">
        <f t="shared" si="1"/>
        <v>6.7108864000000095E-6</v>
      </c>
      <c r="Y18" s="52">
        <f t="shared" si="4"/>
        <v>13</v>
      </c>
      <c r="Z18" s="29" t="e" cm="1">
        <f t="array" aca="1" ref="Z18" ca="1">PACF($C$4:$C$103,Y18)</f>
        <v>#NAME?</v>
      </c>
      <c r="AA18" s="30">
        <v>0</v>
      </c>
    </row>
    <row r="19" spans="1:27" x14ac:dyDescent="0.35">
      <c r="A19" s="52">
        <f t="shared" si="0"/>
        <v>16</v>
      </c>
      <c r="B19">
        <v>-2.2372876303491593</v>
      </c>
      <c r="C19">
        <f t="shared" si="2"/>
        <v>4.7244665351583883</v>
      </c>
      <c r="E19" s="52">
        <f t="shared" si="3"/>
        <v>14</v>
      </c>
      <c r="F19" s="29" t="e" cm="1">
        <f t="array" aca="1" ref="F19" ca="1">ACF($C$4:$C$103,E19)</f>
        <v>#NAME?</v>
      </c>
      <c r="G19" s="30">
        <f t="shared" si="1"/>
        <v>2.6843545600000038E-6</v>
      </c>
      <c r="Y19" s="52">
        <f t="shared" si="4"/>
        <v>14</v>
      </c>
      <c r="Z19" s="29" t="e" cm="1">
        <f t="array" aca="1" ref="Z19" ca="1">PACF($C$4:$C$103,Y19)</f>
        <v>#NAME?</v>
      </c>
      <c r="AA19" s="30">
        <v>0</v>
      </c>
    </row>
    <row r="20" spans="1:27" x14ac:dyDescent="0.35">
      <c r="A20" s="52">
        <f t="shared" si="0"/>
        <v>17</v>
      </c>
      <c r="B20">
        <v>-0.18318635781115461</v>
      </c>
      <c r="C20">
        <f t="shared" si="2"/>
        <v>6.0271551265385801</v>
      </c>
      <c r="E20" s="52">
        <f t="shared" si="3"/>
        <v>15</v>
      </c>
      <c r="F20" s="31" t="e" cm="1">
        <f t="array" aca="1" ref="F20" ca="1">ACF($C$4:$C$103,E20)</f>
        <v>#NAME?</v>
      </c>
      <c r="G20" s="32">
        <f t="shared" si="1"/>
        <v>1.0737418240000018E-6</v>
      </c>
      <c r="Y20" s="52">
        <f t="shared" si="4"/>
        <v>15</v>
      </c>
      <c r="Z20" s="31" t="e" cm="1">
        <f t="array" aca="1" ref="Z20" ca="1">PACF($C$4:$C$103,Y20)</f>
        <v>#NAME?</v>
      </c>
      <c r="AA20" s="32">
        <v>0</v>
      </c>
    </row>
    <row r="21" spans="1:27" x14ac:dyDescent="0.35">
      <c r="A21" s="52">
        <f t="shared" si="0"/>
        <v>18</v>
      </c>
      <c r="B21">
        <v>0.18749462876249154</v>
      </c>
      <c r="C21">
        <f t="shared" si="2"/>
        <v>7.1259100258620851</v>
      </c>
      <c r="E21" s="52"/>
      <c r="L21" s="40" t="s">
        <v>200</v>
      </c>
      <c r="M21" s="23">
        <v>5</v>
      </c>
    </row>
    <row r="22" spans="1:27" x14ac:dyDescent="0.35">
      <c r="A22" s="52">
        <f t="shared" si="0"/>
        <v>19</v>
      </c>
      <c r="B22">
        <v>-5.6400668198823029E-2</v>
      </c>
      <c r="C22">
        <f t="shared" si="2"/>
        <v>7.1912478294921529</v>
      </c>
      <c r="E22" s="35" t="s">
        <v>112</v>
      </c>
      <c r="F22" s="23">
        <f>M21/(1-M22-M23)</f>
        <v>7.1428571428571432</v>
      </c>
      <c r="H22" s="35" t="s">
        <v>113</v>
      </c>
      <c r="I22" s="23">
        <f>AVERAGE(C4:C103)</f>
        <v>7.0839833813726774</v>
      </c>
      <c r="L22" s="40" t="s">
        <v>170</v>
      </c>
      <c r="M22" s="24">
        <v>0.4</v>
      </c>
    </row>
    <row r="23" spans="1:27" ht="15" customHeight="1" x14ac:dyDescent="0.35">
      <c r="A23" s="52">
        <f t="shared" si="0"/>
        <v>20</v>
      </c>
      <c r="B23">
        <v>-0.48121649086566348</v>
      </c>
      <c r="C23">
        <f t="shared" si="2"/>
        <v>6.6826916383449895</v>
      </c>
      <c r="E23" s="35" t="s">
        <v>219</v>
      </c>
      <c r="F23" s="34">
        <f>(1-M23)/(1+M23)*M24/((1-M23)^2-M22^2)</f>
        <v>1.1640211640211637</v>
      </c>
      <c r="H23" s="52" t="s">
        <v>115</v>
      </c>
      <c r="I23" s="34">
        <f>VAR(C4:C103)</f>
        <v>1.2688527494128721</v>
      </c>
      <c r="L23" s="40" t="s">
        <v>172</v>
      </c>
      <c r="M23" s="24">
        <v>-0.1</v>
      </c>
    </row>
    <row r="24" spans="1:27" ht="15" customHeight="1" x14ac:dyDescent="0.35">
      <c r="A24" s="52">
        <f t="shared" si="0"/>
        <v>21</v>
      </c>
      <c r="B24">
        <v>-0.38179474938688318</v>
      </c>
      <c r="C24">
        <f t="shared" si="2"/>
        <v>6.5721571230018965</v>
      </c>
      <c r="L24" s="36" t="s">
        <v>114</v>
      </c>
      <c r="M24" s="63">
        <v>1</v>
      </c>
    </row>
    <row r="25" spans="1:27" x14ac:dyDescent="0.35">
      <c r="A25" s="52">
        <f t="shared" si="0"/>
        <v>22</v>
      </c>
      <c r="B25">
        <v>-0.20785477186378326</v>
      </c>
      <c r="C25">
        <f t="shared" si="2"/>
        <v>6.7527389135024771</v>
      </c>
      <c r="E25" s="52"/>
    </row>
    <row r="26" spans="1:27" x14ac:dyDescent="0.35">
      <c r="A26" s="52">
        <f t="shared" si="0"/>
        <v>23</v>
      </c>
      <c r="B26">
        <v>-1.3964797995563232</v>
      </c>
      <c r="C26">
        <f t="shared" si="2"/>
        <v>5.6474000535444784</v>
      </c>
      <c r="E26" s="52"/>
    </row>
    <row r="27" spans="1:27" x14ac:dyDescent="0.35">
      <c r="A27" s="52">
        <f t="shared" si="0"/>
        <v>24</v>
      </c>
      <c r="B27">
        <v>-0.10631712587124004</v>
      </c>
      <c r="C27">
        <f t="shared" si="2"/>
        <v>6.4773690041963041</v>
      </c>
      <c r="E27" s="52"/>
    </row>
    <row r="28" spans="1:27" x14ac:dyDescent="0.35">
      <c r="A28" s="52">
        <f t="shared" si="0"/>
        <v>25</v>
      </c>
      <c r="B28">
        <v>0.26416614209328265</v>
      </c>
      <c r="C28">
        <f t="shared" si="2"/>
        <v>7.2903737384173564</v>
      </c>
      <c r="E28" s="52"/>
    </row>
    <row r="29" spans="1:27" x14ac:dyDescent="0.35">
      <c r="A29" s="52">
        <f t="shared" si="0"/>
        <v>26</v>
      </c>
      <c r="B29">
        <v>0.56209410321803166</v>
      </c>
      <c r="C29">
        <f t="shared" si="2"/>
        <v>7.8305066981653439</v>
      </c>
      <c r="E29" s="52"/>
    </row>
    <row r="30" spans="1:27" x14ac:dyDescent="0.35">
      <c r="A30" s="52">
        <f t="shared" si="0"/>
        <v>27</v>
      </c>
      <c r="B30">
        <v>0.3495176527890641</v>
      </c>
      <c r="C30">
        <f t="shared" si="2"/>
        <v>7.752682958213466</v>
      </c>
      <c r="E30" s="52"/>
    </row>
    <row r="31" spans="1:27" x14ac:dyDescent="0.35">
      <c r="A31" s="52">
        <f t="shared" si="0"/>
        <v>28</v>
      </c>
      <c r="B31">
        <v>-1.4196432813369184</v>
      </c>
      <c r="C31">
        <f t="shared" si="2"/>
        <v>5.8983792321319335</v>
      </c>
      <c r="E31" s="52"/>
    </row>
    <row r="32" spans="1:27" x14ac:dyDescent="0.35">
      <c r="A32" s="52">
        <f t="shared" si="0"/>
        <v>29</v>
      </c>
      <c r="B32">
        <v>0.41292682554218701</v>
      </c>
      <c r="C32">
        <f t="shared" si="2"/>
        <v>6.9970102225736142</v>
      </c>
      <c r="E32" s="52"/>
    </row>
    <row r="33" spans="1:5" x14ac:dyDescent="0.35">
      <c r="A33" s="52">
        <f t="shared" si="0"/>
        <v>30</v>
      </c>
      <c r="B33">
        <v>0.35807000330701766</v>
      </c>
      <c r="C33">
        <f t="shared" si="2"/>
        <v>7.5670361691232699</v>
      </c>
      <c r="E33" s="52"/>
    </row>
    <row r="34" spans="1:5" x14ac:dyDescent="0.35">
      <c r="A34" s="52">
        <f t="shared" si="0"/>
        <v>31</v>
      </c>
      <c r="B34">
        <v>-1.3945310478710269</v>
      </c>
      <c r="C34">
        <f t="shared" si="2"/>
        <v>5.9325823975209193</v>
      </c>
      <c r="E34" s="52"/>
    </row>
    <row r="35" spans="1:5" x14ac:dyDescent="0.35">
      <c r="A35" s="52">
        <f t="shared" si="0"/>
        <v>32</v>
      </c>
      <c r="B35">
        <v>-0.34465535758600896</v>
      </c>
      <c r="C35">
        <f t="shared" si="2"/>
        <v>6.2716739845100316</v>
      </c>
      <c r="E35" s="52"/>
    </row>
    <row r="36" spans="1:5" x14ac:dyDescent="0.35">
      <c r="A36" s="52">
        <f t="shared" si="0"/>
        <v>33</v>
      </c>
      <c r="B36">
        <v>0.6773260419350895</v>
      </c>
      <c r="C36">
        <f t="shared" si="2"/>
        <v>7.5927373959870117</v>
      </c>
      <c r="E36" s="52"/>
    </row>
    <row r="37" spans="1:5" x14ac:dyDescent="0.35">
      <c r="A37" s="52">
        <f t="shared" si="0"/>
        <v>34</v>
      </c>
      <c r="B37">
        <v>-0.33272164613616745</v>
      </c>
      <c r="C37">
        <f t="shared" si="2"/>
        <v>7.0772059138076351</v>
      </c>
      <c r="E37" s="52"/>
    </row>
    <row r="38" spans="1:5" x14ac:dyDescent="0.35">
      <c r="A38" s="52">
        <f t="shared" si="0"/>
        <v>35</v>
      </c>
      <c r="B38">
        <v>0.16193253442993719</v>
      </c>
      <c r="C38">
        <f t="shared" si="2"/>
        <v>7.2335411603542905</v>
      </c>
      <c r="E38" s="52"/>
    </row>
    <row r="39" spans="1:5" x14ac:dyDescent="0.35">
      <c r="A39" s="52">
        <f t="shared" si="0"/>
        <v>36</v>
      </c>
      <c r="B39">
        <v>2.0958988923338451</v>
      </c>
      <c r="C39">
        <f t="shared" si="2"/>
        <v>9.2815947650947983</v>
      </c>
      <c r="E39" s="52"/>
    </row>
    <row r="40" spans="1:5" x14ac:dyDescent="0.35">
      <c r="A40" s="52">
        <f t="shared" si="0"/>
        <v>37</v>
      </c>
      <c r="B40">
        <v>0.13687130286193497</v>
      </c>
      <c r="C40">
        <f t="shared" si="2"/>
        <v>8.1261550928644262</v>
      </c>
      <c r="E40" s="52"/>
    </row>
    <row r="41" spans="1:5" x14ac:dyDescent="0.35">
      <c r="A41" s="52">
        <f t="shared" si="0"/>
        <v>38</v>
      </c>
      <c r="B41">
        <v>0.15164038123128815</v>
      </c>
      <c r="C41">
        <f t="shared" si="2"/>
        <v>7.4739429418675778</v>
      </c>
      <c r="E41" s="52"/>
    </row>
    <row r="42" spans="1:5" x14ac:dyDescent="0.35">
      <c r="A42" s="52">
        <f t="shared" si="0"/>
        <v>39</v>
      </c>
      <c r="B42">
        <v>-1.3286774610778544</v>
      </c>
      <c r="C42">
        <f t="shared" si="2"/>
        <v>5.8482842063827345</v>
      </c>
      <c r="E42" s="52"/>
    </row>
    <row r="43" spans="1:5" x14ac:dyDescent="0.35">
      <c r="A43" s="52">
        <f t="shared" si="0"/>
        <v>40</v>
      </c>
      <c r="B43">
        <v>-1.6831783661549446</v>
      </c>
      <c r="C43">
        <f t="shared" si="2"/>
        <v>4.9087410222113919</v>
      </c>
      <c r="E43" s="52"/>
    </row>
    <row r="44" spans="1:5" x14ac:dyDescent="0.35">
      <c r="A44" s="52">
        <f t="shared" si="0"/>
        <v>41</v>
      </c>
      <c r="B44">
        <v>2.1773330001221298</v>
      </c>
      <c r="C44">
        <f t="shared" si="2"/>
        <v>8.5560009883684138</v>
      </c>
      <c r="E44" s="52"/>
    </row>
    <row r="45" spans="1:5" x14ac:dyDescent="0.35">
      <c r="A45" s="52">
        <f t="shared" si="0"/>
        <v>42</v>
      </c>
      <c r="B45">
        <v>0.84300462021271161</v>
      </c>
      <c r="C45">
        <f t="shared" si="2"/>
        <v>8.7745309133389373</v>
      </c>
      <c r="E45" s="52"/>
    </row>
    <row r="46" spans="1:5" x14ac:dyDescent="0.35">
      <c r="A46" s="52">
        <f t="shared" si="0"/>
        <v>43</v>
      </c>
      <c r="B46">
        <v>-0.11653470961109491</v>
      </c>
      <c r="C46">
        <f t="shared" si="2"/>
        <v>7.5376775568876386</v>
      </c>
      <c r="E46" s="52"/>
    </row>
    <row r="47" spans="1:5" x14ac:dyDescent="0.35">
      <c r="A47" s="52">
        <f t="shared" si="0"/>
        <v>44</v>
      </c>
      <c r="B47">
        <v>1.1335178378349218</v>
      </c>
      <c r="C47">
        <f t="shared" si="2"/>
        <v>8.2711357692560838</v>
      </c>
      <c r="E47" s="52"/>
    </row>
    <row r="48" spans="1:5" x14ac:dyDescent="0.35">
      <c r="A48" s="52">
        <f t="shared" si="0"/>
        <v>45</v>
      </c>
      <c r="B48">
        <v>2.0614058880224517</v>
      </c>
      <c r="C48">
        <f t="shared" si="2"/>
        <v>9.6160924400361214</v>
      </c>
      <c r="E48" s="52"/>
    </row>
    <row r="49" spans="1:5" x14ac:dyDescent="0.35">
      <c r="A49" s="52">
        <f t="shared" si="0"/>
        <v>46</v>
      </c>
      <c r="B49">
        <v>1.1006258259814818</v>
      </c>
      <c r="C49">
        <f t="shared" si="2"/>
        <v>9.1199492250703216</v>
      </c>
      <c r="E49" s="52"/>
    </row>
    <row r="50" spans="1:5" x14ac:dyDescent="0.35">
      <c r="A50" s="52">
        <f t="shared" si="0"/>
        <v>47</v>
      </c>
      <c r="B50">
        <v>-0.11243048824424987</v>
      </c>
      <c r="C50">
        <f t="shared" si="2"/>
        <v>7.573939957780266</v>
      </c>
      <c r="E50" s="52"/>
    </row>
    <row r="51" spans="1:5" x14ac:dyDescent="0.35">
      <c r="A51" s="52">
        <f t="shared" si="0"/>
        <v>48</v>
      </c>
      <c r="B51">
        <v>0.89967999134606913</v>
      </c>
      <c r="C51">
        <f t="shared" si="2"/>
        <v>8.0172610519511434</v>
      </c>
      <c r="E51" s="52"/>
    </row>
    <row r="52" spans="1:5" x14ac:dyDescent="0.35">
      <c r="A52" s="52">
        <f t="shared" si="0"/>
        <v>49</v>
      </c>
      <c r="B52">
        <v>-0.73154188371208884</v>
      </c>
      <c r="C52">
        <f t="shared" si="2"/>
        <v>6.7179685412903414</v>
      </c>
      <c r="E52" s="52"/>
    </row>
    <row r="53" spans="1:5" x14ac:dyDescent="0.35">
      <c r="A53" s="52">
        <f t="shared" si="0"/>
        <v>50</v>
      </c>
      <c r="B53">
        <v>0.74598633697981298</v>
      </c>
      <c r="C53">
        <f t="shared" si="2"/>
        <v>7.6314476483008358</v>
      </c>
      <c r="E53" s="52"/>
    </row>
    <row r="54" spans="1:5" x14ac:dyDescent="0.35">
      <c r="A54" s="52">
        <f t="shared" si="0"/>
        <v>51</v>
      </c>
      <c r="B54">
        <v>-0.42642490989986637</v>
      </c>
      <c r="C54">
        <f t="shared" si="2"/>
        <v>6.9543572952914339</v>
      </c>
      <c r="E54" s="52"/>
    </row>
    <row r="55" spans="1:5" x14ac:dyDescent="0.35">
      <c r="A55" s="52">
        <f t="shared" si="0"/>
        <v>52</v>
      </c>
      <c r="B55">
        <v>-0.41011257152708913</v>
      </c>
      <c r="C55">
        <f t="shared" si="2"/>
        <v>6.6084855817594015</v>
      </c>
      <c r="E55" s="52"/>
    </row>
    <row r="56" spans="1:5" x14ac:dyDescent="0.35">
      <c r="A56" s="52">
        <f t="shared" si="0"/>
        <v>53</v>
      </c>
      <c r="B56">
        <v>-0.4978354226090263</v>
      </c>
      <c r="C56">
        <f t="shared" si="2"/>
        <v>6.4501230805655911</v>
      </c>
      <c r="E56" s="52"/>
    </row>
    <row r="57" spans="1:5" x14ac:dyDescent="0.35">
      <c r="A57" s="52">
        <f t="shared" si="0"/>
        <v>54</v>
      </c>
      <c r="B57">
        <v>0.76871122871467434</v>
      </c>
      <c r="C57">
        <f t="shared" si="2"/>
        <v>7.6879119027649709</v>
      </c>
      <c r="E57" s="52"/>
    </row>
    <row r="58" spans="1:5" x14ac:dyDescent="0.35">
      <c r="A58" s="52">
        <f t="shared" si="0"/>
        <v>55</v>
      </c>
      <c r="B58">
        <v>-1.6365342070552809</v>
      </c>
      <c r="C58">
        <f t="shared" si="2"/>
        <v>5.7936182459941481</v>
      </c>
      <c r="E58" s="52"/>
    </row>
    <row r="59" spans="1:5" x14ac:dyDescent="0.35">
      <c r="A59" s="52">
        <f t="shared" si="0"/>
        <v>56</v>
      </c>
      <c r="B59">
        <v>1.1312536481777808E-2</v>
      </c>
      <c r="C59">
        <f t="shared" si="2"/>
        <v>6.5599686446029404</v>
      </c>
      <c r="E59" s="52"/>
    </row>
    <row r="60" spans="1:5" x14ac:dyDescent="0.35">
      <c r="A60" s="52">
        <f t="shared" si="0"/>
        <v>57</v>
      </c>
      <c r="B60">
        <v>1.0056243592004326</v>
      </c>
      <c r="C60">
        <f t="shared" si="2"/>
        <v>8.0502499924421933</v>
      </c>
      <c r="E60" s="52"/>
    </row>
    <row r="61" spans="1:5" x14ac:dyDescent="0.35">
      <c r="A61" s="52">
        <f t="shared" si="0"/>
        <v>58</v>
      </c>
      <c r="B61">
        <v>-1.448038903993093</v>
      </c>
      <c r="C61">
        <f t="shared" si="2"/>
        <v>6.1160642285234905</v>
      </c>
      <c r="E61" s="52"/>
    </row>
    <row r="62" spans="1:5" x14ac:dyDescent="0.35">
      <c r="A62" s="52">
        <f t="shared" si="0"/>
        <v>59</v>
      </c>
      <c r="B62">
        <v>7.1484695132023712E-2</v>
      </c>
      <c r="C62">
        <f t="shared" si="2"/>
        <v>6.7128853872972014</v>
      </c>
      <c r="E62" s="52"/>
    </row>
    <row r="63" spans="1:5" x14ac:dyDescent="0.35">
      <c r="A63" s="52">
        <f t="shared" si="0"/>
        <v>60</v>
      </c>
      <c r="B63">
        <v>-0.1007785743604695</v>
      </c>
      <c r="C63">
        <f t="shared" si="2"/>
        <v>6.972769157706062</v>
      </c>
      <c r="E63" s="52"/>
    </row>
    <row r="64" spans="1:5" x14ac:dyDescent="0.35">
      <c r="A64" s="52">
        <f t="shared" si="0"/>
        <v>61</v>
      </c>
      <c r="B64">
        <v>-1.725637170375401</v>
      </c>
      <c r="C64">
        <f t="shared" si="2"/>
        <v>5.3921819539773042</v>
      </c>
      <c r="E64" s="52"/>
    </row>
    <row r="65" spans="1:5" x14ac:dyDescent="0.35">
      <c r="A65" s="52">
        <f t="shared" si="0"/>
        <v>62</v>
      </c>
      <c r="B65">
        <v>-1.179892282500298</v>
      </c>
      <c r="C65">
        <f t="shared" si="2"/>
        <v>5.2797035833200177</v>
      </c>
      <c r="E65" s="52"/>
    </row>
    <row r="66" spans="1:5" x14ac:dyDescent="0.35">
      <c r="A66" s="52">
        <f t="shared" si="0"/>
        <v>63</v>
      </c>
      <c r="B66">
        <v>0.89714189254889554</v>
      </c>
      <c r="C66">
        <f t="shared" si="2"/>
        <v>7.4698051304791724</v>
      </c>
      <c r="E66" s="52"/>
    </row>
    <row r="67" spans="1:5" x14ac:dyDescent="0.35">
      <c r="A67" s="52">
        <f t="shared" si="0"/>
        <v>64</v>
      </c>
      <c r="B67">
        <v>-2.1053252206398696</v>
      </c>
      <c r="C67">
        <f t="shared" si="2"/>
        <v>5.3546264732197972</v>
      </c>
      <c r="E67" s="52"/>
    </row>
    <row r="68" spans="1:5" x14ac:dyDescent="0.35">
      <c r="A68" s="52">
        <f t="shared" si="0"/>
        <v>65</v>
      </c>
      <c r="B68">
        <v>0.99139292864806638</v>
      </c>
      <c r="C68">
        <f t="shared" si="2"/>
        <v>7.3862630048880682</v>
      </c>
      <c r="E68" s="52"/>
    </row>
    <row r="69" spans="1:5" x14ac:dyDescent="0.35">
      <c r="A69" s="52">
        <f t="shared" si="0"/>
        <v>66</v>
      </c>
      <c r="B69">
        <v>1.4979503123490683</v>
      </c>
      <c r="C69">
        <f t="shared" si="2"/>
        <v>8.9169928669823157</v>
      </c>
      <c r="E69" s="52"/>
    </row>
    <row r="70" spans="1:5" x14ac:dyDescent="0.35">
      <c r="A70" s="52">
        <f t="shared" ref="A70:A103" si="5">A69+1</f>
        <v>67</v>
      </c>
      <c r="B70">
        <v>0.20183810054931065</v>
      </c>
      <c r="C70">
        <f t="shared" si="2"/>
        <v>8.0300089468534299</v>
      </c>
      <c r="E70" s="52"/>
    </row>
    <row r="71" spans="1:5" x14ac:dyDescent="0.35">
      <c r="A71" s="52">
        <f t="shared" si="5"/>
        <v>68</v>
      </c>
      <c r="B71">
        <v>0.89484002117632533</v>
      </c>
      <c r="C71">
        <f t="shared" ref="C71:C103" si="6">5+0.4*C70-0.1*C69+B71</f>
        <v>8.2151443132194668</v>
      </c>
      <c r="E71" s="52"/>
    </row>
    <row r="72" spans="1:5" x14ac:dyDescent="0.35">
      <c r="A72" s="52">
        <f t="shared" si="5"/>
        <v>69</v>
      </c>
      <c r="B72">
        <v>-1.0009082850046129</v>
      </c>
      <c r="C72">
        <f t="shared" si="6"/>
        <v>6.4821485455978305</v>
      </c>
      <c r="E72" s="52"/>
    </row>
    <row r="73" spans="1:5" x14ac:dyDescent="0.35">
      <c r="A73" s="52">
        <f t="shared" si="5"/>
        <v>70</v>
      </c>
      <c r="B73">
        <v>1.8556544847684977</v>
      </c>
      <c r="C73">
        <f t="shared" si="6"/>
        <v>8.6269994716856839</v>
      </c>
      <c r="E73" s="52"/>
    </row>
    <row r="74" spans="1:5" x14ac:dyDescent="0.35">
      <c r="A74" s="52">
        <f t="shared" si="5"/>
        <v>71</v>
      </c>
      <c r="B74">
        <v>1.4914582596580135</v>
      </c>
      <c r="C74">
        <f t="shared" si="6"/>
        <v>9.2940431937725041</v>
      </c>
      <c r="E74" s="52"/>
    </row>
    <row r="75" spans="1:5" x14ac:dyDescent="0.35">
      <c r="A75" s="52">
        <f t="shared" si="5"/>
        <v>72</v>
      </c>
      <c r="B75">
        <v>0.55887199260532749</v>
      </c>
      <c r="C75">
        <f t="shared" si="6"/>
        <v>8.4137893229457603</v>
      </c>
      <c r="E75" s="52"/>
    </row>
    <row r="76" spans="1:5" x14ac:dyDescent="0.35">
      <c r="A76" s="52">
        <f t="shared" si="5"/>
        <v>73</v>
      </c>
      <c r="B76">
        <v>2.2256149329632144</v>
      </c>
      <c r="C76">
        <f t="shared" si="6"/>
        <v>9.6617263427642683</v>
      </c>
      <c r="E76" s="52"/>
    </row>
    <row r="77" spans="1:5" x14ac:dyDescent="0.35">
      <c r="A77" s="52">
        <f t="shared" si="5"/>
        <v>74</v>
      </c>
      <c r="B77">
        <v>0.33039836348496526</v>
      </c>
      <c r="C77">
        <f t="shared" si="6"/>
        <v>8.353709968296096</v>
      </c>
      <c r="E77" s="52"/>
    </row>
    <row r="78" spans="1:5" x14ac:dyDescent="0.35">
      <c r="A78" s="52">
        <f t="shared" si="5"/>
        <v>75</v>
      </c>
      <c r="B78">
        <v>-0.3625948843394724</v>
      </c>
      <c r="C78">
        <f t="shared" si="6"/>
        <v>7.0127164687025392</v>
      </c>
      <c r="E78" s="52"/>
    </row>
    <row r="79" spans="1:5" x14ac:dyDescent="0.35">
      <c r="A79" s="52">
        <f t="shared" si="5"/>
        <v>76</v>
      </c>
      <c r="B79">
        <v>1.9818619329053877</v>
      </c>
      <c r="C79">
        <f t="shared" si="6"/>
        <v>8.9515775235567929</v>
      </c>
      <c r="E79" s="52"/>
    </row>
    <row r="80" spans="1:5" x14ac:dyDescent="0.35">
      <c r="A80" s="52">
        <f t="shared" si="5"/>
        <v>77</v>
      </c>
      <c r="B80">
        <v>-9.2253382281325264E-2</v>
      </c>
      <c r="C80">
        <f t="shared" si="6"/>
        <v>7.7871059802711384</v>
      </c>
      <c r="E80" s="52"/>
    </row>
    <row r="81" spans="1:5" x14ac:dyDescent="0.35">
      <c r="A81" s="52">
        <f t="shared" si="5"/>
        <v>78</v>
      </c>
      <c r="B81">
        <v>-1.2282384514060356</v>
      </c>
      <c r="C81">
        <f t="shared" si="6"/>
        <v>5.9914461883467407</v>
      </c>
      <c r="E81" s="52"/>
    </row>
    <row r="82" spans="1:5" x14ac:dyDescent="0.35">
      <c r="A82" s="52">
        <f t="shared" si="5"/>
        <v>79</v>
      </c>
      <c r="B82">
        <v>-0.5707665331198899</v>
      </c>
      <c r="C82">
        <f t="shared" si="6"/>
        <v>6.0471013441916917</v>
      </c>
      <c r="E82" s="52"/>
    </row>
    <row r="83" spans="1:5" x14ac:dyDescent="0.35">
      <c r="A83" s="52">
        <f t="shared" si="5"/>
        <v>80</v>
      </c>
      <c r="B83">
        <v>-0.62029379211375901</v>
      </c>
      <c r="C83">
        <f t="shared" si="6"/>
        <v>6.199402126728244</v>
      </c>
      <c r="E83" s="52"/>
    </row>
    <row r="84" spans="1:5" x14ac:dyDescent="0.35">
      <c r="A84" s="52">
        <f t="shared" si="5"/>
        <v>81</v>
      </c>
      <c r="B84">
        <v>0.89519537380514402</v>
      </c>
      <c r="C84">
        <f t="shared" si="6"/>
        <v>7.770246090077273</v>
      </c>
      <c r="E84" s="52"/>
    </row>
    <row r="85" spans="1:5" x14ac:dyDescent="0.35">
      <c r="A85" s="52">
        <f t="shared" si="5"/>
        <v>82</v>
      </c>
      <c r="B85">
        <v>-0.65328626333731554</v>
      </c>
      <c r="C85">
        <f t="shared" si="6"/>
        <v>6.8348719600207684</v>
      </c>
      <c r="E85" s="52"/>
    </row>
    <row r="86" spans="1:5" x14ac:dyDescent="0.35">
      <c r="A86" s="52">
        <f t="shared" si="5"/>
        <v>83</v>
      </c>
      <c r="B86">
        <v>0.37180332410663047</v>
      </c>
      <c r="C86">
        <f t="shared" si="6"/>
        <v>7.3287274991072104</v>
      </c>
      <c r="E86" s="52"/>
    </row>
    <row r="87" spans="1:5" x14ac:dyDescent="0.35">
      <c r="A87" s="52">
        <f t="shared" si="5"/>
        <v>84</v>
      </c>
      <c r="B87">
        <v>-0.42871860170373732</v>
      </c>
      <c r="C87">
        <f t="shared" si="6"/>
        <v>6.8192852019370696</v>
      </c>
      <c r="E87" s="52"/>
    </row>
    <row r="88" spans="1:5" x14ac:dyDescent="0.35">
      <c r="A88" s="52">
        <f t="shared" si="5"/>
        <v>85</v>
      </c>
      <c r="B88">
        <v>-0.56805227865243624</v>
      </c>
      <c r="C88">
        <f t="shared" si="6"/>
        <v>6.4267890522116708</v>
      </c>
      <c r="E88" s="52"/>
    </row>
    <row r="89" spans="1:5" x14ac:dyDescent="0.35">
      <c r="A89" s="52">
        <f t="shared" si="5"/>
        <v>86</v>
      </c>
      <c r="B89">
        <v>-1.33327947803549</v>
      </c>
      <c r="C89">
        <f t="shared" si="6"/>
        <v>5.5555076226554707</v>
      </c>
      <c r="E89" s="52"/>
    </row>
    <row r="90" spans="1:5" x14ac:dyDescent="0.35">
      <c r="A90" s="52">
        <f t="shared" si="5"/>
        <v>87</v>
      </c>
      <c r="B90">
        <v>-0.20051644492783491</v>
      </c>
      <c r="C90">
        <f t="shared" si="6"/>
        <v>6.3790076989131865</v>
      </c>
      <c r="E90" s="52"/>
    </row>
    <row r="91" spans="1:5" x14ac:dyDescent="0.35">
      <c r="A91" s="52">
        <f t="shared" si="5"/>
        <v>88</v>
      </c>
      <c r="B91">
        <v>-0.14918393591633625</v>
      </c>
      <c r="C91">
        <f t="shared" si="6"/>
        <v>6.8468683813833922</v>
      </c>
      <c r="E91" s="52"/>
    </row>
    <row r="92" spans="1:5" x14ac:dyDescent="0.35">
      <c r="A92" s="52">
        <f t="shared" si="5"/>
        <v>89</v>
      </c>
      <c r="B92">
        <v>-0.57106267895885487</v>
      </c>
      <c r="C92">
        <f t="shared" si="6"/>
        <v>6.5297839037031835</v>
      </c>
      <c r="E92" s="52"/>
    </row>
    <row r="93" spans="1:5" x14ac:dyDescent="0.35">
      <c r="A93" s="52">
        <f t="shared" si="5"/>
        <v>90</v>
      </c>
      <c r="B93">
        <v>4.4994003861240688E-2</v>
      </c>
      <c r="C93">
        <f t="shared" si="6"/>
        <v>6.9722207272041752</v>
      </c>
      <c r="E93" s="52"/>
    </row>
    <row r="94" spans="1:5" x14ac:dyDescent="0.35">
      <c r="A94" s="52">
        <f t="shared" si="5"/>
        <v>91</v>
      </c>
      <c r="B94">
        <v>0.78508073324975647</v>
      </c>
      <c r="C94">
        <f t="shared" si="6"/>
        <v>7.9209906337611091</v>
      </c>
      <c r="E94" s="52"/>
    </row>
    <row r="95" spans="1:5" x14ac:dyDescent="0.35">
      <c r="A95" s="52">
        <f t="shared" si="5"/>
        <v>92</v>
      </c>
      <c r="B95">
        <v>0.27706110462678102</v>
      </c>
      <c r="C95">
        <f t="shared" si="6"/>
        <v>7.7482352854108072</v>
      </c>
      <c r="E95" s="52"/>
    </row>
    <row r="96" spans="1:5" x14ac:dyDescent="0.35">
      <c r="A96" s="52">
        <f t="shared" si="5"/>
        <v>93</v>
      </c>
      <c r="B96">
        <v>-0.40520581444015141</v>
      </c>
      <c r="C96">
        <f t="shared" si="6"/>
        <v>6.9019892363480606</v>
      </c>
      <c r="E96" s="52"/>
    </row>
    <row r="97" spans="1:5" x14ac:dyDescent="0.35">
      <c r="A97" s="52">
        <f t="shared" si="5"/>
        <v>94</v>
      </c>
      <c r="B97">
        <v>-1.7421983579903864</v>
      </c>
      <c r="C97">
        <f t="shared" si="6"/>
        <v>5.2437738080077576</v>
      </c>
      <c r="E97" s="52"/>
    </row>
    <row r="98" spans="1:5" x14ac:dyDescent="0.35">
      <c r="A98" s="52">
        <f t="shared" si="5"/>
        <v>95</v>
      </c>
      <c r="B98">
        <v>-0.41879251439262827</v>
      </c>
      <c r="C98">
        <f t="shared" si="6"/>
        <v>5.9885180851756683</v>
      </c>
      <c r="E98" s="52"/>
    </row>
    <row r="99" spans="1:5" x14ac:dyDescent="0.35">
      <c r="A99" s="52">
        <f t="shared" si="5"/>
        <v>96</v>
      </c>
      <c r="B99">
        <v>-0.94742147674947097</v>
      </c>
      <c r="C99">
        <f t="shared" si="6"/>
        <v>5.9236083765200203</v>
      </c>
      <c r="E99" s="52"/>
    </row>
    <row r="100" spans="1:5" x14ac:dyDescent="0.35">
      <c r="A100" s="52">
        <f t="shared" si="5"/>
        <v>97</v>
      </c>
      <c r="B100">
        <v>0.74620903309226361</v>
      </c>
      <c r="C100">
        <f t="shared" si="6"/>
        <v>7.5168005751827058</v>
      </c>
      <c r="E100" s="52"/>
    </row>
    <row r="101" spans="1:5" x14ac:dyDescent="0.35">
      <c r="A101" s="52">
        <f t="shared" si="5"/>
        <v>98</v>
      </c>
      <c r="B101">
        <v>0.44767087391513383</v>
      </c>
      <c r="C101">
        <f t="shared" si="6"/>
        <v>7.8620302663362134</v>
      </c>
      <c r="E101" s="52"/>
    </row>
    <row r="102" spans="1:5" x14ac:dyDescent="0.35">
      <c r="A102" s="52">
        <f t="shared" si="5"/>
        <v>99</v>
      </c>
      <c r="B102">
        <v>-0.65854682304090495</v>
      </c>
      <c r="C102">
        <f t="shared" si="6"/>
        <v>6.7345852259753105</v>
      </c>
      <c r="E102" s="52"/>
    </row>
    <row r="103" spans="1:5" x14ac:dyDescent="0.35">
      <c r="A103" s="52">
        <f t="shared" si="5"/>
        <v>100</v>
      </c>
      <c r="B103" s="4">
        <v>1.5582131382999855</v>
      </c>
      <c r="C103" s="4">
        <f t="shared" si="6"/>
        <v>8.4658442020564895</v>
      </c>
      <c r="E103" s="52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71"/>
  <dimension ref="A1:G103"/>
  <sheetViews>
    <sheetView workbookViewId="0"/>
  </sheetViews>
  <sheetFormatPr defaultRowHeight="14.5" x14ac:dyDescent="0.35"/>
  <cols>
    <col min="1" max="1" width="5.26953125" style="65" customWidth="1"/>
    <col min="6" max="7" width="10.1796875" customWidth="1"/>
  </cols>
  <sheetData>
    <row r="1" spans="1:7" x14ac:dyDescent="0.35">
      <c r="A1" s="61" t="s">
        <v>201</v>
      </c>
    </row>
    <row r="3" spans="1:7" x14ac:dyDescent="0.35">
      <c r="B3" s="66" t="s">
        <v>107</v>
      </c>
      <c r="C3" s="66" t="s">
        <v>110</v>
      </c>
      <c r="E3" s="66" t="s">
        <v>78</v>
      </c>
      <c r="F3" s="66" t="s">
        <v>119</v>
      </c>
      <c r="G3" s="66" t="s">
        <v>195</v>
      </c>
    </row>
    <row r="4" spans="1:7" x14ac:dyDescent="0.35">
      <c r="A4" s="65">
        <v>1</v>
      </c>
      <c r="B4">
        <v>-0.47324253014025192</v>
      </c>
      <c r="C4">
        <f>5+0.4*0-0.1*0+B4</f>
        <v>4.5267574698597484</v>
      </c>
      <c r="E4" s="65"/>
    </row>
    <row r="5" spans="1:7" x14ac:dyDescent="0.35">
      <c r="A5" s="65">
        <f>A4+1</f>
        <v>2</v>
      </c>
      <c r="B5">
        <v>8.2667789568597605E-2</v>
      </c>
      <c r="C5">
        <f>5+0.4*C4-0.1*0+B5</f>
        <v>6.893370777512497</v>
      </c>
      <c r="E5" s="65"/>
    </row>
    <row r="6" spans="1:7" x14ac:dyDescent="0.35">
      <c r="A6" s="65">
        <f t="shared" ref="A6:A69" si="0">A5+1</f>
        <v>3</v>
      </c>
      <c r="B6">
        <v>1.1207225535485557</v>
      </c>
      <c r="C6">
        <f>5+0.4*C5-0.1*C4+B6</f>
        <v>8.4253951175675805</v>
      </c>
      <c r="E6" s="65">
        <v>1</v>
      </c>
      <c r="F6" s="26" t="e" cm="1">
        <f t="array" aca="1" ref="F6" ca="1">PACF($C$4:$C$103,E6)</f>
        <v>#NAME?</v>
      </c>
      <c r="G6" s="58">
        <f>0.4^E6</f>
        <v>0.4</v>
      </c>
    </row>
    <row r="7" spans="1:7" x14ac:dyDescent="0.35">
      <c r="A7" s="65">
        <f t="shared" si="0"/>
        <v>4</v>
      </c>
      <c r="B7">
        <v>-0.68131888228678594</v>
      </c>
      <c r="C7">
        <f t="shared" ref="C7:C70" si="1">5+0.4*C6-0.1*C5+B7</f>
        <v>6.999502086988997</v>
      </c>
      <c r="E7" s="65">
        <f>E6+1</f>
        <v>2</v>
      </c>
      <c r="F7" s="29" t="e" cm="1">
        <f t="array" aca="1" ref="F7" ca="1">PACF($C$4:$C$103,E7)</f>
        <v>#NAME?</v>
      </c>
      <c r="G7" s="30">
        <v>-0.1</v>
      </c>
    </row>
    <row r="8" spans="1:7" x14ac:dyDescent="0.35">
      <c r="A8" s="65">
        <f t="shared" si="0"/>
        <v>5</v>
      </c>
      <c r="B8">
        <v>-0.76966716140875779</v>
      </c>
      <c r="C8">
        <f t="shared" si="1"/>
        <v>6.1875941616300834</v>
      </c>
      <c r="E8" s="65">
        <f t="shared" ref="E8:E20" si="2">E7+1</f>
        <v>3</v>
      </c>
      <c r="F8" s="29" t="e" cm="1">
        <f t="array" aca="1" ref="F8" ca="1">PACF($C$4:$C$103,E8)</f>
        <v>#NAME?</v>
      </c>
      <c r="G8" s="30">
        <v>0</v>
      </c>
    </row>
    <row r="9" spans="1:7" x14ac:dyDescent="0.35">
      <c r="A9" s="65">
        <f t="shared" si="0"/>
        <v>6</v>
      </c>
      <c r="B9">
        <v>-0.96211098507331017</v>
      </c>
      <c r="C9">
        <f t="shared" si="1"/>
        <v>5.8129764708798239</v>
      </c>
      <c r="E9" s="65">
        <f t="shared" si="2"/>
        <v>4</v>
      </c>
      <c r="F9" s="29" t="e" cm="1">
        <f t="array" aca="1" ref="F9" ca="1">PACF($C$4:$C$103,E9)</f>
        <v>#NAME?</v>
      </c>
      <c r="G9" s="30">
        <v>0</v>
      </c>
    </row>
    <row r="10" spans="1:7" x14ac:dyDescent="0.35">
      <c r="A10" s="65">
        <f t="shared" si="0"/>
        <v>7</v>
      </c>
      <c r="B10">
        <v>0.41364151532991683</v>
      </c>
      <c r="C10">
        <f t="shared" si="1"/>
        <v>7.1200726875188378</v>
      </c>
      <c r="E10" s="65">
        <f t="shared" si="2"/>
        <v>5</v>
      </c>
      <c r="F10" s="29" t="e" cm="1">
        <f t="array" aca="1" ref="F10" ca="1">PACF($C$4:$C$103,E10)</f>
        <v>#NAME?</v>
      </c>
      <c r="G10" s="30">
        <v>0</v>
      </c>
    </row>
    <row r="11" spans="1:7" x14ac:dyDescent="0.35">
      <c r="A11" s="65">
        <f t="shared" si="0"/>
        <v>8</v>
      </c>
      <c r="B11">
        <v>1.2351835053545517</v>
      </c>
      <c r="C11">
        <f t="shared" si="1"/>
        <v>8.5019149332741044</v>
      </c>
      <c r="E11" s="65">
        <f t="shared" si="2"/>
        <v>6</v>
      </c>
      <c r="F11" s="29" t="e" cm="1">
        <f t="array" aca="1" ref="F11" ca="1">PACF($C$4:$C$103,E11)</f>
        <v>#NAME?</v>
      </c>
      <c r="G11" s="30">
        <v>0</v>
      </c>
    </row>
    <row r="12" spans="1:7" x14ac:dyDescent="0.35">
      <c r="A12" s="65">
        <f t="shared" si="0"/>
        <v>9</v>
      </c>
      <c r="B12">
        <v>-0.38753659937569779</v>
      </c>
      <c r="C12">
        <f t="shared" si="1"/>
        <v>7.3012221051820614</v>
      </c>
      <c r="E12" s="65">
        <f t="shared" si="2"/>
        <v>7</v>
      </c>
      <c r="F12" s="29" t="e" cm="1">
        <f t="array" aca="1" ref="F12" ca="1">PACF($C$4:$C$103,E12)</f>
        <v>#NAME?</v>
      </c>
      <c r="G12" s="30">
        <v>0</v>
      </c>
    </row>
    <row r="13" spans="1:7" x14ac:dyDescent="0.35">
      <c r="A13" s="65">
        <f t="shared" si="0"/>
        <v>10</v>
      </c>
      <c r="B13">
        <v>-1.0314205193621429</v>
      </c>
      <c r="C13">
        <f t="shared" si="1"/>
        <v>6.0388768293832715</v>
      </c>
      <c r="E13" s="65">
        <f t="shared" si="2"/>
        <v>8</v>
      </c>
      <c r="F13" s="29" t="e" cm="1">
        <f t="array" aca="1" ref="F13" ca="1">PACF($C$4:$C$103,E13)</f>
        <v>#NAME?</v>
      </c>
      <c r="G13" s="30">
        <v>0</v>
      </c>
    </row>
    <row r="14" spans="1:7" x14ac:dyDescent="0.35">
      <c r="A14" s="65">
        <f t="shared" si="0"/>
        <v>11</v>
      </c>
      <c r="B14">
        <v>-1.9393388320973128</v>
      </c>
      <c r="C14">
        <f t="shared" si="1"/>
        <v>4.7460896891377891</v>
      </c>
      <c r="E14" s="65">
        <f t="shared" si="2"/>
        <v>9</v>
      </c>
      <c r="F14" s="29" t="e" cm="1">
        <f t="array" aca="1" ref="F14" ca="1">PACF($C$4:$C$103,E14)</f>
        <v>#NAME?</v>
      </c>
      <c r="G14" s="30">
        <v>0</v>
      </c>
    </row>
    <row r="15" spans="1:7" x14ac:dyDescent="0.35">
      <c r="A15" s="65">
        <f t="shared" si="0"/>
        <v>12</v>
      </c>
      <c r="B15">
        <v>0.35912852564205311</v>
      </c>
      <c r="C15">
        <f t="shared" si="1"/>
        <v>6.6536767183588417</v>
      </c>
      <c r="E15" s="65">
        <f t="shared" si="2"/>
        <v>10</v>
      </c>
      <c r="F15" s="29" t="e" cm="1">
        <f t="array" aca="1" ref="F15" ca="1">PACF($C$4:$C$103,E15)</f>
        <v>#NAME?</v>
      </c>
      <c r="G15" s="30">
        <v>0</v>
      </c>
    </row>
    <row r="16" spans="1:7" x14ac:dyDescent="0.35">
      <c r="A16" s="65">
        <f t="shared" si="0"/>
        <v>13</v>
      </c>
      <c r="B16">
        <v>1.0071142010572023</v>
      </c>
      <c r="C16">
        <f t="shared" si="1"/>
        <v>8.1939759194869595</v>
      </c>
      <c r="E16" s="65">
        <f t="shared" si="2"/>
        <v>11</v>
      </c>
      <c r="F16" s="29" t="e" cm="1">
        <f t="array" aca="1" ref="F16" ca="1">PACF($C$4:$C$103,E16)</f>
        <v>#NAME?</v>
      </c>
      <c r="G16" s="30">
        <v>0</v>
      </c>
    </row>
    <row r="17" spans="1:7" x14ac:dyDescent="0.35">
      <c r="A17" s="65">
        <f t="shared" si="0"/>
        <v>14</v>
      </c>
      <c r="B17">
        <v>-5.1959162489554053E-2</v>
      </c>
      <c r="C17">
        <f t="shared" si="1"/>
        <v>7.5602635334693442</v>
      </c>
      <c r="E17" s="65">
        <f t="shared" si="2"/>
        <v>12</v>
      </c>
      <c r="F17" s="29" t="e" cm="1">
        <f t="array" aca="1" ref="F17" ca="1">PACF($C$4:$C$103,E17)</f>
        <v>#NAME?</v>
      </c>
      <c r="G17" s="30">
        <v>0</v>
      </c>
    </row>
    <row r="18" spans="1:7" x14ac:dyDescent="0.35">
      <c r="A18" s="65">
        <f t="shared" si="0"/>
        <v>15</v>
      </c>
      <c r="B18">
        <v>-0.41025652430283599</v>
      </c>
      <c r="C18">
        <f t="shared" si="1"/>
        <v>6.794451297136205</v>
      </c>
      <c r="E18" s="65">
        <f t="shared" si="2"/>
        <v>13</v>
      </c>
      <c r="F18" s="29" t="e" cm="1">
        <f t="array" aca="1" ref="F18" ca="1">PACF($C$4:$C$103,E18)</f>
        <v>#NAME?</v>
      </c>
      <c r="G18" s="30">
        <v>0</v>
      </c>
    </row>
    <row r="19" spans="1:7" x14ac:dyDescent="0.35">
      <c r="A19" s="65">
        <f t="shared" si="0"/>
        <v>16</v>
      </c>
      <c r="B19">
        <v>-2.2372876303491593</v>
      </c>
      <c r="C19">
        <f t="shared" si="1"/>
        <v>4.7244665351583883</v>
      </c>
      <c r="E19" s="65">
        <f t="shared" si="2"/>
        <v>14</v>
      </c>
      <c r="F19" s="29" t="e" cm="1">
        <f t="array" aca="1" ref="F19" ca="1">PACF($C$4:$C$103,E19)</f>
        <v>#NAME?</v>
      </c>
      <c r="G19" s="30">
        <v>0</v>
      </c>
    </row>
    <row r="20" spans="1:7" x14ac:dyDescent="0.35">
      <c r="A20" s="65">
        <f t="shared" si="0"/>
        <v>17</v>
      </c>
      <c r="B20">
        <v>-0.18318635781115461</v>
      </c>
      <c r="C20">
        <f t="shared" si="1"/>
        <v>6.0271551265385801</v>
      </c>
      <c r="E20" s="65">
        <f t="shared" si="2"/>
        <v>15</v>
      </c>
      <c r="F20" s="31" t="e" cm="1">
        <f t="array" aca="1" ref="F20" ca="1">PACF($C$4:$C$103,E20)</f>
        <v>#NAME?</v>
      </c>
      <c r="G20" s="32">
        <v>0</v>
      </c>
    </row>
    <row r="21" spans="1:7" x14ac:dyDescent="0.35">
      <c r="A21" s="65">
        <f t="shared" si="0"/>
        <v>18</v>
      </c>
      <c r="B21">
        <v>0.18749462876249154</v>
      </c>
      <c r="C21">
        <f t="shared" si="1"/>
        <v>7.1259100258620851</v>
      </c>
    </row>
    <row r="22" spans="1:7" x14ac:dyDescent="0.35">
      <c r="A22" s="65">
        <f t="shared" si="0"/>
        <v>19</v>
      </c>
      <c r="B22">
        <v>-5.6400668198823029E-2</v>
      </c>
      <c r="C22">
        <f t="shared" si="1"/>
        <v>7.1912478294921529</v>
      </c>
    </row>
    <row r="23" spans="1:7" x14ac:dyDescent="0.35">
      <c r="A23" s="65">
        <f t="shared" si="0"/>
        <v>20</v>
      </c>
      <c r="B23">
        <v>-0.48121649086566348</v>
      </c>
      <c r="C23">
        <f t="shared" si="1"/>
        <v>6.6826916383449895</v>
      </c>
    </row>
    <row r="24" spans="1:7" x14ac:dyDescent="0.35">
      <c r="A24" s="65">
        <f t="shared" si="0"/>
        <v>21</v>
      </c>
      <c r="B24">
        <v>-0.38179474938688318</v>
      </c>
      <c r="C24">
        <f t="shared" si="1"/>
        <v>6.5721571230018965</v>
      </c>
    </row>
    <row r="25" spans="1:7" x14ac:dyDescent="0.35">
      <c r="A25" s="65">
        <f t="shared" si="0"/>
        <v>22</v>
      </c>
      <c r="B25">
        <v>-0.20785477186378326</v>
      </c>
      <c r="C25">
        <f t="shared" si="1"/>
        <v>6.7527389135024771</v>
      </c>
    </row>
    <row r="26" spans="1:7" x14ac:dyDescent="0.35">
      <c r="A26" s="65">
        <f t="shared" si="0"/>
        <v>23</v>
      </c>
      <c r="B26">
        <v>-1.3964797995563232</v>
      </c>
      <c r="C26">
        <f t="shared" si="1"/>
        <v>5.6474000535444784</v>
      </c>
    </row>
    <row r="27" spans="1:7" x14ac:dyDescent="0.35">
      <c r="A27" s="65">
        <f t="shared" si="0"/>
        <v>24</v>
      </c>
      <c r="B27">
        <v>-0.10631712587124004</v>
      </c>
      <c r="C27">
        <f t="shared" si="1"/>
        <v>6.4773690041963041</v>
      </c>
    </row>
    <row r="28" spans="1:7" x14ac:dyDescent="0.35">
      <c r="A28" s="65">
        <f t="shared" si="0"/>
        <v>25</v>
      </c>
      <c r="B28">
        <v>0.26416614209328265</v>
      </c>
      <c r="C28">
        <f t="shared" si="1"/>
        <v>7.2903737384173564</v>
      </c>
    </row>
    <row r="29" spans="1:7" x14ac:dyDescent="0.35">
      <c r="A29" s="65">
        <f t="shared" si="0"/>
        <v>26</v>
      </c>
      <c r="B29">
        <v>0.56209410321803166</v>
      </c>
      <c r="C29">
        <f t="shared" si="1"/>
        <v>7.8305066981653439</v>
      </c>
    </row>
    <row r="30" spans="1:7" x14ac:dyDescent="0.35">
      <c r="A30" s="65">
        <f t="shared" si="0"/>
        <v>27</v>
      </c>
      <c r="B30">
        <v>0.3495176527890641</v>
      </c>
      <c r="C30">
        <f t="shared" si="1"/>
        <v>7.752682958213466</v>
      </c>
    </row>
    <row r="31" spans="1:7" x14ac:dyDescent="0.35">
      <c r="A31" s="65">
        <f t="shared" si="0"/>
        <v>28</v>
      </c>
      <c r="B31">
        <v>-1.4196432813369184</v>
      </c>
      <c r="C31">
        <f t="shared" si="1"/>
        <v>5.8983792321319335</v>
      </c>
    </row>
    <row r="32" spans="1:7" x14ac:dyDescent="0.35">
      <c r="A32" s="65">
        <f t="shared" si="0"/>
        <v>29</v>
      </c>
      <c r="B32">
        <v>0.41292682554218701</v>
      </c>
      <c r="C32">
        <f t="shared" si="1"/>
        <v>6.9970102225736142</v>
      </c>
    </row>
    <row r="33" spans="1:3" x14ac:dyDescent="0.35">
      <c r="A33" s="65">
        <f t="shared" si="0"/>
        <v>30</v>
      </c>
      <c r="B33">
        <v>0.35807000330701766</v>
      </c>
      <c r="C33">
        <f t="shared" si="1"/>
        <v>7.5670361691232699</v>
      </c>
    </row>
    <row r="34" spans="1:3" x14ac:dyDescent="0.35">
      <c r="A34" s="65">
        <f t="shared" si="0"/>
        <v>31</v>
      </c>
      <c r="B34">
        <v>-1.3945310478710269</v>
      </c>
      <c r="C34">
        <f t="shared" si="1"/>
        <v>5.9325823975209193</v>
      </c>
    </row>
    <row r="35" spans="1:3" x14ac:dyDescent="0.35">
      <c r="A35" s="65">
        <f t="shared" si="0"/>
        <v>32</v>
      </c>
      <c r="B35">
        <v>-0.34465535758600896</v>
      </c>
      <c r="C35">
        <f t="shared" si="1"/>
        <v>6.2716739845100316</v>
      </c>
    </row>
    <row r="36" spans="1:3" x14ac:dyDescent="0.35">
      <c r="A36" s="65">
        <f t="shared" si="0"/>
        <v>33</v>
      </c>
      <c r="B36">
        <v>0.6773260419350895</v>
      </c>
      <c r="C36">
        <f t="shared" si="1"/>
        <v>7.5927373959870117</v>
      </c>
    </row>
    <row r="37" spans="1:3" x14ac:dyDescent="0.35">
      <c r="A37" s="65">
        <f t="shared" si="0"/>
        <v>34</v>
      </c>
      <c r="B37">
        <v>-0.33272164613616745</v>
      </c>
      <c r="C37">
        <f t="shared" si="1"/>
        <v>7.0772059138076351</v>
      </c>
    </row>
    <row r="38" spans="1:3" x14ac:dyDescent="0.35">
      <c r="A38" s="65">
        <f t="shared" si="0"/>
        <v>35</v>
      </c>
      <c r="B38">
        <v>0.16193253442993719</v>
      </c>
      <c r="C38">
        <f t="shared" si="1"/>
        <v>7.2335411603542905</v>
      </c>
    </row>
    <row r="39" spans="1:3" x14ac:dyDescent="0.35">
      <c r="A39" s="65">
        <f t="shared" si="0"/>
        <v>36</v>
      </c>
      <c r="B39">
        <v>2.0958988923338451</v>
      </c>
      <c r="C39">
        <f t="shared" si="1"/>
        <v>9.2815947650947983</v>
      </c>
    </row>
    <row r="40" spans="1:3" x14ac:dyDescent="0.35">
      <c r="A40" s="65">
        <f t="shared" si="0"/>
        <v>37</v>
      </c>
      <c r="B40">
        <v>0.13687130286193497</v>
      </c>
      <c r="C40">
        <f t="shared" si="1"/>
        <v>8.1261550928644262</v>
      </c>
    </row>
    <row r="41" spans="1:3" x14ac:dyDescent="0.35">
      <c r="A41" s="65">
        <f t="shared" si="0"/>
        <v>38</v>
      </c>
      <c r="B41">
        <v>0.15164038123128815</v>
      </c>
      <c r="C41">
        <f t="shared" si="1"/>
        <v>7.4739429418675778</v>
      </c>
    </row>
    <row r="42" spans="1:3" x14ac:dyDescent="0.35">
      <c r="A42" s="65">
        <f t="shared" si="0"/>
        <v>39</v>
      </c>
      <c r="B42">
        <v>-1.3286774610778544</v>
      </c>
      <c r="C42">
        <f t="shared" si="1"/>
        <v>5.8482842063827345</v>
      </c>
    </row>
    <row r="43" spans="1:3" x14ac:dyDescent="0.35">
      <c r="A43" s="65">
        <f t="shared" si="0"/>
        <v>40</v>
      </c>
      <c r="B43">
        <v>-1.6831783661549446</v>
      </c>
      <c r="C43">
        <f t="shared" si="1"/>
        <v>4.9087410222113919</v>
      </c>
    </row>
    <row r="44" spans="1:3" x14ac:dyDescent="0.35">
      <c r="A44" s="65">
        <f t="shared" si="0"/>
        <v>41</v>
      </c>
      <c r="B44">
        <v>2.1773330001221298</v>
      </c>
      <c r="C44">
        <f t="shared" si="1"/>
        <v>8.5560009883684138</v>
      </c>
    </row>
    <row r="45" spans="1:3" x14ac:dyDescent="0.35">
      <c r="A45" s="65">
        <f t="shared" si="0"/>
        <v>42</v>
      </c>
      <c r="B45">
        <v>0.84300462021271161</v>
      </c>
      <c r="C45">
        <f t="shared" si="1"/>
        <v>8.7745309133389373</v>
      </c>
    </row>
    <row r="46" spans="1:3" x14ac:dyDescent="0.35">
      <c r="A46" s="65">
        <f t="shared" si="0"/>
        <v>43</v>
      </c>
      <c r="B46">
        <v>-0.11653470961109491</v>
      </c>
      <c r="C46">
        <f t="shared" si="1"/>
        <v>7.5376775568876386</v>
      </c>
    </row>
    <row r="47" spans="1:3" x14ac:dyDescent="0.35">
      <c r="A47" s="65">
        <f t="shared" si="0"/>
        <v>44</v>
      </c>
      <c r="B47">
        <v>1.1335178378349218</v>
      </c>
      <c r="C47">
        <f t="shared" si="1"/>
        <v>8.2711357692560838</v>
      </c>
    </row>
    <row r="48" spans="1:3" x14ac:dyDescent="0.35">
      <c r="A48" s="65">
        <f t="shared" si="0"/>
        <v>45</v>
      </c>
      <c r="B48">
        <v>2.0614058880224517</v>
      </c>
      <c r="C48">
        <f t="shared" si="1"/>
        <v>9.6160924400361214</v>
      </c>
    </row>
    <row r="49" spans="1:3" x14ac:dyDescent="0.35">
      <c r="A49" s="65">
        <f t="shared" si="0"/>
        <v>46</v>
      </c>
      <c r="B49">
        <v>1.1006258259814818</v>
      </c>
      <c r="C49">
        <f t="shared" si="1"/>
        <v>9.1199492250703216</v>
      </c>
    </row>
    <row r="50" spans="1:3" x14ac:dyDescent="0.35">
      <c r="A50" s="65">
        <f t="shared" si="0"/>
        <v>47</v>
      </c>
      <c r="B50">
        <v>-0.11243048824424987</v>
      </c>
      <c r="C50">
        <f t="shared" si="1"/>
        <v>7.573939957780266</v>
      </c>
    </row>
    <row r="51" spans="1:3" x14ac:dyDescent="0.35">
      <c r="A51" s="65">
        <f t="shared" si="0"/>
        <v>48</v>
      </c>
      <c r="B51">
        <v>0.89967999134606913</v>
      </c>
      <c r="C51">
        <f t="shared" si="1"/>
        <v>8.0172610519511434</v>
      </c>
    </row>
    <row r="52" spans="1:3" x14ac:dyDescent="0.35">
      <c r="A52" s="65">
        <f t="shared" si="0"/>
        <v>49</v>
      </c>
      <c r="B52">
        <v>-0.73154188371208884</v>
      </c>
      <c r="C52">
        <f t="shared" si="1"/>
        <v>6.7179685412903414</v>
      </c>
    </row>
    <row r="53" spans="1:3" x14ac:dyDescent="0.35">
      <c r="A53" s="65">
        <f t="shared" si="0"/>
        <v>50</v>
      </c>
      <c r="B53">
        <v>0.74598633697981298</v>
      </c>
      <c r="C53">
        <f t="shared" si="1"/>
        <v>7.6314476483008358</v>
      </c>
    </row>
    <row r="54" spans="1:3" x14ac:dyDescent="0.35">
      <c r="A54" s="65">
        <f t="shared" si="0"/>
        <v>51</v>
      </c>
      <c r="B54">
        <v>-0.42642490989986637</v>
      </c>
      <c r="C54">
        <f t="shared" si="1"/>
        <v>6.9543572952914339</v>
      </c>
    </row>
    <row r="55" spans="1:3" x14ac:dyDescent="0.35">
      <c r="A55" s="65">
        <f t="shared" si="0"/>
        <v>52</v>
      </c>
      <c r="B55">
        <v>-0.41011257152708913</v>
      </c>
      <c r="C55">
        <f t="shared" si="1"/>
        <v>6.6084855817594015</v>
      </c>
    </row>
    <row r="56" spans="1:3" x14ac:dyDescent="0.35">
      <c r="A56" s="65">
        <f t="shared" si="0"/>
        <v>53</v>
      </c>
      <c r="B56">
        <v>-0.4978354226090263</v>
      </c>
      <c r="C56">
        <f t="shared" si="1"/>
        <v>6.4501230805655911</v>
      </c>
    </row>
    <row r="57" spans="1:3" x14ac:dyDescent="0.35">
      <c r="A57" s="65">
        <f t="shared" si="0"/>
        <v>54</v>
      </c>
      <c r="B57">
        <v>0.76871122871467434</v>
      </c>
      <c r="C57">
        <f t="shared" si="1"/>
        <v>7.6879119027649709</v>
      </c>
    </row>
    <row r="58" spans="1:3" x14ac:dyDescent="0.35">
      <c r="A58" s="65">
        <f t="shared" si="0"/>
        <v>55</v>
      </c>
      <c r="B58">
        <v>-1.6365342070552809</v>
      </c>
      <c r="C58">
        <f t="shared" si="1"/>
        <v>5.7936182459941481</v>
      </c>
    </row>
    <row r="59" spans="1:3" x14ac:dyDescent="0.35">
      <c r="A59" s="65">
        <f t="shared" si="0"/>
        <v>56</v>
      </c>
      <c r="B59">
        <v>1.1312536481777808E-2</v>
      </c>
      <c r="C59">
        <f t="shared" si="1"/>
        <v>6.5599686446029404</v>
      </c>
    </row>
    <row r="60" spans="1:3" x14ac:dyDescent="0.35">
      <c r="A60" s="65">
        <f t="shared" si="0"/>
        <v>57</v>
      </c>
      <c r="B60">
        <v>1.0056243592004326</v>
      </c>
      <c r="C60">
        <f t="shared" si="1"/>
        <v>8.0502499924421933</v>
      </c>
    </row>
    <row r="61" spans="1:3" x14ac:dyDescent="0.35">
      <c r="A61" s="65">
        <f t="shared" si="0"/>
        <v>58</v>
      </c>
      <c r="B61">
        <v>-1.448038903993093</v>
      </c>
      <c r="C61">
        <f t="shared" si="1"/>
        <v>6.1160642285234905</v>
      </c>
    </row>
    <row r="62" spans="1:3" x14ac:dyDescent="0.35">
      <c r="A62" s="65">
        <f t="shared" si="0"/>
        <v>59</v>
      </c>
      <c r="B62">
        <v>7.1484695132023712E-2</v>
      </c>
      <c r="C62">
        <f t="shared" si="1"/>
        <v>6.7128853872972014</v>
      </c>
    </row>
    <row r="63" spans="1:3" x14ac:dyDescent="0.35">
      <c r="A63" s="65">
        <f t="shared" si="0"/>
        <v>60</v>
      </c>
      <c r="B63">
        <v>-0.1007785743604695</v>
      </c>
      <c r="C63">
        <f t="shared" si="1"/>
        <v>6.972769157706062</v>
      </c>
    </row>
    <row r="64" spans="1:3" x14ac:dyDescent="0.35">
      <c r="A64" s="65">
        <f t="shared" si="0"/>
        <v>61</v>
      </c>
      <c r="B64">
        <v>-1.725637170375401</v>
      </c>
      <c r="C64">
        <f t="shared" si="1"/>
        <v>5.3921819539773042</v>
      </c>
    </row>
    <row r="65" spans="1:3" x14ac:dyDescent="0.35">
      <c r="A65" s="65">
        <f t="shared" si="0"/>
        <v>62</v>
      </c>
      <c r="B65">
        <v>-1.179892282500298</v>
      </c>
      <c r="C65">
        <f t="shared" si="1"/>
        <v>5.2797035833200177</v>
      </c>
    </row>
    <row r="66" spans="1:3" x14ac:dyDescent="0.35">
      <c r="A66" s="65">
        <f t="shared" si="0"/>
        <v>63</v>
      </c>
      <c r="B66">
        <v>0.89714189254889554</v>
      </c>
      <c r="C66">
        <f t="shared" si="1"/>
        <v>7.4698051304791724</v>
      </c>
    </row>
    <row r="67" spans="1:3" x14ac:dyDescent="0.35">
      <c r="A67" s="65">
        <f t="shared" si="0"/>
        <v>64</v>
      </c>
      <c r="B67">
        <v>-2.1053252206398696</v>
      </c>
      <c r="C67">
        <f t="shared" si="1"/>
        <v>5.3546264732197972</v>
      </c>
    </row>
    <row r="68" spans="1:3" x14ac:dyDescent="0.35">
      <c r="A68" s="65">
        <f t="shared" si="0"/>
        <v>65</v>
      </c>
      <c r="B68">
        <v>0.99139292864806638</v>
      </c>
      <c r="C68">
        <f t="shared" si="1"/>
        <v>7.3862630048880682</v>
      </c>
    </row>
    <row r="69" spans="1:3" x14ac:dyDescent="0.35">
      <c r="A69" s="65">
        <f t="shared" si="0"/>
        <v>66</v>
      </c>
      <c r="B69">
        <v>1.4979503123490683</v>
      </c>
      <c r="C69">
        <f t="shared" si="1"/>
        <v>8.9169928669823157</v>
      </c>
    </row>
    <row r="70" spans="1:3" x14ac:dyDescent="0.35">
      <c r="A70" s="65">
        <f t="shared" ref="A70:A103" si="3">A69+1</f>
        <v>67</v>
      </c>
      <c r="B70">
        <v>0.20183810054931065</v>
      </c>
      <c r="C70">
        <f t="shared" si="1"/>
        <v>8.0300089468534299</v>
      </c>
    </row>
    <row r="71" spans="1:3" x14ac:dyDescent="0.35">
      <c r="A71" s="65">
        <f t="shared" si="3"/>
        <v>68</v>
      </c>
      <c r="B71">
        <v>0.89484002117632533</v>
      </c>
      <c r="C71">
        <f t="shared" ref="C71:C103" si="4">5+0.4*C70-0.1*C69+B71</f>
        <v>8.2151443132194668</v>
      </c>
    </row>
    <row r="72" spans="1:3" x14ac:dyDescent="0.35">
      <c r="A72" s="65">
        <f t="shared" si="3"/>
        <v>69</v>
      </c>
      <c r="B72">
        <v>-1.0009082850046129</v>
      </c>
      <c r="C72">
        <f t="shared" si="4"/>
        <v>6.4821485455978305</v>
      </c>
    </row>
    <row r="73" spans="1:3" x14ac:dyDescent="0.35">
      <c r="A73" s="65">
        <f t="shared" si="3"/>
        <v>70</v>
      </c>
      <c r="B73">
        <v>1.8556544847684977</v>
      </c>
      <c r="C73">
        <f t="shared" si="4"/>
        <v>8.6269994716856839</v>
      </c>
    </row>
    <row r="74" spans="1:3" x14ac:dyDescent="0.35">
      <c r="A74" s="65">
        <f t="shared" si="3"/>
        <v>71</v>
      </c>
      <c r="B74">
        <v>1.4914582596580135</v>
      </c>
      <c r="C74">
        <f t="shared" si="4"/>
        <v>9.2940431937725041</v>
      </c>
    </row>
    <row r="75" spans="1:3" x14ac:dyDescent="0.35">
      <c r="A75" s="65">
        <f t="shared" si="3"/>
        <v>72</v>
      </c>
      <c r="B75">
        <v>0.55887199260532749</v>
      </c>
      <c r="C75">
        <f t="shared" si="4"/>
        <v>8.4137893229457603</v>
      </c>
    </row>
    <row r="76" spans="1:3" x14ac:dyDescent="0.35">
      <c r="A76" s="65">
        <f t="shared" si="3"/>
        <v>73</v>
      </c>
      <c r="B76">
        <v>2.2256149329632144</v>
      </c>
      <c r="C76">
        <f t="shared" si="4"/>
        <v>9.6617263427642683</v>
      </c>
    </row>
    <row r="77" spans="1:3" x14ac:dyDescent="0.35">
      <c r="A77" s="65">
        <f t="shared" si="3"/>
        <v>74</v>
      </c>
      <c r="B77">
        <v>0.33039836348496526</v>
      </c>
      <c r="C77">
        <f t="shared" si="4"/>
        <v>8.353709968296096</v>
      </c>
    </row>
    <row r="78" spans="1:3" x14ac:dyDescent="0.35">
      <c r="A78" s="65">
        <f t="shared" si="3"/>
        <v>75</v>
      </c>
      <c r="B78">
        <v>-0.3625948843394724</v>
      </c>
      <c r="C78">
        <f t="shared" si="4"/>
        <v>7.0127164687025392</v>
      </c>
    </row>
    <row r="79" spans="1:3" x14ac:dyDescent="0.35">
      <c r="A79" s="65">
        <f t="shared" si="3"/>
        <v>76</v>
      </c>
      <c r="B79">
        <v>1.9818619329053877</v>
      </c>
      <c r="C79">
        <f t="shared" si="4"/>
        <v>8.9515775235567929</v>
      </c>
    </row>
    <row r="80" spans="1:3" x14ac:dyDescent="0.35">
      <c r="A80" s="65">
        <f t="shared" si="3"/>
        <v>77</v>
      </c>
      <c r="B80">
        <v>-9.2253382281325264E-2</v>
      </c>
      <c r="C80">
        <f t="shared" si="4"/>
        <v>7.7871059802711384</v>
      </c>
    </row>
    <row r="81" spans="1:3" x14ac:dyDescent="0.35">
      <c r="A81" s="65">
        <f t="shared" si="3"/>
        <v>78</v>
      </c>
      <c r="B81">
        <v>-1.2282384514060356</v>
      </c>
      <c r="C81">
        <f t="shared" si="4"/>
        <v>5.9914461883467407</v>
      </c>
    </row>
    <row r="82" spans="1:3" x14ac:dyDescent="0.35">
      <c r="A82" s="65">
        <f t="shared" si="3"/>
        <v>79</v>
      </c>
      <c r="B82">
        <v>-0.5707665331198899</v>
      </c>
      <c r="C82">
        <f t="shared" si="4"/>
        <v>6.0471013441916917</v>
      </c>
    </row>
    <row r="83" spans="1:3" x14ac:dyDescent="0.35">
      <c r="A83" s="65">
        <f t="shared" si="3"/>
        <v>80</v>
      </c>
      <c r="B83">
        <v>-0.62029379211375901</v>
      </c>
      <c r="C83">
        <f t="shared" si="4"/>
        <v>6.199402126728244</v>
      </c>
    </row>
    <row r="84" spans="1:3" x14ac:dyDescent="0.35">
      <c r="A84" s="65">
        <f t="shared" si="3"/>
        <v>81</v>
      </c>
      <c r="B84">
        <v>0.89519537380514402</v>
      </c>
      <c r="C84">
        <f t="shared" si="4"/>
        <v>7.770246090077273</v>
      </c>
    </row>
    <row r="85" spans="1:3" x14ac:dyDescent="0.35">
      <c r="A85" s="65">
        <f t="shared" si="3"/>
        <v>82</v>
      </c>
      <c r="B85">
        <v>-0.65328626333731554</v>
      </c>
      <c r="C85">
        <f t="shared" si="4"/>
        <v>6.8348719600207684</v>
      </c>
    </row>
    <row r="86" spans="1:3" x14ac:dyDescent="0.35">
      <c r="A86" s="65">
        <f t="shared" si="3"/>
        <v>83</v>
      </c>
      <c r="B86">
        <v>0.37180332410663047</v>
      </c>
      <c r="C86">
        <f t="shared" si="4"/>
        <v>7.3287274991072104</v>
      </c>
    </row>
    <row r="87" spans="1:3" x14ac:dyDescent="0.35">
      <c r="A87" s="65">
        <f t="shared" si="3"/>
        <v>84</v>
      </c>
      <c r="B87">
        <v>-0.42871860170373732</v>
      </c>
      <c r="C87">
        <f t="shared" si="4"/>
        <v>6.8192852019370696</v>
      </c>
    </row>
    <row r="88" spans="1:3" x14ac:dyDescent="0.35">
      <c r="A88" s="65">
        <f t="shared" si="3"/>
        <v>85</v>
      </c>
      <c r="B88">
        <v>-0.56805227865243624</v>
      </c>
      <c r="C88">
        <f t="shared" si="4"/>
        <v>6.4267890522116708</v>
      </c>
    </row>
    <row r="89" spans="1:3" x14ac:dyDescent="0.35">
      <c r="A89" s="65">
        <f t="shared" si="3"/>
        <v>86</v>
      </c>
      <c r="B89">
        <v>-1.33327947803549</v>
      </c>
      <c r="C89">
        <f t="shared" si="4"/>
        <v>5.5555076226554707</v>
      </c>
    </row>
    <row r="90" spans="1:3" x14ac:dyDescent="0.35">
      <c r="A90" s="65">
        <f t="shared" si="3"/>
        <v>87</v>
      </c>
      <c r="B90">
        <v>-0.20051644492783491</v>
      </c>
      <c r="C90">
        <f t="shared" si="4"/>
        <v>6.3790076989131865</v>
      </c>
    </row>
    <row r="91" spans="1:3" x14ac:dyDescent="0.35">
      <c r="A91" s="65">
        <f t="shared" si="3"/>
        <v>88</v>
      </c>
      <c r="B91">
        <v>-0.14918393591633625</v>
      </c>
      <c r="C91">
        <f t="shared" si="4"/>
        <v>6.8468683813833922</v>
      </c>
    </row>
    <row r="92" spans="1:3" x14ac:dyDescent="0.35">
      <c r="A92" s="65">
        <f t="shared" si="3"/>
        <v>89</v>
      </c>
      <c r="B92">
        <v>-0.57106267895885487</v>
      </c>
      <c r="C92">
        <f t="shared" si="4"/>
        <v>6.5297839037031835</v>
      </c>
    </row>
    <row r="93" spans="1:3" x14ac:dyDescent="0.35">
      <c r="A93" s="65">
        <f t="shared" si="3"/>
        <v>90</v>
      </c>
      <c r="B93">
        <v>4.4994003861240688E-2</v>
      </c>
      <c r="C93">
        <f t="shared" si="4"/>
        <v>6.9722207272041752</v>
      </c>
    </row>
    <row r="94" spans="1:3" x14ac:dyDescent="0.35">
      <c r="A94" s="65">
        <f t="shared" si="3"/>
        <v>91</v>
      </c>
      <c r="B94">
        <v>0.78508073324975647</v>
      </c>
      <c r="C94">
        <f t="shared" si="4"/>
        <v>7.9209906337611091</v>
      </c>
    </row>
    <row r="95" spans="1:3" x14ac:dyDescent="0.35">
      <c r="A95" s="65">
        <f t="shared" si="3"/>
        <v>92</v>
      </c>
      <c r="B95">
        <v>0.27706110462678102</v>
      </c>
      <c r="C95">
        <f t="shared" si="4"/>
        <v>7.7482352854108072</v>
      </c>
    </row>
    <row r="96" spans="1:3" x14ac:dyDescent="0.35">
      <c r="A96" s="65">
        <f t="shared" si="3"/>
        <v>93</v>
      </c>
      <c r="B96">
        <v>-0.40520581444015141</v>
      </c>
      <c r="C96">
        <f t="shared" si="4"/>
        <v>6.9019892363480606</v>
      </c>
    </row>
    <row r="97" spans="1:3" x14ac:dyDescent="0.35">
      <c r="A97" s="65">
        <f t="shared" si="3"/>
        <v>94</v>
      </c>
      <c r="B97">
        <v>-1.7421983579903864</v>
      </c>
      <c r="C97">
        <f t="shared" si="4"/>
        <v>5.2437738080077576</v>
      </c>
    </row>
    <row r="98" spans="1:3" x14ac:dyDescent="0.35">
      <c r="A98" s="65">
        <f t="shared" si="3"/>
        <v>95</v>
      </c>
      <c r="B98">
        <v>-0.41879251439262827</v>
      </c>
      <c r="C98">
        <f t="shared" si="4"/>
        <v>5.9885180851756683</v>
      </c>
    </row>
    <row r="99" spans="1:3" x14ac:dyDescent="0.35">
      <c r="A99" s="65">
        <f t="shared" si="3"/>
        <v>96</v>
      </c>
      <c r="B99">
        <v>-0.94742147674947097</v>
      </c>
      <c r="C99">
        <f t="shared" si="4"/>
        <v>5.9236083765200203</v>
      </c>
    </row>
    <row r="100" spans="1:3" x14ac:dyDescent="0.35">
      <c r="A100" s="65">
        <f t="shared" si="3"/>
        <v>97</v>
      </c>
      <c r="B100">
        <v>0.74620903309226361</v>
      </c>
      <c r="C100">
        <f t="shared" si="4"/>
        <v>7.5168005751827058</v>
      </c>
    </row>
    <row r="101" spans="1:3" x14ac:dyDescent="0.35">
      <c r="A101" s="65">
        <f t="shared" si="3"/>
        <v>98</v>
      </c>
      <c r="B101">
        <v>0.44767087391513383</v>
      </c>
      <c r="C101">
        <f t="shared" si="4"/>
        <v>7.8620302663362134</v>
      </c>
    </row>
    <row r="102" spans="1:3" x14ac:dyDescent="0.35">
      <c r="A102" s="65">
        <f t="shared" si="3"/>
        <v>99</v>
      </c>
      <c r="B102">
        <v>-0.65854682304090495</v>
      </c>
      <c r="C102">
        <f t="shared" si="4"/>
        <v>6.7345852259753105</v>
      </c>
    </row>
    <row r="103" spans="1:3" x14ac:dyDescent="0.35">
      <c r="A103" s="65">
        <f t="shared" si="3"/>
        <v>100</v>
      </c>
      <c r="B103" s="4">
        <v>1.5582131382999855</v>
      </c>
      <c r="C103" s="4">
        <f t="shared" si="4"/>
        <v>8.4658442020564895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70"/>
  <dimension ref="A1:AM103"/>
  <sheetViews>
    <sheetView workbookViewId="0"/>
  </sheetViews>
  <sheetFormatPr defaultRowHeight="14.5" x14ac:dyDescent="0.35"/>
  <cols>
    <col min="1" max="1" width="4.7265625" style="65" customWidth="1"/>
    <col min="3" max="3" width="3.453125" customWidth="1"/>
    <col min="4" max="4" width="3.7265625" customWidth="1"/>
    <col min="5" max="5" width="9.1796875" customWidth="1"/>
    <col min="7" max="7" width="2.7265625" customWidth="1"/>
    <col min="9" max="9" width="2.7265625" customWidth="1"/>
    <col min="11" max="11" width="4.7265625" customWidth="1"/>
    <col min="15" max="15" width="5.1796875" customWidth="1"/>
    <col min="16" max="16" width="9.1796875" customWidth="1"/>
    <col min="22" max="22" width="9.1796875" customWidth="1"/>
    <col min="28" max="28" width="17.453125" customWidth="1"/>
  </cols>
  <sheetData>
    <row r="1" spans="1:39" x14ac:dyDescent="0.35">
      <c r="A1" s="61" t="s">
        <v>201</v>
      </c>
      <c r="W1" s="13"/>
      <c r="X1" s="110"/>
      <c r="Y1" s="110"/>
      <c r="Z1" s="17"/>
      <c r="AK1" t="s">
        <v>309</v>
      </c>
    </row>
    <row r="2" spans="1:39" x14ac:dyDescent="0.35">
      <c r="W2" s="13"/>
      <c r="X2" s="13"/>
      <c r="Y2" s="13"/>
      <c r="Z2" s="13"/>
    </row>
    <row r="3" spans="1:39" x14ac:dyDescent="0.35">
      <c r="B3" s="66" t="s">
        <v>110</v>
      </c>
      <c r="D3" s="277" t="s">
        <v>122</v>
      </c>
      <c r="E3" s="277"/>
      <c r="F3" s="277"/>
      <c r="H3" s="66" t="s">
        <v>110</v>
      </c>
      <c r="J3" s="66" t="s">
        <v>196</v>
      </c>
      <c r="K3" s="65"/>
      <c r="L3" s="66" t="s">
        <v>124</v>
      </c>
      <c r="M3" s="66" t="s">
        <v>123</v>
      </c>
      <c r="N3" s="66" t="s">
        <v>107</v>
      </c>
      <c r="P3" s="66" t="s">
        <v>4</v>
      </c>
      <c r="X3" s="100" t="s">
        <v>307</v>
      </c>
      <c r="Y3" s="100" t="s">
        <v>308</v>
      </c>
      <c r="Z3" s="100" t="s">
        <v>110</v>
      </c>
      <c r="AB3" t="s">
        <v>141</v>
      </c>
      <c r="AK3" s="100" t="s">
        <v>307</v>
      </c>
      <c r="AL3" s="100" t="s">
        <v>308</v>
      </c>
      <c r="AM3" s="100" t="s">
        <v>110</v>
      </c>
    </row>
    <row r="4" spans="1:39" x14ac:dyDescent="0.35">
      <c r="A4" s="65">
        <v>1</v>
      </c>
      <c r="B4">
        <v>4.5267574698597484</v>
      </c>
      <c r="L4">
        <f>B4</f>
        <v>4.5267574698597484</v>
      </c>
      <c r="P4">
        <f>SUMSQ(N6:N103)</f>
        <v>98.440741354225295</v>
      </c>
      <c r="X4" s="13">
        <f>B5</f>
        <v>6.893370777512497</v>
      </c>
      <c r="Y4" s="13">
        <f>B4</f>
        <v>4.5267574698597484</v>
      </c>
      <c r="Z4" s="13">
        <f>B6</f>
        <v>8.4253951175675805</v>
      </c>
      <c r="AK4" s="13" t="e">
        <f t="array" aca="1" ref="AK4:AM101" ca="1">ARMap(B4:B103,2)</f>
        <v>#NAME?</v>
      </c>
      <c r="AL4" s="13" t="e">
        <f ca="1"/>
        <v>#NAME?</v>
      </c>
      <c r="AM4" s="13" t="e">
        <f ca="1"/>
        <v>#NAME?</v>
      </c>
    </row>
    <row r="5" spans="1:39" ht="15" thickBot="1" x14ac:dyDescent="0.4">
      <c r="A5" s="65">
        <f>A4+1</f>
        <v>2</v>
      </c>
      <c r="B5">
        <v>6.893370777512497</v>
      </c>
      <c r="K5" s="13"/>
      <c r="L5">
        <f t="shared" ref="L5:L68" si="0">B5</f>
        <v>6.893370777512497</v>
      </c>
      <c r="X5" s="13">
        <f t="shared" ref="X5:X68" si="1">B6</f>
        <v>8.4253951175675805</v>
      </c>
      <c r="Y5" s="13">
        <f t="shared" ref="Y5:Y68" si="2">B5</f>
        <v>6.893370777512497</v>
      </c>
      <c r="Z5" s="13">
        <f t="shared" ref="Z5:Z68" si="3">B7</f>
        <v>6.999502086988997</v>
      </c>
      <c r="AB5" s="44" t="s">
        <v>142</v>
      </c>
      <c r="AC5" s="44"/>
      <c r="AE5" s="44"/>
      <c r="AF5" s="44"/>
      <c r="AK5" s="13" t="e">
        <f ca="1"/>
        <v>#NAME?</v>
      </c>
      <c r="AL5" s="13" t="e">
        <f ca="1"/>
        <v>#NAME?</v>
      </c>
      <c r="AM5" s="13" t="e">
        <f ca="1"/>
        <v>#NAME?</v>
      </c>
    </row>
    <row r="6" spans="1:39" ht="15" thickTop="1" x14ac:dyDescent="0.35">
      <c r="A6" s="65">
        <f t="shared" ref="A6:A69" si="4">A5+1</f>
        <v>3</v>
      </c>
      <c r="B6">
        <v>8.4253951175675805</v>
      </c>
      <c r="D6" s="26">
        <v>1</v>
      </c>
      <c r="E6" s="59">
        <f>B5</f>
        <v>6.893370777512497</v>
      </c>
      <c r="F6" s="58">
        <f>B4</f>
        <v>4.5267574698597484</v>
      </c>
      <c r="H6" s="23">
        <f t="shared" ref="H6:H69" si="5">B6</f>
        <v>8.4253951175675805</v>
      </c>
      <c r="J6" s="23">
        <f t="array" ref="J6:J8">MMULT(MINVERSE(MMULT(TRANSPOSE(D6:F103),D6:F103)),MMULT(TRANSPOSE(D6:F103),H6:H103))</f>
        <v>5.0109466210841163</v>
      </c>
      <c r="K6" s="13"/>
      <c r="L6">
        <f t="shared" si="0"/>
        <v>8.4253951175675805</v>
      </c>
      <c r="M6">
        <f>J$6+L5*J$7+L4*J$8</f>
        <v>7.4236069480725231</v>
      </c>
      <c r="N6">
        <f t="shared" ref="N6:N69" si="6">L6-M6</f>
        <v>1.0017881694950574</v>
      </c>
      <c r="P6" s="66" t="s">
        <v>202</v>
      </c>
      <c r="X6" s="13">
        <f t="shared" si="1"/>
        <v>6.999502086988997</v>
      </c>
      <c r="Y6" s="13">
        <f t="shared" si="2"/>
        <v>8.4253951175675805</v>
      </c>
      <c r="Z6" s="13">
        <f t="shared" si="3"/>
        <v>6.1875941616300834</v>
      </c>
      <c r="AB6" t="s">
        <v>144</v>
      </c>
      <c r="AC6" t="e">
        <f ca="1">SQRT(AC7)</f>
        <v>#NAME?</v>
      </c>
      <c r="AE6" t="s">
        <v>145</v>
      </c>
      <c r="AF6" t="e">
        <f ca="1">AC10*LN(AD15/AC10)+2*(AC14+1)</f>
        <v>#NAME?</v>
      </c>
      <c r="AK6" s="13" t="e">
        <f ca="1"/>
        <v>#NAME?</v>
      </c>
      <c r="AL6" s="13" t="e">
        <f ca="1"/>
        <v>#NAME?</v>
      </c>
      <c r="AM6" s="13" t="e">
        <f ca="1"/>
        <v>#NAME?</v>
      </c>
    </row>
    <row r="7" spans="1:39" x14ac:dyDescent="0.35">
      <c r="A7" s="65">
        <f t="shared" si="4"/>
        <v>4</v>
      </c>
      <c r="B7">
        <v>6.999502086988997</v>
      </c>
      <c r="D7" s="29">
        <v>1</v>
      </c>
      <c r="E7" s="13">
        <f t="shared" ref="E7:E70" si="7">B6</f>
        <v>8.4253951175675805</v>
      </c>
      <c r="F7" s="30">
        <f t="shared" ref="F7:F70" si="8">B5</f>
        <v>6.893370777512497</v>
      </c>
      <c r="H7" s="24">
        <f t="shared" si="5"/>
        <v>6.999502086988997</v>
      </c>
      <c r="J7" s="24">
        <v>0.4540633280997568</v>
      </c>
      <c r="L7">
        <f t="shared" si="0"/>
        <v>6.999502086988997</v>
      </c>
      <c r="M7">
        <f t="shared" ref="M7:M70" si="9">J$6+L6*J$7+L5*J$8</f>
        <v>7.7441999033107525</v>
      </c>
      <c r="N7">
        <f t="shared" si="6"/>
        <v>-0.74469781632175547</v>
      </c>
      <c r="P7">
        <f>AVERAGE(N6:N103)</f>
        <v>1.1111293291350546E-14</v>
      </c>
      <c r="X7" s="13">
        <f t="shared" si="1"/>
        <v>6.1875941616300834</v>
      </c>
      <c r="Y7" s="13">
        <f t="shared" si="2"/>
        <v>6.999502086988997</v>
      </c>
      <c r="Z7" s="13">
        <f t="shared" si="3"/>
        <v>5.8129764708798239</v>
      </c>
      <c r="AB7" t="s">
        <v>148</v>
      </c>
      <c r="AC7" t="e">
        <f ca="1">AD14/AD16</f>
        <v>#NAME?</v>
      </c>
      <c r="AE7" t="s">
        <v>149</v>
      </c>
      <c r="AF7" t="e">
        <f ca="1">AF6+2*(AC14+2)*(AC14+3)/(AC10-AC14-3)</f>
        <v>#NAME?</v>
      </c>
      <c r="AK7" s="13" t="e">
        <f ca="1"/>
        <v>#NAME?</v>
      </c>
      <c r="AL7" s="13" t="e">
        <f ca="1"/>
        <v>#NAME?</v>
      </c>
      <c r="AM7" s="13" t="e">
        <f ca="1"/>
        <v>#NAME?</v>
      </c>
    </row>
    <row r="8" spans="1:39" x14ac:dyDescent="0.35">
      <c r="A8" s="65">
        <f t="shared" si="4"/>
        <v>5</v>
      </c>
      <c r="B8">
        <v>6.1875941616300834</v>
      </c>
      <c r="D8" s="29">
        <v>1</v>
      </c>
      <c r="E8" s="13">
        <f t="shared" si="7"/>
        <v>6.999502086988997</v>
      </c>
      <c r="F8" s="30">
        <f t="shared" si="8"/>
        <v>8.4253951175675805</v>
      </c>
      <c r="H8" s="24">
        <f t="shared" si="5"/>
        <v>6.1875941616300834</v>
      </c>
      <c r="J8" s="34">
        <v>-0.15847249490411741</v>
      </c>
      <c r="L8">
        <f t="shared" si="0"/>
        <v>6.1875941616300834</v>
      </c>
      <c r="M8">
        <f t="shared" si="9"/>
        <v>6.8539704489096298</v>
      </c>
      <c r="N8">
        <f t="shared" si="6"/>
        <v>-0.66637628727954645</v>
      </c>
      <c r="X8" s="13">
        <f t="shared" si="1"/>
        <v>5.8129764708798239</v>
      </c>
      <c r="Y8" s="13">
        <f t="shared" si="2"/>
        <v>6.1875941616300834</v>
      </c>
      <c r="Z8" s="13">
        <f t="shared" si="3"/>
        <v>7.1200726875188378</v>
      </c>
      <c r="AB8" t="s">
        <v>150</v>
      </c>
      <c r="AC8" t="e">
        <f ca="1">1-(1-AC7)*(AC10-1)/(AC10-AC14-1)</f>
        <v>#NAME?</v>
      </c>
      <c r="AE8" s="4" t="s">
        <v>151</v>
      </c>
      <c r="AF8" s="4" t="e">
        <f ca="1">AC10*LN(AD15/AC10)+(AC14+1)*LN(AC10)</f>
        <v>#NAME?</v>
      </c>
      <c r="AK8" s="13" t="e">
        <f ca="1"/>
        <v>#NAME?</v>
      </c>
      <c r="AL8" s="13" t="e">
        <f ca="1"/>
        <v>#NAME?</v>
      </c>
      <c r="AM8" s="13" t="e">
        <f ca="1"/>
        <v>#NAME?</v>
      </c>
    </row>
    <row r="9" spans="1:39" x14ac:dyDescent="0.35">
      <c r="A9" s="65">
        <f t="shared" si="4"/>
        <v>6</v>
      </c>
      <c r="B9">
        <v>5.8129764708798239</v>
      </c>
      <c r="D9" s="29">
        <v>1</v>
      </c>
      <c r="E9" s="13">
        <f t="shared" si="7"/>
        <v>6.1875941616300834</v>
      </c>
      <c r="F9" s="30">
        <f t="shared" si="8"/>
        <v>6.999502086988997</v>
      </c>
      <c r="H9" s="24">
        <f t="shared" si="5"/>
        <v>5.8129764708798239</v>
      </c>
      <c r="L9">
        <f t="shared" si="0"/>
        <v>5.8129764708798239</v>
      </c>
      <c r="M9">
        <f t="shared" si="9"/>
        <v>6.7112776602327733</v>
      </c>
      <c r="N9">
        <f t="shared" si="6"/>
        <v>-0.89830118935294934</v>
      </c>
      <c r="P9" s="66" t="s">
        <v>203</v>
      </c>
      <c r="X9" s="13">
        <f t="shared" si="1"/>
        <v>7.1200726875188378</v>
      </c>
      <c r="Y9" s="13">
        <f t="shared" si="2"/>
        <v>5.8129764708798239</v>
      </c>
      <c r="Z9" s="13">
        <f t="shared" si="3"/>
        <v>8.5019149332741044</v>
      </c>
      <c r="AB9" t="s">
        <v>146</v>
      </c>
      <c r="AC9" t="e">
        <f ca="1">SQRT(AE15)</f>
        <v>#NAME?</v>
      </c>
      <c r="AK9" s="13" t="e">
        <f ca="1"/>
        <v>#NAME?</v>
      </c>
      <c r="AL9" s="13" t="e">
        <f ca="1"/>
        <v>#NAME?</v>
      </c>
      <c r="AM9" s="13" t="e">
        <f ca="1"/>
        <v>#NAME?</v>
      </c>
    </row>
    <row r="10" spans="1:39" x14ac:dyDescent="0.35">
      <c r="A10" s="65">
        <f t="shared" si="4"/>
        <v>7</v>
      </c>
      <c r="B10">
        <v>7.1200726875188378</v>
      </c>
      <c r="D10" s="29">
        <v>1</v>
      </c>
      <c r="E10" s="13">
        <f t="shared" si="7"/>
        <v>5.8129764708798239</v>
      </c>
      <c r="F10" s="30">
        <f t="shared" si="8"/>
        <v>6.1875941616300834</v>
      </c>
      <c r="H10" s="24">
        <f t="shared" si="5"/>
        <v>7.1200726875188378</v>
      </c>
      <c r="L10">
        <f t="shared" si="0"/>
        <v>7.1200726875188378</v>
      </c>
      <c r="M10">
        <f t="shared" si="9"/>
        <v>6.6698425793697176</v>
      </c>
      <c r="N10">
        <f t="shared" si="6"/>
        <v>0.45023010814912023</v>
      </c>
      <c r="P10">
        <f>VAR(N6:N103)</f>
        <v>1.0148530036518071</v>
      </c>
      <c r="X10" s="13">
        <f t="shared" si="1"/>
        <v>8.5019149332741044</v>
      </c>
      <c r="Y10" s="13">
        <f t="shared" si="2"/>
        <v>7.1200726875188378</v>
      </c>
      <c r="Z10" s="13">
        <f t="shared" si="3"/>
        <v>7.3012221051820614</v>
      </c>
      <c r="AB10" s="4" t="s">
        <v>153</v>
      </c>
      <c r="AC10" s="4">
        <f>COUNT(Z4:Z101)</f>
        <v>98</v>
      </c>
      <c r="AK10" s="13" t="e">
        <f ca="1"/>
        <v>#NAME?</v>
      </c>
      <c r="AL10" s="13" t="e">
        <f ca="1"/>
        <v>#NAME?</v>
      </c>
      <c r="AM10" s="13" t="e">
        <f ca="1"/>
        <v>#NAME?</v>
      </c>
    </row>
    <row r="11" spans="1:39" x14ac:dyDescent="0.35">
      <c r="A11" s="65">
        <f t="shared" si="4"/>
        <v>8</v>
      </c>
      <c r="B11">
        <v>8.5019149332741044</v>
      </c>
      <c r="D11" s="29">
        <v>1</v>
      </c>
      <c r="E11" s="13">
        <f t="shared" si="7"/>
        <v>7.1200726875188378</v>
      </c>
      <c r="F11" s="30">
        <f t="shared" si="8"/>
        <v>5.8129764708798239</v>
      </c>
      <c r="H11" s="24">
        <f t="shared" si="5"/>
        <v>8.5019149332741044</v>
      </c>
      <c r="L11">
        <f t="shared" si="0"/>
        <v>8.5019149332741044</v>
      </c>
      <c r="M11">
        <f t="shared" si="9"/>
        <v>7.3227136377318418</v>
      </c>
      <c r="N11">
        <f t="shared" si="6"/>
        <v>1.1792012955422626</v>
      </c>
      <c r="X11" s="13">
        <f t="shared" si="1"/>
        <v>7.3012221051820614</v>
      </c>
      <c r="Y11" s="13">
        <f t="shared" si="2"/>
        <v>8.5019149332741044</v>
      </c>
      <c r="Z11" s="13">
        <f t="shared" si="3"/>
        <v>6.0388768293832715</v>
      </c>
      <c r="AK11" s="13" t="e">
        <f ca="1"/>
        <v>#NAME?</v>
      </c>
      <c r="AL11" s="13" t="e">
        <f ca="1"/>
        <v>#NAME?</v>
      </c>
      <c r="AM11" s="13" t="e">
        <f ca="1"/>
        <v>#NAME?</v>
      </c>
    </row>
    <row r="12" spans="1:39" ht="15" thickBot="1" x14ac:dyDescent="0.4">
      <c r="A12" s="65">
        <f t="shared" si="4"/>
        <v>9</v>
      </c>
      <c r="B12">
        <v>7.3012221051820614</v>
      </c>
      <c r="D12" s="29">
        <v>1</v>
      </c>
      <c r="E12" s="13">
        <f t="shared" si="7"/>
        <v>8.5019149332741044</v>
      </c>
      <c r="F12" s="30">
        <f t="shared" si="8"/>
        <v>7.1200726875188378</v>
      </c>
      <c r="H12" s="24">
        <f t="shared" si="5"/>
        <v>7.3012221051820614</v>
      </c>
      <c r="L12">
        <f t="shared" si="0"/>
        <v>7.3012221051820614</v>
      </c>
      <c r="M12">
        <f t="shared" si="9"/>
        <v>7.7430187282178036</v>
      </c>
      <c r="N12">
        <f t="shared" si="6"/>
        <v>-0.44179662303574219</v>
      </c>
      <c r="X12" s="13">
        <f t="shared" si="1"/>
        <v>6.0388768293832715</v>
      </c>
      <c r="Y12" s="13">
        <f t="shared" si="2"/>
        <v>7.3012221051820614</v>
      </c>
      <c r="Z12" s="13">
        <f t="shared" si="3"/>
        <v>4.7460896891377891</v>
      </c>
      <c r="AB12" t="s">
        <v>155</v>
      </c>
      <c r="AF12" s="101" t="s">
        <v>156</v>
      </c>
      <c r="AG12" s="101">
        <v>0.05</v>
      </c>
      <c r="AK12" s="13" t="e">
        <f ca="1"/>
        <v>#NAME?</v>
      </c>
      <c r="AL12" s="13" t="e">
        <f ca="1"/>
        <v>#NAME?</v>
      </c>
      <c r="AM12" s="13" t="e">
        <f ca="1"/>
        <v>#NAME?</v>
      </c>
    </row>
    <row r="13" spans="1:39" ht="15" thickTop="1" x14ac:dyDescent="0.35">
      <c r="A13" s="65">
        <f t="shared" si="4"/>
        <v>10</v>
      </c>
      <c r="B13">
        <v>6.0388768293832715</v>
      </c>
      <c r="D13" s="29">
        <v>1</v>
      </c>
      <c r="E13" s="13">
        <f t="shared" si="7"/>
        <v>7.3012221051820614</v>
      </c>
      <c r="F13" s="30">
        <f t="shared" si="8"/>
        <v>8.5019149332741044</v>
      </c>
      <c r="H13" s="24">
        <f t="shared" si="5"/>
        <v>6.0388768293832715</v>
      </c>
      <c r="L13">
        <f t="shared" si="0"/>
        <v>6.0388768293832715</v>
      </c>
      <c r="M13">
        <f t="shared" si="9"/>
        <v>6.9788441584200749</v>
      </c>
      <c r="N13">
        <f t="shared" si="6"/>
        <v>-0.93996732903680336</v>
      </c>
      <c r="X13" s="13">
        <f t="shared" si="1"/>
        <v>4.7460896891377891</v>
      </c>
      <c r="Y13" s="13">
        <f t="shared" si="2"/>
        <v>6.0388768293832715</v>
      </c>
      <c r="Z13" s="13">
        <f t="shared" si="3"/>
        <v>6.6536767183588417</v>
      </c>
      <c r="AB13" s="45"/>
      <c r="AC13" s="45" t="s">
        <v>88</v>
      </c>
      <c r="AD13" s="45" t="s">
        <v>157</v>
      </c>
      <c r="AE13" s="45" t="s">
        <v>158</v>
      </c>
      <c r="AF13" s="45" t="s">
        <v>159</v>
      </c>
      <c r="AG13" s="45" t="s">
        <v>92</v>
      </c>
      <c r="AH13" s="45" t="s">
        <v>84</v>
      </c>
      <c r="AK13" s="13" t="e">
        <f ca="1"/>
        <v>#NAME?</v>
      </c>
      <c r="AL13" s="13" t="e">
        <f ca="1"/>
        <v>#NAME?</v>
      </c>
      <c r="AM13" s="13" t="e">
        <f ca="1"/>
        <v>#NAME?</v>
      </c>
    </row>
    <row r="14" spans="1:39" x14ac:dyDescent="0.35">
      <c r="A14" s="65">
        <f t="shared" si="4"/>
        <v>11</v>
      </c>
      <c r="B14">
        <v>4.7460896891377891</v>
      </c>
      <c r="D14" s="29">
        <v>1</v>
      </c>
      <c r="E14" s="13">
        <f t="shared" si="7"/>
        <v>6.0388768293832715</v>
      </c>
      <c r="F14" s="30">
        <f t="shared" si="8"/>
        <v>7.3012221051820614</v>
      </c>
      <c r="H14" s="24">
        <f t="shared" si="5"/>
        <v>4.7460896891377891</v>
      </c>
      <c r="L14">
        <f t="shared" si="0"/>
        <v>4.7460896891377891</v>
      </c>
      <c r="M14">
        <f t="shared" si="9"/>
        <v>6.595936249361098</v>
      </c>
      <c r="N14">
        <f t="shared" si="6"/>
        <v>-1.849846560223309</v>
      </c>
      <c r="X14" s="13">
        <f t="shared" si="1"/>
        <v>6.6536767183588417</v>
      </c>
      <c r="Y14" s="13">
        <f t="shared" si="2"/>
        <v>4.7460896891377891</v>
      </c>
      <c r="Z14" s="13">
        <f t="shared" si="3"/>
        <v>8.1939759194869595</v>
      </c>
      <c r="AB14" t="s">
        <v>160</v>
      </c>
      <c r="AC14">
        <f>COUNT(X4:Y4)</f>
        <v>2</v>
      </c>
      <c r="AD14" t="e">
        <f ca="1">DEVSQ(MMULT(DEsign(X4:Y101),AC19:AC21))</f>
        <v>#NAME?</v>
      </c>
      <c r="AE14" t="e">
        <f ca="1">AD14/AC14</f>
        <v>#NAME?</v>
      </c>
      <c r="AF14" t="e">
        <f ca="1">AE14/AE15</f>
        <v>#NAME?</v>
      </c>
      <c r="AG14" t="e">
        <f ca="1">FDIST(AF14,AC14,AC15)</f>
        <v>#NAME?</v>
      </c>
      <c r="AH14" s="101" t="e">
        <f ca="1">IF(AG14&lt;AG12,"yes","no")</f>
        <v>#NAME?</v>
      </c>
      <c r="AK14" s="13" t="e">
        <f ca="1"/>
        <v>#NAME?</v>
      </c>
      <c r="AL14" s="13" t="e">
        <f ca="1"/>
        <v>#NAME?</v>
      </c>
      <c r="AM14" s="13" t="e">
        <f ca="1"/>
        <v>#NAME?</v>
      </c>
    </row>
    <row r="15" spans="1:39" x14ac:dyDescent="0.35">
      <c r="A15" s="65">
        <f t="shared" si="4"/>
        <v>12</v>
      </c>
      <c r="B15">
        <v>6.6536767183588417</v>
      </c>
      <c r="D15" s="29">
        <v>1</v>
      </c>
      <c r="E15" s="13">
        <f t="shared" si="7"/>
        <v>4.7460896891377891</v>
      </c>
      <c r="F15" s="30">
        <f t="shared" si="8"/>
        <v>6.0388768293832715</v>
      </c>
      <c r="H15" s="24">
        <f t="shared" si="5"/>
        <v>6.6536767183588417</v>
      </c>
      <c r="L15">
        <f t="shared" si="0"/>
        <v>6.6536767183588417</v>
      </c>
      <c r="M15">
        <f t="shared" si="9"/>
        <v>6.2089760232229274</v>
      </c>
      <c r="N15">
        <f t="shared" si="6"/>
        <v>0.44470069513591426</v>
      </c>
      <c r="X15" s="13">
        <f t="shared" si="1"/>
        <v>8.1939759194869595</v>
      </c>
      <c r="Y15" s="13">
        <f t="shared" si="2"/>
        <v>6.6536767183588417</v>
      </c>
      <c r="Z15" s="13">
        <f t="shared" si="3"/>
        <v>7.5602635334693442</v>
      </c>
      <c r="AB15" t="s">
        <v>107</v>
      </c>
      <c r="AC15">
        <f>AC16-AC14</f>
        <v>95</v>
      </c>
      <c r="AD15" t="e">
        <f ca="1">AD16-AD14</f>
        <v>#NAME?</v>
      </c>
      <c r="AE15" t="e">
        <f ca="1">AD15/AC15</f>
        <v>#NAME?</v>
      </c>
      <c r="AK15" s="13" t="e">
        <f ca="1"/>
        <v>#NAME?</v>
      </c>
      <c r="AL15" s="13" t="e">
        <f ca="1"/>
        <v>#NAME?</v>
      </c>
      <c r="AM15" s="13" t="e">
        <f ca="1"/>
        <v>#NAME?</v>
      </c>
    </row>
    <row r="16" spans="1:39" x14ac:dyDescent="0.35">
      <c r="A16" s="65">
        <f t="shared" si="4"/>
        <v>13</v>
      </c>
      <c r="B16">
        <v>8.1939759194869595</v>
      </c>
      <c r="D16" s="29">
        <v>1</v>
      </c>
      <c r="E16" s="13">
        <f t="shared" si="7"/>
        <v>6.6536767183588417</v>
      </c>
      <c r="F16" s="30">
        <f t="shared" si="8"/>
        <v>4.7460896891377891</v>
      </c>
      <c r="H16" s="24">
        <f t="shared" si="5"/>
        <v>8.1939759194869595</v>
      </c>
      <c r="L16">
        <f t="shared" si="0"/>
        <v>8.1939759194869595</v>
      </c>
      <c r="M16">
        <f t="shared" si="9"/>
        <v>7.2800125418456263</v>
      </c>
      <c r="N16">
        <f t="shared" si="6"/>
        <v>0.91396337764133317</v>
      </c>
      <c r="X16" s="13">
        <f t="shared" si="1"/>
        <v>7.5602635334693442</v>
      </c>
      <c r="Y16" s="13">
        <f t="shared" si="2"/>
        <v>8.1939759194869595</v>
      </c>
      <c r="Z16" s="13">
        <f t="shared" si="3"/>
        <v>6.794451297136205</v>
      </c>
      <c r="AB16" s="4" t="s">
        <v>161</v>
      </c>
      <c r="AC16" s="4">
        <f>AC10-1</f>
        <v>97</v>
      </c>
      <c r="AD16" s="4">
        <f>DEVSQ(Z4:Z101)</f>
        <v>118.96363755740904</v>
      </c>
      <c r="AE16" s="4"/>
      <c r="AF16" s="4"/>
      <c r="AG16" s="4"/>
      <c r="AH16" s="4"/>
      <c r="AK16" s="13" t="e">
        <f ca="1"/>
        <v>#NAME?</v>
      </c>
      <c r="AL16" s="13" t="e">
        <f ca="1"/>
        <v>#NAME?</v>
      </c>
      <c r="AM16" s="13" t="e">
        <f ca="1"/>
        <v>#NAME?</v>
      </c>
    </row>
    <row r="17" spans="1:39" ht="15" thickBot="1" x14ac:dyDescent="0.4">
      <c r="A17" s="65">
        <f t="shared" si="4"/>
        <v>14</v>
      </c>
      <c r="B17">
        <v>7.5602635334693442</v>
      </c>
      <c r="D17" s="29">
        <v>1</v>
      </c>
      <c r="E17" s="13">
        <f t="shared" si="7"/>
        <v>8.1939759194869595</v>
      </c>
      <c r="F17" s="30">
        <f t="shared" si="8"/>
        <v>6.6536767183588417</v>
      </c>
      <c r="H17" s="24">
        <f t="shared" si="5"/>
        <v>7.5602635334693442</v>
      </c>
      <c r="L17">
        <f t="shared" si="0"/>
        <v>7.5602635334693442</v>
      </c>
      <c r="M17">
        <f t="shared" si="9"/>
        <v>7.6771058476118643</v>
      </c>
      <c r="N17">
        <f t="shared" si="6"/>
        <v>-0.11684231414252011</v>
      </c>
      <c r="X17" s="13">
        <f t="shared" si="1"/>
        <v>6.794451297136205</v>
      </c>
      <c r="Y17" s="13">
        <f t="shared" si="2"/>
        <v>7.5602635334693442</v>
      </c>
      <c r="Z17" s="13">
        <f t="shared" si="3"/>
        <v>4.7244665351583883</v>
      </c>
      <c r="AK17" s="13" t="e">
        <f ca="1"/>
        <v>#NAME?</v>
      </c>
      <c r="AL17" s="13" t="e">
        <f ca="1"/>
        <v>#NAME?</v>
      </c>
      <c r="AM17" s="13" t="e">
        <f ca="1"/>
        <v>#NAME?</v>
      </c>
    </row>
    <row r="18" spans="1:39" ht="15" thickTop="1" x14ac:dyDescent="0.35">
      <c r="A18" s="65">
        <f t="shared" si="4"/>
        <v>15</v>
      </c>
      <c r="B18">
        <v>6.794451297136205</v>
      </c>
      <c r="D18" s="29">
        <v>1</v>
      </c>
      <c r="E18" s="13">
        <f t="shared" si="7"/>
        <v>7.5602635334693442</v>
      </c>
      <c r="F18" s="30">
        <f t="shared" si="8"/>
        <v>8.1939759194869595</v>
      </c>
      <c r="H18" s="24">
        <f t="shared" si="5"/>
        <v>6.794451297136205</v>
      </c>
      <c r="L18">
        <f t="shared" si="0"/>
        <v>6.794451297136205</v>
      </c>
      <c r="M18">
        <f t="shared" si="9"/>
        <v>7.1452652352570762</v>
      </c>
      <c r="N18">
        <f t="shared" si="6"/>
        <v>-0.35081393812087125</v>
      </c>
      <c r="X18" s="13">
        <f t="shared" si="1"/>
        <v>4.7244665351583883</v>
      </c>
      <c r="Y18" s="13">
        <f t="shared" si="2"/>
        <v>6.794451297136205</v>
      </c>
      <c r="Z18" s="13">
        <f t="shared" si="3"/>
        <v>6.0271551265385801</v>
      </c>
      <c r="AB18" s="45"/>
      <c r="AC18" s="45" t="s">
        <v>162</v>
      </c>
      <c r="AD18" s="45" t="s">
        <v>163</v>
      </c>
      <c r="AE18" s="45" t="s">
        <v>164</v>
      </c>
      <c r="AF18" s="45" t="s">
        <v>92</v>
      </c>
      <c r="AG18" s="45" t="s">
        <v>127</v>
      </c>
      <c r="AH18" s="45" t="s">
        <v>128</v>
      </c>
      <c r="AI18" s="45" t="s">
        <v>165</v>
      </c>
      <c r="AK18" s="13" t="e">
        <f ca="1"/>
        <v>#NAME?</v>
      </c>
      <c r="AL18" s="13" t="e">
        <f ca="1"/>
        <v>#NAME?</v>
      </c>
      <c r="AM18" s="13" t="e">
        <f ca="1"/>
        <v>#NAME?</v>
      </c>
    </row>
    <row r="19" spans="1:39" x14ac:dyDescent="0.35">
      <c r="A19" s="65">
        <f t="shared" si="4"/>
        <v>16</v>
      </c>
      <c r="B19">
        <v>4.7244665351583883</v>
      </c>
      <c r="D19" s="29">
        <v>1</v>
      </c>
      <c r="E19" s="13">
        <f t="shared" si="7"/>
        <v>6.794451297136205</v>
      </c>
      <c r="F19" s="30">
        <f t="shared" si="8"/>
        <v>7.5602635334693442</v>
      </c>
      <c r="H19" s="24">
        <f t="shared" si="5"/>
        <v>4.7244665351583883</v>
      </c>
      <c r="L19">
        <f t="shared" si="0"/>
        <v>4.7244665351583883</v>
      </c>
      <c r="M19">
        <f t="shared" si="9"/>
        <v>6.8979639653919858</v>
      </c>
      <c r="N19">
        <f t="shared" si="6"/>
        <v>-2.1734974302335974</v>
      </c>
      <c r="X19" s="13">
        <f t="shared" si="1"/>
        <v>6.0271551265385801</v>
      </c>
      <c r="Y19" s="13">
        <f t="shared" si="2"/>
        <v>4.7244665351583883</v>
      </c>
      <c r="Z19" s="13">
        <f t="shared" si="3"/>
        <v>7.1259100258620851</v>
      </c>
      <c r="AB19" t="s">
        <v>166</v>
      </c>
      <c r="AC19" t="e">
        <f t="array" aca="1" ref="AC19:AD21" ca="1">RegCoeff(X4:Y101,Z4:Z101)</f>
        <v>#NAME?</v>
      </c>
      <c r="AD19" t="e">
        <f ca="1"/>
        <v>#NAME?</v>
      </c>
      <c r="AE19" t="e">
        <f ca="1">AC19/AD19</f>
        <v>#NAME?</v>
      </c>
      <c r="AF19" t="e">
        <f ca="1">TDIST(ABS(AE19),$AC$15,2)</f>
        <v>#NAME?</v>
      </c>
      <c r="AG19" t="e">
        <f ca="1">AC19-TINV(AG$12,$AC$15)*AD19</f>
        <v>#NAME?</v>
      </c>
      <c r="AH19" t="e">
        <f ca="1">AC19+TINV(AG$12,$AC$15)*AD19</f>
        <v>#NAME?</v>
      </c>
      <c r="AK19" s="13" t="e">
        <f ca="1"/>
        <v>#NAME?</v>
      </c>
      <c r="AL19" s="13" t="e">
        <f ca="1"/>
        <v>#NAME?</v>
      </c>
      <c r="AM19" s="13" t="e">
        <f ca="1"/>
        <v>#NAME?</v>
      </c>
    </row>
    <row r="20" spans="1:39" x14ac:dyDescent="0.35">
      <c r="A20" s="65">
        <f t="shared" si="4"/>
        <v>17</v>
      </c>
      <c r="B20">
        <v>6.0271551265385801</v>
      </c>
      <c r="D20" s="29">
        <v>1</v>
      </c>
      <c r="E20" s="13">
        <f t="shared" si="7"/>
        <v>4.7244665351583883</v>
      </c>
      <c r="F20" s="30">
        <f t="shared" si="8"/>
        <v>6.794451297136205</v>
      </c>
      <c r="H20" s="24">
        <f t="shared" si="5"/>
        <v>6.0271551265385801</v>
      </c>
      <c r="L20">
        <f t="shared" si="0"/>
        <v>6.0271551265385801</v>
      </c>
      <c r="M20">
        <f t="shared" si="9"/>
        <v>6.0794199709723697</v>
      </c>
      <c r="N20">
        <f t="shared" si="6"/>
        <v>-5.2264844433789648E-2</v>
      </c>
      <c r="X20" s="13">
        <f t="shared" si="1"/>
        <v>7.1259100258620851</v>
      </c>
      <c r="Y20" s="13">
        <f t="shared" si="2"/>
        <v>6.0271551265385801</v>
      </c>
      <c r="Z20" s="13">
        <f t="shared" si="3"/>
        <v>7.1912478294921529</v>
      </c>
      <c r="AB20" t="str">
        <f t="array" ref="AB20:AB21">TRANSPOSE(X3:Y3)</f>
        <v>X1</v>
      </c>
      <c r="AC20" t="e">
        <f ca="1"/>
        <v>#NAME?</v>
      </c>
      <c r="AD20" t="e">
        <f ca="1"/>
        <v>#NAME?</v>
      </c>
      <c r="AE20" t="e">
        <f ca="1">AC20/AD20</f>
        <v>#NAME?</v>
      </c>
      <c r="AF20" t="e">
        <f ca="1">TDIST(ABS(AE20),$AC$15,2)</f>
        <v>#NAME?</v>
      </c>
      <c r="AG20" t="e">
        <f ca="1">AC20-TINV(AG$12,$AC$15)*AD20</f>
        <v>#NAME?</v>
      </c>
      <c r="AH20" t="e">
        <f ca="1">AC20+TINV(AG$12,$AC$15)*AD20</f>
        <v>#NAME?</v>
      </c>
      <c r="AI20" t="e" cm="1">
        <f t="array" aca="1" ref="AI20" ca="1">VIF(X4:Y101,1)</f>
        <v>#NAME?</v>
      </c>
      <c r="AK20" s="13" t="e">
        <f ca="1"/>
        <v>#NAME?</v>
      </c>
      <c r="AL20" s="13" t="e">
        <f ca="1"/>
        <v>#NAME?</v>
      </c>
      <c r="AM20" s="13" t="e">
        <f ca="1"/>
        <v>#NAME?</v>
      </c>
    </row>
    <row r="21" spans="1:39" x14ac:dyDescent="0.35">
      <c r="A21" s="65">
        <f t="shared" si="4"/>
        <v>18</v>
      </c>
      <c r="B21">
        <v>7.1259100258620851</v>
      </c>
      <c r="D21" s="29">
        <v>1</v>
      </c>
      <c r="E21" s="13">
        <f t="shared" si="7"/>
        <v>6.0271551265385801</v>
      </c>
      <c r="F21" s="30">
        <f t="shared" si="8"/>
        <v>4.7244665351583883</v>
      </c>
      <c r="H21" s="24">
        <f t="shared" si="5"/>
        <v>7.1259100258620851</v>
      </c>
      <c r="L21">
        <f t="shared" si="0"/>
        <v>7.1259100258620851</v>
      </c>
      <c r="M21">
        <f t="shared" si="9"/>
        <v>6.9989587378961735</v>
      </c>
      <c r="N21">
        <f t="shared" si="6"/>
        <v>0.1269512879659116</v>
      </c>
      <c r="X21" s="13">
        <f t="shared" si="1"/>
        <v>7.1912478294921529</v>
      </c>
      <c r="Y21" s="13">
        <f t="shared" si="2"/>
        <v>7.1259100258620851</v>
      </c>
      <c r="Z21" s="13">
        <f t="shared" si="3"/>
        <v>6.6826916383449895</v>
      </c>
      <c r="AB21" s="4" t="str">
        <v>X2</v>
      </c>
      <c r="AC21" s="4" t="e">
        <f ca="1"/>
        <v>#NAME?</v>
      </c>
      <c r="AD21" s="4" t="e">
        <f ca="1"/>
        <v>#NAME?</v>
      </c>
      <c r="AE21" s="4" t="e">
        <f ca="1">AC21/AD21</f>
        <v>#NAME?</v>
      </c>
      <c r="AF21" s="4" t="e">
        <f ca="1">TDIST(ABS(AE21),$AC$15,2)</f>
        <v>#NAME?</v>
      </c>
      <c r="AG21" s="4" t="e">
        <f ca="1">AC21-TINV(AG$12,$AC$15)*AD21</f>
        <v>#NAME?</v>
      </c>
      <c r="AH21" s="4" t="e">
        <f ca="1">AC21+TINV(AG$12,$AC$15)*AD21</f>
        <v>#NAME?</v>
      </c>
      <c r="AI21" s="4" t="e" cm="1">
        <f t="array" aca="1" ref="AI21" ca="1">VIF(X4:Y101,2)</f>
        <v>#NAME?</v>
      </c>
      <c r="AK21" s="13" t="e">
        <f ca="1"/>
        <v>#NAME?</v>
      </c>
      <c r="AL21" s="13" t="e">
        <f ca="1"/>
        <v>#NAME?</v>
      </c>
      <c r="AM21" s="13" t="e">
        <f ca="1"/>
        <v>#NAME?</v>
      </c>
    </row>
    <row r="22" spans="1:39" x14ac:dyDescent="0.35">
      <c r="A22" s="65">
        <f t="shared" si="4"/>
        <v>19</v>
      </c>
      <c r="B22">
        <v>7.1912478294921529</v>
      </c>
      <c r="D22" s="29">
        <v>1</v>
      </c>
      <c r="E22" s="13">
        <f t="shared" si="7"/>
        <v>7.1259100258620851</v>
      </c>
      <c r="F22" s="30">
        <f t="shared" si="8"/>
        <v>6.0271551265385801</v>
      </c>
      <c r="H22" s="24">
        <f t="shared" si="5"/>
        <v>7.1912478294921529</v>
      </c>
      <c r="L22">
        <f t="shared" si="0"/>
        <v>7.1912478294921529</v>
      </c>
      <c r="M22">
        <f t="shared" si="9"/>
        <v>7.2914227330897683</v>
      </c>
      <c r="N22">
        <f t="shared" si="6"/>
        <v>-0.10017490359761538</v>
      </c>
      <c r="X22" s="13">
        <f t="shared" si="1"/>
        <v>6.6826916383449895</v>
      </c>
      <c r="Y22" s="13">
        <f t="shared" si="2"/>
        <v>7.1912478294921529</v>
      </c>
      <c r="Z22" s="13">
        <f t="shared" si="3"/>
        <v>6.5721571230018965</v>
      </c>
      <c r="AK22" s="13" t="e">
        <f ca="1"/>
        <v>#NAME?</v>
      </c>
      <c r="AL22" s="13" t="e">
        <f ca="1"/>
        <v>#NAME?</v>
      </c>
      <c r="AM22" s="13" t="e">
        <f ca="1"/>
        <v>#NAME?</v>
      </c>
    </row>
    <row r="23" spans="1:39" x14ac:dyDescent="0.35">
      <c r="A23" s="65">
        <f t="shared" si="4"/>
        <v>20</v>
      </c>
      <c r="B23">
        <v>6.6826916383449895</v>
      </c>
      <c r="D23" s="29">
        <v>1</v>
      </c>
      <c r="E23" s="13">
        <f t="shared" si="7"/>
        <v>7.1912478294921529</v>
      </c>
      <c r="F23" s="30">
        <f t="shared" si="8"/>
        <v>7.1259100258620851</v>
      </c>
      <c r="H23" s="24">
        <f t="shared" si="5"/>
        <v>6.6826916383449895</v>
      </c>
      <c r="L23">
        <f t="shared" si="0"/>
        <v>6.6826916383449895</v>
      </c>
      <c r="M23">
        <f t="shared" si="9"/>
        <v>7.1469678034728474</v>
      </c>
      <c r="N23">
        <f t="shared" si="6"/>
        <v>-0.46427616512785796</v>
      </c>
      <c r="X23" s="13">
        <f t="shared" si="1"/>
        <v>6.5721571230018965</v>
      </c>
      <c r="Y23" s="13">
        <f t="shared" si="2"/>
        <v>6.6826916383449895</v>
      </c>
      <c r="Z23" s="13">
        <f t="shared" si="3"/>
        <v>6.7527389135024771</v>
      </c>
      <c r="AK23" s="13" t="e">
        <f ca="1"/>
        <v>#NAME?</v>
      </c>
      <c r="AL23" s="13" t="e">
        <f ca="1"/>
        <v>#NAME?</v>
      </c>
      <c r="AM23" s="13" t="e">
        <f ca="1"/>
        <v>#NAME?</v>
      </c>
    </row>
    <row r="24" spans="1:39" x14ac:dyDescent="0.35">
      <c r="A24" s="65">
        <f t="shared" si="4"/>
        <v>21</v>
      </c>
      <c r="B24">
        <v>6.5721571230018965</v>
      </c>
      <c r="D24" s="29">
        <v>1</v>
      </c>
      <c r="E24" s="13">
        <f t="shared" si="7"/>
        <v>6.6826916383449895</v>
      </c>
      <c r="F24" s="30">
        <f t="shared" si="8"/>
        <v>7.1912478294921529</v>
      </c>
      <c r="H24" s="24">
        <f t="shared" si="5"/>
        <v>6.5721571230018965</v>
      </c>
      <c r="L24">
        <f t="shared" si="0"/>
        <v>6.5721571230018965</v>
      </c>
      <c r="M24">
        <f t="shared" si="9"/>
        <v>6.9056968420420182</v>
      </c>
      <c r="N24">
        <f t="shared" si="6"/>
        <v>-0.3335397190401217</v>
      </c>
      <c r="X24" s="13">
        <f t="shared" si="1"/>
        <v>6.7527389135024771</v>
      </c>
      <c r="Y24" s="13">
        <f t="shared" si="2"/>
        <v>6.5721571230018965</v>
      </c>
      <c r="Z24" s="13">
        <f t="shared" si="3"/>
        <v>5.6474000535444784</v>
      </c>
      <c r="AK24" s="13" t="e">
        <f ca="1"/>
        <v>#NAME?</v>
      </c>
      <c r="AL24" s="13" t="e">
        <f ca="1"/>
        <v>#NAME?</v>
      </c>
      <c r="AM24" s="13" t="e">
        <f ca="1"/>
        <v>#NAME?</v>
      </c>
    </row>
    <row r="25" spans="1:39" ht="15" customHeight="1" x14ac:dyDescent="0.35">
      <c r="A25" s="65">
        <f t="shared" si="4"/>
        <v>22</v>
      </c>
      <c r="B25">
        <v>6.7527389135024771</v>
      </c>
      <c r="D25" s="29">
        <v>1</v>
      </c>
      <c r="E25" s="13">
        <f t="shared" si="7"/>
        <v>6.5721571230018965</v>
      </c>
      <c r="F25" s="30">
        <f t="shared" si="8"/>
        <v>6.6826916383449895</v>
      </c>
      <c r="H25" s="24">
        <f t="shared" si="5"/>
        <v>6.7527389135024771</v>
      </c>
      <c r="L25">
        <f t="shared" si="0"/>
        <v>6.7527389135024771</v>
      </c>
      <c r="M25">
        <f t="shared" si="9"/>
        <v>6.9360993405454661</v>
      </c>
      <c r="N25">
        <f t="shared" si="6"/>
        <v>-0.18336042704298894</v>
      </c>
      <c r="X25" s="13">
        <f t="shared" si="1"/>
        <v>5.6474000535444784</v>
      </c>
      <c r="Y25" s="13">
        <f t="shared" si="2"/>
        <v>6.7527389135024771</v>
      </c>
      <c r="Z25" s="13">
        <f t="shared" si="3"/>
        <v>6.4773690041963041</v>
      </c>
      <c r="AK25" s="13" t="e">
        <f ca="1"/>
        <v>#NAME?</v>
      </c>
      <c r="AL25" s="13" t="e">
        <f ca="1"/>
        <v>#NAME?</v>
      </c>
      <c r="AM25" s="13" t="e">
        <f ca="1"/>
        <v>#NAME?</v>
      </c>
    </row>
    <row r="26" spans="1:39" x14ac:dyDescent="0.35">
      <c r="A26" s="65">
        <f t="shared" si="4"/>
        <v>23</v>
      </c>
      <c r="B26">
        <v>5.6474000535444784</v>
      </c>
      <c r="D26" s="29">
        <v>1</v>
      </c>
      <c r="E26" s="13">
        <f t="shared" si="7"/>
        <v>6.7527389135024771</v>
      </c>
      <c r="F26" s="30">
        <f t="shared" si="8"/>
        <v>6.5721571230018965</v>
      </c>
      <c r="H26" s="24">
        <f t="shared" si="5"/>
        <v>5.6474000535444784</v>
      </c>
      <c r="L26">
        <f t="shared" si="0"/>
        <v>5.6474000535444784</v>
      </c>
      <c r="M26">
        <f t="shared" si="9"/>
        <v>7.0356115897538087</v>
      </c>
      <c r="N26">
        <f t="shared" si="6"/>
        <v>-1.3882115362093304</v>
      </c>
      <c r="X26" s="13">
        <f t="shared" si="1"/>
        <v>6.4773690041963041</v>
      </c>
      <c r="Y26" s="13">
        <f t="shared" si="2"/>
        <v>5.6474000535444784</v>
      </c>
      <c r="Z26" s="13">
        <f t="shared" si="3"/>
        <v>7.2903737384173564</v>
      </c>
      <c r="AK26" s="13" t="e">
        <f ca="1"/>
        <v>#NAME?</v>
      </c>
      <c r="AL26" s="13" t="e">
        <f ca="1"/>
        <v>#NAME?</v>
      </c>
      <c r="AM26" s="13" t="e">
        <f ca="1"/>
        <v>#NAME?</v>
      </c>
    </row>
    <row r="27" spans="1:39" x14ac:dyDescent="0.35">
      <c r="A27" s="65">
        <f t="shared" si="4"/>
        <v>24</v>
      </c>
      <c r="B27">
        <v>6.4773690041963041</v>
      </c>
      <c r="D27" s="29">
        <v>1</v>
      </c>
      <c r="E27" s="13">
        <f t="shared" si="7"/>
        <v>5.6474000535444784</v>
      </c>
      <c r="F27" s="30">
        <f t="shared" si="8"/>
        <v>6.7527389135024771</v>
      </c>
      <c r="H27" s="24">
        <f t="shared" si="5"/>
        <v>6.4773690041963041</v>
      </c>
      <c r="L27">
        <f t="shared" si="0"/>
        <v>6.4773690041963041</v>
      </c>
      <c r="M27">
        <f t="shared" si="9"/>
        <v>6.5051005014484105</v>
      </c>
      <c r="N27">
        <f t="shared" si="6"/>
        <v>-2.773149725210633E-2</v>
      </c>
      <c r="X27" s="13">
        <f t="shared" si="1"/>
        <v>7.2903737384173564</v>
      </c>
      <c r="Y27" s="13">
        <f t="shared" si="2"/>
        <v>6.4773690041963041</v>
      </c>
      <c r="Z27" s="13">
        <f t="shared" si="3"/>
        <v>7.8305066981653439</v>
      </c>
      <c r="AK27" s="13" t="e">
        <f ca="1"/>
        <v>#NAME?</v>
      </c>
      <c r="AL27" s="13" t="e">
        <f ca="1"/>
        <v>#NAME?</v>
      </c>
      <c r="AM27" s="13" t="e">
        <f ca="1"/>
        <v>#NAME?</v>
      </c>
    </row>
    <row r="28" spans="1:39" x14ac:dyDescent="0.35">
      <c r="A28" s="65">
        <f t="shared" si="4"/>
        <v>25</v>
      </c>
      <c r="B28">
        <v>7.2903737384173564</v>
      </c>
      <c r="D28" s="29">
        <v>1</v>
      </c>
      <c r="E28" s="13">
        <f t="shared" si="7"/>
        <v>6.4773690041963041</v>
      </c>
      <c r="F28" s="30">
        <f t="shared" si="8"/>
        <v>5.6474000535444784</v>
      </c>
      <c r="H28" s="24">
        <f t="shared" si="5"/>
        <v>7.2903737384173564</v>
      </c>
      <c r="L28">
        <f t="shared" si="0"/>
        <v>7.2903737384173564</v>
      </c>
      <c r="M28">
        <f t="shared" si="9"/>
        <v>7.0571247722528572</v>
      </c>
      <c r="N28">
        <f t="shared" si="6"/>
        <v>0.23324896616449919</v>
      </c>
      <c r="X28" s="13">
        <f t="shared" si="1"/>
        <v>7.8305066981653439</v>
      </c>
      <c r="Y28" s="13">
        <f t="shared" si="2"/>
        <v>7.2903737384173564</v>
      </c>
      <c r="Z28" s="13">
        <f t="shared" si="3"/>
        <v>7.752682958213466</v>
      </c>
      <c r="AK28" s="13" t="e">
        <f ca="1"/>
        <v>#NAME?</v>
      </c>
      <c r="AL28" s="13" t="e">
        <f ca="1"/>
        <v>#NAME?</v>
      </c>
      <c r="AM28" s="13" t="e">
        <f ca="1"/>
        <v>#NAME?</v>
      </c>
    </row>
    <row r="29" spans="1:39" x14ac:dyDescent="0.35">
      <c r="A29" s="65">
        <f t="shared" si="4"/>
        <v>26</v>
      </c>
      <c r="B29">
        <v>7.8305066981653439</v>
      </c>
      <c r="D29" s="29">
        <v>1</v>
      </c>
      <c r="E29" s="13">
        <f t="shared" si="7"/>
        <v>7.2903737384173564</v>
      </c>
      <c r="F29" s="30">
        <f t="shared" si="8"/>
        <v>6.4773690041963041</v>
      </c>
      <c r="H29" s="24">
        <f t="shared" si="5"/>
        <v>7.8305066981653439</v>
      </c>
      <c r="L29">
        <f t="shared" si="0"/>
        <v>7.8305066981653439</v>
      </c>
      <c r="M29">
        <f t="shared" si="9"/>
        <v>7.2947531573313791</v>
      </c>
      <c r="N29">
        <f t="shared" si="6"/>
        <v>0.53575354083396487</v>
      </c>
      <c r="X29" s="13">
        <f t="shared" si="1"/>
        <v>7.752682958213466</v>
      </c>
      <c r="Y29" s="13">
        <f t="shared" si="2"/>
        <v>7.8305066981653439</v>
      </c>
      <c r="Z29" s="13">
        <f t="shared" si="3"/>
        <v>5.8983792321319335</v>
      </c>
      <c r="AK29" s="13" t="e">
        <f ca="1"/>
        <v>#NAME?</v>
      </c>
      <c r="AL29" s="13" t="e">
        <f ca="1"/>
        <v>#NAME?</v>
      </c>
      <c r="AM29" s="13" t="e">
        <f ca="1"/>
        <v>#NAME?</v>
      </c>
    </row>
    <row r="30" spans="1:39" x14ac:dyDescent="0.35">
      <c r="A30" s="65">
        <f t="shared" si="4"/>
        <v>27</v>
      </c>
      <c r="B30">
        <v>7.752682958213466</v>
      </c>
      <c r="D30" s="29">
        <v>1</v>
      </c>
      <c r="E30" s="13">
        <f t="shared" si="7"/>
        <v>7.8305066981653439</v>
      </c>
      <c r="F30" s="30">
        <f t="shared" si="8"/>
        <v>7.2903737384173564</v>
      </c>
      <c r="H30" s="24">
        <f t="shared" si="5"/>
        <v>7.752682958213466</v>
      </c>
      <c r="L30">
        <f t="shared" si="0"/>
        <v>7.752682958213466</v>
      </c>
      <c r="M30">
        <f t="shared" si="9"/>
        <v>7.4111688380500542</v>
      </c>
      <c r="N30">
        <f t="shared" si="6"/>
        <v>0.34151412016341176</v>
      </c>
      <c r="X30" s="13">
        <f t="shared" si="1"/>
        <v>5.8983792321319335</v>
      </c>
      <c r="Y30" s="13">
        <f t="shared" si="2"/>
        <v>7.752682958213466</v>
      </c>
      <c r="Z30" s="13">
        <f t="shared" si="3"/>
        <v>6.9970102225736142</v>
      </c>
      <c r="AK30" s="13" t="e">
        <f ca="1"/>
        <v>#NAME?</v>
      </c>
      <c r="AL30" s="13" t="e">
        <f ca="1"/>
        <v>#NAME?</v>
      </c>
      <c r="AM30" s="13" t="e">
        <f ca="1"/>
        <v>#NAME?</v>
      </c>
    </row>
    <row r="31" spans="1:39" x14ac:dyDescent="0.35">
      <c r="A31" s="65">
        <f t="shared" si="4"/>
        <v>28</v>
      </c>
      <c r="B31">
        <v>5.8983792321319335</v>
      </c>
      <c r="D31" s="29">
        <v>1</v>
      </c>
      <c r="E31" s="13">
        <f t="shared" si="7"/>
        <v>7.752682958213466</v>
      </c>
      <c r="F31" s="30">
        <f t="shared" si="8"/>
        <v>7.8305066981653439</v>
      </c>
      <c r="H31" s="24">
        <f t="shared" si="5"/>
        <v>5.8983792321319335</v>
      </c>
      <c r="L31">
        <f t="shared" si="0"/>
        <v>5.8983792321319335</v>
      </c>
      <c r="M31">
        <f t="shared" si="9"/>
        <v>7.2902357139711249</v>
      </c>
      <c r="N31">
        <f t="shared" si="6"/>
        <v>-1.3918564818391914</v>
      </c>
      <c r="X31" s="13">
        <f t="shared" si="1"/>
        <v>6.9970102225736142</v>
      </c>
      <c r="Y31" s="13">
        <f t="shared" si="2"/>
        <v>5.8983792321319335</v>
      </c>
      <c r="Z31" s="13">
        <f t="shared" si="3"/>
        <v>7.5670361691232699</v>
      </c>
      <c r="AK31" s="13" t="e">
        <f ca="1"/>
        <v>#NAME?</v>
      </c>
      <c r="AL31" s="13" t="e">
        <f ca="1"/>
        <v>#NAME?</v>
      </c>
      <c r="AM31" s="13" t="e">
        <f ca="1"/>
        <v>#NAME?</v>
      </c>
    </row>
    <row r="32" spans="1:39" x14ac:dyDescent="0.35">
      <c r="A32" s="65">
        <f t="shared" si="4"/>
        <v>29</v>
      </c>
      <c r="B32">
        <v>6.9970102225736142</v>
      </c>
      <c r="D32" s="29">
        <v>1</v>
      </c>
      <c r="E32" s="13">
        <f t="shared" si="7"/>
        <v>5.8983792321319335</v>
      </c>
      <c r="F32" s="30">
        <f t="shared" si="8"/>
        <v>7.752682958213466</v>
      </c>
      <c r="H32" s="24">
        <f t="shared" si="5"/>
        <v>6.9970102225736142</v>
      </c>
      <c r="L32">
        <f t="shared" si="0"/>
        <v>6.9970102225736142</v>
      </c>
      <c r="M32">
        <f t="shared" si="9"/>
        <v>6.4605973150317082</v>
      </c>
      <c r="N32">
        <f t="shared" si="6"/>
        <v>0.53641290754190596</v>
      </c>
      <c r="X32" s="13">
        <f t="shared" si="1"/>
        <v>7.5670361691232699</v>
      </c>
      <c r="Y32" s="13">
        <f t="shared" si="2"/>
        <v>6.9970102225736142</v>
      </c>
      <c r="Z32" s="13">
        <f t="shared" si="3"/>
        <v>5.9325823975209193</v>
      </c>
      <c r="AK32" s="13" t="e">
        <f ca="1"/>
        <v>#NAME?</v>
      </c>
      <c r="AL32" s="13" t="e">
        <f ca="1"/>
        <v>#NAME?</v>
      </c>
      <c r="AM32" s="13" t="e">
        <f ca="1"/>
        <v>#NAME?</v>
      </c>
    </row>
    <row r="33" spans="1:39" x14ac:dyDescent="0.35">
      <c r="A33" s="65">
        <f t="shared" si="4"/>
        <v>30</v>
      </c>
      <c r="B33">
        <v>7.5670361691232699</v>
      </c>
      <c r="D33" s="29">
        <v>1</v>
      </c>
      <c r="E33" s="13">
        <f t="shared" si="7"/>
        <v>6.9970102225736142</v>
      </c>
      <c r="F33" s="30">
        <f t="shared" si="8"/>
        <v>5.8983792321319335</v>
      </c>
      <c r="H33" s="24">
        <f t="shared" si="5"/>
        <v>7.5670361691232699</v>
      </c>
      <c r="L33">
        <f t="shared" si="0"/>
        <v>7.5670361691232699</v>
      </c>
      <c r="M33">
        <f t="shared" si="9"/>
        <v>7.2533014966873308</v>
      </c>
      <c r="N33">
        <f t="shared" si="6"/>
        <v>0.31373467243593911</v>
      </c>
      <c r="X33" s="13">
        <f t="shared" si="1"/>
        <v>5.9325823975209193</v>
      </c>
      <c r="Y33" s="13">
        <f t="shared" si="2"/>
        <v>7.5670361691232699</v>
      </c>
      <c r="Z33" s="13">
        <f t="shared" si="3"/>
        <v>6.2716739845100316</v>
      </c>
      <c r="AK33" s="13" t="e">
        <f ca="1"/>
        <v>#NAME?</v>
      </c>
      <c r="AL33" s="13" t="e">
        <f ca="1"/>
        <v>#NAME?</v>
      </c>
      <c r="AM33" s="13" t="e">
        <f ca="1"/>
        <v>#NAME?</v>
      </c>
    </row>
    <row r="34" spans="1:39" x14ac:dyDescent="0.35">
      <c r="A34" s="65">
        <f t="shared" si="4"/>
        <v>31</v>
      </c>
      <c r="B34">
        <v>5.9325823975209193</v>
      </c>
      <c r="D34" s="29">
        <v>1</v>
      </c>
      <c r="E34" s="13">
        <f t="shared" si="7"/>
        <v>7.5670361691232699</v>
      </c>
      <c r="F34" s="30">
        <f t="shared" si="8"/>
        <v>6.9970102225736142</v>
      </c>
      <c r="H34" s="24">
        <f t="shared" si="5"/>
        <v>5.9325823975209193</v>
      </c>
      <c r="L34">
        <f t="shared" si="0"/>
        <v>5.9325823975209193</v>
      </c>
      <c r="M34">
        <f t="shared" si="9"/>
        <v>7.3380265810466083</v>
      </c>
      <c r="N34">
        <f t="shared" si="6"/>
        <v>-1.405444183525689</v>
      </c>
      <c r="X34" s="13">
        <f t="shared" si="1"/>
        <v>6.2716739845100316</v>
      </c>
      <c r="Y34" s="13">
        <f t="shared" si="2"/>
        <v>5.9325823975209193</v>
      </c>
      <c r="Z34" s="13">
        <f t="shared" si="3"/>
        <v>7.5927373959870117</v>
      </c>
      <c r="AK34" s="13" t="e">
        <f ca="1"/>
        <v>#NAME?</v>
      </c>
      <c r="AL34" s="13" t="e">
        <f ca="1"/>
        <v>#NAME?</v>
      </c>
      <c r="AM34" s="13" t="e">
        <f ca="1"/>
        <v>#NAME?</v>
      </c>
    </row>
    <row r="35" spans="1:39" x14ac:dyDescent="0.35">
      <c r="A35" s="65">
        <f t="shared" si="4"/>
        <v>32</v>
      </c>
      <c r="B35">
        <v>6.2716739845100316</v>
      </c>
      <c r="D35" s="29">
        <v>1</v>
      </c>
      <c r="E35" s="13">
        <f t="shared" si="7"/>
        <v>5.9325823975209193</v>
      </c>
      <c r="F35" s="30">
        <f t="shared" si="8"/>
        <v>7.5670361691232699</v>
      </c>
      <c r="H35" s="24">
        <f t="shared" si="5"/>
        <v>6.2716739845100316</v>
      </c>
      <c r="L35">
        <f t="shared" si="0"/>
        <v>6.2716739845100316</v>
      </c>
      <c r="M35">
        <f t="shared" si="9"/>
        <v>6.5055476279778395</v>
      </c>
      <c r="N35">
        <f t="shared" si="6"/>
        <v>-0.23387364346780792</v>
      </c>
      <c r="X35" s="13">
        <f t="shared" si="1"/>
        <v>7.5927373959870117</v>
      </c>
      <c r="Y35" s="13">
        <f t="shared" si="2"/>
        <v>6.2716739845100316</v>
      </c>
      <c r="Z35" s="13">
        <f t="shared" si="3"/>
        <v>7.0772059138076351</v>
      </c>
      <c r="AK35" s="13" t="e">
        <f ca="1"/>
        <v>#NAME?</v>
      </c>
      <c r="AL35" s="13" t="e">
        <f ca="1"/>
        <v>#NAME?</v>
      </c>
      <c r="AM35" s="13" t="e">
        <f ca="1"/>
        <v>#NAME?</v>
      </c>
    </row>
    <row r="36" spans="1:39" x14ac:dyDescent="0.35">
      <c r="A36" s="65">
        <f t="shared" si="4"/>
        <v>33</v>
      </c>
      <c r="B36">
        <v>7.5927373959870117</v>
      </c>
      <c r="D36" s="29">
        <v>1</v>
      </c>
      <c r="E36" s="13">
        <f t="shared" si="7"/>
        <v>6.2716739845100316</v>
      </c>
      <c r="F36" s="30">
        <f t="shared" si="8"/>
        <v>5.9325823975209193</v>
      </c>
      <c r="H36" s="24">
        <f t="shared" si="5"/>
        <v>7.5927373959870117</v>
      </c>
      <c r="L36">
        <f t="shared" si="0"/>
        <v>7.5927373959870117</v>
      </c>
      <c r="M36">
        <f t="shared" si="9"/>
        <v>6.9185326494880135</v>
      </c>
      <c r="N36">
        <f t="shared" si="6"/>
        <v>0.6742047464989982</v>
      </c>
      <c r="X36" s="13">
        <f t="shared" si="1"/>
        <v>7.0772059138076351</v>
      </c>
      <c r="Y36" s="13">
        <f t="shared" si="2"/>
        <v>7.5927373959870117</v>
      </c>
      <c r="Z36" s="13">
        <f t="shared" si="3"/>
        <v>7.2335411603542905</v>
      </c>
      <c r="AK36" s="13" t="e">
        <f ca="1"/>
        <v>#NAME?</v>
      </c>
      <c r="AL36" s="13" t="e">
        <f ca="1"/>
        <v>#NAME?</v>
      </c>
      <c r="AM36" s="13" t="e">
        <f ca="1"/>
        <v>#NAME?</v>
      </c>
    </row>
    <row r="37" spans="1:39" x14ac:dyDescent="0.35">
      <c r="A37" s="65">
        <f t="shared" si="4"/>
        <v>34</v>
      </c>
      <c r="B37">
        <v>7.0772059138076351</v>
      </c>
      <c r="D37" s="29">
        <v>1</v>
      </c>
      <c r="E37" s="13">
        <f t="shared" si="7"/>
        <v>7.5927373959870117</v>
      </c>
      <c r="F37" s="30">
        <f t="shared" si="8"/>
        <v>6.2716739845100316</v>
      </c>
      <c r="H37" s="24">
        <f t="shared" si="5"/>
        <v>7.0772059138076351</v>
      </c>
      <c r="L37">
        <f t="shared" si="0"/>
        <v>7.0772059138076351</v>
      </c>
      <c r="M37">
        <f t="shared" si="9"/>
        <v>7.4646424089429075</v>
      </c>
      <c r="N37">
        <f t="shared" si="6"/>
        <v>-0.38743649513527245</v>
      </c>
      <c r="X37" s="13">
        <f t="shared" si="1"/>
        <v>7.2335411603542905</v>
      </c>
      <c r="Y37" s="13">
        <f t="shared" si="2"/>
        <v>7.0772059138076351</v>
      </c>
      <c r="Z37" s="13">
        <f t="shared" si="3"/>
        <v>9.2815947650947983</v>
      </c>
      <c r="AK37" s="13" t="e">
        <f ca="1"/>
        <v>#NAME?</v>
      </c>
      <c r="AL37" s="13" t="e">
        <f ca="1"/>
        <v>#NAME?</v>
      </c>
      <c r="AM37" s="13" t="e">
        <f ca="1"/>
        <v>#NAME?</v>
      </c>
    </row>
    <row r="38" spans="1:39" x14ac:dyDescent="0.35">
      <c r="A38" s="65">
        <f t="shared" si="4"/>
        <v>35</v>
      </c>
      <c r="B38">
        <v>7.2335411603542905</v>
      </c>
      <c r="D38" s="29">
        <v>1</v>
      </c>
      <c r="E38" s="13">
        <f t="shared" si="7"/>
        <v>7.0772059138076351</v>
      </c>
      <c r="F38" s="30">
        <f t="shared" si="8"/>
        <v>7.5927373959870117</v>
      </c>
      <c r="H38" s="24">
        <f t="shared" si="5"/>
        <v>7.2335411603542905</v>
      </c>
      <c r="L38">
        <f t="shared" si="0"/>
        <v>7.2335411603542905</v>
      </c>
      <c r="M38">
        <f t="shared" si="9"/>
        <v>7.0212062536610373</v>
      </c>
      <c r="N38">
        <f t="shared" si="6"/>
        <v>0.21233490669325317</v>
      </c>
      <c r="X38" s="13">
        <f t="shared" si="1"/>
        <v>9.2815947650947983</v>
      </c>
      <c r="Y38" s="13">
        <f t="shared" si="2"/>
        <v>7.2335411603542905</v>
      </c>
      <c r="Z38" s="13">
        <f t="shared" si="3"/>
        <v>8.1261550928644262</v>
      </c>
      <c r="AK38" s="13" t="e">
        <f ca="1"/>
        <v>#NAME?</v>
      </c>
      <c r="AL38" s="13" t="e">
        <f ca="1"/>
        <v>#NAME?</v>
      </c>
      <c r="AM38" s="13" t="e">
        <f ca="1"/>
        <v>#NAME?</v>
      </c>
    </row>
    <row r="39" spans="1:39" x14ac:dyDescent="0.35">
      <c r="A39" s="65">
        <f t="shared" si="4"/>
        <v>36</v>
      </c>
      <c r="B39">
        <v>9.2815947650947983</v>
      </c>
      <c r="D39" s="29">
        <v>1</v>
      </c>
      <c r="E39" s="13">
        <f t="shared" si="7"/>
        <v>7.2335411603542905</v>
      </c>
      <c r="F39" s="30">
        <f t="shared" si="8"/>
        <v>7.0772059138076351</v>
      </c>
      <c r="H39" s="24">
        <f t="shared" si="5"/>
        <v>9.2815947650947983</v>
      </c>
      <c r="L39">
        <f t="shared" si="0"/>
        <v>9.2815947650947983</v>
      </c>
      <c r="M39">
        <f t="shared" si="9"/>
        <v>7.1738899161898919</v>
      </c>
      <c r="N39">
        <f t="shared" si="6"/>
        <v>2.1077048489049064</v>
      </c>
      <c r="X39" s="13">
        <f t="shared" si="1"/>
        <v>8.1261550928644262</v>
      </c>
      <c r="Y39" s="13">
        <f t="shared" si="2"/>
        <v>9.2815947650947983</v>
      </c>
      <c r="Z39" s="13">
        <f t="shared" si="3"/>
        <v>7.4739429418675778</v>
      </c>
      <c r="AK39" s="13" t="e">
        <f ca="1"/>
        <v>#NAME?</v>
      </c>
      <c r="AL39" s="13" t="e">
        <f ca="1"/>
        <v>#NAME?</v>
      </c>
      <c r="AM39" s="13" t="e">
        <f ca="1"/>
        <v>#NAME?</v>
      </c>
    </row>
    <row r="40" spans="1:39" x14ac:dyDescent="0.35">
      <c r="A40" s="65">
        <f t="shared" si="4"/>
        <v>37</v>
      </c>
      <c r="B40">
        <v>8.1261550928644262</v>
      </c>
      <c r="D40" s="29">
        <v>1</v>
      </c>
      <c r="E40" s="13">
        <f t="shared" si="7"/>
        <v>9.2815947650947983</v>
      </c>
      <c r="F40" s="30">
        <f t="shared" si="8"/>
        <v>7.2335411603542905</v>
      </c>
      <c r="H40" s="24">
        <f t="shared" si="5"/>
        <v>8.1261550928644262</v>
      </c>
      <c r="L40">
        <f t="shared" si="0"/>
        <v>8.1261550928644262</v>
      </c>
      <c r="M40">
        <f t="shared" si="9"/>
        <v>8.0790611155233716</v>
      </c>
      <c r="N40">
        <f t="shared" si="6"/>
        <v>4.7093977341054583E-2</v>
      </c>
      <c r="X40" s="13">
        <f t="shared" si="1"/>
        <v>7.4739429418675778</v>
      </c>
      <c r="Y40" s="13">
        <f t="shared" si="2"/>
        <v>8.1261550928644262</v>
      </c>
      <c r="Z40" s="13">
        <f t="shared" si="3"/>
        <v>5.8482842063827345</v>
      </c>
      <c r="AK40" s="13" t="e">
        <f ca="1"/>
        <v>#NAME?</v>
      </c>
      <c r="AL40" s="13" t="e">
        <f ca="1"/>
        <v>#NAME?</v>
      </c>
      <c r="AM40" s="13" t="e">
        <f ca="1"/>
        <v>#NAME?</v>
      </c>
    </row>
    <row r="41" spans="1:39" x14ac:dyDescent="0.35">
      <c r="A41" s="65">
        <f t="shared" si="4"/>
        <v>38</v>
      </c>
      <c r="B41">
        <v>7.4739429418675778</v>
      </c>
      <c r="D41" s="29">
        <v>1</v>
      </c>
      <c r="E41" s="13">
        <f t="shared" si="7"/>
        <v>8.1261550928644262</v>
      </c>
      <c r="F41" s="30">
        <f t="shared" si="8"/>
        <v>9.2815947650947983</v>
      </c>
      <c r="H41" s="24">
        <f t="shared" si="5"/>
        <v>7.4739429418675778</v>
      </c>
      <c r="L41">
        <f t="shared" si="0"/>
        <v>7.4739429418675778</v>
      </c>
      <c r="M41">
        <f t="shared" si="9"/>
        <v>7.2298581680913578</v>
      </c>
      <c r="N41">
        <f t="shared" si="6"/>
        <v>0.24408477377621995</v>
      </c>
      <c r="X41" s="13">
        <f t="shared" si="1"/>
        <v>5.8482842063827345</v>
      </c>
      <c r="Y41" s="13">
        <f t="shared" si="2"/>
        <v>7.4739429418675778</v>
      </c>
      <c r="Z41" s="13">
        <f t="shared" si="3"/>
        <v>4.9087410222113919</v>
      </c>
      <c r="AK41" s="13" t="e">
        <f ca="1"/>
        <v>#NAME?</v>
      </c>
      <c r="AL41" s="13" t="e">
        <f ca="1"/>
        <v>#NAME?</v>
      </c>
      <c r="AM41" s="13" t="e">
        <f ca="1"/>
        <v>#NAME?</v>
      </c>
    </row>
    <row r="42" spans="1:39" x14ac:dyDescent="0.35">
      <c r="A42" s="65">
        <f t="shared" si="4"/>
        <v>39</v>
      </c>
      <c r="B42">
        <v>5.8482842063827345</v>
      </c>
      <c r="D42" s="29">
        <v>1</v>
      </c>
      <c r="E42" s="13">
        <f t="shared" si="7"/>
        <v>7.4739429418675778</v>
      </c>
      <c r="F42" s="30">
        <f t="shared" si="8"/>
        <v>8.1261550928644262</v>
      </c>
      <c r="H42" s="24">
        <f t="shared" si="5"/>
        <v>5.8482842063827345</v>
      </c>
      <c r="L42">
        <f t="shared" si="0"/>
        <v>5.8482842063827345</v>
      </c>
      <c r="M42">
        <f t="shared" si="9"/>
        <v>7.1168179557521709</v>
      </c>
      <c r="N42">
        <f t="shared" si="6"/>
        <v>-1.2685337493694364</v>
      </c>
      <c r="X42" s="13">
        <f t="shared" si="1"/>
        <v>4.9087410222113919</v>
      </c>
      <c r="Y42" s="13">
        <f t="shared" si="2"/>
        <v>5.8482842063827345</v>
      </c>
      <c r="Z42" s="13">
        <f t="shared" si="3"/>
        <v>8.5560009883684138</v>
      </c>
      <c r="AK42" s="13" t="e">
        <f ca="1"/>
        <v>#NAME?</v>
      </c>
      <c r="AL42" s="13" t="e">
        <f ca="1"/>
        <v>#NAME?</v>
      </c>
      <c r="AM42" s="13" t="e">
        <f ca="1"/>
        <v>#NAME?</v>
      </c>
    </row>
    <row r="43" spans="1:39" x14ac:dyDescent="0.35">
      <c r="A43" s="65">
        <f t="shared" si="4"/>
        <v>40</v>
      </c>
      <c r="B43">
        <v>4.9087410222113919</v>
      </c>
      <c r="D43" s="29">
        <v>1</v>
      </c>
      <c r="E43" s="13">
        <f t="shared" si="7"/>
        <v>5.8482842063827345</v>
      </c>
      <c r="F43" s="30">
        <f t="shared" si="8"/>
        <v>7.4739429418675778</v>
      </c>
      <c r="H43" s="24">
        <f t="shared" si="5"/>
        <v>4.9087410222113919</v>
      </c>
      <c r="L43">
        <f t="shared" si="0"/>
        <v>4.9087410222113919</v>
      </c>
      <c r="M43">
        <f t="shared" si="9"/>
        <v>6.4820236267387319</v>
      </c>
      <c r="N43">
        <f t="shared" si="6"/>
        <v>-1.57328260452734</v>
      </c>
      <c r="X43" s="13">
        <f t="shared" si="1"/>
        <v>8.5560009883684138</v>
      </c>
      <c r="Y43" s="13">
        <f t="shared" si="2"/>
        <v>4.9087410222113919</v>
      </c>
      <c r="Z43" s="13">
        <f t="shared" si="3"/>
        <v>8.7745309133389373</v>
      </c>
      <c r="AK43" s="13" t="e">
        <f ca="1"/>
        <v>#NAME?</v>
      </c>
      <c r="AL43" s="13" t="e">
        <f ca="1"/>
        <v>#NAME?</v>
      </c>
      <c r="AM43" s="13" t="e">
        <f ca="1"/>
        <v>#NAME?</v>
      </c>
    </row>
    <row r="44" spans="1:39" x14ac:dyDescent="0.35">
      <c r="A44" s="65">
        <f t="shared" si="4"/>
        <v>41</v>
      </c>
      <c r="B44">
        <v>8.5560009883684138</v>
      </c>
      <c r="D44" s="29">
        <v>1</v>
      </c>
      <c r="E44" s="13">
        <f t="shared" si="7"/>
        <v>4.9087410222113919</v>
      </c>
      <c r="F44" s="30">
        <f t="shared" si="8"/>
        <v>5.8482842063827345</v>
      </c>
      <c r="H44" s="24">
        <f t="shared" si="5"/>
        <v>8.5560009883684138</v>
      </c>
      <c r="L44">
        <f t="shared" si="0"/>
        <v>8.5560009883684138</v>
      </c>
      <c r="M44">
        <f t="shared" si="9"/>
        <v>6.3130337173154043</v>
      </c>
      <c r="N44">
        <f t="shared" si="6"/>
        <v>2.2429672710530095</v>
      </c>
      <c r="X44" s="13">
        <f t="shared" si="1"/>
        <v>8.7745309133389373</v>
      </c>
      <c r="Y44" s="13">
        <f t="shared" si="2"/>
        <v>8.5560009883684138</v>
      </c>
      <c r="Z44" s="13">
        <f t="shared" si="3"/>
        <v>7.5376775568876386</v>
      </c>
      <c r="AK44" s="13" t="e">
        <f ca="1"/>
        <v>#NAME?</v>
      </c>
      <c r="AL44" s="13" t="e">
        <f ca="1"/>
        <v>#NAME?</v>
      </c>
      <c r="AM44" s="13" t="e">
        <f ca="1"/>
        <v>#NAME?</v>
      </c>
    </row>
    <row r="45" spans="1:39" x14ac:dyDescent="0.35">
      <c r="A45" s="65">
        <f t="shared" si="4"/>
        <v>42</v>
      </c>
      <c r="B45">
        <v>8.7745309133389373</v>
      </c>
      <c r="D45" s="29">
        <v>1</v>
      </c>
      <c r="E45" s="13">
        <f t="shared" si="7"/>
        <v>8.5560009883684138</v>
      </c>
      <c r="F45" s="30">
        <f t="shared" si="8"/>
        <v>4.9087410222113919</v>
      </c>
      <c r="H45" s="24">
        <f t="shared" si="5"/>
        <v>8.7745309133389373</v>
      </c>
      <c r="L45">
        <f t="shared" si="0"/>
        <v>8.7745309133389373</v>
      </c>
      <c r="M45">
        <f t="shared" si="9"/>
        <v>8.1180124684594599</v>
      </c>
      <c r="N45">
        <f t="shared" si="6"/>
        <v>0.65651844487947741</v>
      </c>
      <c r="X45" s="13">
        <f t="shared" si="1"/>
        <v>7.5376775568876386</v>
      </c>
      <c r="Y45" s="13">
        <f t="shared" si="2"/>
        <v>8.7745309133389373</v>
      </c>
      <c r="Z45" s="13">
        <f t="shared" si="3"/>
        <v>8.2711357692560838</v>
      </c>
      <c r="AK45" s="13" t="e">
        <f ca="1"/>
        <v>#NAME?</v>
      </c>
      <c r="AL45" s="13" t="e">
        <f ca="1"/>
        <v>#NAME?</v>
      </c>
      <c r="AM45" s="13" t="e">
        <f ca="1"/>
        <v>#NAME?</v>
      </c>
    </row>
    <row r="46" spans="1:39" x14ac:dyDescent="0.35">
      <c r="A46" s="65">
        <f t="shared" si="4"/>
        <v>43</v>
      </c>
      <c r="B46">
        <v>7.5376775568876386</v>
      </c>
      <c r="D46" s="29">
        <v>1</v>
      </c>
      <c r="E46" s="13">
        <f t="shared" si="7"/>
        <v>8.7745309133389373</v>
      </c>
      <c r="F46" s="30">
        <f t="shared" si="8"/>
        <v>8.5560009883684138</v>
      </c>
      <c r="H46" s="24">
        <f t="shared" si="5"/>
        <v>7.5376775568876386</v>
      </c>
      <c r="L46">
        <f t="shared" si="0"/>
        <v>7.5376775568876386</v>
      </c>
      <c r="M46">
        <f t="shared" si="9"/>
        <v>7.6392485070801559</v>
      </c>
      <c r="N46">
        <f t="shared" si="6"/>
        <v>-0.10157095019251727</v>
      </c>
      <c r="X46" s="13">
        <f t="shared" si="1"/>
        <v>8.2711357692560838</v>
      </c>
      <c r="Y46" s="13">
        <f t="shared" si="2"/>
        <v>7.5376775568876386</v>
      </c>
      <c r="Z46" s="13">
        <f t="shared" si="3"/>
        <v>9.6160924400361214</v>
      </c>
      <c r="AK46" s="13" t="e">
        <f ca="1"/>
        <v>#NAME?</v>
      </c>
      <c r="AL46" s="13" t="e">
        <f ca="1"/>
        <v>#NAME?</v>
      </c>
      <c r="AM46" s="13" t="e">
        <f ca="1"/>
        <v>#NAME?</v>
      </c>
    </row>
    <row r="47" spans="1:39" x14ac:dyDescent="0.35">
      <c r="A47" s="65">
        <f t="shared" si="4"/>
        <v>44</v>
      </c>
      <c r="B47">
        <v>8.2711357692560838</v>
      </c>
      <c r="D47" s="29">
        <v>1</v>
      </c>
      <c r="E47" s="13">
        <f t="shared" si="7"/>
        <v>7.5376775568876386</v>
      </c>
      <c r="F47" s="30">
        <f t="shared" si="8"/>
        <v>8.7745309133389373</v>
      </c>
      <c r="H47" s="24">
        <f t="shared" si="5"/>
        <v>8.2711357692560838</v>
      </c>
      <c r="L47">
        <f t="shared" si="0"/>
        <v>8.2711357692560838</v>
      </c>
      <c r="M47">
        <f t="shared" si="9"/>
        <v>7.0430077732572354</v>
      </c>
      <c r="N47">
        <f t="shared" si="6"/>
        <v>1.2281279959988485</v>
      </c>
      <c r="X47" s="13">
        <f t="shared" si="1"/>
        <v>9.6160924400361214</v>
      </c>
      <c r="Y47" s="13">
        <f t="shared" si="2"/>
        <v>8.2711357692560838</v>
      </c>
      <c r="Z47" s="13">
        <f t="shared" si="3"/>
        <v>9.1199492250703216</v>
      </c>
      <c r="AK47" s="13" t="e">
        <f ca="1"/>
        <v>#NAME?</v>
      </c>
      <c r="AL47" s="13" t="e">
        <f ca="1"/>
        <v>#NAME?</v>
      </c>
      <c r="AM47" s="13" t="e">
        <f ca="1"/>
        <v>#NAME?</v>
      </c>
    </row>
    <row r="48" spans="1:39" x14ac:dyDescent="0.35">
      <c r="A48" s="65">
        <f t="shared" si="4"/>
        <v>45</v>
      </c>
      <c r="B48">
        <v>9.6160924400361214</v>
      </c>
      <c r="D48" s="29">
        <v>1</v>
      </c>
      <c r="E48" s="13">
        <f t="shared" si="7"/>
        <v>8.2711357692560838</v>
      </c>
      <c r="F48" s="30">
        <f t="shared" si="8"/>
        <v>7.5376775568876386</v>
      </c>
      <c r="H48" s="24">
        <f t="shared" si="5"/>
        <v>9.6160924400361214</v>
      </c>
      <c r="L48">
        <f t="shared" si="0"/>
        <v>9.6160924400361214</v>
      </c>
      <c r="M48">
        <f t="shared" si="9"/>
        <v>7.5720514874147193</v>
      </c>
      <c r="N48">
        <f t="shared" si="6"/>
        <v>2.0440409526214021</v>
      </c>
      <c r="X48" s="13">
        <f t="shared" si="1"/>
        <v>9.1199492250703216</v>
      </c>
      <c r="Y48" s="13">
        <f t="shared" si="2"/>
        <v>9.6160924400361214</v>
      </c>
      <c r="Z48" s="13">
        <f t="shared" si="3"/>
        <v>7.573939957780266</v>
      </c>
      <c r="AK48" s="13" t="e">
        <f ca="1"/>
        <v>#NAME?</v>
      </c>
      <c r="AL48" s="13" t="e">
        <f ca="1"/>
        <v>#NAME?</v>
      </c>
      <c r="AM48" s="13" t="e">
        <f ca="1"/>
        <v>#NAME?</v>
      </c>
    </row>
    <row r="49" spans="1:39" x14ac:dyDescent="0.35">
      <c r="A49" s="65">
        <f t="shared" si="4"/>
        <v>46</v>
      </c>
      <c r="B49">
        <v>9.1199492250703216</v>
      </c>
      <c r="D49" s="29">
        <v>1</v>
      </c>
      <c r="E49" s="13">
        <f t="shared" si="7"/>
        <v>9.6160924400361214</v>
      </c>
      <c r="F49" s="30">
        <f t="shared" si="8"/>
        <v>8.2711357692560838</v>
      </c>
      <c r="H49" s="24">
        <f t="shared" si="5"/>
        <v>9.1199492250703216</v>
      </c>
      <c r="L49">
        <f t="shared" si="0"/>
        <v>9.1199492250703216</v>
      </c>
      <c r="M49">
        <f t="shared" si="9"/>
        <v>8.0665140366771304</v>
      </c>
      <c r="N49">
        <f t="shared" si="6"/>
        <v>1.0534351883931912</v>
      </c>
      <c r="X49" s="13">
        <f t="shared" si="1"/>
        <v>7.573939957780266</v>
      </c>
      <c r="Y49" s="13">
        <f t="shared" si="2"/>
        <v>9.1199492250703216</v>
      </c>
      <c r="Z49" s="13">
        <f t="shared" si="3"/>
        <v>8.0172610519511434</v>
      </c>
      <c r="AK49" s="13" t="e">
        <f ca="1"/>
        <v>#NAME?</v>
      </c>
      <c r="AL49" s="13" t="e">
        <f ca="1"/>
        <v>#NAME?</v>
      </c>
      <c r="AM49" s="13" t="e">
        <f ca="1"/>
        <v>#NAME?</v>
      </c>
    </row>
    <row r="50" spans="1:39" x14ac:dyDescent="0.35">
      <c r="A50" s="65">
        <f t="shared" si="4"/>
        <v>47</v>
      </c>
      <c r="B50">
        <v>7.573939957780266</v>
      </c>
      <c r="D50" s="29">
        <v>1</v>
      </c>
      <c r="E50" s="13">
        <f t="shared" si="7"/>
        <v>9.1199492250703216</v>
      </c>
      <c r="F50" s="30">
        <f t="shared" si="8"/>
        <v>9.6160924400361214</v>
      </c>
      <c r="H50" s="24">
        <f t="shared" si="5"/>
        <v>7.573939957780266</v>
      </c>
      <c r="L50">
        <f t="shared" si="0"/>
        <v>7.573939957780266</v>
      </c>
      <c r="M50">
        <f t="shared" si="9"/>
        <v>7.628094958119199</v>
      </c>
      <c r="N50">
        <f t="shared" si="6"/>
        <v>-5.4155000338933057E-2</v>
      </c>
      <c r="X50" s="13">
        <f t="shared" si="1"/>
        <v>8.0172610519511434</v>
      </c>
      <c r="Y50" s="13">
        <f t="shared" si="2"/>
        <v>7.573939957780266</v>
      </c>
      <c r="Z50" s="13">
        <f t="shared" si="3"/>
        <v>6.7179685412903414</v>
      </c>
      <c r="AK50" s="13" t="e">
        <f ca="1"/>
        <v>#NAME?</v>
      </c>
      <c r="AL50" s="13" t="e">
        <f ca="1"/>
        <v>#NAME?</v>
      </c>
      <c r="AM50" s="13" t="e">
        <f ca="1"/>
        <v>#NAME?</v>
      </c>
    </row>
    <row r="51" spans="1:39" x14ac:dyDescent="0.35">
      <c r="A51" s="65">
        <f t="shared" si="4"/>
        <v>48</v>
      </c>
      <c r="B51">
        <v>8.0172610519511434</v>
      </c>
      <c r="D51" s="29">
        <v>1</v>
      </c>
      <c r="E51" s="13">
        <f t="shared" si="7"/>
        <v>7.573939957780266</v>
      </c>
      <c r="F51" s="30">
        <f t="shared" si="8"/>
        <v>9.1199492250703216</v>
      </c>
      <c r="H51" s="24">
        <f t="shared" si="5"/>
        <v>8.0172610519511434</v>
      </c>
      <c r="L51">
        <f t="shared" si="0"/>
        <v>8.0172610519511434</v>
      </c>
      <c r="M51">
        <f t="shared" si="9"/>
        <v>7.0047338980457896</v>
      </c>
      <c r="N51">
        <f t="shared" si="6"/>
        <v>1.0125271539053537</v>
      </c>
      <c r="X51" s="13">
        <f t="shared" si="1"/>
        <v>6.7179685412903414</v>
      </c>
      <c r="Y51" s="13">
        <f t="shared" si="2"/>
        <v>8.0172610519511434</v>
      </c>
      <c r="Z51" s="13">
        <f t="shared" si="3"/>
        <v>7.6314476483008358</v>
      </c>
      <c r="AK51" s="13" t="e">
        <f ca="1"/>
        <v>#NAME?</v>
      </c>
      <c r="AL51" s="13" t="e">
        <f ca="1"/>
        <v>#NAME?</v>
      </c>
      <c r="AM51" s="13" t="e">
        <f ca="1"/>
        <v>#NAME?</v>
      </c>
    </row>
    <row r="52" spans="1:39" x14ac:dyDescent="0.35">
      <c r="A52" s="65">
        <f t="shared" si="4"/>
        <v>49</v>
      </c>
      <c r="B52">
        <v>6.7179685412903414</v>
      </c>
      <c r="D52" s="29">
        <v>1</v>
      </c>
      <c r="E52" s="13">
        <f t="shared" si="7"/>
        <v>8.0172610519511434</v>
      </c>
      <c r="F52" s="30">
        <f t="shared" si="8"/>
        <v>7.573939957780266</v>
      </c>
      <c r="H52" s="24">
        <f t="shared" si="5"/>
        <v>6.7179685412903414</v>
      </c>
      <c r="L52">
        <f t="shared" si="0"/>
        <v>6.7179685412903414</v>
      </c>
      <c r="M52">
        <f t="shared" si="9"/>
        <v>7.4510296952141859</v>
      </c>
      <c r="N52">
        <f t="shared" si="6"/>
        <v>-0.73306115392384452</v>
      </c>
      <c r="X52" s="13">
        <f t="shared" si="1"/>
        <v>7.6314476483008358</v>
      </c>
      <c r="Y52" s="13">
        <f t="shared" si="2"/>
        <v>6.7179685412903414</v>
      </c>
      <c r="Z52" s="13">
        <f t="shared" si="3"/>
        <v>6.9543572952914339</v>
      </c>
      <c r="AK52" s="13" t="e">
        <f ca="1"/>
        <v>#NAME?</v>
      </c>
      <c r="AL52" s="13" t="e">
        <f ca="1"/>
        <v>#NAME?</v>
      </c>
      <c r="AM52" s="13" t="e">
        <f ca="1"/>
        <v>#NAME?</v>
      </c>
    </row>
    <row r="53" spans="1:39" x14ac:dyDescent="0.35">
      <c r="A53" s="65">
        <f t="shared" si="4"/>
        <v>50</v>
      </c>
      <c r="B53">
        <v>7.6314476483008358</v>
      </c>
      <c r="D53" s="29">
        <v>1</v>
      </c>
      <c r="E53" s="13">
        <f t="shared" si="7"/>
        <v>6.7179685412903414</v>
      </c>
      <c r="F53" s="30">
        <f t="shared" si="8"/>
        <v>8.0172610519511434</v>
      </c>
      <c r="H53" s="24">
        <f t="shared" si="5"/>
        <v>7.6314476483008358</v>
      </c>
      <c r="L53">
        <f t="shared" si="0"/>
        <v>7.6314476483008358</v>
      </c>
      <c r="M53">
        <f t="shared" si="9"/>
        <v>6.7908144138115709</v>
      </c>
      <c r="N53">
        <f t="shared" si="6"/>
        <v>0.84063323448926486</v>
      </c>
      <c r="X53" s="13">
        <f t="shared" si="1"/>
        <v>6.9543572952914339</v>
      </c>
      <c r="Y53" s="13">
        <f t="shared" si="2"/>
        <v>7.6314476483008358</v>
      </c>
      <c r="Z53" s="13">
        <f t="shared" si="3"/>
        <v>6.6084855817594015</v>
      </c>
      <c r="AK53" s="13" t="e">
        <f ca="1"/>
        <v>#NAME?</v>
      </c>
      <c r="AL53" s="13" t="e">
        <f ca="1"/>
        <v>#NAME?</v>
      </c>
      <c r="AM53" s="13" t="e">
        <f ca="1"/>
        <v>#NAME?</v>
      </c>
    </row>
    <row r="54" spans="1:39" x14ac:dyDescent="0.35">
      <c r="A54" s="65">
        <f t="shared" si="4"/>
        <v>51</v>
      </c>
      <c r="B54">
        <v>6.9543572952914339</v>
      </c>
      <c r="D54" s="29">
        <v>1</v>
      </c>
      <c r="E54" s="13">
        <f t="shared" si="7"/>
        <v>7.6314476483008358</v>
      </c>
      <c r="F54" s="30">
        <f t="shared" si="8"/>
        <v>6.7179685412903414</v>
      </c>
      <c r="H54" s="24">
        <f t="shared" si="5"/>
        <v>6.9543572952914339</v>
      </c>
      <c r="L54">
        <f t="shared" si="0"/>
        <v>6.9543572952914339</v>
      </c>
      <c r="M54">
        <f t="shared" si="9"/>
        <v>7.4114939030650016</v>
      </c>
      <c r="N54">
        <f t="shared" si="6"/>
        <v>-0.45713660777356768</v>
      </c>
      <c r="X54" s="13">
        <f t="shared" si="1"/>
        <v>6.6084855817594015</v>
      </c>
      <c r="Y54" s="13">
        <f t="shared" si="2"/>
        <v>6.9543572952914339</v>
      </c>
      <c r="Z54" s="13">
        <f t="shared" si="3"/>
        <v>6.4501230805655911</v>
      </c>
      <c r="AK54" s="13" t="e">
        <f ca="1"/>
        <v>#NAME?</v>
      </c>
      <c r="AL54" s="13" t="e">
        <f ca="1"/>
        <v>#NAME?</v>
      </c>
      <c r="AM54" s="13" t="e">
        <f ca="1"/>
        <v>#NAME?</v>
      </c>
    </row>
    <row r="55" spans="1:39" x14ac:dyDescent="0.35">
      <c r="A55" s="65">
        <f t="shared" si="4"/>
        <v>52</v>
      </c>
      <c r="B55">
        <v>6.6084855817594015</v>
      </c>
      <c r="D55" s="29">
        <v>1</v>
      </c>
      <c r="E55" s="13">
        <f t="shared" si="7"/>
        <v>6.9543572952914339</v>
      </c>
      <c r="F55" s="30">
        <f t="shared" si="8"/>
        <v>7.6314476483008358</v>
      </c>
      <c r="H55" s="24">
        <f t="shared" si="5"/>
        <v>6.6084855817594015</v>
      </c>
      <c r="L55">
        <f t="shared" si="0"/>
        <v>6.6084855817594015</v>
      </c>
      <c r="M55">
        <f t="shared" si="9"/>
        <v>6.9592906908225745</v>
      </c>
      <c r="N55">
        <f t="shared" si="6"/>
        <v>-0.35080510906317297</v>
      </c>
      <c r="X55" s="13">
        <f t="shared" si="1"/>
        <v>6.4501230805655911</v>
      </c>
      <c r="Y55" s="13">
        <f t="shared" si="2"/>
        <v>6.6084855817594015</v>
      </c>
      <c r="Z55" s="13">
        <f t="shared" si="3"/>
        <v>7.6879119027649709</v>
      </c>
      <c r="AK55" s="13" t="e">
        <f ca="1"/>
        <v>#NAME?</v>
      </c>
      <c r="AL55" s="13" t="e">
        <f ca="1"/>
        <v>#NAME?</v>
      </c>
      <c r="AM55" s="13" t="e">
        <f ca="1"/>
        <v>#NAME?</v>
      </c>
    </row>
    <row r="56" spans="1:39" x14ac:dyDescent="0.35">
      <c r="A56" s="65">
        <f t="shared" si="4"/>
        <v>53</v>
      </c>
      <c r="B56">
        <v>6.4501230805655911</v>
      </c>
      <c r="D56" s="29">
        <v>1</v>
      </c>
      <c r="E56" s="13">
        <f t="shared" si="7"/>
        <v>6.6084855817594015</v>
      </c>
      <c r="F56" s="30">
        <f t="shared" si="8"/>
        <v>6.9543572952914339</v>
      </c>
      <c r="H56" s="24">
        <f t="shared" si="5"/>
        <v>6.4501230805655911</v>
      </c>
      <c r="L56">
        <f t="shared" si="0"/>
        <v>6.4501230805655911</v>
      </c>
      <c r="M56">
        <f t="shared" si="9"/>
        <v>6.9095432269975632</v>
      </c>
      <c r="N56">
        <f t="shared" si="6"/>
        <v>-0.45942014643197204</v>
      </c>
      <c r="X56" s="13">
        <f t="shared" si="1"/>
        <v>7.6879119027649709</v>
      </c>
      <c r="Y56" s="13">
        <f t="shared" si="2"/>
        <v>6.4501230805655911</v>
      </c>
      <c r="Z56" s="13">
        <f t="shared" si="3"/>
        <v>5.7936182459941481</v>
      </c>
      <c r="AK56" s="13" t="e">
        <f ca="1"/>
        <v>#NAME?</v>
      </c>
      <c r="AL56" s="13" t="e">
        <f ca="1"/>
        <v>#NAME?</v>
      </c>
      <c r="AM56" s="13" t="e">
        <f ca="1"/>
        <v>#NAME?</v>
      </c>
    </row>
    <row r="57" spans="1:39" x14ac:dyDescent="0.35">
      <c r="A57" s="65">
        <f t="shared" si="4"/>
        <v>54</v>
      </c>
      <c r="B57">
        <v>7.6879119027649709</v>
      </c>
      <c r="D57" s="29">
        <v>1</v>
      </c>
      <c r="E57" s="13">
        <f t="shared" si="7"/>
        <v>6.4501230805655911</v>
      </c>
      <c r="F57" s="30">
        <f t="shared" si="8"/>
        <v>6.6084855817594015</v>
      </c>
      <c r="H57" s="24">
        <f t="shared" si="5"/>
        <v>7.6879119027649709</v>
      </c>
      <c r="L57">
        <f t="shared" si="0"/>
        <v>7.6879119027649709</v>
      </c>
      <c r="M57">
        <f t="shared" si="9"/>
        <v>6.892447776019484</v>
      </c>
      <c r="N57">
        <f t="shared" si="6"/>
        <v>0.79546412674548694</v>
      </c>
      <c r="X57" s="13">
        <f t="shared" si="1"/>
        <v>5.7936182459941481</v>
      </c>
      <c r="Y57" s="13">
        <f t="shared" si="2"/>
        <v>7.6879119027649709</v>
      </c>
      <c r="Z57" s="13">
        <f t="shared" si="3"/>
        <v>6.5599686446029404</v>
      </c>
      <c r="AK57" s="13" t="e">
        <f ca="1"/>
        <v>#NAME?</v>
      </c>
      <c r="AL57" s="13" t="e">
        <f ca="1"/>
        <v>#NAME?</v>
      </c>
      <c r="AM57" s="13" t="e">
        <f ca="1"/>
        <v>#NAME?</v>
      </c>
    </row>
    <row r="58" spans="1:39" x14ac:dyDescent="0.35">
      <c r="A58" s="65">
        <f t="shared" si="4"/>
        <v>55</v>
      </c>
      <c r="B58">
        <v>5.7936182459941481</v>
      </c>
      <c r="D58" s="29">
        <v>1</v>
      </c>
      <c r="E58" s="13">
        <f t="shared" si="7"/>
        <v>7.6879119027649709</v>
      </c>
      <c r="F58" s="30">
        <f t="shared" si="8"/>
        <v>6.4501230805655911</v>
      </c>
      <c r="H58" s="24">
        <f t="shared" si="5"/>
        <v>5.7936182459941481</v>
      </c>
      <c r="L58">
        <f t="shared" si="0"/>
        <v>5.7936182459941481</v>
      </c>
      <c r="M58">
        <f t="shared" si="9"/>
        <v>7.4795783887754519</v>
      </c>
      <c r="N58">
        <f t="shared" si="6"/>
        <v>-1.6859601427813038</v>
      </c>
      <c r="X58" s="13">
        <f t="shared" si="1"/>
        <v>6.5599686446029404</v>
      </c>
      <c r="Y58" s="13">
        <f t="shared" si="2"/>
        <v>5.7936182459941481</v>
      </c>
      <c r="Z58" s="13">
        <f t="shared" si="3"/>
        <v>8.0502499924421933</v>
      </c>
      <c r="AK58" s="13" t="e">
        <f ca="1"/>
        <v>#NAME?</v>
      </c>
      <c r="AL58" s="13" t="e">
        <f ca="1"/>
        <v>#NAME?</v>
      </c>
      <c r="AM58" s="13" t="e">
        <f ca="1"/>
        <v>#NAME?</v>
      </c>
    </row>
    <row r="59" spans="1:39" x14ac:dyDescent="0.35">
      <c r="A59" s="65">
        <f t="shared" si="4"/>
        <v>56</v>
      </c>
      <c r="B59">
        <v>6.5599686446029404</v>
      </c>
      <c r="D59" s="29">
        <v>1</v>
      </c>
      <c r="E59" s="13">
        <f t="shared" si="7"/>
        <v>5.7936182459941481</v>
      </c>
      <c r="F59" s="30">
        <f t="shared" si="8"/>
        <v>7.6879119027649709</v>
      </c>
      <c r="H59" s="24">
        <f t="shared" si="5"/>
        <v>6.5599686446029404</v>
      </c>
      <c r="L59">
        <f t="shared" si="0"/>
        <v>6.5599686446029404</v>
      </c>
      <c r="M59">
        <f t="shared" si="9"/>
        <v>6.4232936237654688</v>
      </c>
      <c r="N59">
        <f t="shared" si="6"/>
        <v>0.13667502083747163</v>
      </c>
      <c r="X59" s="13">
        <f t="shared" si="1"/>
        <v>8.0502499924421933</v>
      </c>
      <c r="Y59" s="13">
        <f t="shared" si="2"/>
        <v>6.5599686446029404</v>
      </c>
      <c r="Z59" s="13">
        <f t="shared" si="3"/>
        <v>6.1160642285234905</v>
      </c>
      <c r="AK59" s="13" t="e">
        <f ca="1"/>
        <v>#NAME?</v>
      </c>
      <c r="AL59" s="13" t="e">
        <f ca="1"/>
        <v>#NAME?</v>
      </c>
      <c r="AM59" s="13" t="e">
        <f ca="1"/>
        <v>#NAME?</v>
      </c>
    </row>
    <row r="60" spans="1:39" x14ac:dyDescent="0.35">
      <c r="A60" s="65">
        <f t="shared" si="4"/>
        <v>57</v>
      </c>
      <c r="B60">
        <v>8.0502499924421933</v>
      </c>
      <c r="D60" s="29">
        <v>1</v>
      </c>
      <c r="E60" s="13">
        <f t="shared" si="7"/>
        <v>6.5599686446029404</v>
      </c>
      <c r="F60" s="30">
        <f t="shared" si="8"/>
        <v>5.7936182459941481</v>
      </c>
      <c r="H60" s="24">
        <f t="shared" si="5"/>
        <v>8.0502499924421933</v>
      </c>
      <c r="L60">
        <f t="shared" si="0"/>
        <v>8.0502499924421933</v>
      </c>
      <c r="M60">
        <f t="shared" si="9"/>
        <v>7.0714586781178683</v>
      </c>
      <c r="N60">
        <f t="shared" si="6"/>
        <v>0.97879131432432498</v>
      </c>
      <c r="X60" s="13">
        <f t="shared" si="1"/>
        <v>6.1160642285234905</v>
      </c>
      <c r="Y60" s="13">
        <f t="shared" si="2"/>
        <v>8.0502499924421933</v>
      </c>
      <c r="Z60" s="13">
        <f t="shared" si="3"/>
        <v>6.7128853872972014</v>
      </c>
      <c r="AK60" s="13" t="e">
        <f ca="1"/>
        <v>#NAME?</v>
      </c>
      <c r="AL60" s="13" t="e">
        <f ca="1"/>
        <v>#NAME?</v>
      </c>
      <c r="AM60" s="13" t="e">
        <f ca="1"/>
        <v>#NAME?</v>
      </c>
    </row>
    <row r="61" spans="1:39" x14ac:dyDescent="0.35">
      <c r="A61" s="65">
        <f t="shared" si="4"/>
        <v>58</v>
      </c>
      <c r="B61">
        <v>6.1160642285234905</v>
      </c>
      <c r="D61" s="29">
        <v>1</v>
      </c>
      <c r="E61" s="13">
        <f t="shared" si="7"/>
        <v>8.0502499924421933</v>
      </c>
      <c r="F61" s="30">
        <f t="shared" si="8"/>
        <v>6.5599686446029404</v>
      </c>
      <c r="H61" s="24">
        <f t="shared" si="5"/>
        <v>6.1160642285234905</v>
      </c>
      <c r="L61">
        <f t="shared" si="0"/>
        <v>6.1160642285234905</v>
      </c>
      <c r="M61">
        <f t="shared" si="9"/>
        <v>7.6266953270844509</v>
      </c>
      <c r="N61">
        <f t="shared" si="6"/>
        <v>-1.5106310985609603</v>
      </c>
      <c r="X61" s="13">
        <f t="shared" si="1"/>
        <v>6.7128853872972014</v>
      </c>
      <c r="Y61" s="13">
        <f t="shared" si="2"/>
        <v>6.1160642285234905</v>
      </c>
      <c r="Z61" s="13">
        <f t="shared" si="3"/>
        <v>6.972769157706062</v>
      </c>
      <c r="AK61" s="13" t="e">
        <f ca="1"/>
        <v>#NAME?</v>
      </c>
      <c r="AL61" s="13" t="e">
        <f ca="1"/>
        <v>#NAME?</v>
      </c>
      <c r="AM61" s="13" t="e">
        <f ca="1"/>
        <v>#NAME?</v>
      </c>
    </row>
    <row r="62" spans="1:39" x14ac:dyDescent="0.35">
      <c r="A62" s="65">
        <f t="shared" si="4"/>
        <v>59</v>
      </c>
      <c r="B62">
        <v>6.7128853872972014</v>
      </c>
      <c r="D62" s="29">
        <v>1</v>
      </c>
      <c r="E62" s="13">
        <f t="shared" si="7"/>
        <v>6.1160642285234905</v>
      </c>
      <c r="F62" s="30">
        <f t="shared" si="8"/>
        <v>8.0502499924421933</v>
      </c>
      <c r="H62" s="24">
        <f t="shared" si="5"/>
        <v>6.7128853872972014</v>
      </c>
      <c r="L62">
        <f t="shared" si="0"/>
        <v>6.7128853872972014</v>
      </c>
      <c r="M62">
        <f t="shared" si="9"/>
        <v>6.5122838986551974</v>
      </c>
      <c r="N62">
        <f t="shared" si="6"/>
        <v>0.200601488642004</v>
      </c>
      <c r="X62" s="13">
        <f t="shared" si="1"/>
        <v>6.972769157706062</v>
      </c>
      <c r="Y62" s="13">
        <f t="shared" si="2"/>
        <v>6.7128853872972014</v>
      </c>
      <c r="Z62" s="13">
        <f t="shared" si="3"/>
        <v>5.3921819539773042</v>
      </c>
      <c r="AK62" s="13" t="e">
        <f ca="1"/>
        <v>#NAME?</v>
      </c>
      <c r="AL62" s="13" t="e">
        <f ca="1"/>
        <v>#NAME?</v>
      </c>
      <c r="AM62" s="13" t="e">
        <f ca="1"/>
        <v>#NAME?</v>
      </c>
    </row>
    <row r="63" spans="1:39" x14ac:dyDescent="0.35">
      <c r="A63" s="65">
        <f t="shared" si="4"/>
        <v>60</v>
      </c>
      <c r="B63">
        <v>6.972769157706062</v>
      </c>
      <c r="D63" s="29">
        <v>1</v>
      </c>
      <c r="E63" s="13">
        <f t="shared" si="7"/>
        <v>6.7128853872972014</v>
      </c>
      <c r="F63" s="30">
        <f t="shared" si="8"/>
        <v>6.1160642285234905</v>
      </c>
      <c r="H63" s="24">
        <f t="shared" si="5"/>
        <v>6.972769157706062</v>
      </c>
      <c r="L63">
        <f t="shared" si="0"/>
        <v>6.972769157706062</v>
      </c>
      <c r="M63">
        <f t="shared" si="9"/>
        <v>7.0897937439045648</v>
      </c>
      <c r="N63">
        <f t="shared" si="6"/>
        <v>-0.11702458619850287</v>
      </c>
      <c r="X63" s="13">
        <f t="shared" si="1"/>
        <v>5.3921819539773042</v>
      </c>
      <c r="Y63" s="13">
        <f t="shared" si="2"/>
        <v>6.972769157706062</v>
      </c>
      <c r="Z63" s="13">
        <f t="shared" si="3"/>
        <v>5.2797035833200177</v>
      </c>
      <c r="AK63" s="13" t="e">
        <f ca="1"/>
        <v>#NAME?</v>
      </c>
      <c r="AL63" s="13" t="e">
        <f ca="1"/>
        <v>#NAME?</v>
      </c>
      <c r="AM63" s="13" t="e">
        <f ca="1"/>
        <v>#NAME?</v>
      </c>
    </row>
    <row r="64" spans="1:39" x14ac:dyDescent="0.35">
      <c r="A64" s="65">
        <f t="shared" si="4"/>
        <v>61</v>
      </c>
      <c r="B64">
        <v>5.3921819539773042</v>
      </c>
      <c r="D64" s="29">
        <v>1</v>
      </c>
      <c r="E64" s="13">
        <f t="shared" si="7"/>
        <v>6.972769157706062</v>
      </c>
      <c r="F64" s="30">
        <f t="shared" si="8"/>
        <v>6.7128853872972014</v>
      </c>
      <c r="H64" s="24">
        <f t="shared" si="5"/>
        <v>5.3921819539773042</v>
      </c>
      <c r="L64">
        <f t="shared" si="0"/>
        <v>5.3921819539773042</v>
      </c>
      <c r="M64">
        <f t="shared" si="9"/>
        <v>7.1132176955730886</v>
      </c>
      <c r="N64">
        <f t="shared" si="6"/>
        <v>-1.7210357415957844</v>
      </c>
      <c r="X64" s="13">
        <f t="shared" si="1"/>
        <v>5.2797035833200177</v>
      </c>
      <c r="Y64" s="13">
        <f t="shared" si="2"/>
        <v>5.3921819539773042</v>
      </c>
      <c r="Z64" s="13">
        <f t="shared" si="3"/>
        <v>7.4698051304791724</v>
      </c>
      <c r="AK64" s="13" t="e">
        <f ca="1"/>
        <v>#NAME?</v>
      </c>
      <c r="AL64" s="13" t="e">
        <f ca="1"/>
        <v>#NAME?</v>
      </c>
      <c r="AM64" s="13" t="e">
        <f ca="1"/>
        <v>#NAME?</v>
      </c>
    </row>
    <row r="65" spans="1:39" x14ac:dyDescent="0.35">
      <c r="A65" s="65">
        <f t="shared" si="4"/>
        <v>62</v>
      </c>
      <c r="B65">
        <v>5.2797035833200177</v>
      </c>
      <c r="D65" s="29">
        <v>1</v>
      </c>
      <c r="E65" s="13">
        <f t="shared" si="7"/>
        <v>5.3921819539773042</v>
      </c>
      <c r="F65" s="30">
        <f t="shared" si="8"/>
        <v>6.972769157706062</v>
      </c>
      <c r="H65" s="24">
        <f t="shared" si="5"/>
        <v>5.2797035833200177</v>
      </c>
      <c r="L65">
        <f t="shared" si="0"/>
        <v>5.2797035833200177</v>
      </c>
      <c r="M65">
        <f t="shared" si="9"/>
        <v>6.3543465800143393</v>
      </c>
      <c r="N65">
        <f t="shared" si="6"/>
        <v>-1.0746429966943216</v>
      </c>
      <c r="X65" s="13">
        <f t="shared" si="1"/>
        <v>7.4698051304791724</v>
      </c>
      <c r="Y65" s="13">
        <f t="shared" si="2"/>
        <v>5.2797035833200177</v>
      </c>
      <c r="Z65" s="13">
        <f t="shared" si="3"/>
        <v>5.3546264732197972</v>
      </c>
      <c r="AK65" s="13" t="e">
        <f ca="1"/>
        <v>#NAME?</v>
      </c>
      <c r="AL65" s="13" t="e">
        <f ca="1"/>
        <v>#NAME?</v>
      </c>
      <c r="AM65" s="13" t="e">
        <f ca="1"/>
        <v>#NAME?</v>
      </c>
    </row>
    <row r="66" spans="1:39" x14ac:dyDescent="0.35">
      <c r="A66" s="65">
        <f t="shared" si="4"/>
        <v>63</v>
      </c>
      <c r="B66">
        <v>7.4698051304791724</v>
      </c>
      <c r="D66" s="29">
        <v>1</v>
      </c>
      <c r="E66" s="13">
        <f t="shared" si="7"/>
        <v>5.2797035833200177</v>
      </c>
      <c r="F66" s="30">
        <f t="shared" si="8"/>
        <v>5.3921819539773042</v>
      </c>
      <c r="H66" s="24">
        <f t="shared" si="5"/>
        <v>7.4698051304791724</v>
      </c>
      <c r="L66">
        <f t="shared" si="0"/>
        <v>7.4698051304791724</v>
      </c>
      <c r="M66">
        <f t="shared" si="9"/>
        <v>6.553753874282874</v>
      </c>
      <c r="N66">
        <f t="shared" si="6"/>
        <v>0.91605125619629835</v>
      </c>
      <c r="X66" s="13">
        <f t="shared" si="1"/>
        <v>5.3546264732197972</v>
      </c>
      <c r="Y66" s="13">
        <f t="shared" si="2"/>
        <v>7.4698051304791724</v>
      </c>
      <c r="Z66" s="13">
        <f t="shared" si="3"/>
        <v>7.3862630048880682</v>
      </c>
      <c r="AK66" s="13" t="e">
        <f ca="1"/>
        <v>#NAME?</v>
      </c>
      <c r="AL66" s="13" t="e">
        <f ca="1"/>
        <v>#NAME?</v>
      </c>
      <c r="AM66" s="13" t="e">
        <f ca="1"/>
        <v>#NAME?</v>
      </c>
    </row>
    <row r="67" spans="1:39" x14ac:dyDescent="0.35">
      <c r="A67" s="65">
        <f t="shared" si="4"/>
        <v>64</v>
      </c>
      <c r="B67">
        <v>5.3546264732197972</v>
      </c>
      <c r="D67" s="29">
        <v>1</v>
      </c>
      <c r="E67" s="13">
        <f t="shared" si="7"/>
        <v>7.4698051304791724</v>
      </c>
      <c r="F67" s="30">
        <f t="shared" si="8"/>
        <v>5.2797035833200177</v>
      </c>
      <c r="H67" s="24">
        <f t="shared" si="5"/>
        <v>5.3546264732197972</v>
      </c>
      <c r="L67">
        <f t="shared" si="0"/>
        <v>5.3546264732197972</v>
      </c>
      <c r="M67">
        <f t="shared" si="9"/>
        <v>7.5660233996831954</v>
      </c>
      <c r="N67">
        <f t="shared" si="6"/>
        <v>-2.2113969264633981</v>
      </c>
      <c r="X67" s="13">
        <f t="shared" si="1"/>
        <v>7.3862630048880682</v>
      </c>
      <c r="Y67" s="13">
        <f t="shared" si="2"/>
        <v>5.3546264732197972</v>
      </c>
      <c r="Z67" s="13">
        <f t="shared" si="3"/>
        <v>8.9169928669823157</v>
      </c>
      <c r="AK67" s="13" t="e">
        <f ca="1"/>
        <v>#NAME?</v>
      </c>
      <c r="AL67" s="13" t="e">
        <f ca="1"/>
        <v>#NAME?</v>
      </c>
      <c r="AM67" s="13" t="e">
        <f ca="1"/>
        <v>#NAME?</v>
      </c>
    </row>
    <row r="68" spans="1:39" x14ac:dyDescent="0.35">
      <c r="A68" s="65">
        <f t="shared" si="4"/>
        <v>65</v>
      </c>
      <c r="B68">
        <v>7.3862630048880682</v>
      </c>
      <c r="D68" s="29">
        <v>1</v>
      </c>
      <c r="E68" s="13">
        <f t="shared" si="7"/>
        <v>5.3546264732197972</v>
      </c>
      <c r="F68" s="30">
        <f t="shared" si="8"/>
        <v>7.4698051304791724</v>
      </c>
      <c r="H68" s="24">
        <f t="shared" si="5"/>
        <v>7.3862630048880682</v>
      </c>
      <c r="L68">
        <f t="shared" si="0"/>
        <v>7.3862630048880682</v>
      </c>
      <c r="M68">
        <f t="shared" si="9"/>
        <v>6.2585274827707504</v>
      </c>
      <c r="N68">
        <f t="shared" si="6"/>
        <v>1.1277355221173178</v>
      </c>
      <c r="X68" s="13">
        <f t="shared" si="1"/>
        <v>8.9169928669823157</v>
      </c>
      <c r="Y68" s="13">
        <f t="shared" si="2"/>
        <v>7.3862630048880682</v>
      </c>
      <c r="Z68" s="13">
        <f t="shared" si="3"/>
        <v>8.0300089468534299</v>
      </c>
      <c r="AK68" s="13" t="e">
        <f ca="1"/>
        <v>#NAME?</v>
      </c>
      <c r="AL68" s="13" t="e">
        <f ca="1"/>
        <v>#NAME?</v>
      </c>
      <c r="AM68" s="13" t="e">
        <f ca="1"/>
        <v>#NAME?</v>
      </c>
    </row>
    <row r="69" spans="1:39" x14ac:dyDescent="0.35">
      <c r="A69" s="65">
        <f t="shared" si="4"/>
        <v>66</v>
      </c>
      <c r="B69">
        <v>8.9169928669823157</v>
      </c>
      <c r="D69" s="29">
        <v>1</v>
      </c>
      <c r="E69" s="13">
        <f t="shared" si="7"/>
        <v>7.3862630048880682</v>
      </c>
      <c r="F69" s="30">
        <f t="shared" si="8"/>
        <v>5.3546264732197972</v>
      </c>
      <c r="H69" s="24">
        <f t="shared" si="5"/>
        <v>8.9169928669823157</v>
      </c>
      <c r="L69">
        <f t="shared" ref="L69:L103" si="10">B69</f>
        <v>8.9169928669823157</v>
      </c>
      <c r="M69">
        <f t="shared" si="9"/>
        <v>7.5162167668129261</v>
      </c>
      <c r="N69">
        <f t="shared" si="6"/>
        <v>1.4007761001693897</v>
      </c>
      <c r="X69" s="13">
        <f t="shared" ref="X69:X101" si="11">B70</f>
        <v>8.0300089468534299</v>
      </c>
      <c r="Y69" s="13">
        <f t="shared" ref="Y69:Y101" si="12">B69</f>
        <v>8.9169928669823157</v>
      </c>
      <c r="Z69" s="13">
        <f t="shared" ref="Z69:Z101" si="13">B71</f>
        <v>8.2151443132194668</v>
      </c>
      <c r="AK69" s="13" t="e">
        <f ca="1"/>
        <v>#NAME?</v>
      </c>
      <c r="AL69" s="13" t="e">
        <f ca="1"/>
        <v>#NAME?</v>
      </c>
      <c r="AM69" s="13" t="e">
        <f ca="1"/>
        <v>#NAME?</v>
      </c>
    </row>
    <row r="70" spans="1:39" x14ac:dyDescent="0.35">
      <c r="A70" s="65">
        <f t="shared" ref="A70:A103" si="14">A69+1</f>
        <v>67</v>
      </c>
      <c r="B70">
        <v>8.0300089468534299</v>
      </c>
      <c r="D70" s="29">
        <v>1</v>
      </c>
      <c r="E70" s="13">
        <f t="shared" si="7"/>
        <v>8.9169928669823157</v>
      </c>
      <c r="F70" s="30">
        <f t="shared" si="8"/>
        <v>7.3862630048880682</v>
      </c>
      <c r="H70" s="24">
        <f t="shared" ref="H70:H103" si="15">B70</f>
        <v>8.0300089468534299</v>
      </c>
      <c r="L70">
        <f t="shared" si="10"/>
        <v>8.0300089468534299</v>
      </c>
      <c r="M70">
        <f t="shared" si="9"/>
        <v>7.8893065525053032</v>
      </c>
      <c r="N70">
        <f t="shared" ref="N70:N103" si="16">L70-M70</f>
        <v>0.1407023943481267</v>
      </c>
      <c r="X70" s="13">
        <f t="shared" si="11"/>
        <v>8.2151443132194668</v>
      </c>
      <c r="Y70" s="13">
        <f t="shared" si="12"/>
        <v>8.0300089468534299</v>
      </c>
      <c r="Z70" s="13">
        <f t="shared" si="13"/>
        <v>6.4821485455978305</v>
      </c>
      <c r="AK70" s="13" t="e">
        <f ca="1"/>
        <v>#NAME?</v>
      </c>
      <c r="AL70" s="13" t="e">
        <f ca="1"/>
        <v>#NAME?</v>
      </c>
      <c r="AM70" s="13" t="e">
        <f ca="1"/>
        <v>#NAME?</v>
      </c>
    </row>
    <row r="71" spans="1:39" x14ac:dyDescent="0.35">
      <c r="A71" s="65">
        <f t="shared" si="14"/>
        <v>68</v>
      </c>
      <c r="B71">
        <v>8.2151443132194668</v>
      </c>
      <c r="D71" s="29">
        <v>1</v>
      </c>
      <c r="E71" s="13">
        <f t="shared" ref="E71:E103" si="17">B70</f>
        <v>8.0300089468534299</v>
      </c>
      <c r="F71" s="30">
        <f t="shared" ref="F71:F103" si="18">B69</f>
        <v>8.9169928669823157</v>
      </c>
      <c r="H71" s="24">
        <f t="shared" si="15"/>
        <v>8.2151443132194668</v>
      </c>
      <c r="L71">
        <f t="shared" si="10"/>
        <v>8.2151443132194668</v>
      </c>
      <c r="M71">
        <f t="shared" ref="M71:M103" si="19">J$6+L70*J$7+L69*J$8</f>
        <v>7.2439811014903004</v>
      </c>
      <c r="N71">
        <f t="shared" si="16"/>
        <v>0.97116321172916642</v>
      </c>
      <c r="X71" s="13">
        <f t="shared" si="11"/>
        <v>6.4821485455978305</v>
      </c>
      <c r="Y71" s="13">
        <f t="shared" si="12"/>
        <v>8.2151443132194668</v>
      </c>
      <c r="Z71" s="13">
        <f t="shared" si="13"/>
        <v>8.6269994716856839</v>
      </c>
      <c r="AK71" s="13" t="e">
        <f ca="1"/>
        <v>#NAME?</v>
      </c>
      <c r="AL71" s="13" t="e">
        <f ca="1"/>
        <v>#NAME?</v>
      </c>
      <c r="AM71" s="13" t="e">
        <f ca="1"/>
        <v>#NAME?</v>
      </c>
    </row>
    <row r="72" spans="1:39" x14ac:dyDescent="0.35">
      <c r="A72" s="65">
        <f t="shared" si="14"/>
        <v>69</v>
      </c>
      <c r="B72">
        <v>6.4821485455978305</v>
      </c>
      <c r="D72" s="29">
        <v>1</v>
      </c>
      <c r="E72" s="13">
        <f t="shared" si="17"/>
        <v>8.2151443132194668</v>
      </c>
      <c r="F72" s="30">
        <f t="shared" si="18"/>
        <v>8.0300089468534299</v>
      </c>
      <c r="H72" s="24">
        <f t="shared" si="15"/>
        <v>6.4821485455978305</v>
      </c>
      <c r="L72">
        <f t="shared" si="10"/>
        <v>6.4821485455978305</v>
      </c>
      <c r="M72">
        <f t="shared" si="19"/>
        <v>7.4686068368540903</v>
      </c>
      <c r="N72">
        <f t="shared" si="16"/>
        <v>-0.98645829125625983</v>
      </c>
      <c r="X72" s="13">
        <f t="shared" si="11"/>
        <v>8.6269994716856839</v>
      </c>
      <c r="Y72" s="13">
        <f t="shared" si="12"/>
        <v>6.4821485455978305</v>
      </c>
      <c r="Z72" s="13">
        <f t="shared" si="13"/>
        <v>9.2940431937725041</v>
      </c>
      <c r="AK72" s="13" t="e">
        <f ca="1"/>
        <v>#NAME?</v>
      </c>
      <c r="AL72" s="13" t="e">
        <f ca="1"/>
        <v>#NAME?</v>
      </c>
      <c r="AM72" s="13" t="e">
        <f ca="1"/>
        <v>#NAME?</v>
      </c>
    </row>
    <row r="73" spans="1:39" x14ac:dyDescent="0.35">
      <c r="A73" s="65">
        <f t="shared" si="14"/>
        <v>70</v>
      </c>
      <c r="B73">
        <v>8.6269994716856839</v>
      </c>
      <c r="D73" s="29">
        <v>1</v>
      </c>
      <c r="E73" s="13">
        <f t="shared" si="17"/>
        <v>6.4821485455978305</v>
      </c>
      <c r="F73" s="30">
        <f t="shared" si="18"/>
        <v>8.2151443132194668</v>
      </c>
      <c r="H73" s="24">
        <f t="shared" si="15"/>
        <v>8.6269994716856839</v>
      </c>
      <c r="L73">
        <f t="shared" si="10"/>
        <v>8.6269994716856839</v>
      </c>
      <c r="M73">
        <f t="shared" si="19"/>
        <v>6.6523781476220041</v>
      </c>
      <c r="N73">
        <f t="shared" si="16"/>
        <v>1.9746213240636799</v>
      </c>
      <c r="X73" s="13">
        <f t="shared" si="11"/>
        <v>9.2940431937725041</v>
      </c>
      <c r="Y73" s="13">
        <f t="shared" si="12"/>
        <v>8.6269994716856839</v>
      </c>
      <c r="Z73" s="13">
        <f t="shared" si="13"/>
        <v>8.4137893229457603</v>
      </c>
      <c r="AK73" s="13" t="e">
        <f ca="1"/>
        <v>#NAME?</v>
      </c>
      <c r="AL73" s="13" t="e">
        <f ca="1"/>
        <v>#NAME?</v>
      </c>
      <c r="AM73" s="13" t="e">
        <f ca="1"/>
        <v>#NAME?</v>
      </c>
    </row>
    <row r="74" spans="1:39" x14ac:dyDescent="0.35">
      <c r="A74" s="65">
        <f t="shared" si="14"/>
        <v>71</v>
      </c>
      <c r="B74">
        <v>9.2940431937725041</v>
      </c>
      <c r="D74" s="29">
        <v>1</v>
      </c>
      <c r="E74" s="13">
        <f t="shared" si="17"/>
        <v>8.6269994716856839</v>
      </c>
      <c r="F74" s="30">
        <f t="shared" si="18"/>
        <v>6.4821485455978305</v>
      </c>
      <c r="H74" s="24">
        <f t="shared" si="15"/>
        <v>9.2940431937725041</v>
      </c>
      <c r="L74">
        <f t="shared" si="10"/>
        <v>9.2940431937725041</v>
      </c>
      <c r="M74">
        <f t="shared" si="19"/>
        <v>7.9009084603525768</v>
      </c>
      <c r="N74">
        <f t="shared" si="16"/>
        <v>1.3931347334199273</v>
      </c>
      <c r="X74" s="13">
        <f t="shared" si="11"/>
        <v>8.4137893229457603</v>
      </c>
      <c r="Y74" s="13">
        <f t="shared" si="12"/>
        <v>9.2940431937725041</v>
      </c>
      <c r="Z74" s="13">
        <f t="shared" si="13"/>
        <v>9.6617263427642683</v>
      </c>
      <c r="AK74" s="13" t="e">
        <f ca="1"/>
        <v>#NAME?</v>
      </c>
      <c r="AL74" s="13" t="e">
        <f ca="1"/>
        <v>#NAME?</v>
      </c>
      <c r="AM74" s="13" t="e">
        <f ca="1"/>
        <v>#NAME?</v>
      </c>
    </row>
    <row r="75" spans="1:39" x14ac:dyDescent="0.35">
      <c r="A75" s="65">
        <f t="shared" si="14"/>
        <v>72</v>
      </c>
      <c r="B75">
        <v>8.4137893229457603</v>
      </c>
      <c r="D75" s="29">
        <v>1</v>
      </c>
      <c r="E75" s="13">
        <f t="shared" si="17"/>
        <v>9.2940431937725041</v>
      </c>
      <c r="F75" s="30">
        <f t="shared" si="18"/>
        <v>8.6269994716856839</v>
      </c>
      <c r="H75" s="24">
        <f t="shared" si="15"/>
        <v>8.4137893229457603</v>
      </c>
      <c r="L75">
        <f t="shared" si="10"/>
        <v>8.4137893229457603</v>
      </c>
      <c r="M75">
        <f t="shared" si="19"/>
        <v>7.8638886753368187</v>
      </c>
      <c r="N75">
        <f t="shared" si="16"/>
        <v>0.54990064760894164</v>
      </c>
      <c r="X75" s="13">
        <f t="shared" si="11"/>
        <v>9.6617263427642683</v>
      </c>
      <c r="Y75" s="13">
        <f t="shared" si="12"/>
        <v>8.4137893229457603</v>
      </c>
      <c r="Z75" s="13">
        <f t="shared" si="13"/>
        <v>8.353709968296096</v>
      </c>
      <c r="AK75" s="13" t="e">
        <f ca="1"/>
        <v>#NAME?</v>
      </c>
      <c r="AL75" s="13" t="e">
        <f ca="1"/>
        <v>#NAME?</v>
      </c>
      <c r="AM75" s="13" t="e">
        <f ca="1"/>
        <v>#NAME?</v>
      </c>
    </row>
    <row r="76" spans="1:39" x14ac:dyDescent="0.35">
      <c r="A76" s="65">
        <f t="shared" si="14"/>
        <v>73</v>
      </c>
      <c r="B76">
        <v>9.6617263427642683</v>
      </c>
      <c r="D76" s="29">
        <v>1</v>
      </c>
      <c r="E76" s="13">
        <f t="shared" si="17"/>
        <v>8.4137893229457603</v>
      </c>
      <c r="F76" s="30">
        <f t="shared" si="18"/>
        <v>9.2940431937725041</v>
      </c>
      <c r="H76" s="24">
        <f t="shared" si="15"/>
        <v>9.6617263427642683</v>
      </c>
      <c r="L76">
        <f t="shared" si="10"/>
        <v>9.6617263427642683</v>
      </c>
      <c r="M76">
        <f t="shared" si="19"/>
        <v>7.3584895903273067</v>
      </c>
      <c r="N76">
        <f t="shared" si="16"/>
        <v>2.3032367524369617</v>
      </c>
      <c r="X76" s="13">
        <f t="shared" si="11"/>
        <v>8.353709968296096</v>
      </c>
      <c r="Y76" s="13">
        <f t="shared" si="12"/>
        <v>9.6617263427642683</v>
      </c>
      <c r="Z76" s="13">
        <f t="shared" si="13"/>
        <v>7.0127164687025392</v>
      </c>
      <c r="AK76" s="13" t="e">
        <f ca="1"/>
        <v>#NAME?</v>
      </c>
      <c r="AL76" s="13" t="e">
        <f ca="1"/>
        <v>#NAME?</v>
      </c>
      <c r="AM76" s="13" t="e">
        <f ca="1"/>
        <v>#NAME?</v>
      </c>
    </row>
    <row r="77" spans="1:39" x14ac:dyDescent="0.35">
      <c r="A77" s="65">
        <f t="shared" si="14"/>
        <v>74</v>
      </c>
      <c r="B77">
        <v>8.353709968296096</v>
      </c>
      <c r="D77" s="29">
        <v>1</v>
      </c>
      <c r="E77" s="13">
        <f t="shared" si="17"/>
        <v>9.6617263427642683</v>
      </c>
      <c r="F77" s="30">
        <f t="shared" si="18"/>
        <v>8.4137893229457603</v>
      </c>
      <c r="H77" s="24">
        <f t="shared" si="15"/>
        <v>8.353709968296096</v>
      </c>
      <c r="L77">
        <f t="shared" si="10"/>
        <v>8.353709968296096</v>
      </c>
      <c r="M77">
        <f t="shared" si="19"/>
        <v>8.0646280538639115</v>
      </c>
      <c r="N77">
        <f t="shared" si="16"/>
        <v>0.28908191443218456</v>
      </c>
      <c r="X77" s="13">
        <f t="shared" si="11"/>
        <v>7.0127164687025392</v>
      </c>
      <c r="Y77" s="13">
        <f t="shared" si="12"/>
        <v>8.353709968296096</v>
      </c>
      <c r="Z77" s="13">
        <f t="shared" si="13"/>
        <v>8.9515775235567929</v>
      </c>
      <c r="AK77" s="13" t="e">
        <f ca="1"/>
        <v>#NAME?</v>
      </c>
      <c r="AL77" s="13" t="e">
        <f ca="1"/>
        <v>#NAME?</v>
      </c>
      <c r="AM77" s="13" t="e">
        <f ca="1"/>
        <v>#NAME?</v>
      </c>
    </row>
    <row r="78" spans="1:39" x14ac:dyDescent="0.35">
      <c r="A78" s="65">
        <f t="shared" si="14"/>
        <v>75</v>
      </c>
      <c r="B78">
        <v>7.0127164687025392</v>
      </c>
      <c r="D78" s="29">
        <v>1</v>
      </c>
      <c r="E78" s="13">
        <f t="shared" si="17"/>
        <v>8.353709968296096</v>
      </c>
      <c r="F78" s="30">
        <f t="shared" si="18"/>
        <v>9.6617263427642683</v>
      </c>
      <c r="H78" s="24">
        <f t="shared" si="15"/>
        <v>7.0127164687025392</v>
      </c>
      <c r="L78">
        <f t="shared" si="10"/>
        <v>7.0127164687025392</v>
      </c>
      <c r="M78">
        <f t="shared" si="19"/>
        <v>7.2729420926500676</v>
      </c>
      <c r="N78">
        <f t="shared" si="16"/>
        <v>-0.26022562394752846</v>
      </c>
      <c r="X78" s="13">
        <f t="shared" si="11"/>
        <v>8.9515775235567929</v>
      </c>
      <c r="Y78" s="13">
        <f t="shared" si="12"/>
        <v>7.0127164687025392</v>
      </c>
      <c r="Z78" s="13">
        <f t="shared" si="13"/>
        <v>7.7871059802711384</v>
      </c>
      <c r="AK78" s="13" t="e">
        <f ca="1"/>
        <v>#NAME?</v>
      </c>
      <c r="AL78" s="13" t="e">
        <f ca="1"/>
        <v>#NAME?</v>
      </c>
      <c r="AM78" s="13" t="e">
        <f ca="1"/>
        <v>#NAME?</v>
      </c>
    </row>
    <row r="79" spans="1:39" x14ac:dyDescent="0.35">
      <c r="A79" s="65">
        <f t="shared" si="14"/>
        <v>76</v>
      </c>
      <c r="B79">
        <v>8.9515775235567929</v>
      </c>
      <c r="D79" s="29">
        <v>1</v>
      </c>
      <c r="E79" s="13">
        <f t="shared" si="17"/>
        <v>7.0127164687025392</v>
      </c>
      <c r="F79" s="30">
        <f t="shared" si="18"/>
        <v>8.353709968296096</v>
      </c>
      <c r="H79" s="24">
        <f t="shared" si="15"/>
        <v>8.9515775235567929</v>
      </c>
      <c r="L79">
        <f t="shared" si="10"/>
        <v>8.9515775235567929</v>
      </c>
      <c r="M79">
        <f t="shared" si="19"/>
        <v>6.8713307395018877</v>
      </c>
      <c r="N79">
        <f t="shared" si="16"/>
        <v>2.0802467840549053</v>
      </c>
      <c r="X79" s="13">
        <f t="shared" si="11"/>
        <v>7.7871059802711384</v>
      </c>
      <c r="Y79" s="13">
        <f t="shared" si="12"/>
        <v>8.9515775235567929</v>
      </c>
      <c r="Z79" s="13">
        <f t="shared" si="13"/>
        <v>5.9914461883467407</v>
      </c>
      <c r="AK79" s="13" t="e">
        <f ca="1"/>
        <v>#NAME?</v>
      </c>
      <c r="AL79" s="13" t="e">
        <f ca="1"/>
        <v>#NAME?</v>
      </c>
      <c r="AM79" s="13" t="e">
        <f ca="1"/>
        <v>#NAME?</v>
      </c>
    </row>
    <row r="80" spans="1:39" x14ac:dyDescent="0.35">
      <c r="A80" s="65">
        <f t="shared" si="14"/>
        <v>77</v>
      </c>
      <c r="B80">
        <v>7.7871059802711384</v>
      </c>
      <c r="D80" s="29">
        <v>1</v>
      </c>
      <c r="E80" s="13">
        <f t="shared" si="17"/>
        <v>8.9515775235567929</v>
      </c>
      <c r="F80" s="30">
        <f t="shared" si="18"/>
        <v>7.0127164687025392</v>
      </c>
      <c r="H80" s="24">
        <f t="shared" si="15"/>
        <v>7.7871059802711384</v>
      </c>
      <c r="L80">
        <f t="shared" si="10"/>
        <v>7.7871059802711384</v>
      </c>
      <c r="M80">
        <f t="shared" si="19"/>
        <v>7.9642070283228081</v>
      </c>
      <c r="N80">
        <f t="shared" si="16"/>
        <v>-0.17710104805166971</v>
      </c>
      <c r="X80" s="13">
        <f t="shared" si="11"/>
        <v>5.9914461883467407</v>
      </c>
      <c r="Y80" s="13">
        <f t="shared" si="12"/>
        <v>7.7871059802711384</v>
      </c>
      <c r="Z80" s="13">
        <f t="shared" si="13"/>
        <v>6.0471013441916917</v>
      </c>
      <c r="AK80" s="13" t="e">
        <f ca="1"/>
        <v>#NAME?</v>
      </c>
      <c r="AL80" s="13" t="e">
        <f ca="1"/>
        <v>#NAME?</v>
      </c>
      <c r="AM80" s="13" t="e">
        <f ca="1"/>
        <v>#NAME?</v>
      </c>
    </row>
    <row r="81" spans="1:39" x14ac:dyDescent="0.35">
      <c r="A81" s="65">
        <f t="shared" si="14"/>
        <v>78</v>
      </c>
      <c r="B81">
        <v>5.9914461883467407</v>
      </c>
      <c r="D81" s="29">
        <v>1</v>
      </c>
      <c r="E81" s="13">
        <f t="shared" si="17"/>
        <v>7.7871059802711384</v>
      </c>
      <c r="F81" s="30">
        <f t="shared" si="18"/>
        <v>8.9515775235567929</v>
      </c>
      <c r="H81" s="24">
        <f t="shared" si="15"/>
        <v>5.9914461883467407</v>
      </c>
      <c r="L81">
        <f t="shared" si="10"/>
        <v>5.9914461883467407</v>
      </c>
      <c r="M81">
        <f t="shared" si="19"/>
        <v>7.1282070552658841</v>
      </c>
      <c r="N81">
        <f t="shared" si="16"/>
        <v>-1.1367608669191434</v>
      </c>
      <c r="X81" s="13">
        <f t="shared" si="11"/>
        <v>6.0471013441916917</v>
      </c>
      <c r="Y81" s="13">
        <f t="shared" si="12"/>
        <v>5.9914461883467407</v>
      </c>
      <c r="Z81" s="13">
        <f t="shared" si="13"/>
        <v>6.199402126728244</v>
      </c>
      <c r="AK81" s="13" t="e">
        <f ca="1"/>
        <v>#NAME?</v>
      </c>
      <c r="AL81" s="13" t="e">
        <f ca="1"/>
        <v>#NAME?</v>
      </c>
      <c r="AM81" s="13" t="e">
        <f ca="1"/>
        <v>#NAME?</v>
      </c>
    </row>
    <row r="82" spans="1:39" x14ac:dyDescent="0.35">
      <c r="A82" s="65">
        <f t="shared" si="14"/>
        <v>79</v>
      </c>
      <c r="B82">
        <v>6.0471013441916917</v>
      </c>
      <c r="D82" s="29">
        <v>1</v>
      </c>
      <c r="E82" s="13">
        <f t="shared" si="17"/>
        <v>5.9914461883467407</v>
      </c>
      <c r="F82" s="30">
        <f t="shared" si="18"/>
        <v>7.7871059802711384</v>
      </c>
      <c r="H82" s="24">
        <f t="shared" si="15"/>
        <v>6.0471013441916917</v>
      </c>
      <c r="L82">
        <f t="shared" si="10"/>
        <v>6.0471013441916917</v>
      </c>
      <c r="M82">
        <f t="shared" si="19"/>
        <v>6.4974005047190992</v>
      </c>
      <c r="N82">
        <f t="shared" si="16"/>
        <v>-0.45029916052740759</v>
      </c>
      <c r="X82" s="13">
        <f t="shared" si="11"/>
        <v>6.199402126728244</v>
      </c>
      <c r="Y82" s="13">
        <f t="shared" si="12"/>
        <v>6.0471013441916917</v>
      </c>
      <c r="Z82" s="13">
        <f t="shared" si="13"/>
        <v>7.770246090077273</v>
      </c>
      <c r="AK82" s="13" t="e">
        <f ca="1"/>
        <v>#NAME?</v>
      </c>
      <c r="AL82" s="13" t="e">
        <f ca="1"/>
        <v>#NAME?</v>
      </c>
      <c r="AM82" s="13" t="e">
        <f ca="1"/>
        <v>#NAME?</v>
      </c>
    </row>
    <row r="83" spans="1:39" x14ac:dyDescent="0.35">
      <c r="A83" s="65">
        <f t="shared" si="14"/>
        <v>80</v>
      </c>
      <c r="B83">
        <v>6.199402126728244</v>
      </c>
      <c r="D83" s="29">
        <v>1</v>
      </c>
      <c r="E83" s="13">
        <f t="shared" si="17"/>
        <v>6.0471013441916917</v>
      </c>
      <c r="F83" s="30">
        <f t="shared" si="18"/>
        <v>5.9914461883467407</v>
      </c>
      <c r="H83" s="24">
        <f t="shared" si="15"/>
        <v>6.199402126728244</v>
      </c>
      <c r="L83">
        <f t="shared" si="10"/>
        <v>6.199402126728244</v>
      </c>
      <c r="M83">
        <f t="shared" si="19"/>
        <v>6.8072341572332364</v>
      </c>
      <c r="N83">
        <f t="shared" si="16"/>
        <v>-0.60783203050499246</v>
      </c>
      <c r="X83" s="13">
        <f t="shared" si="11"/>
        <v>7.770246090077273</v>
      </c>
      <c r="Y83" s="13">
        <f t="shared" si="12"/>
        <v>6.199402126728244</v>
      </c>
      <c r="Z83" s="13">
        <f t="shared" si="13"/>
        <v>6.8348719600207684</v>
      </c>
      <c r="AK83" s="13" t="e">
        <f ca="1"/>
        <v>#NAME?</v>
      </c>
      <c r="AL83" s="13" t="e">
        <f ca="1"/>
        <v>#NAME?</v>
      </c>
      <c r="AM83" s="13" t="e">
        <f ca="1"/>
        <v>#NAME?</v>
      </c>
    </row>
    <row r="84" spans="1:39" x14ac:dyDescent="0.35">
      <c r="A84" s="65">
        <f t="shared" si="14"/>
        <v>81</v>
      </c>
      <c r="B84">
        <v>7.770246090077273</v>
      </c>
      <c r="D84" s="29">
        <v>1</v>
      </c>
      <c r="E84" s="13">
        <f t="shared" si="17"/>
        <v>6.199402126728244</v>
      </c>
      <c r="F84" s="30">
        <f t="shared" si="18"/>
        <v>6.0471013441916917</v>
      </c>
      <c r="H84" s="24">
        <f t="shared" si="15"/>
        <v>7.770246090077273</v>
      </c>
      <c r="L84">
        <f t="shared" si="10"/>
        <v>7.770246090077273</v>
      </c>
      <c r="M84">
        <f t="shared" si="19"/>
        <v>6.8675685460229534</v>
      </c>
      <c r="N84">
        <f t="shared" si="16"/>
        <v>0.90267754405431955</v>
      </c>
      <c r="X84" s="13">
        <f t="shared" si="11"/>
        <v>6.8348719600207684</v>
      </c>
      <c r="Y84" s="13">
        <f t="shared" si="12"/>
        <v>7.770246090077273</v>
      </c>
      <c r="Z84" s="13">
        <f t="shared" si="13"/>
        <v>7.3287274991072104</v>
      </c>
      <c r="AK84" s="13" t="e">
        <f ca="1"/>
        <v>#NAME?</v>
      </c>
      <c r="AL84" s="13" t="e">
        <f ca="1"/>
        <v>#NAME?</v>
      </c>
      <c r="AM84" s="13" t="e">
        <f ca="1"/>
        <v>#NAME?</v>
      </c>
    </row>
    <row r="85" spans="1:39" x14ac:dyDescent="0.35">
      <c r="A85" s="65">
        <f t="shared" si="14"/>
        <v>82</v>
      </c>
      <c r="B85">
        <v>6.8348719600207684</v>
      </c>
      <c r="D85" s="29">
        <v>1</v>
      </c>
      <c r="E85" s="13">
        <f t="shared" si="17"/>
        <v>7.770246090077273</v>
      </c>
      <c r="F85" s="30">
        <f t="shared" si="18"/>
        <v>6.199402126728244</v>
      </c>
      <c r="H85" s="24">
        <f t="shared" si="15"/>
        <v>6.8348719600207684</v>
      </c>
      <c r="L85">
        <f t="shared" si="10"/>
        <v>6.8348719600207684</v>
      </c>
      <c r="M85">
        <f t="shared" si="19"/>
        <v>7.5566956989622094</v>
      </c>
      <c r="N85">
        <f t="shared" si="16"/>
        <v>-0.72182373894144103</v>
      </c>
      <c r="X85" s="13">
        <f t="shared" si="11"/>
        <v>7.3287274991072104</v>
      </c>
      <c r="Y85" s="13">
        <f t="shared" si="12"/>
        <v>6.8348719600207684</v>
      </c>
      <c r="Z85" s="13">
        <f t="shared" si="13"/>
        <v>6.8192852019370696</v>
      </c>
      <c r="AK85" s="13" t="e">
        <f ca="1"/>
        <v>#NAME?</v>
      </c>
      <c r="AL85" s="13" t="e">
        <f ca="1"/>
        <v>#NAME?</v>
      </c>
      <c r="AM85" s="13" t="e">
        <f ca="1"/>
        <v>#NAME?</v>
      </c>
    </row>
    <row r="86" spans="1:39" x14ac:dyDescent="0.35">
      <c r="A86" s="65">
        <f t="shared" si="14"/>
        <v>83</v>
      </c>
      <c r="B86">
        <v>7.3287274991072104</v>
      </c>
      <c r="D86" s="29">
        <v>1</v>
      </c>
      <c r="E86" s="13">
        <f t="shared" si="17"/>
        <v>6.8348719600207684</v>
      </c>
      <c r="F86" s="30">
        <f t="shared" si="18"/>
        <v>7.770246090077273</v>
      </c>
      <c r="H86" s="24">
        <f t="shared" si="15"/>
        <v>7.3287274991072104</v>
      </c>
      <c r="L86">
        <f t="shared" si="10"/>
        <v>7.3287274991072104</v>
      </c>
      <c r="M86">
        <f t="shared" si="19"/>
        <v>6.8830410464733456</v>
      </c>
      <c r="N86">
        <f t="shared" si="16"/>
        <v>0.44568645263386486</v>
      </c>
      <c r="X86" s="13">
        <f t="shared" si="11"/>
        <v>6.8192852019370696</v>
      </c>
      <c r="Y86" s="13">
        <f t="shared" si="12"/>
        <v>7.3287274991072104</v>
      </c>
      <c r="Z86" s="13">
        <f t="shared" si="13"/>
        <v>6.4267890522116708</v>
      </c>
      <c r="AK86" s="13" t="e">
        <f ca="1"/>
        <v>#NAME?</v>
      </c>
      <c r="AL86" s="13" t="e">
        <f ca="1"/>
        <v>#NAME?</v>
      </c>
      <c r="AM86" s="13" t="e">
        <f ca="1"/>
        <v>#NAME?</v>
      </c>
    </row>
    <row r="87" spans="1:39" x14ac:dyDescent="0.35">
      <c r="A87" s="65">
        <f t="shared" si="14"/>
        <v>84</v>
      </c>
      <c r="B87">
        <v>6.8192852019370696</v>
      </c>
      <c r="D87" s="29">
        <v>1</v>
      </c>
      <c r="E87" s="13">
        <f t="shared" si="17"/>
        <v>7.3287274991072104</v>
      </c>
      <c r="F87" s="30">
        <f t="shared" si="18"/>
        <v>6.8348719600207684</v>
      </c>
      <c r="H87" s="24">
        <f t="shared" si="15"/>
        <v>6.8192852019370696</v>
      </c>
      <c r="L87">
        <f t="shared" si="10"/>
        <v>6.8192852019370696</v>
      </c>
      <c r="M87">
        <f t="shared" si="19"/>
        <v>7.2555138082102584</v>
      </c>
      <c r="N87">
        <f t="shared" si="16"/>
        <v>-0.43622860627318882</v>
      </c>
      <c r="X87" s="13">
        <f t="shared" si="11"/>
        <v>6.4267890522116708</v>
      </c>
      <c r="Y87" s="13">
        <f t="shared" si="12"/>
        <v>6.8192852019370696</v>
      </c>
      <c r="Z87" s="13">
        <f t="shared" si="13"/>
        <v>5.5555076226554707</v>
      </c>
      <c r="AK87" s="13" t="e">
        <f ca="1"/>
        <v>#NAME?</v>
      </c>
      <c r="AL87" s="13" t="e">
        <f ca="1"/>
        <v>#NAME?</v>
      </c>
      <c r="AM87" s="13" t="e">
        <f ca="1"/>
        <v>#NAME?</v>
      </c>
    </row>
    <row r="88" spans="1:39" x14ac:dyDescent="0.35">
      <c r="A88" s="65">
        <f t="shared" si="14"/>
        <v>85</v>
      </c>
      <c r="B88">
        <v>6.4267890522116708</v>
      </c>
      <c r="D88" s="29">
        <v>1</v>
      </c>
      <c r="E88" s="13">
        <f t="shared" si="17"/>
        <v>6.8192852019370696</v>
      </c>
      <c r="F88" s="30">
        <f t="shared" si="18"/>
        <v>7.3287274991072104</v>
      </c>
      <c r="H88" s="24">
        <f t="shared" si="15"/>
        <v>6.4267890522116708</v>
      </c>
      <c r="L88">
        <f t="shared" si="10"/>
        <v>6.4267890522116708</v>
      </c>
      <c r="M88">
        <f t="shared" si="19"/>
        <v>6.9459322238811518</v>
      </c>
      <c r="N88">
        <f t="shared" si="16"/>
        <v>-0.51914317166948099</v>
      </c>
      <c r="X88" s="13">
        <f t="shared" si="11"/>
        <v>5.5555076226554707</v>
      </c>
      <c r="Y88" s="13">
        <f t="shared" si="12"/>
        <v>6.4267890522116708</v>
      </c>
      <c r="Z88" s="13">
        <f t="shared" si="13"/>
        <v>6.3790076989131865</v>
      </c>
      <c r="AK88" s="13" t="e">
        <f ca="1"/>
        <v>#NAME?</v>
      </c>
      <c r="AL88" s="13" t="e">
        <f ca="1"/>
        <v>#NAME?</v>
      </c>
      <c r="AM88" s="13" t="e">
        <f ca="1"/>
        <v>#NAME?</v>
      </c>
    </row>
    <row r="89" spans="1:39" x14ac:dyDescent="0.35">
      <c r="A89" s="65">
        <f t="shared" si="14"/>
        <v>86</v>
      </c>
      <c r="B89">
        <v>5.5555076226554707</v>
      </c>
      <c r="D89" s="29">
        <v>1</v>
      </c>
      <c r="E89" s="13">
        <f t="shared" si="17"/>
        <v>6.4267890522116708</v>
      </c>
      <c r="F89" s="30">
        <f t="shared" si="18"/>
        <v>6.8192852019370696</v>
      </c>
      <c r="H89" s="24">
        <f t="shared" si="15"/>
        <v>5.5555076226554707</v>
      </c>
      <c r="L89">
        <f t="shared" si="10"/>
        <v>5.5555076226554707</v>
      </c>
      <c r="M89">
        <f t="shared" si="19"/>
        <v>6.8484467077127338</v>
      </c>
      <c r="N89">
        <f t="shared" si="16"/>
        <v>-1.2929390850572631</v>
      </c>
      <c r="X89" s="13">
        <f t="shared" si="11"/>
        <v>6.3790076989131865</v>
      </c>
      <c r="Y89" s="13">
        <f t="shared" si="12"/>
        <v>5.5555076226554707</v>
      </c>
      <c r="Z89" s="13">
        <f t="shared" si="13"/>
        <v>6.8468683813833922</v>
      </c>
      <c r="AK89" s="13" t="e">
        <f ca="1"/>
        <v>#NAME?</v>
      </c>
      <c r="AL89" s="13" t="e">
        <f ca="1"/>
        <v>#NAME?</v>
      </c>
      <c r="AM89" s="13" t="e">
        <f ca="1"/>
        <v>#NAME?</v>
      </c>
    </row>
    <row r="90" spans="1:39" x14ac:dyDescent="0.35">
      <c r="A90" s="65">
        <f t="shared" si="14"/>
        <v>87</v>
      </c>
      <c r="B90">
        <v>6.3790076989131865</v>
      </c>
      <c r="D90" s="29">
        <v>1</v>
      </c>
      <c r="E90" s="13">
        <f t="shared" si="17"/>
        <v>5.5555076226554707</v>
      </c>
      <c r="F90" s="30">
        <f t="shared" si="18"/>
        <v>6.4267890522116708</v>
      </c>
      <c r="H90" s="24">
        <f t="shared" si="15"/>
        <v>6.3790076989131865</v>
      </c>
      <c r="L90">
        <f t="shared" si="10"/>
        <v>6.3790076989131865</v>
      </c>
      <c r="M90">
        <f t="shared" si="19"/>
        <v>6.5150296061841759</v>
      </c>
      <c r="N90">
        <f t="shared" si="16"/>
        <v>-0.1360219072709894</v>
      </c>
      <c r="X90" s="13">
        <f t="shared" si="11"/>
        <v>6.8468683813833922</v>
      </c>
      <c r="Y90" s="13">
        <f t="shared" si="12"/>
        <v>6.3790076989131865</v>
      </c>
      <c r="Z90" s="13">
        <f t="shared" si="13"/>
        <v>6.5297839037031835</v>
      </c>
      <c r="AK90" s="13" t="e">
        <f ca="1"/>
        <v>#NAME?</v>
      </c>
      <c r="AL90" s="13" t="e">
        <f ca="1"/>
        <v>#NAME?</v>
      </c>
      <c r="AM90" s="13" t="e">
        <f ca="1"/>
        <v>#NAME?</v>
      </c>
    </row>
    <row r="91" spans="1:39" x14ac:dyDescent="0.35">
      <c r="A91" s="65">
        <f t="shared" si="14"/>
        <v>88</v>
      </c>
      <c r="B91">
        <v>6.8468683813833922</v>
      </c>
      <c r="D91" s="29">
        <v>1</v>
      </c>
      <c r="E91" s="13">
        <f t="shared" si="17"/>
        <v>6.3790076989131865</v>
      </c>
      <c r="F91" s="30">
        <f t="shared" si="18"/>
        <v>5.5555076226554707</v>
      </c>
      <c r="H91" s="24">
        <f t="shared" si="15"/>
        <v>6.8468683813833922</v>
      </c>
      <c r="L91">
        <f t="shared" si="10"/>
        <v>6.8468683813833922</v>
      </c>
      <c r="M91">
        <f t="shared" si="19"/>
        <v>7.0270249334055546</v>
      </c>
      <c r="N91">
        <f t="shared" si="16"/>
        <v>-0.18015655202216241</v>
      </c>
      <c r="X91" s="13">
        <f t="shared" si="11"/>
        <v>6.5297839037031835</v>
      </c>
      <c r="Y91" s="13">
        <f t="shared" si="12"/>
        <v>6.8468683813833922</v>
      </c>
      <c r="Z91" s="13">
        <f t="shared" si="13"/>
        <v>6.9722207272041752</v>
      </c>
      <c r="AK91" s="13" t="e">
        <f ca="1"/>
        <v>#NAME?</v>
      </c>
      <c r="AL91" s="13" t="e">
        <f ca="1"/>
        <v>#NAME?</v>
      </c>
      <c r="AM91" s="13" t="e">
        <f ca="1"/>
        <v>#NAME?</v>
      </c>
    </row>
    <row r="92" spans="1:39" x14ac:dyDescent="0.35">
      <c r="A92" s="65">
        <f t="shared" si="14"/>
        <v>89</v>
      </c>
      <c r="B92">
        <v>6.5297839037031835</v>
      </c>
      <c r="D92" s="29">
        <v>1</v>
      </c>
      <c r="E92" s="13">
        <f t="shared" si="17"/>
        <v>6.8468683813833922</v>
      </c>
      <c r="F92" s="30">
        <f t="shared" si="18"/>
        <v>6.3790076989131865</v>
      </c>
      <c r="H92" s="24">
        <f t="shared" si="15"/>
        <v>6.5297839037031835</v>
      </c>
      <c r="L92">
        <f t="shared" si="10"/>
        <v>6.5297839037031835</v>
      </c>
      <c r="M92">
        <f t="shared" si="19"/>
        <v>7.1089612003367089</v>
      </c>
      <c r="N92">
        <f t="shared" si="16"/>
        <v>-0.57917729663352535</v>
      </c>
      <c r="X92" s="13">
        <f t="shared" si="11"/>
        <v>6.9722207272041752</v>
      </c>
      <c r="Y92" s="13">
        <f t="shared" si="12"/>
        <v>6.5297839037031835</v>
      </c>
      <c r="Z92" s="13">
        <f t="shared" si="13"/>
        <v>7.9209906337611091</v>
      </c>
      <c r="AK92" s="13" t="e">
        <f ca="1"/>
        <v>#NAME?</v>
      </c>
      <c r="AL92" s="13" t="e">
        <f ca="1"/>
        <v>#NAME?</v>
      </c>
      <c r="AM92" s="13" t="e">
        <f ca="1"/>
        <v>#NAME?</v>
      </c>
    </row>
    <row r="93" spans="1:39" x14ac:dyDescent="0.35">
      <c r="A93" s="65">
        <f t="shared" si="14"/>
        <v>90</v>
      </c>
      <c r="B93">
        <v>6.9722207272041752</v>
      </c>
      <c r="D93" s="29">
        <v>1</v>
      </c>
      <c r="E93" s="13">
        <f t="shared" si="17"/>
        <v>6.5297839037031835</v>
      </c>
      <c r="F93" s="30">
        <f t="shared" si="18"/>
        <v>6.8468683813833922</v>
      </c>
      <c r="H93" s="24">
        <f t="shared" si="15"/>
        <v>6.9722207272041752</v>
      </c>
      <c r="L93">
        <f t="shared" si="10"/>
        <v>6.9722207272041752</v>
      </c>
      <c r="M93">
        <f t="shared" si="19"/>
        <v>6.8908417174938634</v>
      </c>
      <c r="N93">
        <f t="shared" si="16"/>
        <v>8.1379009710311756E-2</v>
      </c>
      <c r="X93" s="13">
        <f t="shared" si="11"/>
        <v>7.9209906337611091</v>
      </c>
      <c r="Y93" s="13">
        <f t="shared" si="12"/>
        <v>6.9722207272041752</v>
      </c>
      <c r="Z93" s="13">
        <f t="shared" si="13"/>
        <v>7.7482352854108072</v>
      </c>
      <c r="AK93" s="13" t="e">
        <f ca="1"/>
        <v>#NAME?</v>
      </c>
      <c r="AL93" s="13" t="e">
        <f ca="1"/>
        <v>#NAME?</v>
      </c>
      <c r="AM93" s="13" t="e">
        <f ca="1"/>
        <v>#NAME?</v>
      </c>
    </row>
    <row r="94" spans="1:39" x14ac:dyDescent="0.35">
      <c r="A94" s="65">
        <f t="shared" si="14"/>
        <v>91</v>
      </c>
      <c r="B94">
        <v>7.9209906337611091</v>
      </c>
      <c r="D94" s="29">
        <v>1</v>
      </c>
      <c r="E94" s="13">
        <f t="shared" si="17"/>
        <v>6.9722207272041752</v>
      </c>
      <c r="F94" s="30">
        <f t="shared" si="18"/>
        <v>6.5297839037031835</v>
      </c>
      <c r="H94" s="24">
        <f t="shared" si="15"/>
        <v>7.9209906337611091</v>
      </c>
      <c r="L94">
        <f t="shared" si="10"/>
        <v>7.9209906337611091</v>
      </c>
      <c r="M94">
        <f t="shared" si="19"/>
        <v>7.1419852223199589</v>
      </c>
      <c r="N94">
        <f t="shared" si="16"/>
        <v>0.77900541144115021</v>
      </c>
      <c r="X94" s="13">
        <f t="shared" si="11"/>
        <v>7.7482352854108072</v>
      </c>
      <c r="Y94" s="13">
        <f t="shared" si="12"/>
        <v>7.9209906337611091</v>
      </c>
      <c r="Z94" s="13">
        <f t="shared" si="13"/>
        <v>6.9019892363480606</v>
      </c>
      <c r="AK94" s="13" t="e">
        <f ca="1"/>
        <v>#NAME?</v>
      </c>
      <c r="AL94" s="13" t="e">
        <f ca="1"/>
        <v>#NAME?</v>
      </c>
      <c r="AM94" s="13" t="e">
        <f ca="1"/>
        <v>#NAME?</v>
      </c>
    </row>
    <row r="95" spans="1:39" x14ac:dyDescent="0.35">
      <c r="A95" s="65">
        <f t="shared" si="14"/>
        <v>92</v>
      </c>
      <c r="B95">
        <v>7.7482352854108072</v>
      </c>
      <c r="D95" s="29">
        <v>1</v>
      </c>
      <c r="E95" s="13">
        <f t="shared" si="17"/>
        <v>7.9209906337611091</v>
      </c>
      <c r="F95" s="30">
        <f t="shared" si="18"/>
        <v>6.9722207272041752</v>
      </c>
      <c r="H95" s="24">
        <f t="shared" si="15"/>
        <v>7.7482352854108072</v>
      </c>
      <c r="L95">
        <f t="shared" si="10"/>
        <v>7.7482352854108072</v>
      </c>
      <c r="M95">
        <f t="shared" si="19"/>
        <v>7.5026727764344407</v>
      </c>
      <c r="N95">
        <f t="shared" si="16"/>
        <v>0.24556250897636644</v>
      </c>
      <c r="X95" s="13">
        <f t="shared" si="11"/>
        <v>6.9019892363480606</v>
      </c>
      <c r="Y95" s="13">
        <f t="shared" si="12"/>
        <v>7.7482352854108072</v>
      </c>
      <c r="Z95" s="13">
        <f t="shared" si="13"/>
        <v>5.2437738080077576</v>
      </c>
      <c r="AK95" s="13" t="e">
        <f ca="1"/>
        <v>#NAME?</v>
      </c>
      <c r="AL95" s="13" t="e">
        <f ca="1"/>
        <v>#NAME?</v>
      </c>
      <c r="AM95" s="13" t="e">
        <f ca="1"/>
        <v>#NAME?</v>
      </c>
    </row>
    <row r="96" spans="1:39" x14ac:dyDescent="0.35">
      <c r="A96" s="65">
        <f t="shared" si="14"/>
        <v>93</v>
      </c>
      <c r="B96">
        <v>6.9019892363480606</v>
      </c>
      <c r="D96" s="29">
        <v>1</v>
      </c>
      <c r="E96" s="13">
        <f t="shared" si="17"/>
        <v>7.7482352854108072</v>
      </c>
      <c r="F96" s="30">
        <f t="shared" si="18"/>
        <v>7.9209906337611091</v>
      </c>
      <c r="H96" s="24">
        <f t="shared" si="15"/>
        <v>6.9019892363480606</v>
      </c>
      <c r="L96">
        <f t="shared" si="10"/>
        <v>6.9019892363480606</v>
      </c>
      <c r="M96">
        <f t="shared" si="19"/>
        <v>7.2738769738334472</v>
      </c>
      <c r="N96">
        <f t="shared" si="16"/>
        <v>-0.37188773748538662</v>
      </c>
      <c r="X96" s="13">
        <f t="shared" si="11"/>
        <v>5.2437738080077576</v>
      </c>
      <c r="Y96" s="13">
        <f t="shared" si="12"/>
        <v>6.9019892363480606</v>
      </c>
      <c r="Z96" s="13">
        <f t="shared" si="13"/>
        <v>5.9885180851756683</v>
      </c>
      <c r="AK96" s="13" t="e">
        <f ca="1"/>
        <v>#NAME?</v>
      </c>
      <c r="AL96" s="13" t="e">
        <f ca="1"/>
        <v>#NAME?</v>
      </c>
      <c r="AM96" s="13" t="e">
        <f ca="1"/>
        <v>#NAME?</v>
      </c>
    </row>
    <row r="97" spans="1:39" x14ac:dyDescent="0.35">
      <c r="A97" s="65">
        <f t="shared" si="14"/>
        <v>94</v>
      </c>
      <c r="B97">
        <v>5.2437738080077576</v>
      </c>
      <c r="D97" s="29">
        <v>1</v>
      </c>
      <c r="E97" s="13">
        <f t="shared" si="17"/>
        <v>6.9019892363480606</v>
      </c>
      <c r="F97" s="30">
        <f t="shared" si="18"/>
        <v>7.7482352854108072</v>
      </c>
      <c r="H97" s="24">
        <f t="shared" si="15"/>
        <v>5.2437738080077576</v>
      </c>
      <c r="L97">
        <f t="shared" si="10"/>
        <v>5.2437738080077576</v>
      </c>
      <c r="M97">
        <f t="shared" si="19"/>
        <v>6.9170046474658484</v>
      </c>
      <c r="N97">
        <f t="shared" si="16"/>
        <v>-1.6732308394580908</v>
      </c>
      <c r="X97" s="13">
        <f t="shared" si="11"/>
        <v>5.9885180851756683</v>
      </c>
      <c r="Y97" s="13">
        <f t="shared" si="12"/>
        <v>5.2437738080077576</v>
      </c>
      <c r="Z97" s="13">
        <f t="shared" si="13"/>
        <v>5.9236083765200203</v>
      </c>
      <c r="AK97" s="13" t="e">
        <f ca="1"/>
        <v>#NAME?</v>
      </c>
      <c r="AL97" s="13" t="e">
        <f ca="1"/>
        <v>#NAME?</v>
      </c>
      <c r="AM97" s="13" t="e">
        <f ca="1"/>
        <v>#NAME?</v>
      </c>
    </row>
    <row r="98" spans="1:39" x14ac:dyDescent="0.35">
      <c r="A98" s="65">
        <f t="shared" si="14"/>
        <v>95</v>
      </c>
      <c r="B98">
        <v>5.9885180851756683</v>
      </c>
      <c r="D98" s="29">
        <v>1</v>
      </c>
      <c r="E98" s="13">
        <f t="shared" si="17"/>
        <v>5.2437738080077576</v>
      </c>
      <c r="F98" s="30">
        <f t="shared" si="18"/>
        <v>6.9019892363480606</v>
      </c>
      <c r="H98" s="24">
        <f t="shared" si="15"/>
        <v>5.9885180851756683</v>
      </c>
      <c r="L98">
        <f t="shared" si="10"/>
        <v>5.9885180851756683</v>
      </c>
      <c r="M98">
        <f t="shared" si="19"/>
        <v>6.2981765540650132</v>
      </c>
      <c r="N98">
        <f t="shared" si="16"/>
        <v>-0.3096584688893449</v>
      </c>
      <c r="X98" s="13">
        <f t="shared" si="11"/>
        <v>5.9236083765200203</v>
      </c>
      <c r="Y98" s="13">
        <f t="shared" si="12"/>
        <v>5.9885180851756683</v>
      </c>
      <c r="Z98" s="13">
        <f t="shared" si="13"/>
        <v>7.5168005751827058</v>
      </c>
      <c r="AK98" s="13" t="e">
        <f ca="1"/>
        <v>#NAME?</v>
      </c>
      <c r="AL98" s="13" t="e">
        <f ca="1"/>
        <v>#NAME?</v>
      </c>
      <c r="AM98" s="13" t="e">
        <f ca="1"/>
        <v>#NAME?</v>
      </c>
    </row>
    <row r="99" spans="1:39" x14ac:dyDescent="0.35">
      <c r="A99" s="65">
        <f t="shared" si="14"/>
        <v>96</v>
      </c>
      <c r="B99">
        <v>5.9236083765200203</v>
      </c>
      <c r="D99" s="29">
        <v>1</v>
      </c>
      <c r="E99" s="13">
        <f t="shared" si="17"/>
        <v>5.9885180851756683</v>
      </c>
      <c r="F99" s="30">
        <f t="shared" si="18"/>
        <v>5.2437738080077576</v>
      </c>
      <c r="H99" s="24">
        <f t="shared" si="15"/>
        <v>5.9236083765200203</v>
      </c>
      <c r="L99">
        <f t="shared" si="10"/>
        <v>5.9236083765200203</v>
      </c>
      <c r="M99">
        <f t="shared" si="19"/>
        <v>6.8991191551567095</v>
      </c>
      <c r="N99">
        <f t="shared" si="16"/>
        <v>-0.97551077863668922</v>
      </c>
      <c r="X99" s="13">
        <f t="shared" si="11"/>
        <v>7.5168005751827058</v>
      </c>
      <c r="Y99" s="13">
        <f t="shared" si="12"/>
        <v>5.9236083765200203</v>
      </c>
      <c r="Z99" s="13">
        <f t="shared" si="13"/>
        <v>7.8620302663362134</v>
      </c>
      <c r="AK99" s="13" t="e">
        <f ca="1"/>
        <v>#NAME?</v>
      </c>
      <c r="AL99" s="13" t="e">
        <f ca="1"/>
        <v>#NAME?</v>
      </c>
      <c r="AM99" s="13" t="e">
        <f ca="1"/>
        <v>#NAME?</v>
      </c>
    </row>
    <row r="100" spans="1:39" x14ac:dyDescent="0.35">
      <c r="A100" s="65">
        <f t="shared" si="14"/>
        <v>97</v>
      </c>
      <c r="B100">
        <v>7.5168005751827058</v>
      </c>
      <c r="D100" s="29">
        <v>1</v>
      </c>
      <c r="E100" s="13">
        <f t="shared" si="17"/>
        <v>5.9236083765200203</v>
      </c>
      <c r="F100" s="30">
        <f t="shared" si="18"/>
        <v>5.9885180851756683</v>
      </c>
      <c r="H100" s="24">
        <f t="shared" si="15"/>
        <v>7.5168005751827058</v>
      </c>
      <c r="L100">
        <f t="shared" si="10"/>
        <v>7.5168005751827058</v>
      </c>
      <c r="M100">
        <f t="shared" si="19"/>
        <v>6.7516245531501777</v>
      </c>
      <c r="N100">
        <f t="shared" si="16"/>
        <v>0.7651760220325281</v>
      </c>
      <c r="X100" s="13">
        <f t="shared" si="11"/>
        <v>7.8620302663362134</v>
      </c>
      <c r="Y100" s="13">
        <f t="shared" si="12"/>
        <v>7.5168005751827058</v>
      </c>
      <c r="Z100" s="13">
        <f t="shared" si="13"/>
        <v>6.7345852259753105</v>
      </c>
      <c r="AK100" s="13" t="e">
        <f ca="1"/>
        <v>#NAME?</v>
      </c>
      <c r="AL100" s="13" t="e">
        <f ca="1"/>
        <v>#NAME?</v>
      </c>
      <c r="AM100" s="13" t="e">
        <f ca="1"/>
        <v>#NAME?</v>
      </c>
    </row>
    <row r="101" spans="1:39" x14ac:dyDescent="0.35">
      <c r="A101" s="65">
        <f t="shared" si="14"/>
        <v>98</v>
      </c>
      <c r="B101">
        <v>7.8620302663362134</v>
      </c>
      <c r="D101" s="29">
        <v>1</v>
      </c>
      <c r="E101" s="13">
        <f t="shared" si="17"/>
        <v>7.5168005751827058</v>
      </c>
      <c r="F101" s="30">
        <f t="shared" si="18"/>
        <v>5.9236083765200203</v>
      </c>
      <c r="H101" s="24">
        <f t="shared" si="15"/>
        <v>7.8620302663362134</v>
      </c>
      <c r="L101">
        <f t="shared" si="10"/>
        <v>7.8620302663362134</v>
      </c>
      <c r="M101">
        <f t="shared" si="19"/>
        <v>7.4853211086516849</v>
      </c>
      <c r="N101">
        <f t="shared" si="16"/>
        <v>0.37670915768452851</v>
      </c>
      <c r="X101" s="4">
        <f t="shared" si="11"/>
        <v>6.7345852259753105</v>
      </c>
      <c r="Y101" s="4">
        <f t="shared" si="12"/>
        <v>7.8620302663362134</v>
      </c>
      <c r="Z101" s="4">
        <f t="shared" si="13"/>
        <v>8.4658442020564895</v>
      </c>
      <c r="AK101" s="4" t="e">
        <f ca="1"/>
        <v>#NAME?</v>
      </c>
      <c r="AL101" s="4" t="e">
        <f ca="1"/>
        <v>#NAME?</v>
      </c>
      <c r="AM101" s="4" t="e">
        <f ca="1"/>
        <v>#NAME?</v>
      </c>
    </row>
    <row r="102" spans="1:39" x14ac:dyDescent="0.35">
      <c r="A102" s="65">
        <f t="shared" si="14"/>
        <v>99</v>
      </c>
      <c r="B102">
        <v>6.7345852259753105</v>
      </c>
      <c r="D102" s="29">
        <v>1</v>
      </c>
      <c r="E102" s="13">
        <f t="shared" si="17"/>
        <v>7.8620302663362134</v>
      </c>
      <c r="F102" s="30">
        <f t="shared" si="18"/>
        <v>7.5168005751827058</v>
      </c>
      <c r="H102" s="24">
        <f t="shared" si="15"/>
        <v>6.7345852259753105</v>
      </c>
      <c r="L102">
        <f t="shared" si="10"/>
        <v>6.7345852259753105</v>
      </c>
      <c r="M102">
        <f t="shared" si="19"/>
        <v>7.3896001085918464</v>
      </c>
      <c r="N102">
        <f t="shared" si="16"/>
        <v>-0.65501488261653584</v>
      </c>
    </row>
    <row r="103" spans="1:39" x14ac:dyDescent="0.35">
      <c r="A103" s="65">
        <f t="shared" si="14"/>
        <v>100</v>
      </c>
      <c r="B103" s="4">
        <v>8.4658442020564895</v>
      </c>
      <c r="D103" s="31">
        <v>1</v>
      </c>
      <c r="E103" s="4">
        <f t="shared" si="17"/>
        <v>6.7345852259753105</v>
      </c>
      <c r="F103" s="32">
        <f t="shared" si="18"/>
        <v>7.8620302663362134</v>
      </c>
      <c r="H103" s="34">
        <f t="shared" si="15"/>
        <v>8.4658442020564895</v>
      </c>
      <c r="L103" s="4">
        <f t="shared" si="10"/>
        <v>8.4658442020564895</v>
      </c>
      <c r="M103" s="4">
        <f t="shared" si="19"/>
        <v>6.8229592508439358</v>
      </c>
      <c r="N103" s="4">
        <f t="shared" si="16"/>
        <v>1.6428849512125536</v>
      </c>
    </row>
  </sheetData>
  <mergeCells count="1">
    <mergeCell ref="D3:F3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9"/>
  <dimension ref="A1:G103"/>
  <sheetViews>
    <sheetView workbookViewId="0"/>
  </sheetViews>
  <sheetFormatPr defaultRowHeight="14.5" x14ac:dyDescent="0.35"/>
  <cols>
    <col min="1" max="1" width="5.26953125" customWidth="1"/>
    <col min="5" max="5" width="6.26953125" customWidth="1"/>
  </cols>
  <sheetData>
    <row r="1" spans="1:7" x14ac:dyDescent="0.35">
      <c r="A1" s="7" t="s">
        <v>218</v>
      </c>
    </row>
    <row r="2" spans="1:7" ht="11.25" customHeight="1" x14ac:dyDescent="0.35"/>
    <row r="3" spans="1:7" x14ac:dyDescent="0.35">
      <c r="B3" s="66" t="s">
        <v>107</v>
      </c>
      <c r="C3" s="66" t="s">
        <v>110</v>
      </c>
      <c r="D3" s="66" t="s">
        <v>177</v>
      </c>
      <c r="F3" s="35" t="s">
        <v>196</v>
      </c>
    </row>
    <row r="4" spans="1:7" x14ac:dyDescent="0.35">
      <c r="A4">
        <v>1</v>
      </c>
      <c r="B4">
        <v>-0.47324253014025192</v>
      </c>
      <c r="C4">
        <f>5+0.4*0-0.1*0+B4</f>
        <v>4.5267574698597484</v>
      </c>
    </row>
    <row r="5" spans="1:7" x14ac:dyDescent="0.35">
      <c r="A5">
        <f>A4+1</f>
        <v>2</v>
      </c>
      <c r="B5">
        <v>8.2667789568597605E-2</v>
      </c>
      <c r="C5">
        <f>5+0.4*C4-0.1*0+B5</f>
        <v>6.893370777512497</v>
      </c>
      <c r="F5" s="23">
        <v>5.0109466210282889</v>
      </c>
    </row>
    <row r="6" spans="1:7" x14ac:dyDescent="0.35">
      <c r="A6">
        <f t="shared" ref="A6:A69" si="0">A5+1</f>
        <v>3</v>
      </c>
      <c r="B6">
        <v>1.1207225535485557</v>
      </c>
      <c r="C6">
        <f>5+0.4*C5-0.1*C4+B6</f>
        <v>8.4253951175675805</v>
      </c>
      <c r="D6">
        <f>$F$5+C5*$F$6+C4*$F$7</f>
        <v>7.4236069485951255</v>
      </c>
      <c r="F6" s="24">
        <v>0.45406332821470835</v>
      </c>
    </row>
    <row r="7" spans="1:7" x14ac:dyDescent="0.35">
      <c r="A7">
        <f t="shared" si="0"/>
        <v>4</v>
      </c>
      <c r="B7">
        <v>-0.68131888228678594</v>
      </c>
      <c r="C7">
        <f t="shared" ref="C7:C70" si="1">5+0.4*C6-0.1*C5+B7</f>
        <v>6.999502086988997</v>
      </c>
      <c r="D7">
        <f t="shared" ref="D7:D70" si="2">$F$5+C6*$F$6+C5*$F$7</f>
        <v>7.744199903897595</v>
      </c>
      <c r="F7" s="34">
        <v>-0.15847249495138635</v>
      </c>
    </row>
    <row r="8" spans="1:7" x14ac:dyDescent="0.35">
      <c r="A8">
        <f t="shared" si="0"/>
        <v>5</v>
      </c>
      <c r="B8">
        <v>-0.76966716140875779</v>
      </c>
      <c r="C8">
        <f t="shared" si="1"/>
        <v>6.1875941616300834</v>
      </c>
      <c r="D8">
        <f t="shared" si="2"/>
        <v>6.8539704492601468</v>
      </c>
    </row>
    <row r="9" spans="1:7" x14ac:dyDescent="0.35">
      <c r="A9">
        <f t="shared" si="0"/>
        <v>6</v>
      </c>
      <c r="B9">
        <v>-0.96211098507331017</v>
      </c>
      <c r="C9">
        <f t="shared" si="1"/>
        <v>5.8129764708798239</v>
      </c>
      <c r="D9">
        <f t="shared" si="2"/>
        <v>6.7112776605573607</v>
      </c>
      <c r="F9" s="65" t="s">
        <v>121</v>
      </c>
    </row>
    <row r="10" spans="1:7" x14ac:dyDescent="0.35">
      <c r="A10">
        <f t="shared" si="0"/>
        <v>7</v>
      </c>
      <c r="B10">
        <v>0.41364151532991683</v>
      </c>
      <c r="C10">
        <f t="shared" si="1"/>
        <v>7.1200726875188378</v>
      </c>
      <c r="D10">
        <f t="shared" si="2"/>
        <v>6.6698425796896208</v>
      </c>
      <c r="F10" s="19">
        <f>SUMXMY2(C6:C103,D6:D103)</f>
        <v>98.440741354225324</v>
      </c>
    </row>
    <row r="11" spans="1:7" x14ac:dyDescent="0.35">
      <c r="A11">
        <f t="shared" si="0"/>
        <v>8</v>
      </c>
      <c r="B11">
        <v>1.2351835053545517</v>
      </c>
      <c r="C11">
        <f t="shared" si="1"/>
        <v>8.5019149332741044</v>
      </c>
      <c r="D11">
        <f t="shared" si="2"/>
        <v>7.3227136382197049</v>
      </c>
    </row>
    <row r="12" spans="1:7" x14ac:dyDescent="0.35">
      <c r="A12">
        <f t="shared" si="0"/>
        <v>9</v>
      </c>
      <c r="B12">
        <v>-0.38753659937569779</v>
      </c>
      <c r="C12">
        <f t="shared" si="1"/>
        <v>7.3012221051820614</v>
      </c>
      <c r="D12">
        <f t="shared" si="2"/>
        <v>7.7430187288027268</v>
      </c>
      <c r="F12" s="65" t="s">
        <v>216</v>
      </c>
      <c r="G12" t="s">
        <v>125</v>
      </c>
    </row>
    <row r="13" spans="1:7" x14ac:dyDescent="0.35">
      <c r="A13">
        <f t="shared" si="0"/>
        <v>10</v>
      </c>
      <c r="B13">
        <v>-1.0314205193621429</v>
      </c>
      <c r="C13">
        <f t="shared" si="1"/>
        <v>6.0388768293832715</v>
      </c>
      <c r="D13">
        <f t="shared" si="2"/>
        <v>6.9788441588016585</v>
      </c>
      <c r="F13" s="19">
        <f>ABS(F7)</f>
        <v>0.15847249495138635</v>
      </c>
    </row>
    <row r="14" spans="1:7" x14ac:dyDescent="0.35">
      <c r="A14">
        <f t="shared" si="0"/>
        <v>11</v>
      </c>
      <c r="B14">
        <v>-1.9393388320973128</v>
      </c>
      <c r="C14">
        <f t="shared" si="1"/>
        <v>4.7460896891377891</v>
      </c>
      <c r="D14">
        <f t="shared" si="2"/>
        <v>6.5959362496543275</v>
      </c>
    </row>
    <row r="15" spans="1:7" x14ac:dyDescent="0.35">
      <c r="A15">
        <f t="shared" si="0"/>
        <v>12</v>
      </c>
      <c r="B15">
        <v>0.35912852564205311</v>
      </c>
      <c r="C15">
        <f t="shared" si="1"/>
        <v>6.6536767183588417</v>
      </c>
      <c r="D15">
        <f t="shared" si="2"/>
        <v>6.20897602342722</v>
      </c>
      <c r="F15" s="65" t="s">
        <v>217</v>
      </c>
      <c r="G15" t="s">
        <v>125</v>
      </c>
    </row>
    <row r="16" spans="1:7" x14ac:dyDescent="0.35">
      <c r="A16">
        <f t="shared" si="0"/>
        <v>13</v>
      </c>
      <c r="B16">
        <v>1.0071142010572023</v>
      </c>
      <c r="C16">
        <f t="shared" si="1"/>
        <v>8.1939759194869595</v>
      </c>
      <c r="D16">
        <f t="shared" si="2"/>
        <v>7.2800125423303079</v>
      </c>
      <c r="F16" s="19">
        <f>ABS(F6)+F7</f>
        <v>0.29559083326332203</v>
      </c>
    </row>
    <row r="17" spans="1:4" x14ac:dyDescent="0.35">
      <c r="A17">
        <f t="shared" si="0"/>
        <v>14</v>
      </c>
      <c r="B17">
        <v>-5.1959162489554053E-2</v>
      </c>
      <c r="C17">
        <f t="shared" si="1"/>
        <v>7.5602635334693442</v>
      </c>
      <c r="D17">
        <f t="shared" si="2"/>
        <v>7.6771058481834347</v>
      </c>
    </row>
    <row r="18" spans="1:4" x14ac:dyDescent="0.35">
      <c r="A18">
        <f t="shared" si="0"/>
        <v>15</v>
      </c>
      <c r="B18">
        <v>-0.41025652430283599</v>
      </c>
      <c r="C18">
        <f t="shared" si="1"/>
        <v>6.794451297136205</v>
      </c>
      <c r="D18">
        <f t="shared" si="2"/>
        <v>7.1452652356829907</v>
      </c>
    </row>
    <row r="19" spans="1:4" x14ac:dyDescent="0.35">
      <c r="A19">
        <f t="shared" si="0"/>
        <v>16</v>
      </c>
      <c r="B19">
        <v>-2.2372876303491593</v>
      </c>
      <c r="C19">
        <f t="shared" si="1"/>
        <v>4.7244665351583883</v>
      </c>
      <c r="D19">
        <f t="shared" si="2"/>
        <v>6.8979639657598248</v>
      </c>
    </row>
    <row r="20" spans="1:4" x14ac:dyDescent="0.35">
      <c r="A20">
        <f t="shared" si="0"/>
        <v>17</v>
      </c>
      <c r="B20">
        <v>-0.18318635781115461</v>
      </c>
      <c r="C20">
        <f t="shared" si="1"/>
        <v>6.0271551265385801</v>
      </c>
      <c r="D20">
        <f t="shared" si="2"/>
        <v>6.07941997113846</v>
      </c>
    </row>
    <row r="21" spans="1:4" x14ac:dyDescent="0.35">
      <c r="A21">
        <f t="shared" si="0"/>
        <v>18</v>
      </c>
      <c r="B21">
        <v>0.18749462876249154</v>
      </c>
      <c r="C21">
        <f t="shared" si="1"/>
        <v>7.1259100258620851</v>
      </c>
      <c r="D21">
        <f t="shared" si="2"/>
        <v>6.9989587383098568</v>
      </c>
    </row>
    <row r="22" spans="1:4" x14ac:dyDescent="0.35">
      <c r="A22">
        <f t="shared" si="0"/>
        <v>19</v>
      </c>
      <c r="B22">
        <v>-5.6400668198823029E-2</v>
      </c>
      <c r="C22">
        <f t="shared" si="1"/>
        <v>7.1912478294921529</v>
      </c>
      <c r="D22">
        <f t="shared" si="2"/>
        <v>7.2914227335681785</v>
      </c>
    </row>
    <row r="23" spans="1:4" x14ac:dyDescent="0.35">
      <c r="A23">
        <f t="shared" si="0"/>
        <v>20</v>
      </c>
      <c r="B23">
        <v>-0.48121649086566348</v>
      </c>
      <c r="C23">
        <f t="shared" si="1"/>
        <v>6.6826916383449895</v>
      </c>
      <c r="D23">
        <f t="shared" si="2"/>
        <v>7.146967803906831</v>
      </c>
    </row>
    <row r="24" spans="1:4" x14ac:dyDescent="0.35">
      <c r="A24">
        <f t="shared" si="0"/>
        <v>21</v>
      </c>
      <c r="B24">
        <v>-0.38179474938688318</v>
      </c>
      <c r="C24">
        <f t="shared" si="1"/>
        <v>6.5721571230018965</v>
      </c>
      <c r="D24">
        <f t="shared" si="2"/>
        <v>6.9056968424144536</v>
      </c>
    </row>
    <row r="25" spans="1:4" x14ac:dyDescent="0.35">
      <c r="A25">
        <f t="shared" si="0"/>
        <v>22</v>
      </c>
      <c r="B25">
        <v>-0.20785477186378326</v>
      </c>
      <c r="C25">
        <f t="shared" si="1"/>
        <v>6.7527389135024771</v>
      </c>
      <c r="D25">
        <f t="shared" si="2"/>
        <v>6.9360993409292346</v>
      </c>
    </row>
    <row r="26" spans="1:4" x14ac:dyDescent="0.35">
      <c r="A26">
        <f t="shared" si="0"/>
        <v>23</v>
      </c>
      <c r="B26">
        <v>-1.3964797995563232</v>
      </c>
      <c r="C26">
        <f t="shared" si="1"/>
        <v>5.6474000535444784</v>
      </c>
      <c r="D26">
        <f t="shared" si="2"/>
        <v>7.0356115901635619</v>
      </c>
    </row>
    <row r="27" spans="1:4" x14ac:dyDescent="0.35">
      <c r="A27">
        <f t="shared" si="0"/>
        <v>24</v>
      </c>
      <c r="B27">
        <v>-0.10631712587124004</v>
      </c>
      <c r="C27">
        <f t="shared" si="1"/>
        <v>6.4773690041963041</v>
      </c>
      <c r="D27">
        <f t="shared" si="2"/>
        <v>6.5051005017225654</v>
      </c>
    </row>
    <row r="28" spans="1:4" x14ac:dyDescent="0.35">
      <c r="A28">
        <f t="shared" si="0"/>
        <v>25</v>
      </c>
      <c r="B28">
        <v>0.26416614209328265</v>
      </c>
      <c r="C28">
        <f t="shared" si="1"/>
        <v>7.2903737384173564</v>
      </c>
      <c r="D28">
        <f t="shared" si="2"/>
        <v>7.0571247726746673</v>
      </c>
    </row>
    <row r="29" spans="1:4" x14ac:dyDescent="0.35">
      <c r="A29">
        <f t="shared" si="0"/>
        <v>26</v>
      </c>
      <c r="B29">
        <v>0.56209410321803166</v>
      </c>
      <c r="C29">
        <f t="shared" si="1"/>
        <v>7.8305066981653439</v>
      </c>
      <c r="D29">
        <f t="shared" si="2"/>
        <v>7.2947531578074143</v>
      </c>
    </row>
    <row r="30" spans="1:4" x14ac:dyDescent="0.35">
      <c r="A30">
        <f t="shared" si="0"/>
        <v>27</v>
      </c>
      <c r="B30">
        <v>0.3495176527890641</v>
      </c>
      <c r="C30">
        <f t="shared" si="1"/>
        <v>7.752682958213466</v>
      </c>
      <c r="D30">
        <f t="shared" si="2"/>
        <v>7.4111688385497478</v>
      </c>
    </row>
    <row r="31" spans="1:4" x14ac:dyDescent="0.35">
      <c r="A31">
        <f t="shared" si="0"/>
        <v>28</v>
      </c>
      <c r="B31">
        <v>-1.4196432813369184</v>
      </c>
      <c r="C31">
        <f t="shared" si="1"/>
        <v>5.8983792321319335</v>
      </c>
      <c r="D31">
        <f t="shared" si="2"/>
        <v>7.2902357144363421</v>
      </c>
    </row>
    <row r="32" spans="1:4" x14ac:dyDescent="0.35">
      <c r="A32">
        <f t="shared" si="0"/>
        <v>29</v>
      </c>
      <c r="B32">
        <v>0.41292682554218701</v>
      </c>
      <c r="C32">
        <f t="shared" si="1"/>
        <v>6.9970102225736142</v>
      </c>
      <c r="D32">
        <f t="shared" si="2"/>
        <v>6.4605973152874476</v>
      </c>
    </row>
    <row r="33" spans="1:4" x14ac:dyDescent="0.35">
      <c r="A33">
        <f t="shared" si="0"/>
        <v>30</v>
      </c>
      <c r="B33">
        <v>0.35807000330701766</v>
      </c>
      <c r="C33">
        <f t="shared" si="1"/>
        <v>7.5670361691232699</v>
      </c>
      <c r="D33">
        <f t="shared" si="2"/>
        <v>7.253301497157012</v>
      </c>
    </row>
    <row r="34" spans="1:4" x14ac:dyDescent="0.35">
      <c r="A34">
        <f t="shared" si="0"/>
        <v>31</v>
      </c>
      <c r="B34">
        <v>-1.3945310478710269</v>
      </c>
      <c r="C34">
        <f t="shared" si="1"/>
        <v>5.9325823975209193</v>
      </c>
      <c r="D34">
        <f t="shared" si="2"/>
        <v>7.3380265815298822</v>
      </c>
    </row>
    <row r="35" spans="1:4" x14ac:dyDescent="0.35">
      <c r="A35">
        <f t="shared" si="0"/>
        <v>32</v>
      </c>
      <c r="B35">
        <v>-0.34465535758600896</v>
      </c>
      <c r="C35">
        <f t="shared" si="1"/>
        <v>6.2716739845100316</v>
      </c>
      <c r="D35">
        <f t="shared" si="2"/>
        <v>6.5055476282462852</v>
      </c>
    </row>
    <row r="36" spans="1:4" x14ac:dyDescent="0.35">
      <c r="A36">
        <f t="shared" si="0"/>
        <v>33</v>
      </c>
      <c r="B36">
        <v>0.6773260419350895</v>
      </c>
      <c r="C36">
        <f t="shared" si="1"/>
        <v>7.5927373959870117</v>
      </c>
      <c r="D36">
        <f t="shared" si="2"/>
        <v>6.9185326498726969</v>
      </c>
    </row>
    <row r="37" spans="1:4" x14ac:dyDescent="0.35">
      <c r="A37">
        <f t="shared" si="0"/>
        <v>34</v>
      </c>
      <c r="B37">
        <v>-0.33272164613616745</v>
      </c>
      <c r="C37">
        <f t="shared" si="1"/>
        <v>7.0772059138076351</v>
      </c>
      <c r="D37">
        <f t="shared" si="2"/>
        <v>7.4646424094634227</v>
      </c>
    </row>
    <row r="38" spans="1:4" x14ac:dyDescent="0.35">
      <c r="A38">
        <f t="shared" si="0"/>
        <v>35</v>
      </c>
      <c r="B38">
        <v>0.16193253442993719</v>
      </c>
      <c r="C38">
        <f t="shared" si="1"/>
        <v>7.2335411603542905</v>
      </c>
      <c r="D38">
        <f t="shared" si="2"/>
        <v>7.0212062540598454</v>
      </c>
    </row>
    <row r="39" spans="1:4" x14ac:dyDescent="0.35">
      <c r="A39">
        <f t="shared" si="0"/>
        <v>36</v>
      </c>
      <c r="B39">
        <v>2.0958988923338451</v>
      </c>
      <c r="C39">
        <f t="shared" si="1"/>
        <v>9.2815947650947983</v>
      </c>
      <c r="D39">
        <f t="shared" si="2"/>
        <v>7.1738899166310386</v>
      </c>
    </row>
    <row r="40" spans="1:4" x14ac:dyDescent="0.35">
      <c r="A40">
        <f t="shared" si="0"/>
        <v>37</v>
      </c>
      <c r="B40">
        <v>0.13687130286193497</v>
      </c>
      <c r="C40">
        <f t="shared" si="1"/>
        <v>8.1261550928644262</v>
      </c>
      <c r="D40">
        <f t="shared" si="2"/>
        <v>8.0790611161925572</v>
      </c>
    </row>
    <row r="41" spans="1:4" x14ac:dyDescent="0.35">
      <c r="A41">
        <f t="shared" si="0"/>
        <v>38</v>
      </c>
      <c r="B41">
        <v>0.15164038123128815</v>
      </c>
      <c r="C41">
        <f t="shared" si="1"/>
        <v>7.4739429418675778</v>
      </c>
      <c r="D41">
        <f t="shared" si="2"/>
        <v>7.2298581685309138</v>
      </c>
    </row>
    <row r="42" spans="1:4" x14ac:dyDescent="0.35">
      <c r="A42">
        <f t="shared" si="0"/>
        <v>39</v>
      </c>
      <c r="B42">
        <v>-1.3286774610778544</v>
      </c>
      <c r="C42">
        <f t="shared" si="1"/>
        <v>5.8482842063827345</v>
      </c>
      <c r="D42">
        <f t="shared" si="2"/>
        <v>7.1168179561713689</v>
      </c>
    </row>
    <row r="43" spans="1:4" x14ac:dyDescent="0.35">
      <c r="A43">
        <f t="shared" si="0"/>
        <v>40</v>
      </c>
      <c r="B43">
        <v>-1.6831783661549446</v>
      </c>
      <c r="C43">
        <f t="shared" si="1"/>
        <v>4.9087410222113919</v>
      </c>
      <c r="D43">
        <f t="shared" si="2"/>
        <v>6.4820236270018885</v>
      </c>
    </row>
    <row r="44" spans="1:4" x14ac:dyDescent="0.35">
      <c r="A44">
        <f t="shared" si="0"/>
        <v>41</v>
      </c>
      <c r="B44">
        <v>2.1773330001221298</v>
      </c>
      <c r="C44">
        <f t="shared" si="1"/>
        <v>8.5560009883684138</v>
      </c>
      <c r="D44">
        <f t="shared" si="2"/>
        <v>6.3130337175474018</v>
      </c>
    </row>
    <row r="45" spans="1:4" x14ac:dyDescent="0.35">
      <c r="A45">
        <f t="shared" si="0"/>
        <v>42</v>
      </c>
      <c r="B45">
        <v>0.84300462021271161</v>
      </c>
      <c r="C45">
        <f t="shared" si="1"/>
        <v>8.7745309133389373</v>
      </c>
      <c r="D45">
        <f t="shared" si="2"/>
        <v>8.1180124691551274</v>
      </c>
    </row>
    <row r="46" spans="1:4" x14ac:dyDescent="0.35">
      <c r="A46">
        <f t="shared" si="0"/>
        <v>43</v>
      </c>
      <c r="B46">
        <v>-0.11653470961109491</v>
      </c>
      <c r="C46">
        <f t="shared" si="1"/>
        <v>7.5376775568876386</v>
      </c>
      <c r="D46">
        <f t="shared" si="2"/>
        <v>7.6392485076285404</v>
      </c>
    </row>
    <row r="47" spans="1:4" x14ac:dyDescent="0.35">
      <c r="A47">
        <f t="shared" si="0"/>
        <v>44</v>
      </c>
      <c r="B47">
        <v>1.1335178378349218</v>
      </c>
      <c r="C47">
        <f t="shared" si="1"/>
        <v>8.2711357692560838</v>
      </c>
      <c r="D47">
        <f t="shared" si="2"/>
        <v>7.0430077736531134</v>
      </c>
    </row>
    <row r="48" spans="1:4" x14ac:dyDescent="0.35">
      <c r="A48">
        <f t="shared" si="0"/>
        <v>45</v>
      </c>
      <c r="B48">
        <v>2.0614058880224517</v>
      </c>
      <c r="C48">
        <f t="shared" si="1"/>
        <v>9.6160924400361214</v>
      </c>
      <c r="D48">
        <f t="shared" si="2"/>
        <v>7.5720514879533729</v>
      </c>
    </row>
    <row r="49" spans="1:4" x14ac:dyDescent="0.35">
      <c r="A49">
        <f t="shared" si="0"/>
        <v>46</v>
      </c>
      <c r="B49">
        <v>1.1006258259814818</v>
      </c>
      <c r="C49">
        <f t="shared" si="1"/>
        <v>9.1199492250703216</v>
      </c>
      <c r="D49">
        <f t="shared" si="2"/>
        <v>8.0665140373357218</v>
      </c>
    </row>
    <row r="50" spans="1:4" x14ac:dyDescent="0.35">
      <c r="A50">
        <f t="shared" si="0"/>
        <v>47</v>
      </c>
      <c r="B50">
        <v>-0.11243048824424987</v>
      </c>
      <c r="C50">
        <f t="shared" si="1"/>
        <v>7.573939957780266</v>
      </c>
      <c r="D50">
        <f t="shared" si="2"/>
        <v>7.6280949586571793</v>
      </c>
    </row>
    <row r="51" spans="1:4" x14ac:dyDescent="0.35">
      <c r="A51">
        <f t="shared" si="0"/>
        <v>48</v>
      </c>
      <c r="B51">
        <v>0.89967999134606913</v>
      </c>
      <c r="C51">
        <f t="shared" si="1"/>
        <v>8.0172610519511434</v>
      </c>
      <c r="D51">
        <f t="shared" si="2"/>
        <v>7.0047338984295076</v>
      </c>
    </row>
    <row r="52" spans="1:4" x14ac:dyDescent="0.35">
      <c r="A52">
        <f t="shared" si="0"/>
        <v>49</v>
      </c>
      <c r="B52">
        <v>-0.73154188371208884</v>
      </c>
      <c r="C52">
        <f t="shared" si="1"/>
        <v>6.7179685412903414</v>
      </c>
      <c r="D52">
        <f t="shared" si="2"/>
        <v>7.4510296957219415</v>
      </c>
    </row>
    <row r="53" spans="1:4" x14ac:dyDescent="0.35">
      <c r="A53">
        <f t="shared" si="0"/>
        <v>50</v>
      </c>
      <c r="B53">
        <v>0.74598633697981298</v>
      </c>
      <c r="C53">
        <f t="shared" si="1"/>
        <v>7.6314476483008358</v>
      </c>
      <c r="D53">
        <f t="shared" si="2"/>
        <v>6.7908144141490174</v>
      </c>
    </row>
    <row r="54" spans="1:4" x14ac:dyDescent="0.35">
      <c r="A54">
        <f t="shared" si="0"/>
        <v>51</v>
      </c>
      <c r="B54">
        <v>-0.42642490989986637</v>
      </c>
      <c r="C54">
        <f t="shared" si="1"/>
        <v>6.9543572952914339</v>
      </c>
      <c r="D54">
        <f t="shared" si="2"/>
        <v>7.4114939035688696</v>
      </c>
    </row>
    <row r="55" spans="1:4" x14ac:dyDescent="0.35">
      <c r="A55">
        <f t="shared" si="0"/>
        <v>52</v>
      </c>
      <c r="B55">
        <v>-0.41011257152708913</v>
      </c>
      <c r="C55">
        <f t="shared" si="1"/>
        <v>6.6084855817594015</v>
      </c>
      <c r="D55">
        <f t="shared" si="2"/>
        <v>6.95929069120543</v>
      </c>
    </row>
    <row r="56" spans="1:4" x14ac:dyDescent="0.35">
      <c r="A56">
        <f t="shared" si="0"/>
        <v>53</v>
      </c>
      <c r="B56">
        <v>-0.4978354226090263</v>
      </c>
      <c r="C56">
        <f t="shared" si="1"/>
        <v>6.4501230805655911</v>
      </c>
      <c r="D56">
        <f t="shared" si="2"/>
        <v>6.9095432273726667</v>
      </c>
    </row>
    <row r="57" spans="1:4" x14ac:dyDescent="0.35">
      <c r="A57">
        <f t="shared" si="0"/>
        <v>54</v>
      </c>
      <c r="B57">
        <v>0.76871122871467434</v>
      </c>
      <c r="C57">
        <f t="shared" si="1"/>
        <v>7.6879119027649709</v>
      </c>
      <c r="D57">
        <f t="shared" si="2"/>
        <v>6.8924477763927321</v>
      </c>
    </row>
    <row r="58" spans="1:4" x14ac:dyDescent="0.35">
      <c r="A58">
        <f t="shared" si="0"/>
        <v>55</v>
      </c>
      <c r="B58">
        <v>-1.6365342070552809</v>
      </c>
      <c r="C58">
        <f t="shared" si="1"/>
        <v>5.7936182459941481</v>
      </c>
      <c r="D58">
        <f t="shared" si="2"/>
        <v>7.4795783892984717</v>
      </c>
    </row>
    <row r="59" spans="1:4" x14ac:dyDescent="0.35">
      <c r="A59">
        <f t="shared" si="0"/>
        <v>56</v>
      </c>
      <c r="B59">
        <v>1.1312536481777808E-2</v>
      </c>
      <c r="C59">
        <f t="shared" si="1"/>
        <v>6.5599686446029404</v>
      </c>
      <c r="D59">
        <f t="shared" si="2"/>
        <v>6.4232936240122278</v>
      </c>
    </row>
    <row r="60" spans="1:4" x14ac:dyDescent="0.35">
      <c r="A60">
        <f t="shared" si="0"/>
        <v>57</v>
      </c>
      <c r="B60">
        <v>1.0056243592004326</v>
      </c>
      <c r="C60">
        <f t="shared" si="1"/>
        <v>8.0502499924421933</v>
      </c>
      <c r="D60">
        <f t="shared" si="2"/>
        <v>7.0714586785422622</v>
      </c>
    </row>
    <row r="61" spans="1:4" x14ac:dyDescent="0.35">
      <c r="A61">
        <f t="shared" si="0"/>
        <v>58</v>
      </c>
      <c r="B61">
        <v>-1.448038903993093</v>
      </c>
      <c r="C61">
        <f t="shared" si="1"/>
        <v>6.1160642285234905</v>
      </c>
      <c r="D61">
        <f t="shared" si="2"/>
        <v>7.6266953276439287</v>
      </c>
    </row>
    <row r="62" spans="1:4" x14ac:dyDescent="0.35">
      <c r="A62">
        <f t="shared" si="0"/>
        <v>59</v>
      </c>
      <c r="B62">
        <v>7.1484695132023712E-2</v>
      </c>
      <c r="C62">
        <f t="shared" si="1"/>
        <v>6.7128853872972014</v>
      </c>
      <c r="D62">
        <f t="shared" si="2"/>
        <v>6.5122838989218943</v>
      </c>
    </row>
    <row r="63" spans="1:4" x14ac:dyDescent="0.35">
      <c r="A63">
        <f t="shared" si="0"/>
        <v>60</v>
      </c>
      <c r="B63">
        <v>-0.1007785743604695</v>
      </c>
      <c r="C63">
        <f t="shared" si="1"/>
        <v>6.972769157706062</v>
      </c>
      <c r="D63">
        <f t="shared" si="2"/>
        <v>7.0897937443312937</v>
      </c>
    </row>
    <row r="64" spans="1:4" x14ac:dyDescent="0.35">
      <c r="A64">
        <f t="shared" si="0"/>
        <v>61</v>
      </c>
      <c r="B64">
        <v>-1.725637170375401</v>
      </c>
      <c r="C64">
        <f t="shared" si="1"/>
        <v>5.3921819539773042</v>
      </c>
      <c r="D64">
        <f t="shared" si="2"/>
        <v>7.113217696001481</v>
      </c>
    </row>
    <row r="65" spans="1:4" x14ac:dyDescent="0.35">
      <c r="A65">
        <f t="shared" si="0"/>
        <v>62</v>
      </c>
      <c r="B65">
        <v>-1.179892282500298</v>
      </c>
      <c r="C65">
        <f t="shared" si="1"/>
        <v>5.2797035833200177</v>
      </c>
      <c r="D65">
        <f t="shared" si="2"/>
        <v>6.3543465802487571</v>
      </c>
    </row>
    <row r="66" spans="1:4" x14ac:dyDescent="0.35">
      <c r="A66">
        <f t="shared" si="0"/>
        <v>63</v>
      </c>
      <c r="B66">
        <v>0.89714189254889554</v>
      </c>
      <c r="C66">
        <f t="shared" si="1"/>
        <v>7.4698051304791724</v>
      </c>
      <c r="D66">
        <f t="shared" si="2"/>
        <v>6.5537538745790735</v>
      </c>
    </row>
    <row r="67" spans="1:4" x14ac:dyDescent="0.35">
      <c r="A67">
        <f t="shared" si="0"/>
        <v>64</v>
      </c>
      <c r="B67">
        <v>-2.1053252206398696</v>
      </c>
      <c r="C67">
        <f t="shared" si="1"/>
        <v>5.3546264732197972</v>
      </c>
      <c r="D67">
        <f t="shared" si="2"/>
        <v>7.5660234002364675</v>
      </c>
    </row>
    <row r="68" spans="1:4" x14ac:dyDescent="0.35">
      <c r="A68">
        <f t="shared" si="0"/>
        <v>65</v>
      </c>
      <c r="B68">
        <v>0.99139292864806638</v>
      </c>
      <c r="C68">
        <f t="shared" si="1"/>
        <v>7.3862630048880682</v>
      </c>
      <c r="D68">
        <f t="shared" si="2"/>
        <v>6.2585274829773549</v>
      </c>
    </row>
    <row r="69" spans="1:4" x14ac:dyDescent="0.35">
      <c r="A69">
        <f t="shared" si="0"/>
        <v>66</v>
      </c>
      <c r="B69">
        <v>1.4979503123490683</v>
      </c>
      <c r="C69">
        <f t="shared" si="1"/>
        <v>8.9169928669823157</v>
      </c>
      <c r="D69">
        <f t="shared" si="2"/>
        <v>7.5162167673530531</v>
      </c>
    </row>
    <row r="70" spans="1:4" x14ac:dyDescent="0.35">
      <c r="A70">
        <f t="shared" ref="A70:A103" si="3">A69+1</f>
        <v>67</v>
      </c>
      <c r="B70">
        <v>0.20183810054931065</v>
      </c>
      <c r="C70">
        <f t="shared" si="1"/>
        <v>8.0300089468534299</v>
      </c>
      <c r="D70">
        <f t="shared" si="2"/>
        <v>7.8893065531253583</v>
      </c>
    </row>
    <row r="71" spans="1:4" x14ac:dyDescent="0.35">
      <c r="A71">
        <f t="shared" si="3"/>
        <v>68</v>
      </c>
      <c r="B71">
        <v>0.89484002117632533</v>
      </c>
      <c r="C71">
        <f t="shared" ref="C71:C103" si="4">5+0.4*C70-0.1*C69+B71</f>
        <v>8.2151443132194668</v>
      </c>
      <c r="D71">
        <f t="shared" ref="D71:D103" si="5">$F$5+C70*$F$6+C69*$F$7</f>
        <v>7.2439811019360389</v>
      </c>
    </row>
    <row r="72" spans="1:4" x14ac:dyDescent="0.35">
      <c r="A72">
        <f t="shared" si="3"/>
        <v>69</v>
      </c>
      <c r="B72">
        <v>-1.0009082850046129</v>
      </c>
      <c r="C72">
        <f t="shared" si="4"/>
        <v>6.4821485455978305</v>
      </c>
      <c r="D72">
        <f t="shared" si="5"/>
        <v>7.468606837363037</v>
      </c>
    </row>
    <row r="73" spans="1:4" x14ac:dyDescent="0.35">
      <c r="A73">
        <f t="shared" si="3"/>
        <v>70</v>
      </c>
      <c r="B73">
        <v>1.8556544847684977</v>
      </c>
      <c r="C73">
        <f t="shared" si="4"/>
        <v>8.6269994716856839</v>
      </c>
      <c r="D73">
        <f t="shared" si="5"/>
        <v>6.6523781479229891</v>
      </c>
    </row>
    <row r="74" spans="1:4" x14ac:dyDescent="0.35">
      <c r="A74">
        <f t="shared" si="3"/>
        <v>71</v>
      </c>
      <c r="B74">
        <v>1.4914582596580135</v>
      </c>
      <c r="C74">
        <f t="shared" si="4"/>
        <v>9.2940431937725041</v>
      </c>
      <c r="D74">
        <f t="shared" si="5"/>
        <v>7.9009084609820324</v>
      </c>
    </row>
    <row r="75" spans="1:4" x14ac:dyDescent="0.35">
      <c r="A75">
        <f t="shared" si="3"/>
        <v>72</v>
      </c>
      <c r="B75">
        <v>0.55887199260532749</v>
      </c>
      <c r="C75">
        <f t="shared" si="4"/>
        <v>8.4137893229457603</v>
      </c>
      <c r="D75">
        <f t="shared" si="5"/>
        <v>7.8638886759415678</v>
      </c>
    </row>
    <row r="76" spans="1:4" x14ac:dyDescent="0.35">
      <c r="A76">
        <f t="shared" si="3"/>
        <v>73</v>
      </c>
      <c r="B76">
        <v>2.2256149329632144</v>
      </c>
      <c r="C76">
        <f t="shared" si="4"/>
        <v>9.6617263427642683</v>
      </c>
      <c r="D76">
        <f t="shared" si="5"/>
        <v>7.3584895907993388</v>
      </c>
    </row>
    <row r="77" spans="1:4" x14ac:dyDescent="0.35">
      <c r="A77">
        <f t="shared" si="3"/>
        <v>74</v>
      </c>
      <c r="B77">
        <v>0.33039836348496526</v>
      </c>
      <c r="C77">
        <f t="shared" si="4"/>
        <v>8.353709968296096</v>
      </c>
      <c r="D77">
        <f t="shared" si="5"/>
        <v>8.0646280545210036</v>
      </c>
    </row>
    <row r="78" spans="1:4" x14ac:dyDescent="0.35">
      <c r="A78">
        <f t="shared" si="3"/>
        <v>75</v>
      </c>
      <c r="B78">
        <v>-0.3625948843394724</v>
      </c>
      <c r="C78">
        <f t="shared" si="4"/>
        <v>7.0127164687025392</v>
      </c>
      <c r="D78">
        <f t="shared" si="5"/>
        <v>7.2729420930978126</v>
      </c>
    </row>
    <row r="79" spans="1:4" x14ac:dyDescent="0.35">
      <c r="A79">
        <f t="shared" si="3"/>
        <v>76</v>
      </c>
      <c r="B79">
        <v>1.9818619329053877</v>
      </c>
      <c r="C79">
        <f t="shared" si="4"/>
        <v>8.9515775235567929</v>
      </c>
      <c r="D79">
        <f t="shared" si="5"/>
        <v>6.8713307398573127</v>
      </c>
    </row>
    <row r="80" spans="1:4" x14ac:dyDescent="0.35">
      <c r="A80">
        <f t="shared" si="3"/>
        <v>77</v>
      </c>
      <c r="B80">
        <v>-9.2253382281325264E-2</v>
      </c>
      <c r="C80">
        <f t="shared" si="4"/>
        <v>7.7871059802711384</v>
      </c>
      <c r="D80">
        <f t="shared" si="5"/>
        <v>7.9642070289644966</v>
      </c>
    </row>
    <row r="81" spans="1:4" x14ac:dyDescent="0.35">
      <c r="A81">
        <f t="shared" si="3"/>
        <v>78</v>
      </c>
      <c r="B81">
        <v>-1.2282384514060356</v>
      </c>
      <c r="C81">
        <f t="shared" si="4"/>
        <v>5.9914461883467407</v>
      </c>
      <c r="D81">
        <f t="shared" si="5"/>
        <v>7.1282070556820631</v>
      </c>
    </row>
    <row r="82" spans="1:4" x14ac:dyDescent="0.35">
      <c r="A82">
        <f t="shared" si="3"/>
        <v>79</v>
      </c>
      <c r="B82">
        <v>-0.5707665331198899</v>
      </c>
      <c r="C82">
        <f t="shared" si="4"/>
        <v>6.0471013441916917</v>
      </c>
      <c r="D82">
        <f t="shared" si="5"/>
        <v>6.4974005049839096</v>
      </c>
    </row>
    <row r="83" spans="1:4" x14ac:dyDescent="0.35">
      <c r="A83">
        <f t="shared" si="3"/>
        <v>80</v>
      </c>
      <c r="B83">
        <v>-0.62029379211375901</v>
      </c>
      <c r="C83">
        <f t="shared" si="4"/>
        <v>6.199402126728244</v>
      </c>
      <c r="D83">
        <f t="shared" si="5"/>
        <v>6.8072341575893232</v>
      </c>
    </row>
    <row r="84" spans="1:4" x14ac:dyDescent="0.35">
      <c r="A84">
        <f t="shared" si="3"/>
        <v>81</v>
      </c>
      <c r="B84">
        <v>0.89519537380514402</v>
      </c>
      <c r="C84">
        <f t="shared" si="4"/>
        <v>7.770246090077273</v>
      </c>
      <c r="D84">
        <f t="shared" si="5"/>
        <v>6.8675685463939171</v>
      </c>
    </row>
    <row r="85" spans="1:4" x14ac:dyDescent="0.35">
      <c r="A85">
        <f t="shared" si="3"/>
        <v>82</v>
      </c>
      <c r="B85">
        <v>-0.65328626333731554</v>
      </c>
      <c r="C85">
        <f t="shared" si="4"/>
        <v>6.8348719600207684</v>
      </c>
      <c r="D85">
        <f t="shared" si="5"/>
        <v>7.5566956995065446</v>
      </c>
    </row>
    <row r="86" spans="1:4" x14ac:dyDescent="0.35">
      <c r="A86">
        <f t="shared" si="3"/>
        <v>83</v>
      </c>
      <c r="B86">
        <v>0.37180332410663047</v>
      </c>
      <c r="C86">
        <f t="shared" si="4"/>
        <v>7.3287274991072104</v>
      </c>
      <c r="D86">
        <f t="shared" si="5"/>
        <v>6.8830410468359062</v>
      </c>
    </row>
    <row r="87" spans="1:4" x14ac:dyDescent="0.35">
      <c r="A87">
        <f t="shared" si="3"/>
        <v>84</v>
      </c>
      <c r="B87">
        <v>-0.42871860170373732</v>
      </c>
      <c r="C87">
        <f t="shared" si="4"/>
        <v>6.8192852019370696</v>
      </c>
      <c r="D87">
        <f t="shared" si="5"/>
        <v>7.2555138086738014</v>
      </c>
    </row>
    <row r="88" spans="1:4" x14ac:dyDescent="0.35">
      <c r="A88">
        <f t="shared" si="3"/>
        <v>85</v>
      </c>
      <c r="B88">
        <v>-0.56805227865243624</v>
      </c>
      <c r="C88">
        <f t="shared" si="4"/>
        <v>6.4267890522116708</v>
      </c>
      <c r="D88">
        <f t="shared" si="5"/>
        <v>6.9459322242627906</v>
      </c>
    </row>
    <row r="89" spans="1:4" x14ac:dyDescent="0.35">
      <c r="A89">
        <f t="shared" si="3"/>
        <v>86</v>
      </c>
      <c r="B89">
        <v>-1.33327947803549</v>
      </c>
      <c r="C89">
        <f t="shared" si="4"/>
        <v>5.5555076226554707</v>
      </c>
      <c r="D89">
        <f t="shared" si="5"/>
        <v>6.8484467080733342</v>
      </c>
    </row>
    <row r="90" spans="1:4" x14ac:dyDescent="0.35">
      <c r="A90">
        <f t="shared" si="3"/>
        <v>87</v>
      </c>
      <c r="B90">
        <v>-0.20051644492783491</v>
      </c>
      <c r="C90">
        <f t="shared" si="4"/>
        <v>6.3790076989131865</v>
      </c>
      <c r="D90">
        <f t="shared" si="5"/>
        <v>6.515029606463175</v>
      </c>
    </row>
    <row r="91" spans="1:4" x14ac:dyDescent="0.35">
      <c r="A91">
        <f t="shared" si="3"/>
        <v>88</v>
      </c>
      <c r="B91">
        <v>-0.14918393591633625</v>
      </c>
      <c r="C91">
        <f t="shared" si="4"/>
        <v>6.8468683813833922</v>
      </c>
      <c r="D91">
        <f t="shared" si="5"/>
        <v>7.0270249338204014</v>
      </c>
    </row>
    <row r="92" spans="1:4" x14ac:dyDescent="0.35">
      <c r="A92">
        <f t="shared" si="3"/>
        <v>89</v>
      </c>
      <c r="B92">
        <v>-0.57106267895885487</v>
      </c>
      <c r="C92">
        <f t="shared" si="4"/>
        <v>6.5297839037031835</v>
      </c>
      <c r="D92">
        <f t="shared" si="5"/>
        <v>7.1089612007664105</v>
      </c>
    </row>
    <row r="93" spans="1:4" x14ac:dyDescent="0.35">
      <c r="A93">
        <f t="shared" si="3"/>
        <v>90</v>
      </c>
      <c r="B93">
        <v>4.4994003861240688E-2</v>
      </c>
      <c r="C93">
        <f t="shared" si="4"/>
        <v>6.9722207272041752</v>
      </c>
      <c r="D93">
        <f t="shared" si="5"/>
        <v>6.8908417178650012</v>
      </c>
    </row>
    <row r="94" spans="1:4" x14ac:dyDescent="0.35">
      <c r="A94">
        <f t="shared" si="3"/>
        <v>91</v>
      </c>
      <c r="B94">
        <v>0.78508073324975647</v>
      </c>
      <c r="C94">
        <f t="shared" si="4"/>
        <v>7.9209906337611091</v>
      </c>
      <c r="D94">
        <f t="shared" si="5"/>
        <v>7.1419852227569436</v>
      </c>
    </row>
    <row r="95" spans="1:4" x14ac:dyDescent="0.35">
      <c r="A95">
        <f t="shared" si="3"/>
        <v>92</v>
      </c>
      <c r="B95">
        <v>0.27706110462678102</v>
      </c>
      <c r="C95">
        <f t="shared" si="4"/>
        <v>7.7482352854108072</v>
      </c>
      <c r="D95">
        <f t="shared" si="5"/>
        <v>7.5026727769595762</v>
      </c>
    </row>
    <row r="96" spans="1:4" x14ac:dyDescent="0.35">
      <c r="A96">
        <f t="shared" si="3"/>
        <v>93</v>
      </c>
      <c r="B96">
        <v>-0.40520581444015141</v>
      </c>
      <c r="C96">
        <f t="shared" si="4"/>
        <v>6.9019892363480606</v>
      </c>
      <c r="D96">
        <f t="shared" si="5"/>
        <v>7.2738769742938754</v>
      </c>
    </row>
    <row r="97" spans="1:4" x14ac:dyDescent="0.35">
      <c r="A97">
        <f t="shared" si="3"/>
        <v>94</v>
      </c>
      <c r="B97">
        <v>-1.7421983579903864</v>
      </c>
      <c r="C97">
        <f t="shared" si="4"/>
        <v>5.2437738080077576</v>
      </c>
      <c r="D97">
        <f t="shared" si="5"/>
        <v>6.9170046478371638</v>
      </c>
    </row>
    <row r="98" spans="1:4" x14ac:dyDescent="0.35">
      <c r="A98">
        <f t="shared" si="3"/>
        <v>95</v>
      </c>
      <c r="B98">
        <v>-0.41879251439262827</v>
      </c>
      <c r="C98">
        <f t="shared" si="4"/>
        <v>5.9885180851756683</v>
      </c>
      <c r="D98">
        <f t="shared" si="5"/>
        <v>6.2981765542857158</v>
      </c>
    </row>
    <row r="99" spans="1:4" x14ac:dyDescent="0.35">
      <c r="A99">
        <f t="shared" si="3"/>
        <v>96</v>
      </c>
      <c r="B99">
        <v>-0.94742147674947097</v>
      </c>
      <c r="C99">
        <f t="shared" si="4"/>
        <v>5.9236083765200203</v>
      </c>
      <c r="D99">
        <f t="shared" si="5"/>
        <v>6.8991191555414035</v>
      </c>
    </row>
    <row r="100" spans="1:4" x14ac:dyDescent="0.35">
      <c r="A100">
        <f t="shared" si="3"/>
        <v>97</v>
      </c>
      <c r="B100">
        <v>0.74620903309226361</v>
      </c>
      <c r="C100">
        <f t="shared" si="4"/>
        <v>7.5168005751827058</v>
      </c>
      <c r="D100">
        <f t="shared" si="5"/>
        <v>6.7516245534922081</v>
      </c>
    </row>
    <row r="101" spans="1:4" x14ac:dyDescent="0.35">
      <c r="A101">
        <f t="shared" si="3"/>
        <v>98</v>
      </c>
      <c r="B101">
        <v>0.44767087391513383</v>
      </c>
      <c r="C101">
        <f t="shared" si="4"/>
        <v>7.8620302663362134</v>
      </c>
      <c r="D101">
        <f t="shared" si="5"/>
        <v>7.4853211091799228</v>
      </c>
    </row>
    <row r="102" spans="1:4" x14ac:dyDescent="0.35">
      <c r="A102">
        <f t="shared" si="3"/>
        <v>99</v>
      </c>
      <c r="B102">
        <v>-0.65854682304090495</v>
      </c>
      <c r="C102">
        <f t="shared" si="4"/>
        <v>6.7345852259753105</v>
      </c>
      <c r="D102">
        <f t="shared" si="5"/>
        <v>7.3896001090844603</v>
      </c>
    </row>
    <row r="103" spans="1:4" x14ac:dyDescent="0.35">
      <c r="A103">
        <f t="shared" si="3"/>
        <v>100</v>
      </c>
      <c r="B103" s="4">
        <v>1.5582131382999855</v>
      </c>
      <c r="C103" s="4">
        <f t="shared" si="4"/>
        <v>8.4658442020564895</v>
      </c>
      <c r="D103" s="4">
        <f t="shared" si="5"/>
        <v>6.8229592511906292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73"/>
  <dimension ref="A1:G103"/>
  <sheetViews>
    <sheetView workbookViewId="0">
      <selection activeCell="B6" sqref="B6"/>
    </sheetView>
  </sheetViews>
  <sheetFormatPr defaultRowHeight="14.5" x14ac:dyDescent="0.35"/>
  <cols>
    <col min="1" max="1" width="5.26953125" style="67" customWidth="1"/>
    <col min="3" max="3" width="6.7265625" customWidth="1"/>
    <col min="6" max="6" width="4.26953125" customWidth="1"/>
    <col min="7" max="7" width="35.81640625" customWidth="1"/>
  </cols>
  <sheetData>
    <row r="1" spans="1:7" x14ac:dyDescent="0.35">
      <c r="A1" s="61" t="s">
        <v>201</v>
      </c>
    </row>
    <row r="3" spans="1:7" x14ac:dyDescent="0.35">
      <c r="B3" s="68" t="s">
        <v>154</v>
      </c>
      <c r="D3" t="s">
        <v>120</v>
      </c>
      <c r="E3" s="23">
        <f>AVERAGE(B4:B103)</f>
        <v>7.0839833813726774</v>
      </c>
      <c r="G3" t="e" cm="1">
        <f t="array" aca="1" ref="G3" ca="1">FTEXT(E3)</f>
        <v>#NAME?</v>
      </c>
    </row>
    <row r="4" spans="1:7" x14ac:dyDescent="0.35">
      <c r="A4" s="67">
        <v>1</v>
      </c>
      <c r="B4">
        <f>'AR 2'!C4</f>
        <v>4.5267574698597484</v>
      </c>
      <c r="D4" t="s">
        <v>204</v>
      </c>
      <c r="E4" s="24">
        <f>VARP(B4:B103)</f>
        <v>1.2561642219187459</v>
      </c>
      <c r="G4" t="e" cm="1">
        <f t="array" aca="1" ref="G4" ca="1">FTEXT(E4)</f>
        <v>#NAME?</v>
      </c>
    </row>
    <row r="5" spans="1:7" x14ac:dyDescent="0.35">
      <c r="A5" s="67">
        <f>A4+1</f>
        <v>2</v>
      </c>
      <c r="B5">
        <f>'AR 2'!C5</f>
        <v>6.893370777512497</v>
      </c>
      <c r="D5" t="s">
        <v>198</v>
      </c>
      <c r="E5" s="24" t="e" cm="1">
        <f t="array" aca="1" ref="E5" ca="1">PACF(B4:B103,1)</f>
        <v>#NAME?</v>
      </c>
      <c r="G5" t="e" cm="1">
        <f t="array" aca="1" ref="G5" ca="1">FTEXT(E5)</f>
        <v>#NAME?</v>
      </c>
    </row>
    <row r="6" spans="1:7" x14ac:dyDescent="0.35">
      <c r="A6" s="67">
        <f t="shared" ref="A6:A69" si="0">A5+1</f>
        <v>3</v>
      </c>
      <c r="B6">
        <f>'AR 2'!C6</f>
        <v>8.4253951175675805</v>
      </c>
      <c r="D6" t="s">
        <v>199</v>
      </c>
      <c r="E6" s="34" t="e" cm="1">
        <f t="array" aca="1" ref="E6" ca="1">PACF(B4:B103,2)</f>
        <v>#NAME?</v>
      </c>
      <c r="G6" t="e" cm="1">
        <f t="array" aca="1" ref="G6" ca="1">FTEXT(E6)</f>
        <v>#NAME?</v>
      </c>
    </row>
    <row r="7" spans="1:7" x14ac:dyDescent="0.35">
      <c r="A7" s="67">
        <f t="shared" si="0"/>
        <v>4</v>
      </c>
      <c r="B7">
        <f>'AR 2'!C7</f>
        <v>6.999502086988997</v>
      </c>
      <c r="G7" t="e" cm="1">
        <f t="array" aca="1" ref="G7" ca="1">FTEXT(E7)</f>
        <v>#NAME?</v>
      </c>
    </row>
    <row r="8" spans="1:7" x14ac:dyDescent="0.35">
      <c r="A8" s="67">
        <f t="shared" si="0"/>
        <v>5</v>
      </c>
      <c r="B8">
        <f>'AR 2'!C8</f>
        <v>6.1875941616300834</v>
      </c>
      <c r="D8" s="40" t="s">
        <v>170</v>
      </c>
      <c r="E8" s="23" t="e">
        <f ca="1">E5</f>
        <v>#NAME?</v>
      </c>
      <c r="G8" t="e" cm="1">
        <f t="array" aca="1" ref="G8" ca="1">FTEXT(E8)</f>
        <v>#NAME?</v>
      </c>
    </row>
    <row r="9" spans="1:7" x14ac:dyDescent="0.35">
      <c r="A9" s="67">
        <f t="shared" si="0"/>
        <v>6</v>
      </c>
      <c r="B9">
        <f>'AR 2'!C9</f>
        <v>5.8129764708798239</v>
      </c>
      <c r="D9" s="40" t="s">
        <v>172</v>
      </c>
      <c r="E9" s="24" t="e">
        <f ca="1">E6</f>
        <v>#NAME?</v>
      </c>
      <c r="G9" t="e" cm="1">
        <f t="array" aca="1" ref="G9" ca="1">FTEXT(E9)</f>
        <v>#NAME?</v>
      </c>
    </row>
    <row r="10" spans="1:7" ht="15" customHeight="1" x14ac:dyDescent="0.35">
      <c r="A10" s="67">
        <f t="shared" si="0"/>
        <v>7</v>
      </c>
      <c r="B10">
        <f>'AR 2'!C10</f>
        <v>7.1200726875188378</v>
      </c>
      <c r="D10" s="40" t="s">
        <v>200</v>
      </c>
      <c r="E10" s="24" t="e">
        <f ca="1">E3*(1-E8-E9)</f>
        <v>#NAME?</v>
      </c>
      <c r="G10" t="e" cm="1">
        <f t="array" aca="1" ref="G10" ca="1">FTEXT(E10)</f>
        <v>#NAME?</v>
      </c>
    </row>
    <row r="11" spans="1:7" ht="15" customHeight="1" x14ac:dyDescent="0.35">
      <c r="A11" s="67">
        <f t="shared" si="0"/>
        <v>8</v>
      </c>
      <c r="B11">
        <f>'AR 2'!C11</f>
        <v>8.5019149332741044</v>
      </c>
      <c r="D11" s="62" t="s">
        <v>114</v>
      </c>
      <c r="E11" s="34" t="e">
        <f ca="1">E4*(1+E9)*((1-E8)^2-E8^2)/(1-E9)</f>
        <v>#NAME?</v>
      </c>
      <c r="G11" t="e" cm="1">
        <f t="array" aca="1" ref="G11" ca="1">FTEXT(E11)</f>
        <v>#NAME?</v>
      </c>
    </row>
    <row r="12" spans="1:7" x14ac:dyDescent="0.35">
      <c r="A12" s="67">
        <f t="shared" si="0"/>
        <v>9</v>
      </c>
      <c r="B12">
        <f>'AR 2'!C12</f>
        <v>7.3012221051820614</v>
      </c>
      <c r="G12" t="e" cm="1">
        <f t="array" aca="1" ref="G12" ca="1">FTEXT(E12)</f>
        <v>#NAME?</v>
      </c>
    </row>
    <row r="13" spans="1:7" x14ac:dyDescent="0.35">
      <c r="A13" s="67">
        <f t="shared" si="0"/>
        <v>10</v>
      </c>
      <c r="B13">
        <f>'AR 2'!C13</f>
        <v>6.0388768293832715</v>
      </c>
      <c r="D13" t="s">
        <v>120</v>
      </c>
      <c r="E13" s="23">
        <f>AVERAGE(B4:B103)</f>
        <v>7.0839833813726774</v>
      </c>
      <c r="G13" t="e" cm="1">
        <f t="array" aca="1" ref="G13" ca="1">FTEXT(E13)</f>
        <v>#NAME?</v>
      </c>
    </row>
    <row r="14" spans="1:7" x14ac:dyDescent="0.35">
      <c r="A14" s="67">
        <f t="shared" si="0"/>
        <v>11</v>
      </c>
      <c r="B14">
        <f>'AR 2'!C14</f>
        <v>4.7460896891377891</v>
      </c>
      <c r="D14" t="s">
        <v>204</v>
      </c>
      <c r="E14" s="24">
        <f>VARP(B4:B103)</f>
        <v>1.2561642219187459</v>
      </c>
      <c r="G14" t="e" cm="1">
        <f t="array" aca="1" ref="G14" ca="1">FTEXT(E14)</f>
        <v>#NAME?</v>
      </c>
    </row>
    <row r="15" spans="1:7" x14ac:dyDescent="0.35">
      <c r="A15" s="67">
        <f t="shared" si="0"/>
        <v>12</v>
      </c>
      <c r="B15">
        <f>'AR 2'!C15</f>
        <v>6.6536767183588417</v>
      </c>
      <c r="D15" t="s">
        <v>205</v>
      </c>
      <c r="E15" s="24" t="e" cm="1">
        <f t="array" aca="1" ref="E15" ca="1">ACF(B4:B103,1)</f>
        <v>#NAME?</v>
      </c>
      <c r="G15" t="e" cm="1">
        <f t="array" aca="1" ref="G15" ca="1">FTEXT(E15)</f>
        <v>#NAME?</v>
      </c>
    </row>
    <row r="16" spans="1:7" x14ac:dyDescent="0.35">
      <c r="A16" s="67">
        <f t="shared" si="0"/>
        <v>13</v>
      </c>
      <c r="B16">
        <f>'AR 2'!C16</f>
        <v>8.1939759194869595</v>
      </c>
      <c r="D16" t="s">
        <v>206</v>
      </c>
      <c r="E16" s="34" t="e" cm="1">
        <f t="array" aca="1" ref="E16" ca="1">ACF(B4:B103,2)</f>
        <v>#NAME?</v>
      </c>
      <c r="G16" t="e" cm="1">
        <f t="array" aca="1" ref="G16" ca="1">FTEXT(E16)</f>
        <v>#NAME?</v>
      </c>
    </row>
    <row r="17" spans="1:7" x14ac:dyDescent="0.35">
      <c r="A17" s="67">
        <f t="shared" si="0"/>
        <v>14</v>
      </c>
      <c r="B17">
        <f>'AR 2'!C17</f>
        <v>7.5602635334693442</v>
      </c>
      <c r="G17" t="e" cm="1">
        <f t="array" aca="1" ref="G17" ca="1">FTEXT(E17)</f>
        <v>#NAME?</v>
      </c>
    </row>
    <row r="18" spans="1:7" x14ac:dyDescent="0.35">
      <c r="A18" s="67">
        <f t="shared" si="0"/>
        <v>15</v>
      </c>
      <c r="B18">
        <f>'AR 2'!C18</f>
        <v>6.794451297136205</v>
      </c>
      <c r="D18" s="40" t="s">
        <v>170</v>
      </c>
      <c r="E18" s="23" t="e">
        <f ca="1">E15*(1-E19)</f>
        <v>#NAME?</v>
      </c>
      <c r="G18" t="e" cm="1">
        <f t="array" aca="1" ref="G18" ca="1">FTEXT(E18)</f>
        <v>#NAME?</v>
      </c>
    </row>
    <row r="19" spans="1:7" x14ac:dyDescent="0.35">
      <c r="A19" s="67">
        <f t="shared" si="0"/>
        <v>16</v>
      </c>
      <c r="B19">
        <f>'AR 2'!C19</f>
        <v>4.7244665351583883</v>
      </c>
      <c r="D19" s="40" t="s">
        <v>172</v>
      </c>
      <c r="E19" s="24" t="e">
        <f ca="1">(E16-E15^2)/(1-E15^2)</f>
        <v>#NAME?</v>
      </c>
      <c r="G19" t="e" cm="1">
        <f t="array" aca="1" ref="G19" ca="1">FTEXT(E19)</f>
        <v>#NAME?</v>
      </c>
    </row>
    <row r="20" spans="1:7" x14ac:dyDescent="0.35">
      <c r="A20" s="67">
        <f t="shared" si="0"/>
        <v>17</v>
      </c>
      <c r="B20">
        <f>'AR 2'!C20</f>
        <v>6.0271551265385801</v>
      </c>
      <c r="D20" s="40" t="s">
        <v>200</v>
      </c>
      <c r="E20" s="24" t="e">
        <f ca="1">E13*(1-E18-E19)</f>
        <v>#NAME?</v>
      </c>
      <c r="G20" t="e" cm="1">
        <f t="array" aca="1" ref="G20" ca="1">FTEXT(E20)</f>
        <v>#NAME?</v>
      </c>
    </row>
    <row r="21" spans="1:7" ht="15" customHeight="1" x14ac:dyDescent="0.35">
      <c r="A21" s="67">
        <f t="shared" si="0"/>
        <v>18</v>
      </c>
      <c r="B21">
        <f>'AR 2'!C21</f>
        <v>7.1259100258620851</v>
      </c>
      <c r="D21" s="62" t="s">
        <v>114</v>
      </c>
      <c r="E21" s="34" t="e">
        <f ca="1">E14*(1+E19)*((1-E18)^2-E18^2)/(1-E19)</f>
        <v>#NAME?</v>
      </c>
      <c r="G21" t="e" cm="1">
        <f t="array" aca="1" ref="G21" ca="1">FTEXT(E21)</f>
        <v>#NAME?</v>
      </c>
    </row>
    <row r="22" spans="1:7" x14ac:dyDescent="0.35">
      <c r="A22" s="67">
        <f t="shared" si="0"/>
        <v>19</v>
      </c>
      <c r="B22">
        <f>'AR 2'!C22</f>
        <v>7.1912478294921529</v>
      </c>
    </row>
    <row r="23" spans="1:7" x14ac:dyDescent="0.35">
      <c r="A23" s="67">
        <f t="shared" si="0"/>
        <v>20</v>
      </c>
      <c r="B23">
        <f>'AR 2'!C23</f>
        <v>6.6826916383449895</v>
      </c>
    </row>
    <row r="24" spans="1:7" x14ac:dyDescent="0.35">
      <c r="A24" s="67">
        <f t="shared" si="0"/>
        <v>21</v>
      </c>
      <c r="B24">
        <f>'AR 2'!C24</f>
        <v>6.5721571230018965</v>
      </c>
    </row>
    <row r="25" spans="1:7" x14ac:dyDescent="0.35">
      <c r="A25" s="67">
        <f t="shared" si="0"/>
        <v>22</v>
      </c>
      <c r="B25">
        <f>'AR 2'!C25</f>
        <v>6.7527389135024771</v>
      </c>
    </row>
    <row r="26" spans="1:7" x14ac:dyDescent="0.35">
      <c r="A26" s="67">
        <f t="shared" si="0"/>
        <v>23</v>
      </c>
      <c r="B26">
        <f>'AR 2'!C26</f>
        <v>5.6474000535444784</v>
      </c>
    </row>
    <row r="27" spans="1:7" x14ac:dyDescent="0.35">
      <c r="A27" s="67">
        <f t="shared" si="0"/>
        <v>24</v>
      </c>
      <c r="B27">
        <f>'AR 2'!C27</f>
        <v>6.4773690041963041</v>
      </c>
    </row>
    <row r="28" spans="1:7" x14ac:dyDescent="0.35">
      <c r="A28" s="67">
        <f t="shared" si="0"/>
        <v>25</v>
      </c>
      <c r="B28">
        <f>'AR 2'!C28</f>
        <v>7.2903737384173564</v>
      </c>
    </row>
    <row r="29" spans="1:7" x14ac:dyDescent="0.35">
      <c r="A29" s="67">
        <f t="shared" si="0"/>
        <v>26</v>
      </c>
      <c r="B29">
        <f>'AR 2'!C29</f>
        <v>7.8305066981653439</v>
      </c>
    </row>
    <row r="30" spans="1:7" x14ac:dyDescent="0.35">
      <c r="A30" s="67">
        <f t="shared" si="0"/>
        <v>27</v>
      </c>
      <c r="B30">
        <f>'AR 2'!C30</f>
        <v>7.752682958213466</v>
      </c>
    </row>
    <row r="31" spans="1:7" x14ac:dyDescent="0.35">
      <c r="A31" s="67">
        <f t="shared" si="0"/>
        <v>28</v>
      </c>
      <c r="B31">
        <f>'AR 2'!C31</f>
        <v>5.8983792321319335</v>
      </c>
    </row>
    <row r="32" spans="1:7" x14ac:dyDescent="0.35">
      <c r="A32" s="67">
        <f t="shared" si="0"/>
        <v>29</v>
      </c>
      <c r="B32">
        <f>'AR 2'!C32</f>
        <v>6.9970102225736142</v>
      </c>
    </row>
    <row r="33" spans="1:2" x14ac:dyDescent="0.35">
      <c r="A33" s="67">
        <f t="shared" si="0"/>
        <v>30</v>
      </c>
      <c r="B33">
        <f>'AR 2'!C33</f>
        <v>7.5670361691232699</v>
      </c>
    </row>
    <row r="34" spans="1:2" x14ac:dyDescent="0.35">
      <c r="A34" s="67">
        <f t="shared" si="0"/>
        <v>31</v>
      </c>
      <c r="B34">
        <f>'AR 2'!C34</f>
        <v>5.9325823975209193</v>
      </c>
    </row>
    <row r="35" spans="1:2" x14ac:dyDescent="0.35">
      <c r="A35" s="67">
        <f t="shared" si="0"/>
        <v>32</v>
      </c>
      <c r="B35">
        <f>'AR 2'!C35</f>
        <v>6.2716739845100316</v>
      </c>
    </row>
    <row r="36" spans="1:2" x14ac:dyDescent="0.35">
      <c r="A36" s="67">
        <f t="shared" si="0"/>
        <v>33</v>
      </c>
      <c r="B36">
        <f>'AR 2'!C36</f>
        <v>7.5927373959870117</v>
      </c>
    </row>
    <row r="37" spans="1:2" x14ac:dyDescent="0.35">
      <c r="A37" s="67">
        <f t="shared" si="0"/>
        <v>34</v>
      </c>
      <c r="B37">
        <f>'AR 2'!C37</f>
        <v>7.0772059138076351</v>
      </c>
    </row>
    <row r="38" spans="1:2" x14ac:dyDescent="0.35">
      <c r="A38" s="67">
        <f t="shared" si="0"/>
        <v>35</v>
      </c>
      <c r="B38">
        <f>'AR 2'!C38</f>
        <v>7.2335411603542905</v>
      </c>
    </row>
    <row r="39" spans="1:2" x14ac:dyDescent="0.35">
      <c r="A39" s="67">
        <f t="shared" si="0"/>
        <v>36</v>
      </c>
      <c r="B39">
        <f>'AR 2'!C39</f>
        <v>9.2815947650947983</v>
      </c>
    </row>
    <row r="40" spans="1:2" x14ac:dyDescent="0.35">
      <c r="A40" s="67">
        <f t="shared" si="0"/>
        <v>37</v>
      </c>
      <c r="B40">
        <f>'AR 2'!C40</f>
        <v>8.1261550928644262</v>
      </c>
    </row>
    <row r="41" spans="1:2" x14ac:dyDescent="0.35">
      <c r="A41" s="67">
        <f t="shared" si="0"/>
        <v>38</v>
      </c>
      <c r="B41">
        <f>'AR 2'!C41</f>
        <v>7.4739429418675778</v>
      </c>
    </row>
    <row r="42" spans="1:2" x14ac:dyDescent="0.35">
      <c r="A42" s="67">
        <f t="shared" si="0"/>
        <v>39</v>
      </c>
      <c r="B42">
        <f>'AR 2'!C42</f>
        <v>5.8482842063827345</v>
      </c>
    </row>
    <row r="43" spans="1:2" x14ac:dyDescent="0.35">
      <c r="A43" s="67">
        <f t="shared" si="0"/>
        <v>40</v>
      </c>
      <c r="B43">
        <f>'AR 2'!C43</f>
        <v>4.9087410222113919</v>
      </c>
    </row>
    <row r="44" spans="1:2" x14ac:dyDescent="0.35">
      <c r="A44" s="67">
        <f t="shared" si="0"/>
        <v>41</v>
      </c>
      <c r="B44">
        <f>'AR 2'!C44</f>
        <v>8.5560009883684138</v>
      </c>
    </row>
    <row r="45" spans="1:2" x14ac:dyDescent="0.35">
      <c r="A45" s="67">
        <f t="shared" si="0"/>
        <v>42</v>
      </c>
      <c r="B45">
        <f>'AR 2'!C45</f>
        <v>8.7745309133389373</v>
      </c>
    </row>
    <row r="46" spans="1:2" x14ac:dyDescent="0.35">
      <c r="A46" s="67">
        <f t="shared" si="0"/>
        <v>43</v>
      </c>
      <c r="B46">
        <f>'AR 2'!C46</f>
        <v>7.5376775568876386</v>
      </c>
    </row>
    <row r="47" spans="1:2" x14ac:dyDescent="0.35">
      <c r="A47" s="67">
        <f t="shared" si="0"/>
        <v>44</v>
      </c>
      <c r="B47">
        <f>'AR 2'!C47</f>
        <v>8.2711357692560838</v>
      </c>
    </row>
    <row r="48" spans="1:2" x14ac:dyDescent="0.35">
      <c r="A48" s="67">
        <f t="shared" si="0"/>
        <v>45</v>
      </c>
      <c r="B48">
        <f>'AR 2'!C48</f>
        <v>9.6160924400361214</v>
      </c>
    </row>
    <row r="49" spans="1:2" x14ac:dyDescent="0.35">
      <c r="A49" s="67">
        <f t="shared" si="0"/>
        <v>46</v>
      </c>
      <c r="B49">
        <f>'AR 2'!C49</f>
        <v>9.1199492250703216</v>
      </c>
    </row>
    <row r="50" spans="1:2" x14ac:dyDescent="0.35">
      <c r="A50" s="67">
        <f t="shared" si="0"/>
        <v>47</v>
      </c>
      <c r="B50">
        <f>'AR 2'!C50</f>
        <v>7.573939957780266</v>
      </c>
    </row>
    <row r="51" spans="1:2" x14ac:dyDescent="0.35">
      <c r="A51" s="67">
        <f t="shared" si="0"/>
        <v>48</v>
      </c>
      <c r="B51">
        <f>'AR 2'!C51</f>
        <v>8.0172610519511434</v>
      </c>
    </row>
    <row r="52" spans="1:2" x14ac:dyDescent="0.35">
      <c r="A52" s="67">
        <f t="shared" si="0"/>
        <v>49</v>
      </c>
      <c r="B52">
        <f>'AR 2'!C52</f>
        <v>6.7179685412903414</v>
      </c>
    </row>
    <row r="53" spans="1:2" x14ac:dyDescent="0.35">
      <c r="A53" s="67">
        <f t="shared" si="0"/>
        <v>50</v>
      </c>
      <c r="B53">
        <f>'AR 2'!C53</f>
        <v>7.6314476483008358</v>
      </c>
    </row>
    <row r="54" spans="1:2" x14ac:dyDescent="0.35">
      <c r="A54" s="67">
        <f t="shared" si="0"/>
        <v>51</v>
      </c>
      <c r="B54">
        <f>'AR 2'!C54</f>
        <v>6.9543572952914339</v>
      </c>
    </row>
    <row r="55" spans="1:2" x14ac:dyDescent="0.35">
      <c r="A55" s="67">
        <f t="shared" si="0"/>
        <v>52</v>
      </c>
      <c r="B55">
        <f>'AR 2'!C55</f>
        <v>6.6084855817594015</v>
      </c>
    </row>
    <row r="56" spans="1:2" x14ac:dyDescent="0.35">
      <c r="A56" s="67">
        <f t="shared" si="0"/>
        <v>53</v>
      </c>
      <c r="B56">
        <f>'AR 2'!C56</f>
        <v>6.4501230805655911</v>
      </c>
    </row>
    <row r="57" spans="1:2" x14ac:dyDescent="0.35">
      <c r="A57" s="67">
        <f t="shared" si="0"/>
        <v>54</v>
      </c>
      <c r="B57">
        <f>'AR 2'!C57</f>
        <v>7.6879119027649709</v>
      </c>
    </row>
    <row r="58" spans="1:2" x14ac:dyDescent="0.35">
      <c r="A58" s="67">
        <f t="shared" si="0"/>
        <v>55</v>
      </c>
      <c r="B58">
        <f>'AR 2'!C58</f>
        <v>5.7936182459941481</v>
      </c>
    </row>
    <row r="59" spans="1:2" x14ac:dyDescent="0.35">
      <c r="A59" s="67">
        <f t="shared" si="0"/>
        <v>56</v>
      </c>
      <c r="B59">
        <f>'AR 2'!C59</f>
        <v>6.5599686446029404</v>
      </c>
    </row>
    <row r="60" spans="1:2" x14ac:dyDescent="0.35">
      <c r="A60" s="67">
        <f t="shared" si="0"/>
        <v>57</v>
      </c>
      <c r="B60">
        <f>'AR 2'!C60</f>
        <v>8.0502499924421933</v>
      </c>
    </row>
    <row r="61" spans="1:2" x14ac:dyDescent="0.35">
      <c r="A61" s="67">
        <f t="shared" si="0"/>
        <v>58</v>
      </c>
      <c r="B61">
        <f>'AR 2'!C61</f>
        <v>6.1160642285234905</v>
      </c>
    </row>
    <row r="62" spans="1:2" x14ac:dyDescent="0.35">
      <c r="A62" s="67">
        <f t="shared" si="0"/>
        <v>59</v>
      </c>
      <c r="B62">
        <f>'AR 2'!C62</f>
        <v>6.7128853872972014</v>
      </c>
    </row>
    <row r="63" spans="1:2" x14ac:dyDescent="0.35">
      <c r="A63" s="67">
        <f t="shared" si="0"/>
        <v>60</v>
      </c>
      <c r="B63">
        <f>'AR 2'!C63</f>
        <v>6.972769157706062</v>
      </c>
    </row>
    <row r="64" spans="1:2" x14ac:dyDescent="0.35">
      <c r="A64" s="67">
        <f t="shared" si="0"/>
        <v>61</v>
      </c>
      <c r="B64">
        <f>'AR 2'!C64</f>
        <v>5.3921819539773042</v>
      </c>
    </row>
    <row r="65" spans="1:2" x14ac:dyDescent="0.35">
      <c r="A65" s="67">
        <f t="shared" si="0"/>
        <v>62</v>
      </c>
      <c r="B65">
        <f>'AR 2'!C65</f>
        <v>5.2797035833200177</v>
      </c>
    </row>
    <row r="66" spans="1:2" x14ac:dyDescent="0.35">
      <c r="A66" s="67">
        <f t="shared" si="0"/>
        <v>63</v>
      </c>
      <c r="B66">
        <f>'AR 2'!C66</f>
        <v>7.4698051304791724</v>
      </c>
    </row>
    <row r="67" spans="1:2" x14ac:dyDescent="0.35">
      <c r="A67" s="67">
        <f t="shared" si="0"/>
        <v>64</v>
      </c>
      <c r="B67">
        <f>'AR 2'!C67</f>
        <v>5.3546264732197972</v>
      </c>
    </row>
    <row r="68" spans="1:2" x14ac:dyDescent="0.35">
      <c r="A68" s="67">
        <f t="shared" si="0"/>
        <v>65</v>
      </c>
      <c r="B68">
        <f>'AR 2'!C68</f>
        <v>7.3862630048880682</v>
      </c>
    </row>
    <row r="69" spans="1:2" x14ac:dyDescent="0.35">
      <c r="A69" s="67">
        <f t="shared" si="0"/>
        <v>66</v>
      </c>
      <c r="B69">
        <f>'AR 2'!C69</f>
        <v>8.9169928669823157</v>
      </c>
    </row>
    <row r="70" spans="1:2" x14ac:dyDescent="0.35">
      <c r="A70" s="67">
        <f t="shared" ref="A70:A103" si="1">A69+1</f>
        <v>67</v>
      </c>
      <c r="B70">
        <f>'AR 2'!C70</f>
        <v>8.0300089468534299</v>
      </c>
    </row>
    <row r="71" spans="1:2" x14ac:dyDescent="0.35">
      <c r="A71" s="67">
        <f t="shared" si="1"/>
        <v>68</v>
      </c>
      <c r="B71">
        <f>'AR 2'!C71</f>
        <v>8.2151443132194668</v>
      </c>
    </row>
    <row r="72" spans="1:2" x14ac:dyDescent="0.35">
      <c r="A72" s="67">
        <f t="shared" si="1"/>
        <v>69</v>
      </c>
      <c r="B72">
        <f>'AR 2'!C72</f>
        <v>6.4821485455978305</v>
      </c>
    </row>
    <row r="73" spans="1:2" x14ac:dyDescent="0.35">
      <c r="A73" s="67">
        <f t="shared" si="1"/>
        <v>70</v>
      </c>
      <c r="B73">
        <f>'AR 2'!C73</f>
        <v>8.6269994716856839</v>
      </c>
    </row>
    <row r="74" spans="1:2" x14ac:dyDescent="0.35">
      <c r="A74" s="67">
        <f t="shared" si="1"/>
        <v>71</v>
      </c>
      <c r="B74">
        <f>'AR 2'!C74</f>
        <v>9.2940431937725041</v>
      </c>
    </row>
    <row r="75" spans="1:2" x14ac:dyDescent="0.35">
      <c r="A75" s="67">
        <f t="shared" si="1"/>
        <v>72</v>
      </c>
      <c r="B75">
        <f>'AR 2'!C75</f>
        <v>8.4137893229457603</v>
      </c>
    </row>
    <row r="76" spans="1:2" x14ac:dyDescent="0.35">
      <c r="A76" s="67">
        <f t="shared" si="1"/>
        <v>73</v>
      </c>
      <c r="B76">
        <f>'AR 2'!C76</f>
        <v>9.6617263427642683</v>
      </c>
    </row>
    <row r="77" spans="1:2" x14ac:dyDescent="0.35">
      <c r="A77" s="67">
        <f t="shared" si="1"/>
        <v>74</v>
      </c>
      <c r="B77">
        <f>'AR 2'!C77</f>
        <v>8.353709968296096</v>
      </c>
    </row>
    <row r="78" spans="1:2" x14ac:dyDescent="0.35">
      <c r="A78" s="67">
        <f t="shared" si="1"/>
        <v>75</v>
      </c>
      <c r="B78">
        <f>'AR 2'!C78</f>
        <v>7.0127164687025392</v>
      </c>
    </row>
    <row r="79" spans="1:2" x14ac:dyDescent="0.35">
      <c r="A79" s="67">
        <f t="shared" si="1"/>
        <v>76</v>
      </c>
      <c r="B79">
        <f>'AR 2'!C79</f>
        <v>8.9515775235567929</v>
      </c>
    </row>
    <row r="80" spans="1:2" x14ac:dyDescent="0.35">
      <c r="A80" s="67">
        <f t="shared" si="1"/>
        <v>77</v>
      </c>
      <c r="B80">
        <f>'AR 2'!C80</f>
        <v>7.7871059802711384</v>
      </c>
    </row>
    <row r="81" spans="1:2" x14ac:dyDescent="0.35">
      <c r="A81" s="67">
        <f t="shared" si="1"/>
        <v>78</v>
      </c>
      <c r="B81">
        <f>'AR 2'!C81</f>
        <v>5.9914461883467407</v>
      </c>
    </row>
    <row r="82" spans="1:2" x14ac:dyDescent="0.35">
      <c r="A82" s="67">
        <f t="shared" si="1"/>
        <v>79</v>
      </c>
      <c r="B82">
        <f>'AR 2'!C82</f>
        <v>6.0471013441916917</v>
      </c>
    </row>
    <row r="83" spans="1:2" x14ac:dyDescent="0.35">
      <c r="A83" s="67">
        <f t="shared" si="1"/>
        <v>80</v>
      </c>
      <c r="B83">
        <f>'AR 2'!C83</f>
        <v>6.199402126728244</v>
      </c>
    </row>
    <row r="84" spans="1:2" x14ac:dyDescent="0.35">
      <c r="A84" s="67">
        <f t="shared" si="1"/>
        <v>81</v>
      </c>
      <c r="B84">
        <f>'AR 2'!C84</f>
        <v>7.770246090077273</v>
      </c>
    </row>
    <row r="85" spans="1:2" x14ac:dyDescent="0.35">
      <c r="A85" s="67">
        <f t="shared" si="1"/>
        <v>82</v>
      </c>
      <c r="B85">
        <f>'AR 2'!C85</f>
        <v>6.8348719600207684</v>
      </c>
    </row>
    <row r="86" spans="1:2" x14ac:dyDescent="0.35">
      <c r="A86" s="67">
        <f t="shared" si="1"/>
        <v>83</v>
      </c>
      <c r="B86">
        <f>'AR 2'!C86</f>
        <v>7.3287274991072104</v>
      </c>
    </row>
    <row r="87" spans="1:2" x14ac:dyDescent="0.35">
      <c r="A87" s="67">
        <f t="shared" si="1"/>
        <v>84</v>
      </c>
      <c r="B87">
        <f>'AR 2'!C87</f>
        <v>6.8192852019370696</v>
      </c>
    </row>
    <row r="88" spans="1:2" x14ac:dyDescent="0.35">
      <c r="A88" s="67">
        <f t="shared" si="1"/>
        <v>85</v>
      </c>
      <c r="B88">
        <f>'AR 2'!C88</f>
        <v>6.4267890522116708</v>
      </c>
    </row>
    <row r="89" spans="1:2" x14ac:dyDescent="0.35">
      <c r="A89" s="67">
        <f t="shared" si="1"/>
        <v>86</v>
      </c>
      <c r="B89">
        <f>'AR 2'!C89</f>
        <v>5.5555076226554707</v>
      </c>
    </row>
    <row r="90" spans="1:2" x14ac:dyDescent="0.35">
      <c r="A90" s="67">
        <f t="shared" si="1"/>
        <v>87</v>
      </c>
      <c r="B90">
        <f>'AR 2'!C90</f>
        <v>6.3790076989131865</v>
      </c>
    </row>
    <row r="91" spans="1:2" x14ac:dyDescent="0.35">
      <c r="A91" s="67">
        <f t="shared" si="1"/>
        <v>88</v>
      </c>
      <c r="B91">
        <f>'AR 2'!C91</f>
        <v>6.8468683813833922</v>
      </c>
    </row>
    <row r="92" spans="1:2" x14ac:dyDescent="0.35">
      <c r="A92" s="67">
        <f t="shared" si="1"/>
        <v>89</v>
      </c>
      <c r="B92">
        <f>'AR 2'!C92</f>
        <v>6.5297839037031835</v>
      </c>
    </row>
    <row r="93" spans="1:2" x14ac:dyDescent="0.35">
      <c r="A93" s="67">
        <f t="shared" si="1"/>
        <v>90</v>
      </c>
      <c r="B93">
        <f>'AR 2'!C93</f>
        <v>6.9722207272041752</v>
      </c>
    </row>
    <row r="94" spans="1:2" x14ac:dyDescent="0.35">
      <c r="A94" s="67">
        <f t="shared" si="1"/>
        <v>91</v>
      </c>
      <c r="B94">
        <f>'AR 2'!C94</f>
        <v>7.9209906337611091</v>
      </c>
    </row>
    <row r="95" spans="1:2" x14ac:dyDescent="0.35">
      <c r="A95" s="67">
        <f t="shared" si="1"/>
        <v>92</v>
      </c>
      <c r="B95">
        <f>'AR 2'!C95</f>
        <v>7.7482352854108072</v>
      </c>
    </row>
    <row r="96" spans="1:2" x14ac:dyDescent="0.35">
      <c r="A96" s="67">
        <f t="shared" si="1"/>
        <v>93</v>
      </c>
      <c r="B96">
        <f>'AR 2'!C96</f>
        <v>6.9019892363480606</v>
      </c>
    </row>
    <row r="97" spans="1:2" x14ac:dyDescent="0.35">
      <c r="A97" s="67">
        <f t="shared" si="1"/>
        <v>94</v>
      </c>
      <c r="B97">
        <f>'AR 2'!C97</f>
        <v>5.2437738080077576</v>
      </c>
    </row>
    <row r="98" spans="1:2" x14ac:dyDescent="0.35">
      <c r="A98" s="67">
        <f t="shared" si="1"/>
        <v>95</v>
      </c>
      <c r="B98">
        <f>'AR 2'!C98</f>
        <v>5.9885180851756683</v>
      </c>
    </row>
    <row r="99" spans="1:2" x14ac:dyDescent="0.35">
      <c r="A99" s="67">
        <f t="shared" si="1"/>
        <v>96</v>
      </c>
      <c r="B99">
        <f>'AR 2'!C99</f>
        <v>5.9236083765200203</v>
      </c>
    </row>
    <row r="100" spans="1:2" x14ac:dyDescent="0.35">
      <c r="A100" s="67">
        <f t="shared" si="1"/>
        <v>97</v>
      </c>
      <c r="B100">
        <f>'AR 2'!C100</f>
        <v>7.5168005751827058</v>
      </c>
    </row>
    <row r="101" spans="1:2" x14ac:dyDescent="0.35">
      <c r="A101" s="67">
        <f t="shared" si="1"/>
        <v>98</v>
      </c>
      <c r="B101">
        <f>'AR 2'!C101</f>
        <v>7.8620302663362134</v>
      </c>
    </row>
    <row r="102" spans="1:2" x14ac:dyDescent="0.35">
      <c r="A102" s="67">
        <f t="shared" si="1"/>
        <v>99</v>
      </c>
      <c r="B102">
        <f>'AR 2'!C102</f>
        <v>6.7345852259753105</v>
      </c>
    </row>
    <row r="103" spans="1:2" x14ac:dyDescent="0.35">
      <c r="A103" s="67">
        <f t="shared" si="1"/>
        <v>100</v>
      </c>
      <c r="B103" s="4">
        <f>'AR 2'!C103</f>
        <v>8.4658442020564895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1:R25"/>
  <sheetViews>
    <sheetView workbookViewId="0"/>
  </sheetViews>
  <sheetFormatPr defaultRowHeight="14.5" x14ac:dyDescent="0.35"/>
  <cols>
    <col min="1" max="2" width="6.26953125" customWidth="1"/>
    <col min="14" max="16" width="6.81640625" customWidth="1"/>
  </cols>
  <sheetData>
    <row r="1" spans="1:18" x14ac:dyDescent="0.35">
      <c r="A1" s="7" t="s">
        <v>0</v>
      </c>
      <c r="Q1" t="s">
        <v>176</v>
      </c>
    </row>
    <row r="2" spans="1:18" x14ac:dyDescent="0.35">
      <c r="P2" s="13"/>
    </row>
    <row r="3" spans="1:18" x14ac:dyDescent="0.35">
      <c r="A3" s="8" t="s">
        <v>3</v>
      </c>
      <c r="B3" s="8" t="s">
        <v>1</v>
      </c>
      <c r="C3" s="8" t="s">
        <v>138</v>
      </c>
      <c r="D3" s="9" t="s">
        <v>6</v>
      </c>
      <c r="E3" s="9" t="s">
        <v>5</v>
      </c>
      <c r="N3" s="8" t="s">
        <v>3</v>
      </c>
      <c r="O3" s="8" t="s">
        <v>1</v>
      </c>
      <c r="P3" s="17"/>
      <c r="Q3" s="8" t="s">
        <v>138</v>
      </c>
      <c r="R3" s="8" t="s">
        <v>81</v>
      </c>
    </row>
    <row r="4" spans="1:18" x14ac:dyDescent="0.35">
      <c r="A4" s="3">
        <v>1</v>
      </c>
      <c r="B4" s="3">
        <v>3</v>
      </c>
      <c r="N4" s="42">
        <v>1</v>
      </c>
      <c r="O4" s="42">
        <v>3</v>
      </c>
      <c r="P4" s="17"/>
      <c r="Q4" t="e">
        <v>#N/A</v>
      </c>
      <c r="R4" t="e">
        <v>#N/A</v>
      </c>
    </row>
    <row r="5" spans="1:18" x14ac:dyDescent="0.35">
      <c r="A5" s="3">
        <f>A4+1</f>
        <v>2</v>
      </c>
      <c r="B5" s="3">
        <v>5</v>
      </c>
      <c r="N5" s="42">
        <f>N4+1</f>
        <v>2</v>
      </c>
      <c r="O5" s="42">
        <v>5</v>
      </c>
      <c r="P5" s="17"/>
      <c r="Q5" t="e">
        <v>#N/A</v>
      </c>
      <c r="R5" t="e">
        <v>#N/A</v>
      </c>
    </row>
    <row r="6" spans="1:18" x14ac:dyDescent="0.35">
      <c r="A6" s="3">
        <f t="shared" ref="A6:A13" si="0">A5+1</f>
        <v>3</v>
      </c>
      <c r="B6" s="3">
        <v>9</v>
      </c>
      <c r="N6" s="42">
        <f t="shared" ref="N6:N13" si="1">N5+1</f>
        <v>3</v>
      </c>
      <c r="O6" s="42">
        <v>9</v>
      </c>
      <c r="P6" s="17"/>
      <c r="Q6">
        <f t="shared" ref="Q6:Q18" si="2">AVERAGE(B4:B6)</f>
        <v>5.666666666666667</v>
      </c>
      <c r="R6" t="e">
        <v>#N/A</v>
      </c>
    </row>
    <row r="7" spans="1:18" x14ac:dyDescent="0.35">
      <c r="A7" s="3">
        <f t="shared" si="0"/>
        <v>4</v>
      </c>
      <c r="B7" s="3">
        <v>20</v>
      </c>
      <c r="C7">
        <f>AVERAGE(B4:B6)</f>
        <v>5.666666666666667</v>
      </c>
      <c r="D7">
        <f>ABS(B7-C7)</f>
        <v>14.333333333333332</v>
      </c>
      <c r="E7">
        <f>(B7-C7)^2</f>
        <v>205.4444444444444</v>
      </c>
      <c r="N7" s="42">
        <f t="shared" si="1"/>
        <v>4</v>
      </c>
      <c r="O7" s="42">
        <v>20</v>
      </c>
      <c r="P7" s="17"/>
      <c r="Q7">
        <f t="shared" si="2"/>
        <v>11.333333333333334</v>
      </c>
      <c r="R7" t="e">
        <v>#N/A</v>
      </c>
    </row>
    <row r="8" spans="1:18" x14ac:dyDescent="0.35">
      <c r="A8" s="3">
        <f t="shared" si="0"/>
        <v>5</v>
      </c>
      <c r="B8" s="3">
        <v>12</v>
      </c>
      <c r="C8">
        <f t="shared" ref="C8:C19" si="3">AVERAGE(B5:B7)</f>
        <v>11.333333333333334</v>
      </c>
      <c r="D8">
        <f t="shared" ref="D8:D13" si="4">ABS(B8-C8)</f>
        <v>0.66666666666666607</v>
      </c>
      <c r="E8">
        <f t="shared" ref="E8:E13" si="5">(B8-C8)^2</f>
        <v>0.44444444444444364</v>
      </c>
      <c r="N8" s="42">
        <f t="shared" si="1"/>
        <v>5</v>
      </c>
      <c r="O8" s="42">
        <v>12</v>
      </c>
      <c r="P8" s="17"/>
      <c r="Q8">
        <f t="shared" si="2"/>
        <v>13.666666666666666</v>
      </c>
      <c r="R8">
        <f t="shared" ref="R8:R18" si="6">SQRT(SUMXMY2(B6:B8,Q6:Q8)/3)</f>
        <v>5.4467115461227298</v>
      </c>
    </row>
    <row r="9" spans="1:18" x14ac:dyDescent="0.35">
      <c r="A9" s="3">
        <f t="shared" si="0"/>
        <v>6</v>
      </c>
      <c r="B9" s="3">
        <v>17</v>
      </c>
      <c r="C9">
        <f t="shared" si="3"/>
        <v>13.666666666666666</v>
      </c>
      <c r="D9">
        <f t="shared" si="4"/>
        <v>3.3333333333333339</v>
      </c>
      <c r="E9">
        <f t="shared" si="5"/>
        <v>11.111111111111114</v>
      </c>
      <c r="N9" s="42">
        <f t="shared" si="1"/>
        <v>6</v>
      </c>
      <c r="O9" s="42">
        <v>17</v>
      </c>
      <c r="P9" s="17"/>
      <c r="Q9">
        <f t="shared" si="2"/>
        <v>16.333333333333332</v>
      </c>
      <c r="R9">
        <f t="shared" si="6"/>
        <v>5.1099032389186299</v>
      </c>
    </row>
    <row r="10" spans="1:18" x14ac:dyDescent="0.35">
      <c r="A10" s="3">
        <f t="shared" si="0"/>
        <v>7</v>
      </c>
      <c r="B10" s="3">
        <v>22</v>
      </c>
      <c r="C10">
        <f t="shared" si="3"/>
        <v>16.333333333333332</v>
      </c>
      <c r="D10">
        <f t="shared" si="4"/>
        <v>5.6666666666666679</v>
      </c>
      <c r="E10">
        <f t="shared" si="5"/>
        <v>32.111111111111121</v>
      </c>
      <c r="N10" s="42">
        <f t="shared" si="1"/>
        <v>7</v>
      </c>
      <c r="O10" s="42">
        <v>22</v>
      </c>
      <c r="P10" s="17"/>
      <c r="Q10">
        <f t="shared" si="2"/>
        <v>17</v>
      </c>
      <c r="R10">
        <f t="shared" si="6"/>
        <v>3.0671497204093914</v>
      </c>
    </row>
    <row r="11" spans="1:18" x14ac:dyDescent="0.35">
      <c r="A11" s="3">
        <f t="shared" si="0"/>
        <v>8</v>
      </c>
      <c r="B11" s="3">
        <v>23</v>
      </c>
      <c r="C11">
        <f t="shared" si="3"/>
        <v>17</v>
      </c>
      <c r="D11">
        <f t="shared" si="4"/>
        <v>6</v>
      </c>
      <c r="E11">
        <f t="shared" si="5"/>
        <v>36</v>
      </c>
      <c r="N11" s="42">
        <f t="shared" si="1"/>
        <v>8</v>
      </c>
      <c r="O11" s="42">
        <v>23</v>
      </c>
      <c r="P11" s="17"/>
      <c r="Q11">
        <f t="shared" si="2"/>
        <v>20.666666666666668</v>
      </c>
      <c r="R11">
        <f t="shared" si="6"/>
        <v>3.208784239598589</v>
      </c>
    </row>
    <row r="12" spans="1:18" x14ac:dyDescent="0.35">
      <c r="A12" s="3">
        <f t="shared" si="0"/>
        <v>9</v>
      </c>
      <c r="B12" s="3">
        <v>51</v>
      </c>
      <c r="C12">
        <f t="shared" si="3"/>
        <v>20.666666666666668</v>
      </c>
      <c r="D12">
        <f t="shared" si="4"/>
        <v>30.333333333333332</v>
      </c>
      <c r="E12">
        <f t="shared" si="5"/>
        <v>920.11111111111109</v>
      </c>
      <c r="N12" s="42">
        <f t="shared" si="1"/>
        <v>9</v>
      </c>
      <c r="O12" s="42">
        <v>51</v>
      </c>
      <c r="P12" s="17"/>
      <c r="Q12">
        <f t="shared" si="2"/>
        <v>32</v>
      </c>
      <c r="R12">
        <f t="shared" si="6"/>
        <v>11.422849096503091</v>
      </c>
    </row>
    <row r="13" spans="1:18" x14ac:dyDescent="0.35">
      <c r="A13" s="3">
        <f t="shared" si="0"/>
        <v>10</v>
      </c>
      <c r="B13" s="3">
        <v>41</v>
      </c>
      <c r="C13">
        <f t="shared" si="3"/>
        <v>32</v>
      </c>
      <c r="D13">
        <f t="shared" si="4"/>
        <v>9</v>
      </c>
      <c r="E13">
        <f t="shared" si="5"/>
        <v>81</v>
      </c>
      <c r="N13" s="42">
        <f t="shared" si="1"/>
        <v>10</v>
      </c>
      <c r="O13" s="42">
        <v>41</v>
      </c>
      <c r="P13" s="17"/>
      <c r="Q13">
        <f t="shared" si="2"/>
        <v>38.333333333333336</v>
      </c>
      <c r="R13">
        <f t="shared" si="6"/>
        <v>11.158786606012256</v>
      </c>
    </row>
    <row r="14" spans="1:18" x14ac:dyDescent="0.35">
      <c r="A14" s="3">
        <f>A13+1</f>
        <v>11</v>
      </c>
      <c r="B14" s="3">
        <v>56</v>
      </c>
      <c r="C14">
        <f t="shared" si="3"/>
        <v>38.333333333333336</v>
      </c>
      <c r="D14">
        <f>ABS(B14-C14)</f>
        <v>17.666666666666664</v>
      </c>
      <c r="E14">
        <f>(B14-C14)^2</f>
        <v>312.11111111111103</v>
      </c>
      <c r="N14" s="42">
        <f>N13+1</f>
        <v>11</v>
      </c>
      <c r="O14" s="42">
        <v>56</v>
      </c>
      <c r="P14" s="17"/>
      <c r="Q14">
        <f t="shared" si="2"/>
        <v>49.333333333333336</v>
      </c>
      <c r="R14">
        <f t="shared" si="6"/>
        <v>11.726829005256217</v>
      </c>
    </row>
    <row r="15" spans="1:18" x14ac:dyDescent="0.35">
      <c r="A15" s="3">
        <f>A14+1</f>
        <v>12</v>
      </c>
      <c r="B15" s="3">
        <v>75</v>
      </c>
      <c r="C15">
        <f t="shared" si="3"/>
        <v>49.333333333333336</v>
      </c>
      <c r="D15">
        <f>ABS(B15-C15)</f>
        <v>25.666666666666664</v>
      </c>
      <c r="E15">
        <f>(B15-C15)^2</f>
        <v>658.7777777777776</v>
      </c>
      <c r="N15" s="42">
        <f>N14+1</f>
        <v>12</v>
      </c>
      <c r="O15" s="42">
        <v>75</v>
      </c>
      <c r="P15" s="17"/>
      <c r="Q15">
        <f t="shared" si="2"/>
        <v>57.333333333333336</v>
      </c>
      <c r="R15">
        <f t="shared" si="6"/>
        <v>11.010096376609161</v>
      </c>
    </row>
    <row r="16" spans="1:18" x14ac:dyDescent="0.35">
      <c r="A16" s="3">
        <f>A15+1</f>
        <v>13</v>
      </c>
      <c r="B16" s="3">
        <v>60</v>
      </c>
      <c r="C16">
        <f t="shared" si="3"/>
        <v>57.333333333333336</v>
      </c>
      <c r="D16">
        <f>ABS(B16-C16)</f>
        <v>2.6666666666666643</v>
      </c>
      <c r="E16">
        <f>(B16-C16)^2</f>
        <v>7.1111111111110983</v>
      </c>
      <c r="N16" s="42">
        <f>N15+1</f>
        <v>13</v>
      </c>
      <c r="O16" s="42">
        <v>60</v>
      </c>
      <c r="P16" s="17"/>
      <c r="Q16">
        <f t="shared" si="2"/>
        <v>63.666666666666664</v>
      </c>
      <c r="R16">
        <f t="shared" si="6"/>
        <v>11.105554165971785</v>
      </c>
    </row>
    <row r="17" spans="1:18" x14ac:dyDescent="0.35">
      <c r="A17" s="3">
        <f>A16+1</f>
        <v>14</v>
      </c>
      <c r="B17" s="3">
        <v>75</v>
      </c>
      <c r="C17">
        <f t="shared" si="3"/>
        <v>63.666666666666664</v>
      </c>
      <c r="D17">
        <f>ABS(B17-C17)</f>
        <v>11.333333333333336</v>
      </c>
      <c r="E17">
        <f>(B17-C17)^2</f>
        <v>128.44444444444449</v>
      </c>
      <c r="N17" s="42">
        <f>N16+1</f>
        <v>14</v>
      </c>
      <c r="O17" s="42">
        <v>75</v>
      </c>
      <c r="P17" s="17"/>
      <c r="Q17">
        <f t="shared" si="2"/>
        <v>70</v>
      </c>
      <c r="R17">
        <f t="shared" si="6"/>
        <v>10.809803506625446</v>
      </c>
    </row>
    <row r="18" spans="1:18" x14ac:dyDescent="0.35">
      <c r="A18" s="10">
        <f>A17+1</f>
        <v>15</v>
      </c>
      <c r="B18" s="10">
        <v>88</v>
      </c>
      <c r="C18" s="4">
        <f t="shared" si="3"/>
        <v>70</v>
      </c>
      <c r="D18" s="4">
        <f>ABS(B18-C18)</f>
        <v>18</v>
      </c>
      <c r="E18" s="4">
        <f>(B18-C18)^2</f>
        <v>324</v>
      </c>
      <c r="N18" s="10">
        <f>N17+1</f>
        <v>15</v>
      </c>
      <c r="O18" s="10">
        <v>88</v>
      </c>
      <c r="P18" s="17"/>
      <c r="Q18" s="4">
        <f t="shared" si="2"/>
        <v>74.333333333333329</v>
      </c>
      <c r="R18" s="4">
        <f t="shared" si="6"/>
        <v>8.6645296510586256</v>
      </c>
    </row>
    <row r="19" spans="1:18" x14ac:dyDescent="0.35">
      <c r="A19" s="42" t="s">
        <v>138</v>
      </c>
      <c r="C19" s="13">
        <f t="shared" si="3"/>
        <v>74.333333333333329</v>
      </c>
      <c r="P19" s="13"/>
    </row>
    <row r="21" spans="1:18" x14ac:dyDescent="0.35">
      <c r="D21" s="3" t="s">
        <v>12</v>
      </c>
      <c r="E21" s="3" t="s">
        <v>4</v>
      </c>
    </row>
    <row r="22" spans="1:18" x14ac:dyDescent="0.35">
      <c r="D22" s="5">
        <f>AVERAGE(D4:D18)</f>
        <v>12.055555555555555</v>
      </c>
      <c r="E22" s="6">
        <f>AVERAGE(E4:E18)</f>
        <v>226.38888888888889</v>
      </c>
    </row>
    <row r="24" spans="1:18" x14ac:dyDescent="0.35">
      <c r="D24">
        <f>SUMPRODUCT(ABS(B7:B18-C7:C18))/COUNT(B7:B18)</f>
        <v>12.055555555555555</v>
      </c>
      <c r="E24">
        <f>SUMPRODUCT((B7:B18-C7:C18)^2)/COUNT(B7:B18)</f>
        <v>226.38888888888889</v>
      </c>
    </row>
    <row r="25" spans="1:18" x14ac:dyDescent="0.35">
      <c r="E25">
        <f>SUMXMY2(B7:B18,C7:C18)/COUNT(B7:B18)</f>
        <v>226.38888888888889</v>
      </c>
    </row>
  </sheetData>
  <pageMargins left="0.7" right="0.7" top="0.75" bottom="0.75" header="0.3" footer="0.3"/>
  <ignoredErrors>
    <ignoredError sqref="C7:C19 Q6:R7 D25:E25 D24:E24 Q8:R18" formulaRange="1"/>
  </ignoredErrors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A1:F5"/>
  <sheetViews>
    <sheetView workbookViewId="0"/>
  </sheetViews>
  <sheetFormatPr defaultRowHeight="14.5" x14ac:dyDescent="0.35"/>
  <sheetData>
    <row r="1" spans="1:6" x14ac:dyDescent="0.35">
      <c r="A1" s="7" t="s">
        <v>393</v>
      </c>
    </row>
    <row r="2" spans="1:6" x14ac:dyDescent="0.35">
      <c r="D2" s="48" t="s">
        <v>173</v>
      </c>
      <c r="E2" s="48" t="s">
        <v>174</v>
      </c>
      <c r="F2" s="48" t="s">
        <v>267</v>
      </c>
    </row>
    <row r="3" spans="1:6" x14ac:dyDescent="0.35">
      <c r="A3" s="40" t="s">
        <v>394</v>
      </c>
      <c r="B3" s="118">
        <v>0.6</v>
      </c>
      <c r="D3" s="57" t="e">
        <f t="array" aca="1" ref="D3:F5" ca="1">ARRoots(B3:B5)</f>
        <v>#NAME?</v>
      </c>
      <c r="E3" s="59" t="e">
        <f ca="1"/>
        <v>#NAME?</v>
      </c>
      <c r="F3" s="58" t="e">
        <f ca="1"/>
        <v>#NAME?</v>
      </c>
    </row>
    <row r="4" spans="1:6" x14ac:dyDescent="0.35">
      <c r="A4" s="40" t="s">
        <v>172</v>
      </c>
      <c r="B4" s="24">
        <v>-0.4</v>
      </c>
      <c r="D4" s="29" t="e">
        <f ca="1"/>
        <v>#NAME?</v>
      </c>
      <c r="E4" s="13" t="e">
        <f ca="1"/>
        <v>#NAME?</v>
      </c>
      <c r="F4" s="30" t="e">
        <f ca="1"/>
        <v>#NAME?</v>
      </c>
    </row>
    <row r="5" spans="1:6" x14ac:dyDescent="0.35">
      <c r="A5" s="40" t="s">
        <v>170</v>
      </c>
      <c r="B5" s="34">
        <v>-0.1</v>
      </c>
      <c r="D5" s="31" t="e">
        <f ca="1"/>
        <v>#NAME?</v>
      </c>
      <c r="E5" s="4" t="e">
        <f ca="1"/>
        <v>#NAME?</v>
      </c>
      <c r="F5" s="32" t="e">
        <f ca="1"/>
        <v>#NAME?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7"/>
  <dimension ref="A1:AR115"/>
  <sheetViews>
    <sheetView workbookViewId="0"/>
  </sheetViews>
  <sheetFormatPr defaultRowHeight="14.5" x14ac:dyDescent="0.35"/>
  <cols>
    <col min="1" max="1" width="5.26953125" style="115" customWidth="1"/>
    <col min="3" max="3" width="4.81640625" customWidth="1"/>
    <col min="4" max="31" width="9.1796875" customWidth="1"/>
    <col min="36" max="36" width="3.453125" customWidth="1"/>
    <col min="37" max="37" width="17.54296875" customWidth="1"/>
  </cols>
  <sheetData>
    <row r="1" spans="1:43" x14ac:dyDescent="0.35">
      <c r="A1" s="61" t="s">
        <v>402</v>
      </c>
      <c r="D1" t="s">
        <v>405</v>
      </c>
      <c r="H1" t="s">
        <v>355</v>
      </c>
      <c r="L1" t="s">
        <v>374</v>
      </c>
      <c r="P1" t="s">
        <v>379</v>
      </c>
      <c r="U1" t="s">
        <v>383</v>
      </c>
      <c r="AC1" t="s">
        <v>384</v>
      </c>
    </row>
    <row r="2" spans="1:43" ht="15" thickBot="1" x14ac:dyDescent="0.4">
      <c r="X2" t="s">
        <v>156</v>
      </c>
      <c r="Y2">
        <v>0.05</v>
      </c>
    </row>
    <row r="3" spans="1:43" ht="15" thickTop="1" x14ac:dyDescent="0.35">
      <c r="B3" s="114" t="s">
        <v>154</v>
      </c>
      <c r="D3" s="45" t="s">
        <v>291</v>
      </c>
      <c r="E3" s="45" t="s">
        <v>194</v>
      </c>
      <c r="F3" s="45" t="s">
        <v>354</v>
      </c>
      <c r="H3" s="45" t="s">
        <v>356</v>
      </c>
      <c r="I3" s="45" t="s">
        <v>357</v>
      </c>
      <c r="J3" s="45" t="s">
        <v>358</v>
      </c>
      <c r="L3" s="45" t="s">
        <v>173</v>
      </c>
      <c r="M3" s="45" t="s">
        <v>174</v>
      </c>
      <c r="N3" s="45" t="s">
        <v>375</v>
      </c>
      <c r="P3" s="45" t="s">
        <v>380</v>
      </c>
      <c r="Q3" s="45" t="s">
        <v>167</v>
      </c>
      <c r="R3" s="45" t="s">
        <v>297</v>
      </c>
      <c r="S3" s="45" t="s">
        <v>92</v>
      </c>
      <c r="U3" s="45" t="s">
        <v>291</v>
      </c>
      <c r="V3" s="45" t="s">
        <v>194</v>
      </c>
      <c r="W3" s="45" t="s">
        <v>354</v>
      </c>
      <c r="X3" s="45" t="s">
        <v>138</v>
      </c>
      <c r="Y3" s="45" t="s">
        <v>81</v>
      </c>
      <c r="Z3" s="45" t="s">
        <v>127</v>
      </c>
      <c r="AA3" s="45" t="s">
        <v>128</v>
      </c>
      <c r="AC3" s="45" t="s">
        <v>291</v>
      </c>
      <c r="AD3" s="45" t="s">
        <v>179</v>
      </c>
      <c r="AF3" t="s">
        <v>385</v>
      </c>
      <c r="AK3" t="s">
        <v>141</v>
      </c>
    </row>
    <row r="4" spans="1:43" ht="15" thickBot="1" x14ac:dyDescent="0.4">
      <c r="A4" s="115">
        <v>1</v>
      </c>
      <c r="B4">
        <f>'AR 2'!C4</f>
        <v>4.5267574698597484</v>
      </c>
      <c r="D4">
        <v>1</v>
      </c>
      <c r="E4">
        <f>B4-J$7</f>
        <v>-2.1583413073564648</v>
      </c>
      <c r="F4">
        <v>0</v>
      </c>
      <c r="H4" s="115">
        <v>3</v>
      </c>
      <c r="I4">
        <v>-0.44465412867337695</v>
      </c>
      <c r="J4">
        <v>0</v>
      </c>
      <c r="L4" t="e">
        <f t="array" aca="1" ref="L4:N6" ca="1">ARRoots(I4:I6)</f>
        <v>#NAME?</v>
      </c>
      <c r="M4" t="e">
        <f ca="1"/>
        <v>#NAME?</v>
      </c>
      <c r="N4" t="e">
        <f ca="1"/>
        <v>#NAME?</v>
      </c>
      <c r="P4" t="s">
        <v>381</v>
      </c>
      <c r="Q4">
        <f>I6</f>
        <v>9.6431296663486391E-2</v>
      </c>
      <c r="R4" t="e" cm="1">
        <f t="array" aca="1" ref="R4" ca="1">ARMA_SSE(E4:E23,Q4:Q6,,0,1)</f>
        <v>#NAME?</v>
      </c>
      <c r="S4" t="e">
        <f ca="1">CHIDIST(J19*(LN(R4)-LN(J9)),1)</f>
        <v>#NAME?</v>
      </c>
      <c r="U4">
        <f>D4</f>
        <v>1</v>
      </c>
      <c r="V4">
        <f>E4</f>
        <v>-2.1583413073564648</v>
      </c>
      <c r="W4">
        <f>F4</f>
        <v>0</v>
      </c>
      <c r="X4">
        <f>V4-W4</f>
        <v>-2.1583413073564648</v>
      </c>
      <c r="Y4">
        <f>J$16</f>
        <v>0.62357834832295367</v>
      </c>
      <c r="Z4">
        <f>X4-NORMSINV(1-Y$2/2)*Y4</f>
        <v>-3.3805324116084265</v>
      </c>
      <c r="AA4">
        <f>X4+NORMSINV(1-Y$2/2)*Y4</f>
        <v>-0.93615020310450303</v>
      </c>
      <c r="AC4">
        <v>1</v>
      </c>
      <c r="AD4">
        <f>B4</f>
        <v>4.5267574698597484</v>
      </c>
    </row>
    <row r="5" spans="1:43" ht="15.5" thickTop="1" thickBot="1" x14ac:dyDescent="0.4">
      <c r="A5" s="115">
        <f>A4+1</f>
        <v>2</v>
      </c>
      <c r="B5">
        <f>'AR 2'!C5</f>
        <v>6.893370777512497</v>
      </c>
      <c r="D5">
        <f>D4+1</f>
        <v>2</v>
      </c>
      <c r="E5">
        <f t="shared" ref="E5:E23" si="0">B5-J$7</f>
        <v>0.2082720002962839</v>
      </c>
      <c r="F5">
        <v>0</v>
      </c>
      <c r="H5" s="115">
        <f>H4-1</f>
        <v>2</v>
      </c>
      <c r="I5">
        <v>-0.45240432632159983</v>
      </c>
      <c r="J5">
        <v>0</v>
      </c>
      <c r="L5" t="e">
        <f ca="1"/>
        <v>#NAME?</v>
      </c>
      <c r="M5" t="e">
        <f ca="1"/>
        <v>#NAME?</v>
      </c>
      <c r="N5" t="e">
        <f ca="1"/>
        <v>#NAME?</v>
      </c>
      <c r="P5" t="s">
        <v>399</v>
      </c>
      <c r="Q5">
        <f>I5</f>
        <v>-0.45240432632159983</v>
      </c>
      <c r="R5" t="e" cm="1">
        <f t="array" aca="1" ref="R5" ca="1">ARMA_SSE(E4:E23,Q4:Q6,,0,2)</f>
        <v>#NAME?</v>
      </c>
      <c r="S5" t="e">
        <f ca="1">CHIDIST(J19*(LN(R5)-LN(J9)),1)</f>
        <v>#NAME?</v>
      </c>
      <c r="U5">
        <f t="shared" ref="U5:U23" si="1">D5</f>
        <v>2</v>
      </c>
      <c r="V5">
        <f t="shared" ref="V5:V23" si="2">E5</f>
        <v>0.2082720002962839</v>
      </c>
      <c r="W5">
        <f t="shared" ref="W5:W23" si="3">F5</f>
        <v>0</v>
      </c>
      <c r="X5">
        <f t="shared" ref="X5:X23" si="4">V5-W5</f>
        <v>0.2082720002962839</v>
      </c>
      <c r="Y5">
        <f t="shared" ref="Y5:Y23" si="5">J$16</f>
        <v>0.62357834832295367</v>
      </c>
      <c r="Z5">
        <f t="shared" ref="Z5:Z23" si="6">X5-NORMSINV(1-Y$2/2)*Y5</f>
        <v>-1.0139191039556779</v>
      </c>
      <c r="AA5">
        <f t="shared" ref="AA5:AA23" si="7">X5+NORMSINV(1-Y$2/2)*Y5</f>
        <v>1.4304631045482457</v>
      </c>
      <c r="AC5">
        <f>AC4+1</f>
        <v>2</v>
      </c>
      <c r="AD5">
        <f>B5</f>
        <v>6.893370777512497</v>
      </c>
      <c r="AF5" s="45" t="s">
        <v>386</v>
      </c>
      <c r="AG5" s="45" t="s">
        <v>401</v>
      </c>
      <c r="AH5" s="45" t="s">
        <v>404</v>
      </c>
      <c r="AI5" s="45" t="s">
        <v>1</v>
      </c>
      <c r="AK5" s="44" t="s">
        <v>142</v>
      </c>
      <c r="AL5" s="44"/>
      <c r="AN5" s="44"/>
      <c r="AO5" s="44"/>
    </row>
    <row r="6" spans="1:43" ht="15" thickTop="1" x14ac:dyDescent="0.35">
      <c r="A6" s="115">
        <f t="shared" ref="A6:A23" si="8">A5+1</f>
        <v>3</v>
      </c>
      <c r="B6">
        <f>'AR 2'!C6</f>
        <v>8.4253951175675805</v>
      </c>
      <c r="D6">
        <f t="shared" ref="D6:D23" si="9">D5+1</f>
        <v>3</v>
      </c>
      <c r="E6">
        <f t="shared" si="0"/>
        <v>1.7402963403513674</v>
      </c>
      <c r="F6">
        <v>0</v>
      </c>
      <c r="H6" s="115">
        <f>H5-1</f>
        <v>1</v>
      </c>
      <c r="I6">
        <v>9.6431296663486391E-2</v>
      </c>
      <c r="J6">
        <v>0</v>
      </c>
      <c r="L6" s="4" t="e">
        <f ca="1"/>
        <v>#NAME?</v>
      </c>
      <c r="M6" s="4" t="e">
        <f ca="1"/>
        <v>#NAME?</v>
      </c>
      <c r="N6" s="4" t="e">
        <f ca="1"/>
        <v>#NAME?</v>
      </c>
      <c r="P6" t="s">
        <v>403</v>
      </c>
      <c r="Q6">
        <f>I4</f>
        <v>-0.44465412867337695</v>
      </c>
      <c r="R6" t="e" cm="1">
        <f t="array" aca="1" ref="R6" ca="1">ARMA_SSE(E4:E23,Q4:Q6,,0,3)</f>
        <v>#NAME?</v>
      </c>
      <c r="S6" t="e">
        <f ca="1">CHIDIST(J19*(LN(R6)-LN(J9)),1)</f>
        <v>#NAME?</v>
      </c>
      <c r="U6">
        <f t="shared" si="1"/>
        <v>3</v>
      </c>
      <c r="V6">
        <f t="shared" si="2"/>
        <v>1.7402963403513674</v>
      </c>
      <c r="W6">
        <f t="shared" si="3"/>
        <v>0</v>
      </c>
      <c r="X6">
        <f t="shared" si="4"/>
        <v>1.7402963403513674</v>
      </c>
      <c r="Y6">
        <f t="shared" si="5"/>
        <v>0.62357834832295367</v>
      </c>
      <c r="Z6">
        <f t="shared" si="6"/>
        <v>0.51810523609940562</v>
      </c>
      <c r="AA6">
        <f t="shared" si="7"/>
        <v>2.9624874446033291</v>
      </c>
      <c r="AC6">
        <f t="shared" ref="AC6:AC28" si="10">AC5+1</f>
        <v>3</v>
      </c>
      <c r="AD6">
        <f t="shared" ref="AD6:AD23" si="11">B6</f>
        <v>8.4253951175675805</v>
      </c>
      <c r="AF6" s="59" t="e">
        <f t="array" aca="1" ref="AF6:AI22" ca="1">ARMap(B4:B23,3)</f>
        <v>#NAME?</v>
      </c>
      <c r="AG6" s="59" t="e">
        <f ca="1"/>
        <v>#NAME?</v>
      </c>
      <c r="AH6" s="59" t="e">
        <f ca="1"/>
        <v>#NAME?</v>
      </c>
      <c r="AI6" s="59" t="e">
        <f ca="1"/>
        <v>#NAME?</v>
      </c>
      <c r="AK6" t="s">
        <v>144</v>
      </c>
      <c r="AL6" t="e">
        <f ca="1">SQRT(AL7)</f>
        <v>#NAME?</v>
      </c>
      <c r="AN6" t="s">
        <v>145</v>
      </c>
      <c r="AO6" t="e">
        <f ca="1">AL10*LN(AM15/AL10)+2*(AL14+1)</f>
        <v>#NAME?</v>
      </c>
    </row>
    <row r="7" spans="1:43" x14ac:dyDescent="0.35">
      <c r="A7" s="115">
        <f t="shared" si="8"/>
        <v>4</v>
      </c>
      <c r="B7">
        <f>'AR 2'!C7</f>
        <v>6.999502086988997</v>
      </c>
      <c r="D7">
        <f t="shared" si="9"/>
        <v>4</v>
      </c>
      <c r="E7">
        <f t="shared" si="0"/>
        <v>0.31440330977278386</v>
      </c>
      <c r="F7">
        <f>E7-SUMPRODUCT(E4:E6,I$4:I$6)</f>
        <v>-0.7189079423226723</v>
      </c>
      <c r="H7" s="10" t="s">
        <v>359</v>
      </c>
      <c r="I7" s="4">
        <f>J7*(1-SUM(I4:I6))</f>
        <v>12.037370414384151</v>
      </c>
      <c r="J7" s="4">
        <v>6.6850987772162132</v>
      </c>
      <c r="P7" t="s">
        <v>359</v>
      </c>
      <c r="Q7">
        <f>I7</f>
        <v>12.037370414384151</v>
      </c>
      <c r="R7" t="e" cm="1">
        <f t="array" aca="1" ref="R7" ca="1">ARMA_SSE(E4:E23,Q4:Q6,,J7)</f>
        <v>#NAME?</v>
      </c>
      <c r="S7" t="e">
        <f ca="1">CHIDIST(J19*(LN(R7)-LN(J9)),1)</f>
        <v>#NAME?</v>
      </c>
      <c r="U7">
        <f t="shared" si="1"/>
        <v>4</v>
      </c>
      <c r="V7">
        <f t="shared" si="2"/>
        <v>0.31440330977278386</v>
      </c>
      <c r="W7">
        <f t="shared" si="3"/>
        <v>-0.7189079423226723</v>
      </c>
      <c r="X7">
        <f t="shared" si="4"/>
        <v>1.0333112520954562</v>
      </c>
      <c r="Y7">
        <f t="shared" si="5"/>
        <v>0.62357834832295367</v>
      </c>
      <c r="Z7">
        <f t="shared" si="6"/>
        <v>-0.1888798521565056</v>
      </c>
      <c r="AA7">
        <f t="shared" si="7"/>
        <v>2.2555023563474181</v>
      </c>
      <c r="AC7">
        <f t="shared" si="10"/>
        <v>4</v>
      </c>
      <c r="AD7">
        <f t="shared" si="11"/>
        <v>6.999502086988997</v>
      </c>
      <c r="AF7" s="13" t="e">
        <f ca="1"/>
        <v>#NAME?</v>
      </c>
      <c r="AG7" s="13" t="e">
        <f ca="1"/>
        <v>#NAME?</v>
      </c>
      <c r="AH7" s="13" t="e">
        <f ca="1"/>
        <v>#NAME?</v>
      </c>
      <c r="AI7" s="13" t="e">
        <f ca="1"/>
        <v>#NAME?</v>
      </c>
      <c r="AK7" t="s">
        <v>148</v>
      </c>
      <c r="AL7" t="e">
        <f ca="1">AM14/AM16</f>
        <v>#NAME?</v>
      </c>
      <c r="AN7" t="s">
        <v>149</v>
      </c>
      <c r="AO7" t="e">
        <f ca="1">AO6+2*(AL14+2)*(AL14+3)/(AL10-AL14-3)</f>
        <v>#NAME?</v>
      </c>
    </row>
    <row r="8" spans="1:43" x14ac:dyDescent="0.35">
      <c r="A8" s="115">
        <f t="shared" si="8"/>
        <v>5</v>
      </c>
      <c r="B8">
        <f>'AR 2'!C8</f>
        <v>6.1875941616300834</v>
      </c>
      <c r="D8">
        <f t="shared" si="9"/>
        <v>5</v>
      </c>
      <c r="E8">
        <f t="shared" si="0"/>
        <v>-0.49750461558612979</v>
      </c>
      <c r="F8">
        <f t="shared" ref="F8:F23" si="12">E8-SUMPRODUCT(E5:E7,I$4:I$6)</f>
        <v>0.35210366385260028</v>
      </c>
      <c r="L8" t="s">
        <v>376</v>
      </c>
      <c r="P8" s="4" t="s">
        <v>120</v>
      </c>
      <c r="Q8" s="4">
        <f>J17</f>
        <v>9.0637500981712927E-4</v>
      </c>
      <c r="R8" s="4">
        <f>-Q8/(J18/SQRT(J19))</f>
        <v>-3.6322388976278439E-3</v>
      </c>
      <c r="S8" s="4">
        <f>TDIST(ABS(R8),J19-1,2)</f>
        <v>0.9971468014283178</v>
      </c>
      <c r="U8">
        <f t="shared" si="1"/>
        <v>5</v>
      </c>
      <c r="V8">
        <f t="shared" si="2"/>
        <v>-0.49750461558612979</v>
      </c>
      <c r="W8">
        <f t="shared" si="3"/>
        <v>0.35210366385260028</v>
      </c>
      <c r="X8">
        <f t="shared" si="4"/>
        <v>-0.84960827943873007</v>
      </c>
      <c r="Y8">
        <f t="shared" si="5"/>
        <v>0.62357834832295367</v>
      </c>
      <c r="Z8">
        <f t="shared" si="6"/>
        <v>-2.0717993836906921</v>
      </c>
      <c r="AA8">
        <f t="shared" si="7"/>
        <v>0.37258282481323168</v>
      </c>
      <c r="AC8">
        <f t="shared" si="10"/>
        <v>5</v>
      </c>
      <c r="AD8">
        <f t="shared" si="11"/>
        <v>6.1875941616300834</v>
      </c>
      <c r="AF8" s="13" t="e">
        <f ca="1"/>
        <v>#NAME?</v>
      </c>
      <c r="AG8" s="13" t="e">
        <f ca="1"/>
        <v>#NAME?</v>
      </c>
      <c r="AH8" s="13" t="e">
        <f ca="1"/>
        <v>#NAME?</v>
      </c>
      <c r="AI8" s="13" t="e">
        <f ca="1"/>
        <v>#NAME?</v>
      </c>
      <c r="AK8" t="s">
        <v>150</v>
      </c>
      <c r="AL8" t="e">
        <f ca="1">1-(1-AL7)*(AL10-1)/(AL10-AL14-1)</f>
        <v>#NAME?</v>
      </c>
      <c r="AN8" s="4" t="s">
        <v>151</v>
      </c>
      <c r="AO8" s="4" t="e">
        <f ca="1">AL10*LN(AM15/AL10)+(AL14+1)*LN(AL10)</f>
        <v>#NAME?</v>
      </c>
    </row>
    <row r="9" spans="1:43" ht="15" thickBot="1" x14ac:dyDescent="0.4">
      <c r="A9" s="115">
        <f t="shared" si="8"/>
        <v>6</v>
      </c>
      <c r="B9">
        <f>'AR 2'!C9</f>
        <v>5.8129764708798239</v>
      </c>
      <c r="D9">
        <f t="shared" si="9"/>
        <v>6</v>
      </c>
      <c r="E9">
        <f t="shared" si="0"/>
        <v>-0.87212230633638921</v>
      </c>
      <c r="F9">
        <f t="shared" si="12"/>
        <v>9.1920079244092068E-2</v>
      </c>
      <c r="I9" t="s">
        <v>121</v>
      </c>
      <c r="J9" s="119">
        <f>SUMSQ(F7:F23)</f>
        <v>5.0550494344633776</v>
      </c>
      <c r="U9">
        <f t="shared" si="1"/>
        <v>6</v>
      </c>
      <c r="V9">
        <f t="shared" si="2"/>
        <v>-0.87212230633638921</v>
      </c>
      <c r="W9">
        <f t="shared" si="3"/>
        <v>9.1920079244092068E-2</v>
      </c>
      <c r="X9">
        <f t="shared" si="4"/>
        <v>-0.96404238558048128</v>
      </c>
      <c r="Y9">
        <f t="shared" si="5"/>
        <v>0.62357834832295367</v>
      </c>
      <c r="Z9">
        <f t="shared" si="6"/>
        <v>-2.1862334898324431</v>
      </c>
      <c r="AA9">
        <f t="shared" si="7"/>
        <v>0.25814871867148048</v>
      </c>
      <c r="AC9">
        <f t="shared" si="10"/>
        <v>6</v>
      </c>
      <c r="AD9">
        <f t="shared" si="11"/>
        <v>5.8129764708798239</v>
      </c>
      <c r="AF9" s="13" t="e">
        <f ca="1"/>
        <v>#NAME?</v>
      </c>
      <c r="AG9" s="13" t="e">
        <f ca="1"/>
        <v>#NAME?</v>
      </c>
      <c r="AH9" s="13" t="e">
        <f ca="1"/>
        <v>#NAME?</v>
      </c>
      <c r="AI9" s="13" t="e">
        <f ca="1"/>
        <v>#NAME?</v>
      </c>
      <c r="AK9" t="s">
        <v>146</v>
      </c>
      <c r="AL9" t="e">
        <f ca="1">SQRT(AN15)</f>
        <v>#NAME?</v>
      </c>
    </row>
    <row r="10" spans="1:43" ht="15" thickTop="1" x14ac:dyDescent="0.35">
      <c r="A10" s="115">
        <f t="shared" si="8"/>
        <v>7</v>
      </c>
      <c r="B10">
        <f>'AR 2'!C10</f>
        <v>7.1200726875188378</v>
      </c>
      <c r="D10">
        <f t="shared" si="9"/>
        <v>7</v>
      </c>
      <c r="E10">
        <f t="shared" si="0"/>
        <v>0.43497391030262467</v>
      </c>
      <c r="F10">
        <f t="shared" si="12"/>
        <v>0.43380128445470645</v>
      </c>
      <c r="L10" s="45" t="s">
        <v>173</v>
      </c>
      <c r="M10" s="45" t="s">
        <v>174</v>
      </c>
      <c r="N10" s="45" t="s">
        <v>375</v>
      </c>
      <c r="P10" t="s">
        <v>360</v>
      </c>
      <c r="Q10" s="120" t="s">
        <v>304</v>
      </c>
      <c r="U10">
        <f t="shared" si="1"/>
        <v>7</v>
      </c>
      <c r="V10">
        <f t="shared" si="2"/>
        <v>0.43497391030262467</v>
      </c>
      <c r="W10">
        <f t="shared" si="3"/>
        <v>0.43380128445470645</v>
      </c>
      <c r="X10">
        <f t="shared" si="4"/>
        <v>1.1726258479182183E-3</v>
      </c>
      <c r="Y10">
        <f t="shared" si="5"/>
        <v>0.62357834832295367</v>
      </c>
      <c r="Z10">
        <f t="shared" si="6"/>
        <v>-1.2210184784040434</v>
      </c>
      <c r="AA10">
        <f t="shared" si="7"/>
        <v>1.2233637300998801</v>
      </c>
      <c r="AC10">
        <f t="shared" si="10"/>
        <v>7</v>
      </c>
      <c r="AD10">
        <f t="shared" si="11"/>
        <v>7.1200726875188378</v>
      </c>
      <c r="AF10" s="13" t="e">
        <f ca="1"/>
        <v>#NAME?</v>
      </c>
      <c r="AG10" s="13" t="e">
        <f ca="1"/>
        <v>#NAME?</v>
      </c>
      <c r="AH10" s="13" t="e">
        <f ca="1"/>
        <v>#NAME?</v>
      </c>
      <c r="AI10" s="13" t="e">
        <f ca="1"/>
        <v>#NAME?</v>
      </c>
      <c r="AK10" s="4" t="s">
        <v>153</v>
      </c>
      <c r="AL10" s="4">
        <f ca="1">COUNT(AI6:AI22)</f>
        <v>0</v>
      </c>
    </row>
    <row r="11" spans="1:43" x14ac:dyDescent="0.35">
      <c r="A11" s="115">
        <f t="shared" si="8"/>
        <v>8</v>
      </c>
      <c r="B11">
        <f>'AR 2'!C11</f>
        <v>8.5019149332741044</v>
      </c>
      <c r="D11">
        <f t="shared" si="9"/>
        <v>8</v>
      </c>
      <c r="E11">
        <f t="shared" si="0"/>
        <v>1.8168161560578913</v>
      </c>
      <c r="F11">
        <f t="shared" si="12"/>
        <v>1.159101672050034</v>
      </c>
      <c r="I11" t="s">
        <v>361</v>
      </c>
      <c r="J11" s="121">
        <v>3</v>
      </c>
      <c r="U11">
        <f t="shared" si="1"/>
        <v>8</v>
      </c>
      <c r="V11">
        <f t="shared" si="2"/>
        <v>1.8168161560578913</v>
      </c>
      <c r="W11">
        <f t="shared" si="3"/>
        <v>1.159101672050034</v>
      </c>
      <c r="X11">
        <f t="shared" si="4"/>
        <v>0.65771448400785726</v>
      </c>
      <c r="Y11">
        <f t="shared" si="5"/>
        <v>0.62357834832295367</v>
      </c>
      <c r="Z11">
        <f t="shared" si="6"/>
        <v>-0.5644766202441045</v>
      </c>
      <c r="AA11">
        <f t="shared" si="7"/>
        <v>1.879905588259819</v>
      </c>
      <c r="AC11">
        <f t="shared" si="10"/>
        <v>8</v>
      </c>
      <c r="AD11">
        <f t="shared" si="11"/>
        <v>8.5019149332741044</v>
      </c>
      <c r="AF11" s="13" t="e">
        <f ca="1"/>
        <v>#NAME?</v>
      </c>
      <c r="AG11" s="13" t="e">
        <f ca="1"/>
        <v>#NAME?</v>
      </c>
      <c r="AH11" s="13" t="e">
        <f ca="1"/>
        <v>#NAME?</v>
      </c>
      <c r="AI11" s="13" t="e">
        <f ca="1"/>
        <v>#NAME?</v>
      </c>
    </row>
    <row r="12" spans="1:43" ht="15" thickBot="1" x14ac:dyDescent="0.4">
      <c r="A12" s="115">
        <f t="shared" si="8"/>
        <v>9</v>
      </c>
      <c r="B12">
        <f>'AR 2'!C12</f>
        <v>7.3012221051820614</v>
      </c>
      <c r="D12">
        <f t="shared" si="9"/>
        <v>9</v>
      </c>
      <c r="E12">
        <f t="shared" si="0"/>
        <v>0.61612332796584823</v>
      </c>
      <c r="F12">
        <f t="shared" si="12"/>
        <v>0.24991668487532259</v>
      </c>
      <c r="I12" t="s">
        <v>362</v>
      </c>
      <c r="J12" s="107">
        <v>0</v>
      </c>
      <c r="L12" t="s">
        <v>377</v>
      </c>
      <c r="U12">
        <f t="shared" si="1"/>
        <v>9</v>
      </c>
      <c r="V12">
        <f t="shared" si="2"/>
        <v>0.61612332796584823</v>
      </c>
      <c r="W12">
        <f t="shared" si="3"/>
        <v>0.24991668487532259</v>
      </c>
      <c r="X12">
        <f t="shared" si="4"/>
        <v>0.36620664309052564</v>
      </c>
      <c r="Y12">
        <f t="shared" si="5"/>
        <v>0.62357834832295367</v>
      </c>
      <c r="Z12">
        <f t="shared" si="6"/>
        <v>-0.85598446116143612</v>
      </c>
      <c r="AA12">
        <f t="shared" si="7"/>
        <v>1.5883977473424875</v>
      </c>
      <c r="AC12">
        <f t="shared" si="10"/>
        <v>9</v>
      </c>
      <c r="AD12">
        <f t="shared" si="11"/>
        <v>7.3012221051820614</v>
      </c>
      <c r="AF12" s="13" t="e">
        <f ca="1"/>
        <v>#NAME?</v>
      </c>
      <c r="AG12" s="13" t="e">
        <f ca="1"/>
        <v>#NAME?</v>
      </c>
      <c r="AH12" s="13" t="e">
        <f ca="1"/>
        <v>#NAME?</v>
      </c>
      <c r="AI12" s="13" t="e">
        <f ca="1"/>
        <v>#NAME?</v>
      </c>
      <c r="AK12" t="s">
        <v>155</v>
      </c>
      <c r="AO12" s="115" t="s">
        <v>156</v>
      </c>
      <c r="AP12" s="115">
        <v>0.05</v>
      </c>
    </row>
    <row r="13" spans="1:43" ht="15.5" thickTop="1" thickBot="1" x14ac:dyDescent="0.4">
      <c r="A13" s="115">
        <f t="shared" si="8"/>
        <v>10</v>
      </c>
      <c r="B13">
        <f>'AR 2'!C13</f>
        <v>6.0388768293832715</v>
      </c>
      <c r="D13">
        <f t="shared" si="9"/>
        <v>10</v>
      </c>
      <c r="E13">
        <f t="shared" si="0"/>
        <v>-0.64622194783294162</v>
      </c>
      <c r="F13">
        <f t="shared" si="12"/>
        <v>0.30971291495952324</v>
      </c>
      <c r="I13" t="s">
        <v>363</v>
      </c>
      <c r="J13" s="107">
        <v>0</v>
      </c>
      <c r="U13">
        <f t="shared" si="1"/>
        <v>10</v>
      </c>
      <c r="V13">
        <f t="shared" si="2"/>
        <v>-0.64622194783294162</v>
      </c>
      <c r="W13">
        <f t="shared" si="3"/>
        <v>0.30971291495952324</v>
      </c>
      <c r="X13">
        <f t="shared" si="4"/>
        <v>-0.95593486279246487</v>
      </c>
      <c r="Y13">
        <f t="shared" si="5"/>
        <v>0.62357834832295367</v>
      </c>
      <c r="Z13">
        <f t="shared" si="6"/>
        <v>-2.1781259670444264</v>
      </c>
      <c r="AA13">
        <f t="shared" si="7"/>
        <v>0.26625624145949689</v>
      </c>
      <c r="AC13">
        <f t="shared" si="10"/>
        <v>10</v>
      </c>
      <c r="AD13">
        <f t="shared" si="11"/>
        <v>6.0388768293832715</v>
      </c>
      <c r="AF13" s="13" t="e">
        <f ca="1"/>
        <v>#NAME?</v>
      </c>
      <c r="AG13" s="13" t="e">
        <f ca="1"/>
        <v>#NAME?</v>
      </c>
      <c r="AH13" s="13" t="e">
        <f ca="1"/>
        <v>#NAME?</v>
      </c>
      <c r="AI13" s="13" t="e">
        <f ca="1"/>
        <v>#NAME?</v>
      </c>
      <c r="AK13" s="45"/>
      <c r="AL13" s="45" t="s">
        <v>88</v>
      </c>
      <c r="AM13" s="45" t="s">
        <v>157</v>
      </c>
      <c r="AN13" s="45" t="s">
        <v>158</v>
      </c>
      <c r="AO13" s="45" t="s">
        <v>159</v>
      </c>
      <c r="AP13" s="45" t="s">
        <v>92</v>
      </c>
      <c r="AQ13" s="45" t="s">
        <v>84</v>
      </c>
    </row>
    <row r="14" spans="1:43" ht="15" thickTop="1" x14ac:dyDescent="0.35">
      <c r="A14" s="115">
        <f t="shared" si="8"/>
        <v>11</v>
      </c>
      <c r="B14">
        <f>'AR 2'!C14</f>
        <v>4.7460896891377891</v>
      </c>
      <c r="D14">
        <f t="shared" si="9"/>
        <v>11</v>
      </c>
      <c r="E14">
        <f t="shared" si="0"/>
        <v>-1.9390090880784241</v>
      </c>
      <c r="F14">
        <f t="shared" si="12"/>
        <v>-0.79010140376544236</v>
      </c>
      <c r="I14" t="s">
        <v>364</v>
      </c>
      <c r="J14" s="107">
        <f>AVERAGE(F7:F23)</f>
        <v>3.7311805835990098E-6</v>
      </c>
      <c r="L14" s="45" t="s">
        <v>356</v>
      </c>
      <c r="M14" s="45" t="s">
        <v>378</v>
      </c>
      <c r="U14">
        <f t="shared" si="1"/>
        <v>11</v>
      </c>
      <c r="V14">
        <f t="shared" si="2"/>
        <v>-1.9390090880784241</v>
      </c>
      <c r="W14">
        <f t="shared" si="3"/>
        <v>-0.79010140376544236</v>
      </c>
      <c r="X14">
        <f t="shared" si="4"/>
        <v>-1.1489076843129817</v>
      </c>
      <c r="Y14">
        <f t="shared" si="5"/>
        <v>0.62357834832295367</v>
      </c>
      <c r="Z14">
        <f t="shared" si="6"/>
        <v>-2.3710987885649435</v>
      </c>
      <c r="AA14">
        <f t="shared" si="7"/>
        <v>7.3283419938980021E-2</v>
      </c>
      <c r="AC14">
        <f t="shared" si="10"/>
        <v>11</v>
      </c>
      <c r="AD14">
        <f t="shared" si="11"/>
        <v>4.7460896891377891</v>
      </c>
      <c r="AF14" s="13" t="e">
        <f ca="1"/>
        <v>#NAME?</v>
      </c>
      <c r="AG14" s="13" t="e">
        <f ca="1"/>
        <v>#NAME?</v>
      </c>
      <c r="AH14" s="13" t="e">
        <f ca="1"/>
        <v>#NAME?</v>
      </c>
      <c r="AI14" s="13" t="e">
        <f ca="1"/>
        <v>#NAME?</v>
      </c>
      <c r="AK14" t="s">
        <v>160</v>
      </c>
      <c r="AL14">
        <f ca="1">COUNT(AF6:AH6)</f>
        <v>0</v>
      </c>
      <c r="AM14" t="e">
        <f ca="1">DEVSQ(MMULT(DEsign(AF6:AH22),AL19:AL22))</f>
        <v>#NAME?</v>
      </c>
      <c r="AN14" t="e">
        <f ca="1">AM14/AL14</f>
        <v>#NAME?</v>
      </c>
      <c r="AO14" t="e">
        <f ca="1">AN14/AN15</f>
        <v>#NAME?</v>
      </c>
      <c r="AP14" t="e">
        <f ca="1">FDIST(AO14,AL14,AL15)</f>
        <v>#NAME?</v>
      </c>
      <c r="AQ14" s="115" t="e">
        <f ca="1">IF(AP14&lt;AP12,"yes","no")</f>
        <v>#NAME?</v>
      </c>
    </row>
    <row r="15" spans="1:43" x14ac:dyDescent="0.35">
      <c r="A15" s="115">
        <f t="shared" si="8"/>
        <v>12</v>
      </c>
      <c r="B15">
        <f>'AR 2'!C15</f>
        <v>6.6536767183588417</v>
      </c>
      <c r="D15">
        <f t="shared" si="9"/>
        <v>12</v>
      </c>
      <c r="E15">
        <f t="shared" si="0"/>
        <v>-3.1422058857371482E-2</v>
      </c>
      <c r="F15">
        <f t="shared" si="12"/>
        <v>0.1371672783367168</v>
      </c>
      <c r="I15" t="s">
        <v>365</v>
      </c>
      <c r="J15" s="107">
        <f>STDEV(F7:F23)</f>
        <v>0.5620859272737303</v>
      </c>
      <c r="L15" s="59">
        <v>0</v>
      </c>
      <c r="M15" s="59" t="e">
        <f t="array" aca="1" ref="M15:M19" ca="1">PSICoeff(I4:I6)</f>
        <v>#NAME?</v>
      </c>
      <c r="U15">
        <f t="shared" si="1"/>
        <v>12</v>
      </c>
      <c r="V15">
        <f t="shared" si="2"/>
        <v>-3.1422058857371482E-2</v>
      </c>
      <c r="W15">
        <f t="shared" si="3"/>
        <v>0.1371672783367168</v>
      </c>
      <c r="X15">
        <f t="shared" si="4"/>
        <v>-0.16858933719408828</v>
      </c>
      <c r="Y15">
        <f t="shared" si="5"/>
        <v>0.62357834832295367</v>
      </c>
      <c r="Z15">
        <f t="shared" si="6"/>
        <v>-1.3907804414460501</v>
      </c>
      <c r="AA15">
        <f t="shared" si="7"/>
        <v>1.0536017670578735</v>
      </c>
      <c r="AC15">
        <f t="shared" si="10"/>
        <v>12</v>
      </c>
      <c r="AD15">
        <f t="shared" si="11"/>
        <v>6.6536767183588417</v>
      </c>
      <c r="AF15" s="13" t="e">
        <f ca="1"/>
        <v>#NAME?</v>
      </c>
      <c r="AG15" s="13" t="e">
        <f ca="1"/>
        <v>#NAME?</v>
      </c>
      <c r="AH15" s="13" t="e">
        <f ca="1"/>
        <v>#NAME?</v>
      </c>
      <c r="AI15" s="13" t="e">
        <f ca="1"/>
        <v>#NAME?</v>
      </c>
      <c r="AK15" t="s">
        <v>107</v>
      </c>
      <c r="AL15">
        <f ca="1">AL16-AL14</f>
        <v>-1</v>
      </c>
      <c r="AM15" t="e">
        <f ca="1">AM16-AM14</f>
        <v>#NAME?</v>
      </c>
      <c r="AN15" t="e">
        <f ca="1">AM15/AL15</f>
        <v>#NAME?</v>
      </c>
    </row>
    <row r="16" spans="1:43" x14ac:dyDescent="0.35">
      <c r="A16" s="115">
        <f t="shared" si="8"/>
        <v>13</v>
      </c>
      <c r="B16">
        <f>'AR 2'!C16</f>
        <v>8.1939759194869595</v>
      </c>
      <c r="D16">
        <f t="shared" si="9"/>
        <v>13</v>
      </c>
      <c r="E16">
        <f t="shared" si="0"/>
        <v>1.5088771422707463</v>
      </c>
      <c r="F16">
        <f t="shared" si="12"/>
        <v>0.347345854783351</v>
      </c>
      <c r="I16" t="s">
        <v>366</v>
      </c>
      <c r="J16" s="107">
        <f>SQRT(J9/(J19-J11-1))</f>
        <v>0.62357834832295367</v>
      </c>
      <c r="L16" s="13">
        <f>L15+1</f>
        <v>1</v>
      </c>
      <c r="M16" s="13" t="e">
        <f ca="1"/>
        <v>#NAME?</v>
      </c>
      <c r="U16">
        <f t="shared" si="1"/>
        <v>13</v>
      </c>
      <c r="V16">
        <f t="shared" si="2"/>
        <v>1.5088771422707463</v>
      </c>
      <c r="W16">
        <f t="shared" si="3"/>
        <v>0.347345854783351</v>
      </c>
      <c r="X16">
        <f t="shared" si="4"/>
        <v>1.1615312874873953</v>
      </c>
      <c r="Y16">
        <f t="shared" si="5"/>
        <v>0.62357834832295367</v>
      </c>
      <c r="Z16">
        <f t="shared" si="6"/>
        <v>-6.0659816764566443E-2</v>
      </c>
      <c r="AA16">
        <f t="shared" si="7"/>
        <v>2.3837223917393571</v>
      </c>
      <c r="AC16">
        <f t="shared" si="10"/>
        <v>13</v>
      </c>
      <c r="AD16">
        <f t="shared" si="11"/>
        <v>8.1939759194869595</v>
      </c>
      <c r="AF16" s="13" t="e">
        <f ca="1"/>
        <v>#NAME?</v>
      </c>
      <c r="AG16" s="13" t="e">
        <f ca="1"/>
        <v>#NAME?</v>
      </c>
      <c r="AH16" s="13" t="e">
        <f ca="1"/>
        <v>#NAME?</v>
      </c>
      <c r="AI16" s="13" t="e">
        <f ca="1"/>
        <v>#NAME?</v>
      </c>
      <c r="AK16" s="4" t="s">
        <v>161</v>
      </c>
      <c r="AL16" s="4">
        <f ca="1">AL10-1</f>
        <v>-1</v>
      </c>
      <c r="AM16" s="4" t="e">
        <f ca="1">DEVSQ(AI6:AI22)</f>
        <v>#NAME?</v>
      </c>
      <c r="AN16" s="4"/>
      <c r="AO16" s="4"/>
      <c r="AP16" s="4"/>
      <c r="AQ16" s="4"/>
    </row>
    <row r="17" spans="1:44" ht="15" thickBot="1" x14ac:dyDescent="0.4">
      <c r="A17" s="115">
        <f t="shared" si="8"/>
        <v>14</v>
      </c>
      <c r="B17">
        <f>'AR 2'!C17</f>
        <v>7.5602635334693442</v>
      </c>
      <c r="D17">
        <f t="shared" si="9"/>
        <v>14</v>
      </c>
      <c r="E17">
        <f t="shared" si="0"/>
        <v>0.87516475625313106</v>
      </c>
      <c r="F17">
        <f t="shared" si="12"/>
        <v>-0.14674209500021052</v>
      </c>
      <c r="I17" t="s">
        <v>367</v>
      </c>
      <c r="J17" s="107">
        <f>AVERAGE(E7:E23)</f>
        <v>9.0637500981712927E-4</v>
      </c>
      <c r="L17" s="13">
        <f>L16+1</f>
        <v>2</v>
      </c>
      <c r="M17" s="13" t="e">
        <f ca="1"/>
        <v>#NAME?</v>
      </c>
      <c r="U17">
        <f t="shared" si="1"/>
        <v>14</v>
      </c>
      <c r="V17">
        <f t="shared" si="2"/>
        <v>0.87516475625313106</v>
      </c>
      <c r="W17">
        <f t="shared" si="3"/>
        <v>-0.14674209500021052</v>
      </c>
      <c r="X17">
        <f t="shared" si="4"/>
        <v>1.0219068512533416</v>
      </c>
      <c r="Y17">
        <f t="shared" si="5"/>
        <v>0.62357834832295367</v>
      </c>
      <c r="Z17">
        <f t="shared" si="6"/>
        <v>-0.20028425299862018</v>
      </c>
      <c r="AA17">
        <f t="shared" si="7"/>
        <v>2.2440979555053033</v>
      </c>
      <c r="AC17">
        <f t="shared" si="10"/>
        <v>14</v>
      </c>
      <c r="AD17">
        <f t="shared" si="11"/>
        <v>7.5602635334693442</v>
      </c>
      <c r="AF17" s="13" t="e">
        <f ca="1"/>
        <v>#NAME?</v>
      </c>
      <c r="AG17" s="13" t="e">
        <f ca="1"/>
        <v>#NAME?</v>
      </c>
      <c r="AH17" s="13" t="e">
        <f ca="1"/>
        <v>#NAME?</v>
      </c>
      <c r="AI17" s="13" t="e">
        <f ca="1"/>
        <v>#NAME?</v>
      </c>
    </row>
    <row r="18" spans="1:44" ht="15" thickTop="1" x14ac:dyDescent="0.35">
      <c r="A18" s="115">
        <f t="shared" si="8"/>
        <v>15</v>
      </c>
      <c r="B18">
        <f>'AR 2'!C18</f>
        <v>6.794451297136205</v>
      </c>
      <c r="D18">
        <f t="shared" si="9"/>
        <v>15</v>
      </c>
      <c r="E18">
        <f t="shared" si="0"/>
        <v>0.10935251991999184</v>
      </c>
      <c r="F18">
        <f t="shared" si="12"/>
        <v>0.69360984652902813</v>
      </c>
      <c r="I18" t="s">
        <v>368</v>
      </c>
      <c r="J18" s="107">
        <f>STDEV(E7:E23)</f>
        <v>1.0288640167189702</v>
      </c>
      <c r="L18" s="13">
        <f>L17+1</f>
        <v>3</v>
      </c>
      <c r="M18" s="13" t="e">
        <f ca="1"/>
        <v>#NAME?</v>
      </c>
      <c r="U18">
        <f t="shared" si="1"/>
        <v>15</v>
      </c>
      <c r="V18">
        <f t="shared" si="2"/>
        <v>0.10935251991999184</v>
      </c>
      <c r="W18">
        <f t="shared" si="3"/>
        <v>0.69360984652902813</v>
      </c>
      <c r="X18">
        <f t="shared" si="4"/>
        <v>-0.58425732660903629</v>
      </c>
      <c r="Y18">
        <f t="shared" si="5"/>
        <v>0.62357834832295367</v>
      </c>
      <c r="Z18">
        <f t="shared" si="6"/>
        <v>-1.806448430860998</v>
      </c>
      <c r="AA18">
        <f t="shared" si="7"/>
        <v>0.63793377764292547</v>
      </c>
      <c r="AC18">
        <f t="shared" si="10"/>
        <v>15</v>
      </c>
      <c r="AD18">
        <f t="shared" si="11"/>
        <v>6.794451297136205</v>
      </c>
      <c r="AF18" s="13" t="e">
        <f ca="1"/>
        <v>#NAME?</v>
      </c>
      <c r="AG18" s="13" t="e">
        <f ca="1"/>
        <v>#NAME?</v>
      </c>
      <c r="AH18" s="13" t="e">
        <f ca="1"/>
        <v>#NAME?</v>
      </c>
      <c r="AI18" s="13" t="e">
        <f ca="1"/>
        <v>#NAME?</v>
      </c>
      <c r="AK18" s="45"/>
      <c r="AL18" s="45" t="s">
        <v>162</v>
      </c>
      <c r="AM18" s="45" t="s">
        <v>163</v>
      </c>
      <c r="AN18" s="45" t="s">
        <v>164</v>
      </c>
      <c r="AO18" s="45" t="s">
        <v>92</v>
      </c>
      <c r="AP18" s="45" t="s">
        <v>127</v>
      </c>
      <c r="AQ18" s="45" t="s">
        <v>128</v>
      </c>
      <c r="AR18" s="45" t="s">
        <v>165</v>
      </c>
    </row>
    <row r="19" spans="1:44" x14ac:dyDescent="0.35">
      <c r="A19" s="115">
        <f t="shared" si="8"/>
        <v>16</v>
      </c>
      <c r="B19">
        <f>'AR 2'!C19</f>
        <v>4.7244665351583883</v>
      </c>
      <c r="D19">
        <f t="shared" si="9"/>
        <v>16</v>
      </c>
      <c r="E19">
        <f t="shared" si="0"/>
        <v>-1.9606322420578248</v>
      </c>
      <c r="F19">
        <f t="shared" si="12"/>
        <v>-0.90432047440245089</v>
      </c>
      <c r="I19" t="s">
        <v>369</v>
      </c>
      <c r="J19" s="108">
        <f>COUNT(E7:E23)</f>
        <v>17</v>
      </c>
      <c r="L19" s="4">
        <f>L18+1</f>
        <v>4</v>
      </c>
      <c r="M19" s="4" t="e">
        <f ca="1"/>
        <v>#NAME?</v>
      </c>
      <c r="U19">
        <f t="shared" si="1"/>
        <v>16</v>
      </c>
      <c r="V19">
        <f t="shared" si="2"/>
        <v>-1.9606322420578248</v>
      </c>
      <c r="W19">
        <f t="shared" si="3"/>
        <v>-0.90432047440245089</v>
      </c>
      <c r="X19">
        <f t="shared" si="4"/>
        <v>-1.0563117676553739</v>
      </c>
      <c r="Y19">
        <f t="shared" si="5"/>
        <v>0.62357834832295367</v>
      </c>
      <c r="Z19">
        <f t="shared" si="6"/>
        <v>-2.2785028719073357</v>
      </c>
      <c r="AA19">
        <f t="shared" si="7"/>
        <v>0.16587933659658782</v>
      </c>
      <c r="AC19">
        <f t="shared" si="10"/>
        <v>16</v>
      </c>
      <c r="AD19">
        <f t="shared" si="11"/>
        <v>4.7244665351583883</v>
      </c>
      <c r="AF19" s="13" t="e">
        <f ca="1"/>
        <v>#NAME?</v>
      </c>
      <c r="AG19" s="13" t="e">
        <f ca="1"/>
        <v>#NAME?</v>
      </c>
      <c r="AH19" s="13" t="e">
        <f ca="1"/>
        <v>#NAME?</v>
      </c>
      <c r="AI19" s="13" t="e">
        <f ca="1"/>
        <v>#NAME?</v>
      </c>
      <c r="AK19" t="s">
        <v>166</v>
      </c>
      <c r="AL19" t="e">
        <f t="array" aca="1" ref="AL19:AM22" ca="1">RegCoeff(AF6:AH22,AI6:AI22)</f>
        <v>#NAME?</v>
      </c>
      <c r="AM19" t="e">
        <f ca="1"/>
        <v>#NAME?</v>
      </c>
      <c r="AN19" t="e">
        <f ca="1">AL19/AM19</f>
        <v>#NAME?</v>
      </c>
      <c r="AO19" t="e">
        <f ca="1">TDIST(ABS(AN19),$AL$15,2)</f>
        <v>#NAME?</v>
      </c>
      <c r="AP19" t="e">
        <f ca="1">AL19-TINV(AP$12,$AL$15)*AM19</f>
        <v>#NAME?</v>
      </c>
      <c r="AQ19" t="e">
        <f ca="1">AL19+TINV(AP$12,$AL$15)*AM19</f>
        <v>#NAME?</v>
      </c>
    </row>
    <row r="20" spans="1:44" x14ac:dyDescent="0.35">
      <c r="A20" s="115">
        <f t="shared" si="8"/>
        <v>17</v>
      </c>
      <c r="B20">
        <f>'AR 2'!C20</f>
        <v>6.0271551265385801</v>
      </c>
      <c r="D20">
        <f t="shared" si="9"/>
        <v>17</v>
      </c>
      <c r="E20">
        <f t="shared" si="0"/>
        <v>-0.65794365067763305</v>
      </c>
      <c r="F20">
        <f t="shared" si="12"/>
        <v>-3.0260166052400894E-2</v>
      </c>
      <c r="U20">
        <f t="shared" si="1"/>
        <v>17</v>
      </c>
      <c r="V20">
        <f t="shared" si="2"/>
        <v>-0.65794365067763305</v>
      </c>
      <c r="W20">
        <f t="shared" si="3"/>
        <v>-3.0260166052400894E-2</v>
      </c>
      <c r="X20">
        <f t="shared" si="4"/>
        <v>-0.62768348462523216</v>
      </c>
      <c r="Y20">
        <f t="shared" si="5"/>
        <v>0.62357834832295367</v>
      </c>
      <c r="Z20">
        <f t="shared" si="6"/>
        <v>-1.8498745888771939</v>
      </c>
      <c r="AA20">
        <f t="shared" si="7"/>
        <v>0.5945076196267296</v>
      </c>
      <c r="AC20">
        <f t="shared" si="10"/>
        <v>17</v>
      </c>
      <c r="AD20">
        <f t="shared" si="11"/>
        <v>6.0271551265385801</v>
      </c>
      <c r="AF20" s="13" t="e">
        <f ca="1"/>
        <v>#NAME?</v>
      </c>
      <c r="AG20" s="13" t="e">
        <f ca="1"/>
        <v>#NAME?</v>
      </c>
      <c r="AH20" s="13" t="e">
        <f ca="1"/>
        <v>#NAME?</v>
      </c>
      <c r="AI20" s="13" t="e">
        <f ca="1"/>
        <v>#NAME?</v>
      </c>
      <c r="AK20" t="str">
        <f t="array" ref="AK20:AK22">TRANSPOSE(AF5:AH5)</f>
        <v>x1</v>
      </c>
      <c r="AL20" t="e">
        <f ca="1"/>
        <v>#NAME?</v>
      </c>
      <c r="AM20" t="e">
        <f ca="1"/>
        <v>#NAME?</v>
      </c>
      <c r="AN20" t="e">
        <f ca="1">AL20/AM20</f>
        <v>#NAME?</v>
      </c>
      <c r="AO20" t="e">
        <f ca="1">TDIST(ABS(AN20),$AL$15,2)</f>
        <v>#NAME?</v>
      </c>
      <c r="AP20" t="e">
        <f ca="1">AL20-TINV(AP$12,$AL$15)*AM20</f>
        <v>#NAME?</v>
      </c>
      <c r="AQ20" t="e">
        <f ca="1">AL20+TINV(AP$12,$AL$15)*AM20</f>
        <v>#NAME?</v>
      </c>
      <c r="AR20" t="e" cm="1">
        <f t="array" aca="1" ref="AR20" ca="1">VIF(AF6:AH22,1)</f>
        <v>#NAME?</v>
      </c>
    </row>
    <row r="21" spans="1:44" x14ac:dyDescent="0.35">
      <c r="A21" s="115">
        <f t="shared" si="8"/>
        <v>18</v>
      </c>
      <c r="B21">
        <f>'AR 2'!C21</f>
        <v>7.1259100258620851</v>
      </c>
      <c r="D21">
        <f t="shared" si="9"/>
        <v>18</v>
      </c>
      <c r="E21">
        <f t="shared" si="0"/>
        <v>0.44081124864587196</v>
      </c>
      <c r="F21">
        <f t="shared" si="12"/>
        <v>-0.334116851157092</v>
      </c>
      <c r="I21" t="s">
        <v>370</v>
      </c>
      <c r="J21" s="121">
        <f>-(J24-2*(J11+J12+1))/2</f>
        <v>-13.812936509832156</v>
      </c>
      <c r="U21">
        <f t="shared" si="1"/>
        <v>18</v>
      </c>
      <c r="V21">
        <f t="shared" si="2"/>
        <v>0.44081124864587196</v>
      </c>
      <c r="W21">
        <f t="shared" si="3"/>
        <v>-0.334116851157092</v>
      </c>
      <c r="X21">
        <f t="shared" si="4"/>
        <v>0.77492809980296395</v>
      </c>
      <c r="Y21">
        <f t="shared" si="5"/>
        <v>0.62357834832295367</v>
      </c>
      <c r="Z21">
        <f t="shared" si="6"/>
        <v>-0.4472630044489978</v>
      </c>
      <c r="AA21">
        <f t="shared" si="7"/>
        <v>1.9971192040549257</v>
      </c>
      <c r="AC21">
        <f t="shared" si="10"/>
        <v>18</v>
      </c>
      <c r="AD21">
        <f t="shared" si="11"/>
        <v>7.1259100258620851</v>
      </c>
      <c r="AF21" s="13" t="e">
        <f ca="1"/>
        <v>#NAME?</v>
      </c>
      <c r="AG21" s="13" t="e">
        <f ca="1"/>
        <v>#NAME?</v>
      </c>
      <c r="AH21" s="13" t="e">
        <f ca="1"/>
        <v>#NAME?</v>
      </c>
      <c r="AI21" s="13" t="e">
        <f ca="1"/>
        <v>#NAME?</v>
      </c>
      <c r="AK21" t="str">
        <v>x2</v>
      </c>
      <c r="AL21" t="e">
        <f ca="1"/>
        <v>#NAME?</v>
      </c>
      <c r="AM21" t="e">
        <f ca="1"/>
        <v>#NAME?</v>
      </c>
      <c r="AN21" t="e">
        <f ca="1">AL21/AM21</f>
        <v>#NAME?</v>
      </c>
      <c r="AO21" t="e">
        <f ca="1">TDIST(ABS(AN21),$AL$15,2)</f>
        <v>#NAME?</v>
      </c>
      <c r="AP21" t="e">
        <f ca="1">AL21-TINV(AP$12,$AL$15)*AM21</f>
        <v>#NAME?</v>
      </c>
      <c r="AQ21" t="e">
        <f ca="1">AL21+TINV(AP$12,$AL$15)*AM21</f>
        <v>#NAME?</v>
      </c>
      <c r="AR21" t="e" cm="1">
        <f t="array" aca="1" ref="AR21" ca="1">VIF(AF6:AH22,2)</f>
        <v>#NAME?</v>
      </c>
    </row>
    <row r="22" spans="1:44" x14ac:dyDescent="0.35">
      <c r="A22" s="115">
        <f t="shared" si="8"/>
        <v>19</v>
      </c>
      <c r="B22">
        <f>'AR 2'!C22</f>
        <v>7.1912478294921529</v>
      </c>
      <c r="D22">
        <f t="shared" si="9"/>
        <v>19</v>
      </c>
      <c r="E22">
        <f t="shared" si="0"/>
        <v>0.50614905227593976</v>
      </c>
      <c r="F22">
        <f t="shared" si="12"/>
        <v>-0.70581872329837236</v>
      </c>
      <c r="I22" t="s">
        <v>145</v>
      </c>
      <c r="J22" s="107">
        <f>J19*LN(J9/J19)+2*(J11+J12+1)</f>
        <v>-12.618037109294562</v>
      </c>
      <c r="U22">
        <f t="shared" si="1"/>
        <v>19</v>
      </c>
      <c r="V22">
        <f t="shared" si="2"/>
        <v>0.50614905227593976</v>
      </c>
      <c r="W22">
        <f t="shared" si="3"/>
        <v>-0.70581872329837236</v>
      </c>
      <c r="X22">
        <f t="shared" si="4"/>
        <v>1.2119677755743121</v>
      </c>
      <c r="Y22">
        <f t="shared" si="5"/>
        <v>0.62357834832295367</v>
      </c>
      <c r="Z22">
        <f t="shared" si="6"/>
        <v>-1.0223328677649635E-2</v>
      </c>
      <c r="AA22">
        <f t="shared" si="7"/>
        <v>2.4341588798262741</v>
      </c>
      <c r="AC22">
        <f t="shared" si="10"/>
        <v>19</v>
      </c>
      <c r="AD22">
        <f t="shared" si="11"/>
        <v>7.1912478294921529</v>
      </c>
      <c r="AF22" s="4" t="e">
        <f ca="1"/>
        <v>#NAME?</v>
      </c>
      <c r="AG22" s="4" t="e">
        <f ca="1"/>
        <v>#NAME?</v>
      </c>
      <c r="AH22" s="4" t="e">
        <f ca="1"/>
        <v>#NAME?</v>
      </c>
      <c r="AI22" s="4" t="e">
        <f ca="1"/>
        <v>#NAME?</v>
      </c>
      <c r="AK22" s="4" t="str">
        <v>x3</v>
      </c>
      <c r="AL22" s="4" t="e">
        <f ca="1"/>
        <v>#NAME?</v>
      </c>
      <c r="AM22" s="4" t="e">
        <f ca="1"/>
        <v>#NAME?</v>
      </c>
      <c r="AN22" s="4" t="e">
        <f ca="1">AL22/AM22</f>
        <v>#NAME?</v>
      </c>
      <c r="AO22" s="4" t="e">
        <f ca="1">TDIST(ABS(AN22),$AL$15,2)</f>
        <v>#NAME?</v>
      </c>
      <c r="AP22" s="4" t="e">
        <f ca="1">AL22-TINV(AP$12,$AL$15)*AM22</f>
        <v>#NAME?</v>
      </c>
      <c r="AQ22" s="4" t="e">
        <f ca="1">AL22+TINV(AP$12,$AL$15)*AM22</f>
        <v>#NAME?</v>
      </c>
      <c r="AR22" s="4" t="e" cm="1">
        <f t="array" aca="1" ref="AR22" ca="1">VIF(AF6:AH22,3)</f>
        <v>#NAME?</v>
      </c>
    </row>
    <row r="23" spans="1:44" x14ac:dyDescent="0.35">
      <c r="A23" s="115">
        <f t="shared" si="8"/>
        <v>20</v>
      </c>
      <c r="B23" s="4">
        <f>'AR 2'!C23</f>
        <v>6.6826916383449895</v>
      </c>
      <c r="D23" s="4">
        <f t="shared" si="9"/>
        <v>20</v>
      </c>
      <c r="E23" s="4">
        <f t="shared" si="0"/>
        <v>-2.4071388712236796E-3</v>
      </c>
      <c r="F23" s="4">
        <f t="shared" si="12"/>
        <v>-0.14434819301681198</v>
      </c>
      <c r="I23" t="s">
        <v>371</v>
      </c>
      <c r="J23" s="107">
        <f>J19*LN(J9/J19)+LN(J19)*(J11+J12+1)</f>
        <v>-9.2851837330696974</v>
      </c>
      <c r="U23">
        <f t="shared" si="1"/>
        <v>20</v>
      </c>
      <c r="V23">
        <f t="shared" si="2"/>
        <v>-2.4071388712236796E-3</v>
      </c>
      <c r="W23">
        <f t="shared" si="3"/>
        <v>-0.14434819301681198</v>
      </c>
      <c r="X23">
        <f t="shared" si="4"/>
        <v>0.1419410541455883</v>
      </c>
      <c r="Y23">
        <f t="shared" si="5"/>
        <v>0.62357834832295367</v>
      </c>
      <c r="Z23">
        <f t="shared" si="6"/>
        <v>-1.0802500501063734</v>
      </c>
      <c r="AA23">
        <f t="shared" si="7"/>
        <v>1.3641321583975501</v>
      </c>
      <c r="AC23" s="4">
        <f t="shared" si="10"/>
        <v>20</v>
      </c>
      <c r="AD23" s="4">
        <f t="shared" si="11"/>
        <v>6.6826916383449895</v>
      </c>
    </row>
    <row r="24" spans="1:44" x14ac:dyDescent="0.35">
      <c r="I24" t="s">
        <v>372</v>
      </c>
      <c r="J24" s="107">
        <f>J19*(1+LN(2*PI()))+J22</f>
        <v>35.625873019664311</v>
      </c>
      <c r="U24">
        <f>U23+1</f>
        <v>21</v>
      </c>
      <c r="X24">
        <f>SUMPRODUCT(V21:V23,I$4:I$6)</f>
        <v>-0.42522468621186738</v>
      </c>
      <c r="Y24" t="e">
        <f ca="1">J$16*SQRT(SUMSQ(M$15:M15))</f>
        <v>#NAME?</v>
      </c>
      <c r="Z24" t="e">
        <f ca="1">X24-NORMSINV(1-Y$2/2)*Y24</f>
        <v>#NAME?</v>
      </c>
      <c r="AA24" t="e">
        <f ca="1">X24+NORMSINV(1-Y$2/2)*Y24</f>
        <v>#NAME?</v>
      </c>
      <c r="AC24">
        <f t="shared" si="10"/>
        <v>21</v>
      </c>
      <c r="AD24">
        <f>X24+J$7</f>
        <v>6.2598740910043453</v>
      </c>
    </row>
    <row r="25" spans="1:44" x14ac:dyDescent="0.35">
      <c r="I25" t="s">
        <v>373</v>
      </c>
      <c r="J25" s="108">
        <f>J19*(1+LN(2*PI()))+J23</f>
        <v>38.958726395889173</v>
      </c>
      <c r="U25">
        <f>U24+1</f>
        <v>22</v>
      </c>
      <c r="X25">
        <f>SUMPRODUCT(V22:V23,I4:I5)+SUMPRODUCT(X24,I6)</f>
        <v>-0.26497723364394954</v>
      </c>
      <c r="Y25" t="e">
        <f ca="1">J$16*SQRT(SUMSQ(M$15:M16))</f>
        <v>#NAME?</v>
      </c>
      <c r="Z25" t="e">
        <f ca="1">X25-NORMSINV(1-Y$2/2)*Y25</f>
        <v>#NAME?</v>
      </c>
      <c r="AA25" t="e">
        <f ca="1">X25+NORMSINV(1-Y$2/2)*Y25</f>
        <v>#NAME?</v>
      </c>
      <c r="AC25">
        <f t="shared" si="10"/>
        <v>22</v>
      </c>
      <c r="AD25">
        <f>X25+J$7</f>
        <v>6.4201215435722636</v>
      </c>
    </row>
    <row r="26" spans="1:44" x14ac:dyDescent="0.35">
      <c r="U26">
        <f>U25+1</f>
        <v>23</v>
      </c>
      <c r="X26">
        <f>SUMPRODUCT(V23,I4)+SUMPRODUCT(X24:X25,I5:I6)</f>
        <v>0.16789173371178367</v>
      </c>
      <c r="Y26" t="e">
        <f ca="1">J$16*SQRT(SUMSQ(M$15:M17))</f>
        <v>#NAME?</v>
      </c>
      <c r="Z26" t="e">
        <f ca="1">X26-NORMSINV(1-Y$2/2)*Y26</f>
        <v>#NAME?</v>
      </c>
      <c r="AA26" t="e">
        <f ca="1">X26+NORMSINV(1-Y$2/2)*Y26</f>
        <v>#NAME?</v>
      </c>
      <c r="AC26">
        <f t="shared" si="10"/>
        <v>23</v>
      </c>
      <c r="AD26">
        <f>X26+J$7</f>
        <v>6.8529905109279969</v>
      </c>
    </row>
    <row r="27" spans="1:44" x14ac:dyDescent="0.35">
      <c r="U27">
        <f>U26+1</f>
        <v>24</v>
      </c>
      <c r="X27">
        <f>SUMPRODUCT(X24:X26,I4:I6)</f>
        <v>0.3251447767961082</v>
      </c>
      <c r="Y27" t="e">
        <f ca="1">J$16*SQRT(SUMSQ(M$15:M18))</f>
        <v>#NAME?</v>
      </c>
      <c r="Z27" t="e">
        <f ca="1">X27-NORMSINV(1-Y$2/2)*Y27</f>
        <v>#NAME?</v>
      </c>
      <c r="AA27" t="e">
        <f ca="1">X27+NORMSINV(1-Y$2/2)*Y27</f>
        <v>#NAME?</v>
      </c>
      <c r="AC27">
        <f t="shared" si="10"/>
        <v>24</v>
      </c>
      <c r="AD27">
        <f>X27+J$7</f>
        <v>7.0102435540123214</v>
      </c>
    </row>
    <row r="28" spans="1:44" x14ac:dyDescent="0.35">
      <c r="U28" s="4">
        <f>U27+1</f>
        <v>25</v>
      </c>
      <c r="V28" s="4"/>
      <c r="W28" s="4"/>
      <c r="X28" s="4">
        <f>SUMPRODUCT(X25:X27,I4:I6)</f>
        <v>7.3222406689195857E-2</v>
      </c>
      <c r="Y28" s="4" t="e">
        <f ca="1">J$16*SQRT(SUMSQ(M$15:M19))</f>
        <v>#NAME?</v>
      </c>
      <c r="Z28" s="4" t="e">
        <f ca="1">X28-NORMSINV(1-Y$2/2)*Y28</f>
        <v>#NAME?</v>
      </c>
      <c r="AA28" s="4" t="e">
        <f ca="1">X28+NORMSINV(1-Y$2/2)*Y28</f>
        <v>#NAME?</v>
      </c>
      <c r="AC28" s="4">
        <f t="shared" si="10"/>
        <v>25</v>
      </c>
      <c r="AD28" s="4">
        <f>X28+J$7</f>
        <v>6.7583211839054087</v>
      </c>
    </row>
    <row r="30" spans="1:44" x14ac:dyDescent="0.35">
      <c r="D30" t="s">
        <v>406</v>
      </c>
      <c r="H30" t="s">
        <v>355</v>
      </c>
      <c r="L30" t="s">
        <v>374</v>
      </c>
      <c r="P30" t="s">
        <v>379</v>
      </c>
      <c r="U30" t="s">
        <v>383</v>
      </c>
      <c r="AC30" t="s">
        <v>384</v>
      </c>
    </row>
    <row r="31" spans="1:44" ht="15" thickBot="1" x14ac:dyDescent="0.4">
      <c r="X31" t="s">
        <v>156</v>
      </c>
      <c r="Y31">
        <v>0.05</v>
      </c>
    </row>
    <row r="32" spans="1:44" ht="15" thickTop="1" x14ac:dyDescent="0.35">
      <c r="D32" s="45" t="s">
        <v>291</v>
      </c>
      <c r="E32" s="45" t="s">
        <v>194</v>
      </c>
      <c r="F32" s="45" t="s">
        <v>354</v>
      </c>
      <c r="H32" s="45" t="s">
        <v>356</v>
      </c>
      <c r="I32" s="45" t="s">
        <v>357</v>
      </c>
      <c r="J32" s="45" t="s">
        <v>358</v>
      </c>
      <c r="L32" s="45" t="s">
        <v>173</v>
      </c>
      <c r="M32" s="45" t="s">
        <v>174</v>
      </c>
      <c r="N32" s="45" t="s">
        <v>375</v>
      </c>
      <c r="P32" s="45" t="s">
        <v>380</v>
      </c>
      <c r="Q32" s="45" t="s">
        <v>167</v>
      </c>
      <c r="R32" s="45" t="s">
        <v>297</v>
      </c>
      <c r="S32" s="45" t="s">
        <v>92</v>
      </c>
      <c r="U32" s="45" t="s">
        <v>291</v>
      </c>
      <c r="V32" s="45" t="s">
        <v>194</v>
      </c>
      <c r="W32" s="45" t="s">
        <v>354</v>
      </c>
      <c r="X32" s="45" t="s">
        <v>138</v>
      </c>
      <c r="Y32" s="45" t="s">
        <v>81</v>
      </c>
      <c r="Z32" s="45" t="s">
        <v>127</v>
      </c>
      <c r="AA32" s="45" t="s">
        <v>128</v>
      </c>
      <c r="AC32" s="45" t="s">
        <v>291</v>
      </c>
      <c r="AD32" s="45" t="s">
        <v>179</v>
      </c>
    </row>
    <row r="33" spans="4:30" x14ac:dyDescent="0.35">
      <c r="D33">
        <v>1</v>
      </c>
      <c r="E33">
        <f>B4-J$36</f>
        <v>-2.1583413073564648</v>
      </c>
      <c r="F33">
        <v>0</v>
      </c>
      <c r="H33" s="115">
        <v>3</v>
      </c>
      <c r="I33">
        <v>-0.44465412867337695</v>
      </c>
      <c r="J33">
        <v>0</v>
      </c>
      <c r="L33" t="e">
        <f t="array" aca="1" ref="L33:N35" ca="1">ARRoots(I33:I35)</f>
        <v>#NAME?</v>
      </c>
      <c r="M33" t="e">
        <f ca="1"/>
        <v>#NAME?</v>
      </c>
      <c r="N33" t="e">
        <f ca="1"/>
        <v>#NAME?</v>
      </c>
      <c r="P33" t="s">
        <v>381</v>
      </c>
      <c r="Q33">
        <f>I35</f>
        <v>9.6431296663486391E-2</v>
      </c>
      <c r="R33" t="e" cm="1">
        <f t="array" aca="1" ref="R33" ca="1">ARMA_SSE(E33:E52,Q33:Q35,,0,1)</f>
        <v>#NAME?</v>
      </c>
      <c r="S33" t="e">
        <f ca="1">CHIDIST(J48*(LN(R33)-LN(J38)),1)</f>
        <v>#NAME?</v>
      </c>
      <c r="U33">
        <f>D33</f>
        <v>1</v>
      </c>
      <c r="V33">
        <f>E33</f>
        <v>-2.1583413073564648</v>
      </c>
      <c r="W33">
        <f>F33</f>
        <v>0</v>
      </c>
      <c r="X33">
        <f>V33-W33</f>
        <v>-2.1583413073564648</v>
      </c>
      <c r="Y33">
        <f>J$45</f>
        <v>0.54530344679460907</v>
      </c>
      <c r="Z33">
        <f>X33-NORMSINV(1-Y$31/2)*Y33</f>
        <v>-3.2271164237194521</v>
      </c>
      <c r="AA33">
        <f>X33+NORMSINV(1-Y$31/2)*Y33</f>
        <v>-1.0895661909934777</v>
      </c>
      <c r="AC33">
        <v>1</v>
      </c>
      <c r="AD33">
        <f>B4</f>
        <v>4.5267574698597484</v>
      </c>
    </row>
    <row r="34" spans="4:30" x14ac:dyDescent="0.35">
      <c r="D34">
        <f>D33+1</f>
        <v>2</v>
      </c>
      <c r="E34">
        <f t="shared" ref="E34:E52" si="13">B5-J$36</f>
        <v>0.2082720002962839</v>
      </c>
      <c r="F34">
        <v>0</v>
      </c>
      <c r="H34" s="115">
        <f>H33-1</f>
        <v>2</v>
      </c>
      <c r="I34">
        <v>-0.45240432632159983</v>
      </c>
      <c r="J34">
        <v>0</v>
      </c>
      <c r="L34" t="e">
        <f ca="1"/>
        <v>#NAME?</v>
      </c>
      <c r="M34" t="e">
        <f ca="1"/>
        <v>#NAME?</v>
      </c>
      <c r="N34" t="e">
        <f ca="1"/>
        <v>#NAME?</v>
      </c>
      <c r="P34" t="s">
        <v>399</v>
      </c>
      <c r="Q34">
        <f>I34</f>
        <v>-0.45240432632159983</v>
      </c>
      <c r="R34" t="e" cm="1">
        <f t="array" aca="1" ref="R34" ca="1">ARMA_SSE(E33:E52,Q33:Q35,,0,2)</f>
        <v>#NAME?</v>
      </c>
      <c r="S34" t="e">
        <f ca="1">CHIDIST(J48*(LN(R34)-LN(J38)),1)</f>
        <v>#NAME?</v>
      </c>
      <c r="U34">
        <f t="shared" ref="U34:U52" si="14">D34</f>
        <v>2</v>
      </c>
      <c r="V34">
        <f t="shared" ref="V34:V52" si="15">E34</f>
        <v>0.2082720002962839</v>
      </c>
      <c r="W34">
        <f t="shared" ref="W34:W52" si="16">F34</f>
        <v>0</v>
      </c>
      <c r="X34">
        <f t="shared" ref="X34:X52" si="17">V34-W34</f>
        <v>0.2082720002962839</v>
      </c>
      <c r="Y34">
        <f t="shared" ref="Y34:Y52" si="18">J$45</f>
        <v>0.54530344679460907</v>
      </c>
      <c r="Z34">
        <f t="shared" ref="Z34:Z52" si="19">X34-NORMSINV(1-Y$31/2)*Y34</f>
        <v>-0.86050311606670316</v>
      </c>
      <c r="AA34">
        <f t="shared" ref="AA34:AA52" si="20">X34+NORMSINV(1-Y$31/2)*Y34</f>
        <v>1.277047116659271</v>
      </c>
      <c r="AC34">
        <f>AC33+1</f>
        <v>2</v>
      </c>
      <c r="AD34">
        <f>B5</f>
        <v>6.893370777512497</v>
      </c>
    </row>
    <row r="35" spans="4:30" x14ac:dyDescent="0.35">
      <c r="D35">
        <f t="shared" ref="D35:D52" si="21">D34+1</f>
        <v>3</v>
      </c>
      <c r="E35">
        <f t="shared" si="13"/>
        <v>1.7402963403513674</v>
      </c>
      <c r="F35">
        <v>0</v>
      </c>
      <c r="H35" s="115">
        <f>H34-1</f>
        <v>1</v>
      </c>
      <c r="I35">
        <v>9.6431296663486391E-2</v>
      </c>
      <c r="J35">
        <v>0</v>
      </c>
      <c r="L35" s="4" t="e">
        <f ca="1"/>
        <v>#NAME?</v>
      </c>
      <c r="M35" s="4" t="e">
        <f ca="1"/>
        <v>#NAME?</v>
      </c>
      <c r="N35" s="4" t="e">
        <f ca="1"/>
        <v>#NAME?</v>
      </c>
      <c r="P35" t="s">
        <v>403</v>
      </c>
      <c r="Q35">
        <f>I33</f>
        <v>-0.44465412867337695</v>
      </c>
      <c r="R35" t="e" cm="1">
        <f t="array" aca="1" ref="R35" ca="1">ARMA_SSE(E33:E52,Q33:Q35,,0,3)</f>
        <v>#NAME?</v>
      </c>
      <c r="S35" t="e">
        <f ca="1">CHIDIST(J48*(LN(R35)-LN(J38)),1)</f>
        <v>#NAME?</v>
      </c>
      <c r="U35">
        <f t="shared" si="14"/>
        <v>3</v>
      </c>
      <c r="V35">
        <f t="shared" si="15"/>
        <v>1.7402963403513674</v>
      </c>
      <c r="W35">
        <f t="shared" si="16"/>
        <v>0</v>
      </c>
      <c r="X35">
        <f t="shared" si="17"/>
        <v>1.7402963403513674</v>
      </c>
      <c r="Y35">
        <f t="shared" si="18"/>
        <v>0.54530344679460907</v>
      </c>
      <c r="Z35">
        <f t="shared" si="19"/>
        <v>0.67152122398838032</v>
      </c>
      <c r="AA35">
        <f t="shared" si="20"/>
        <v>2.8090714567143547</v>
      </c>
      <c r="AC35">
        <f t="shared" ref="AC35:AC57" si="22">AC34+1</f>
        <v>3</v>
      </c>
      <c r="AD35">
        <f t="shared" ref="AD35:AD52" si="23">B6</f>
        <v>8.4253951175675805</v>
      </c>
    </row>
    <row r="36" spans="4:30" x14ac:dyDescent="0.35">
      <c r="D36">
        <f t="shared" si="21"/>
        <v>4</v>
      </c>
      <c r="E36">
        <f t="shared" si="13"/>
        <v>0.31440330977278386</v>
      </c>
      <c r="F36">
        <f>E36-SUMPRODUCT(E33:E35,I$33:I$35)</f>
        <v>-0.7189079423226723</v>
      </c>
      <c r="H36" s="10" t="s">
        <v>359</v>
      </c>
      <c r="I36" s="4">
        <f>J36*(1-SUM(I33:I35))</f>
        <v>12.037370414384151</v>
      </c>
      <c r="J36" s="4">
        <v>6.6850987772162132</v>
      </c>
      <c r="P36" t="s">
        <v>359</v>
      </c>
      <c r="Q36">
        <f>I36</f>
        <v>12.037370414384151</v>
      </c>
      <c r="R36" t="e" cm="1">
        <f t="array" aca="1" ref="R36" ca="1">ARMA_SSE(E33:E52,Q33:Q35,,J36)</f>
        <v>#NAME?</v>
      </c>
      <c r="S36" t="e">
        <f ca="1">CHIDIST(J48*(LN(R36)-LN(J38)),1)</f>
        <v>#NAME?</v>
      </c>
      <c r="U36">
        <f t="shared" si="14"/>
        <v>4</v>
      </c>
      <c r="V36">
        <f t="shared" si="15"/>
        <v>0.31440330977278386</v>
      </c>
      <c r="W36">
        <f t="shared" si="16"/>
        <v>-0.7189079423226723</v>
      </c>
      <c r="X36">
        <f t="shared" si="17"/>
        <v>1.0333112520954562</v>
      </c>
      <c r="Y36">
        <f t="shared" si="18"/>
        <v>0.54530344679460907</v>
      </c>
      <c r="Z36">
        <f t="shared" si="19"/>
        <v>-3.5463864267530898E-2</v>
      </c>
      <c r="AA36">
        <f t="shared" si="20"/>
        <v>2.1020863684584432</v>
      </c>
      <c r="AC36">
        <f t="shared" si="22"/>
        <v>4</v>
      </c>
      <c r="AD36">
        <f t="shared" si="23"/>
        <v>6.999502086988997</v>
      </c>
    </row>
    <row r="37" spans="4:30" x14ac:dyDescent="0.35">
      <c r="D37">
        <f t="shared" si="21"/>
        <v>5</v>
      </c>
      <c r="E37">
        <f t="shared" si="13"/>
        <v>-0.49750461558612979</v>
      </c>
      <c r="F37">
        <f t="shared" ref="F37:F52" si="24">E37-SUMPRODUCT(E34:E36,I$33:I$35)</f>
        <v>0.35210366385260028</v>
      </c>
      <c r="L37" t="s">
        <v>376</v>
      </c>
      <c r="P37" s="4" t="s">
        <v>120</v>
      </c>
      <c r="Q37" s="4">
        <f>J46</f>
        <v>9.0637500981712927E-4</v>
      </c>
      <c r="R37" s="4">
        <f>-Q37/(J47/SQRT(J48))</f>
        <v>-3.6322388976278439E-3</v>
      </c>
      <c r="S37" s="4">
        <f>TDIST(ABS(R37),J48-1,2)</f>
        <v>0.9971468014283178</v>
      </c>
      <c r="U37">
        <f t="shared" si="14"/>
        <v>5</v>
      </c>
      <c r="V37">
        <f t="shared" si="15"/>
        <v>-0.49750461558612979</v>
      </c>
      <c r="W37">
        <f t="shared" si="16"/>
        <v>0.35210366385260028</v>
      </c>
      <c r="X37">
        <f t="shared" si="17"/>
        <v>-0.84960827943873007</v>
      </c>
      <c r="Y37">
        <f t="shared" si="18"/>
        <v>0.54530344679460907</v>
      </c>
      <c r="Z37">
        <f t="shared" si="19"/>
        <v>-1.9183833958017171</v>
      </c>
      <c r="AA37">
        <f t="shared" si="20"/>
        <v>0.21916683692425698</v>
      </c>
      <c r="AC37">
        <f t="shared" si="22"/>
        <v>5</v>
      </c>
      <c r="AD37">
        <f t="shared" si="23"/>
        <v>6.1875941616300834</v>
      </c>
    </row>
    <row r="38" spans="4:30" ht="15" thickBot="1" x14ac:dyDescent="0.4">
      <c r="D38">
        <f t="shared" si="21"/>
        <v>6</v>
      </c>
      <c r="E38">
        <f t="shared" si="13"/>
        <v>-0.87212230633638921</v>
      </c>
      <c r="F38">
        <f t="shared" si="24"/>
        <v>9.1920079244092068E-2</v>
      </c>
      <c r="I38" t="s">
        <v>121</v>
      </c>
      <c r="J38" s="119">
        <f>SUMSQ(F36:F52)</f>
        <v>5.0550494344633776</v>
      </c>
      <c r="U38">
        <f t="shared" si="14"/>
        <v>6</v>
      </c>
      <c r="V38">
        <f t="shared" si="15"/>
        <v>-0.87212230633638921</v>
      </c>
      <c r="W38">
        <f t="shared" si="16"/>
        <v>9.1920079244092068E-2</v>
      </c>
      <c r="X38">
        <f t="shared" si="17"/>
        <v>-0.96404238558048128</v>
      </c>
      <c r="Y38">
        <f t="shared" si="18"/>
        <v>0.54530344679460907</v>
      </c>
      <c r="Z38">
        <f t="shared" si="19"/>
        <v>-2.0328175019434682</v>
      </c>
      <c r="AA38">
        <f t="shared" si="20"/>
        <v>0.10473273078250578</v>
      </c>
      <c r="AC38">
        <f t="shared" si="22"/>
        <v>6</v>
      </c>
      <c r="AD38">
        <f t="shared" si="23"/>
        <v>5.8129764708798239</v>
      </c>
    </row>
    <row r="39" spans="4:30" ht="15" thickTop="1" x14ac:dyDescent="0.35">
      <c r="D39">
        <f t="shared" si="21"/>
        <v>7</v>
      </c>
      <c r="E39">
        <f t="shared" si="13"/>
        <v>0.43497391030262467</v>
      </c>
      <c r="F39">
        <f t="shared" si="24"/>
        <v>0.43380128445470645</v>
      </c>
      <c r="L39" s="45" t="s">
        <v>173</v>
      </c>
      <c r="M39" s="45" t="s">
        <v>174</v>
      </c>
      <c r="N39" s="45" t="s">
        <v>375</v>
      </c>
      <c r="P39" t="s">
        <v>360</v>
      </c>
      <c r="Q39" s="120" t="s">
        <v>304</v>
      </c>
      <c r="U39">
        <f t="shared" si="14"/>
        <v>7</v>
      </c>
      <c r="V39">
        <f t="shared" si="15"/>
        <v>0.43497391030262467</v>
      </c>
      <c r="W39">
        <f t="shared" si="16"/>
        <v>0.43380128445470645</v>
      </c>
      <c r="X39">
        <f t="shared" si="17"/>
        <v>1.1726258479182183E-3</v>
      </c>
      <c r="Y39">
        <f t="shared" si="18"/>
        <v>0.54530344679460907</v>
      </c>
      <c r="Z39">
        <f t="shared" si="19"/>
        <v>-1.0676024905150689</v>
      </c>
      <c r="AA39">
        <f t="shared" si="20"/>
        <v>1.0699477422109052</v>
      </c>
      <c r="AC39">
        <f t="shared" si="22"/>
        <v>7</v>
      </c>
      <c r="AD39">
        <f t="shared" si="23"/>
        <v>7.1200726875188378</v>
      </c>
    </row>
    <row r="40" spans="4:30" x14ac:dyDescent="0.35">
      <c r="D40">
        <f t="shared" si="21"/>
        <v>8</v>
      </c>
      <c r="E40">
        <f t="shared" si="13"/>
        <v>1.8168161560578913</v>
      </c>
      <c r="F40">
        <f t="shared" si="24"/>
        <v>1.159101672050034</v>
      </c>
      <c r="I40" t="s">
        <v>361</v>
      </c>
      <c r="J40" s="121">
        <v>3</v>
      </c>
      <c r="U40">
        <f t="shared" si="14"/>
        <v>8</v>
      </c>
      <c r="V40">
        <f t="shared" si="15"/>
        <v>1.8168161560578913</v>
      </c>
      <c r="W40">
        <f t="shared" si="16"/>
        <v>1.159101672050034</v>
      </c>
      <c r="X40">
        <f t="shared" si="17"/>
        <v>0.65771448400785726</v>
      </c>
      <c r="Y40">
        <f t="shared" si="18"/>
        <v>0.54530344679460907</v>
      </c>
      <c r="Z40">
        <f t="shared" si="19"/>
        <v>-0.4110606323551298</v>
      </c>
      <c r="AA40">
        <f t="shared" si="20"/>
        <v>1.7264896003708443</v>
      </c>
      <c r="AC40">
        <f t="shared" si="22"/>
        <v>8</v>
      </c>
      <c r="AD40">
        <f t="shared" si="23"/>
        <v>8.5019149332741044</v>
      </c>
    </row>
    <row r="41" spans="4:30" x14ac:dyDescent="0.35">
      <c r="D41">
        <f t="shared" si="21"/>
        <v>9</v>
      </c>
      <c r="E41">
        <f t="shared" si="13"/>
        <v>0.61612332796584823</v>
      </c>
      <c r="F41">
        <f t="shared" si="24"/>
        <v>0.24991668487532259</v>
      </c>
      <c r="I41" t="s">
        <v>362</v>
      </c>
      <c r="J41" s="107">
        <v>0</v>
      </c>
      <c r="L41" t="s">
        <v>377</v>
      </c>
      <c r="U41">
        <f t="shared" si="14"/>
        <v>9</v>
      </c>
      <c r="V41">
        <f t="shared" si="15"/>
        <v>0.61612332796584823</v>
      </c>
      <c r="W41">
        <f t="shared" si="16"/>
        <v>0.24991668487532259</v>
      </c>
      <c r="X41">
        <f t="shared" si="17"/>
        <v>0.36620664309052564</v>
      </c>
      <c r="Y41">
        <f t="shared" si="18"/>
        <v>0.54530344679460907</v>
      </c>
      <c r="Z41">
        <f t="shared" si="19"/>
        <v>-0.70256847327246141</v>
      </c>
      <c r="AA41">
        <f t="shared" si="20"/>
        <v>1.4349817594535126</v>
      </c>
      <c r="AC41">
        <f t="shared" si="22"/>
        <v>9</v>
      </c>
      <c r="AD41">
        <f t="shared" si="23"/>
        <v>7.3012221051820614</v>
      </c>
    </row>
    <row r="42" spans="4:30" ht="15" thickBot="1" x14ac:dyDescent="0.4">
      <c r="D42">
        <f t="shared" si="21"/>
        <v>10</v>
      </c>
      <c r="E42">
        <f t="shared" si="13"/>
        <v>-0.64622194783294162</v>
      </c>
      <c r="F42">
        <f t="shared" si="24"/>
        <v>0.30971291495952324</v>
      </c>
      <c r="I42" t="s">
        <v>363</v>
      </c>
      <c r="J42" s="107">
        <v>0</v>
      </c>
      <c r="U42">
        <f t="shared" si="14"/>
        <v>10</v>
      </c>
      <c r="V42">
        <f t="shared" si="15"/>
        <v>-0.64622194783294162</v>
      </c>
      <c r="W42">
        <f t="shared" si="16"/>
        <v>0.30971291495952324</v>
      </c>
      <c r="X42">
        <f t="shared" si="17"/>
        <v>-0.95593486279246487</v>
      </c>
      <c r="Y42">
        <f t="shared" si="18"/>
        <v>0.54530344679460907</v>
      </c>
      <c r="Z42">
        <f t="shared" si="19"/>
        <v>-2.0247099791554519</v>
      </c>
      <c r="AA42">
        <f t="shared" si="20"/>
        <v>0.11284025357052219</v>
      </c>
      <c r="AC42">
        <f t="shared" si="22"/>
        <v>10</v>
      </c>
      <c r="AD42">
        <f t="shared" si="23"/>
        <v>6.0388768293832715</v>
      </c>
    </row>
    <row r="43" spans="4:30" ht="15" thickTop="1" x14ac:dyDescent="0.35">
      <c r="D43">
        <f t="shared" si="21"/>
        <v>11</v>
      </c>
      <c r="E43">
        <f t="shared" si="13"/>
        <v>-1.9390090880784241</v>
      </c>
      <c r="F43">
        <f t="shared" si="24"/>
        <v>-0.79010140376544236</v>
      </c>
      <c r="I43" t="s">
        <v>364</v>
      </c>
      <c r="J43" s="107">
        <f>AVERAGE(F36:F52)</f>
        <v>3.7311805835990098E-6</v>
      </c>
      <c r="L43" s="45" t="s">
        <v>356</v>
      </c>
      <c r="M43" s="45" t="s">
        <v>378</v>
      </c>
      <c r="U43">
        <f t="shared" si="14"/>
        <v>11</v>
      </c>
      <c r="V43">
        <f t="shared" si="15"/>
        <v>-1.9390090880784241</v>
      </c>
      <c r="W43">
        <f t="shared" si="16"/>
        <v>-0.79010140376544236</v>
      </c>
      <c r="X43">
        <f t="shared" si="17"/>
        <v>-1.1489076843129817</v>
      </c>
      <c r="Y43">
        <f t="shared" si="18"/>
        <v>0.54530344679460907</v>
      </c>
      <c r="Z43">
        <f t="shared" si="19"/>
        <v>-2.217682800675969</v>
      </c>
      <c r="AA43">
        <f t="shared" si="20"/>
        <v>-8.0132567949994682E-2</v>
      </c>
      <c r="AC43">
        <f t="shared" si="22"/>
        <v>11</v>
      </c>
      <c r="AD43">
        <f t="shared" si="23"/>
        <v>4.7460896891377891</v>
      </c>
    </row>
    <row r="44" spans="4:30" x14ac:dyDescent="0.35">
      <c r="D44">
        <f t="shared" si="21"/>
        <v>12</v>
      </c>
      <c r="E44">
        <f t="shared" si="13"/>
        <v>-3.1422058857371482E-2</v>
      </c>
      <c r="F44">
        <f t="shared" si="24"/>
        <v>0.1371672783367168</v>
      </c>
      <c r="I44" t="s">
        <v>365</v>
      </c>
      <c r="J44" s="107">
        <f>STDEV(F36:F52)</f>
        <v>0.5620859272737303</v>
      </c>
      <c r="L44" s="59">
        <v>0</v>
      </c>
      <c r="M44" s="59" t="e">
        <f t="array" aca="1" ref="M44:M48" ca="1">PSICoeff(I33:I35)</f>
        <v>#NAME?</v>
      </c>
      <c r="U44">
        <f t="shared" si="14"/>
        <v>12</v>
      </c>
      <c r="V44">
        <f t="shared" si="15"/>
        <v>-3.1422058857371482E-2</v>
      </c>
      <c r="W44">
        <f t="shared" si="16"/>
        <v>0.1371672783367168</v>
      </c>
      <c r="X44">
        <f t="shared" si="17"/>
        <v>-0.16858933719408828</v>
      </c>
      <c r="Y44">
        <f t="shared" si="18"/>
        <v>0.54530344679460907</v>
      </c>
      <c r="Z44">
        <f t="shared" si="19"/>
        <v>-1.2373644535570754</v>
      </c>
      <c r="AA44">
        <f t="shared" si="20"/>
        <v>0.90018577916889875</v>
      </c>
      <c r="AC44">
        <f t="shared" si="22"/>
        <v>12</v>
      </c>
      <c r="AD44">
        <f t="shared" si="23"/>
        <v>6.6536767183588417</v>
      </c>
    </row>
    <row r="45" spans="4:30" x14ac:dyDescent="0.35">
      <c r="D45">
        <f t="shared" si="21"/>
        <v>13</v>
      </c>
      <c r="E45">
        <f t="shared" si="13"/>
        <v>1.5088771422707463</v>
      </c>
      <c r="F45">
        <f t="shared" si="24"/>
        <v>0.347345854783351</v>
      </c>
      <c r="I45" t="s">
        <v>366</v>
      </c>
      <c r="J45" s="107">
        <f>SQRT(J38/J48)</f>
        <v>0.54530344679460907</v>
      </c>
      <c r="L45" s="13">
        <f>L44+1</f>
        <v>1</v>
      </c>
      <c r="M45" s="13" t="e">
        <f ca="1"/>
        <v>#NAME?</v>
      </c>
      <c r="U45">
        <f t="shared" si="14"/>
        <v>13</v>
      </c>
      <c r="V45">
        <f t="shared" si="15"/>
        <v>1.5088771422707463</v>
      </c>
      <c r="W45">
        <f t="shared" si="16"/>
        <v>0.347345854783351</v>
      </c>
      <c r="X45">
        <f t="shared" si="17"/>
        <v>1.1615312874873953</v>
      </c>
      <c r="Y45">
        <f t="shared" si="18"/>
        <v>0.54530344679460907</v>
      </c>
      <c r="Z45">
        <f t="shared" si="19"/>
        <v>9.275617112440826E-2</v>
      </c>
      <c r="AA45">
        <f t="shared" si="20"/>
        <v>2.2303064038503821</v>
      </c>
      <c r="AC45">
        <f t="shared" si="22"/>
        <v>13</v>
      </c>
      <c r="AD45">
        <f t="shared" si="23"/>
        <v>8.1939759194869595</v>
      </c>
    </row>
    <row r="46" spans="4:30" x14ac:dyDescent="0.35">
      <c r="D46">
        <f t="shared" si="21"/>
        <v>14</v>
      </c>
      <c r="E46">
        <f t="shared" si="13"/>
        <v>0.87516475625313106</v>
      </c>
      <c r="F46">
        <f t="shared" si="24"/>
        <v>-0.14674209500021052</v>
      </c>
      <c r="I46" t="s">
        <v>367</v>
      </c>
      <c r="J46" s="107">
        <f>AVERAGE(E36:E52)</f>
        <v>9.0637500981712927E-4</v>
      </c>
      <c r="L46" s="13">
        <f>L45+1</f>
        <v>2</v>
      </c>
      <c r="M46" s="13" t="e">
        <f ca="1"/>
        <v>#NAME?</v>
      </c>
      <c r="U46">
        <f t="shared" si="14"/>
        <v>14</v>
      </c>
      <c r="V46">
        <f t="shared" si="15"/>
        <v>0.87516475625313106</v>
      </c>
      <c r="W46">
        <f t="shared" si="16"/>
        <v>-0.14674209500021052</v>
      </c>
      <c r="X46">
        <f t="shared" si="17"/>
        <v>1.0219068512533416</v>
      </c>
      <c r="Y46">
        <f t="shared" si="18"/>
        <v>0.54530344679460907</v>
      </c>
      <c r="Z46">
        <f t="shared" si="19"/>
        <v>-4.6868265109645479E-2</v>
      </c>
      <c r="AA46">
        <f t="shared" si="20"/>
        <v>2.0906819676163284</v>
      </c>
      <c r="AC46">
        <f t="shared" si="22"/>
        <v>14</v>
      </c>
      <c r="AD46">
        <f t="shared" si="23"/>
        <v>7.5602635334693442</v>
      </c>
    </row>
    <row r="47" spans="4:30" x14ac:dyDescent="0.35">
      <c r="D47">
        <f t="shared" si="21"/>
        <v>15</v>
      </c>
      <c r="E47">
        <f t="shared" si="13"/>
        <v>0.10935251991999184</v>
      </c>
      <c r="F47">
        <f t="shared" si="24"/>
        <v>0.69360984652902813</v>
      </c>
      <c r="I47" t="s">
        <v>368</v>
      </c>
      <c r="J47" s="107">
        <f>STDEV(E36:E52)</f>
        <v>1.0288640167189702</v>
      </c>
      <c r="L47" s="13">
        <f>L46+1</f>
        <v>3</v>
      </c>
      <c r="M47" s="13" t="e">
        <f ca="1"/>
        <v>#NAME?</v>
      </c>
      <c r="U47">
        <f t="shared" si="14"/>
        <v>15</v>
      </c>
      <c r="V47">
        <f t="shared" si="15"/>
        <v>0.10935251991999184</v>
      </c>
      <c r="W47">
        <f t="shared" si="16"/>
        <v>0.69360984652902813</v>
      </c>
      <c r="X47">
        <f t="shared" si="17"/>
        <v>-0.58425732660903629</v>
      </c>
      <c r="Y47">
        <f t="shared" si="18"/>
        <v>0.54530344679460907</v>
      </c>
      <c r="Z47">
        <f t="shared" si="19"/>
        <v>-1.6530324429720233</v>
      </c>
      <c r="AA47">
        <f t="shared" si="20"/>
        <v>0.48451778975395077</v>
      </c>
      <c r="AC47">
        <f t="shared" si="22"/>
        <v>15</v>
      </c>
      <c r="AD47">
        <f t="shared" si="23"/>
        <v>6.794451297136205</v>
      </c>
    </row>
    <row r="48" spans="4:30" x14ac:dyDescent="0.35">
      <c r="D48">
        <f t="shared" si="21"/>
        <v>16</v>
      </c>
      <c r="E48">
        <f t="shared" si="13"/>
        <v>-1.9606322420578248</v>
      </c>
      <c r="F48">
        <f t="shared" si="24"/>
        <v>-0.90432047440245089</v>
      </c>
      <c r="I48" t="s">
        <v>369</v>
      </c>
      <c r="J48" s="108">
        <f>COUNT(E36:E52)</f>
        <v>17</v>
      </c>
      <c r="L48" s="4">
        <f>L47+1</f>
        <v>4</v>
      </c>
      <c r="M48" s="4" t="e">
        <f ca="1"/>
        <v>#NAME?</v>
      </c>
      <c r="U48">
        <f t="shared" si="14"/>
        <v>16</v>
      </c>
      <c r="V48">
        <f t="shared" si="15"/>
        <v>-1.9606322420578248</v>
      </c>
      <c r="W48">
        <f t="shared" si="16"/>
        <v>-0.90432047440245089</v>
      </c>
      <c r="X48">
        <f t="shared" si="17"/>
        <v>-1.0563117676553739</v>
      </c>
      <c r="Y48">
        <f t="shared" si="18"/>
        <v>0.54530344679460907</v>
      </c>
      <c r="Z48">
        <f t="shared" si="19"/>
        <v>-2.1250868840183612</v>
      </c>
      <c r="AA48">
        <f t="shared" si="20"/>
        <v>1.246334870761312E-2</v>
      </c>
      <c r="AC48">
        <f t="shared" si="22"/>
        <v>16</v>
      </c>
      <c r="AD48">
        <f t="shared" si="23"/>
        <v>4.7244665351583883</v>
      </c>
    </row>
    <row r="49" spans="4:35" x14ac:dyDescent="0.35">
      <c r="D49">
        <f t="shared" si="21"/>
        <v>17</v>
      </c>
      <c r="E49">
        <f t="shared" si="13"/>
        <v>-0.65794365067763305</v>
      </c>
      <c r="F49">
        <f t="shared" si="24"/>
        <v>-3.0260166052400894E-2</v>
      </c>
      <c r="U49">
        <f t="shared" si="14"/>
        <v>17</v>
      </c>
      <c r="V49">
        <f t="shared" si="15"/>
        <v>-0.65794365067763305</v>
      </c>
      <c r="W49">
        <f t="shared" si="16"/>
        <v>-3.0260166052400894E-2</v>
      </c>
      <c r="X49">
        <f t="shared" si="17"/>
        <v>-0.62768348462523216</v>
      </c>
      <c r="Y49">
        <f t="shared" si="18"/>
        <v>0.54530344679460907</v>
      </c>
      <c r="Z49">
        <f t="shared" si="19"/>
        <v>-1.6964586009882192</v>
      </c>
      <c r="AA49">
        <f t="shared" si="20"/>
        <v>0.4410916317377549</v>
      </c>
      <c r="AC49">
        <f t="shared" si="22"/>
        <v>17</v>
      </c>
      <c r="AD49">
        <f t="shared" si="23"/>
        <v>6.0271551265385801</v>
      </c>
    </row>
    <row r="50" spans="4:35" x14ac:dyDescent="0.35">
      <c r="D50">
        <f t="shared" si="21"/>
        <v>18</v>
      </c>
      <c r="E50">
        <f t="shared" si="13"/>
        <v>0.44081124864587196</v>
      </c>
      <c r="F50">
        <f t="shared" si="24"/>
        <v>-0.334116851157092</v>
      </c>
      <c r="I50" t="s">
        <v>370</v>
      </c>
      <c r="J50" s="121">
        <f>-(J53-2*(J40+J41+1))/2</f>
        <v>-13.812936509832156</v>
      </c>
      <c r="U50">
        <f t="shared" si="14"/>
        <v>18</v>
      </c>
      <c r="V50">
        <f t="shared" si="15"/>
        <v>0.44081124864587196</v>
      </c>
      <c r="W50">
        <f t="shared" si="16"/>
        <v>-0.334116851157092</v>
      </c>
      <c r="X50">
        <f t="shared" si="17"/>
        <v>0.77492809980296395</v>
      </c>
      <c r="Y50">
        <f t="shared" si="18"/>
        <v>0.54530344679460907</v>
      </c>
      <c r="Z50">
        <f t="shared" si="19"/>
        <v>-0.2938470165600231</v>
      </c>
      <c r="AA50">
        <f t="shared" si="20"/>
        <v>1.843703216165951</v>
      </c>
      <c r="AC50">
        <f t="shared" si="22"/>
        <v>18</v>
      </c>
      <c r="AD50">
        <f t="shared" si="23"/>
        <v>7.1259100258620851</v>
      </c>
    </row>
    <row r="51" spans="4:35" x14ac:dyDescent="0.35">
      <c r="D51">
        <f t="shared" si="21"/>
        <v>19</v>
      </c>
      <c r="E51">
        <f t="shared" si="13"/>
        <v>0.50614905227593976</v>
      </c>
      <c r="F51">
        <f t="shared" si="24"/>
        <v>-0.70581872329837236</v>
      </c>
      <c r="I51" t="s">
        <v>145</v>
      </c>
      <c r="J51" s="107">
        <f>J48*LN(J38/J48)+2*(J40+J41+1)</f>
        <v>-12.618037109294562</v>
      </c>
      <c r="U51">
        <f t="shared" si="14"/>
        <v>19</v>
      </c>
      <c r="V51">
        <f t="shared" si="15"/>
        <v>0.50614905227593976</v>
      </c>
      <c r="W51">
        <f t="shared" si="16"/>
        <v>-0.70581872329837236</v>
      </c>
      <c r="X51">
        <f t="shared" si="17"/>
        <v>1.2119677755743121</v>
      </c>
      <c r="Y51">
        <f t="shared" si="18"/>
        <v>0.54530344679460907</v>
      </c>
      <c r="Z51">
        <f t="shared" si="19"/>
        <v>0.14319265921132507</v>
      </c>
      <c r="AA51">
        <f t="shared" si="20"/>
        <v>2.2807428919372992</v>
      </c>
      <c r="AC51">
        <f t="shared" si="22"/>
        <v>19</v>
      </c>
      <c r="AD51">
        <f t="shared" si="23"/>
        <v>7.1912478294921529</v>
      </c>
    </row>
    <row r="52" spans="4:35" x14ac:dyDescent="0.35">
      <c r="D52" s="4">
        <f t="shared" si="21"/>
        <v>20</v>
      </c>
      <c r="E52" s="4">
        <f t="shared" si="13"/>
        <v>-2.4071388712236796E-3</v>
      </c>
      <c r="F52" s="4">
        <f t="shared" si="24"/>
        <v>-0.14434819301681198</v>
      </c>
      <c r="I52" t="s">
        <v>371</v>
      </c>
      <c r="J52" s="107">
        <f>J48*LN(J38/J48)+LN(J48)*(J40+J41+1)</f>
        <v>-9.2851837330696974</v>
      </c>
      <c r="U52">
        <f t="shared" si="14"/>
        <v>20</v>
      </c>
      <c r="V52">
        <f t="shared" si="15"/>
        <v>-2.4071388712236796E-3</v>
      </c>
      <c r="W52">
        <f t="shared" si="16"/>
        <v>-0.14434819301681198</v>
      </c>
      <c r="X52">
        <f t="shared" si="17"/>
        <v>0.1419410541455883</v>
      </c>
      <c r="Y52">
        <f t="shared" si="18"/>
        <v>0.54530344679460907</v>
      </c>
      <c r="Z52">
        <f t="shared" si="19"/>
        <v>-0.92683406221739872</v>
      </c>
      <c r="AA52">
        <f t="shared" si="20"/>
        <v>1.2107161705085754</v>
      </c>
      <c r="AC52" s="4">
        <f t="shared" si="22"/>
        <v>20</v>
      </c>
      <c r="AD52" s="4">
        <f t="shared" si="23"/>
        <v>6.6826916383449895</v>
      </c>
    </row>
    <row r="53" spans="4:35" x14ac:dyDescent="0.35">
      <c r="I53" t="s">
        <v>372</v>
      </c>
      <c r="J53" s="107">
        <f>J48*(1+LN(2*PI()))+J51</f>
        <v>35.625873019664311</v>
      </c>
      <c r="U53">
        <f>U52+1</f>
        <v>21</v>
      </c>
      <c r="X53">
        <f>SUMPRODUCT(V50:V52,I$33:I$35)</f>
        <v>-0.42522468621186738</v>
      </c>
      <c r="Y53" t="e">
        <f ca="1">J$45*SQRT(SUMSQ(M$44:M44))</f>
        <v>#NAME?</v>
      </c>
      <c r="Z53" t="e">
        <f ca="1">X53-NORMSINV(1-Y$31/2)*Y53</f>
        <v>#NAME?</v>
      </c>
      <c r="AA53" t="e">
        <f ca="1">X53+NORMSINV(1-Y$31/2)*Y53</f>
        <v>#NAME?</v>
      </c>
      <c r="AC53">
        <f t="shared" si="22"/>
        <v>21</v>
      </c>
      <c r="AD53">
        <f>X53+J$36</f>
        <v>6.2598740910043453</v>
      </c>
    </row>
    <row r="54" spans="4:35" x14ac:dyDescent="0.35">
      <c r="I54" t="s">
        <v>373</v>
      </c>
      <c r="J54" s="108">
        <f>J48*(1+LN(2*PI()))+J52</f>
        <v>38.958726395889173</v>
      </c>
      <c r="U54">
        <f>U53+1</f>
        <v>22</v>
      </c>
      <c r="X54">
        <f>SUMPRODUCT(V51:V52,I33:I34)+SUMPRODUCT(X53,I35)</f>
        <v>-0.26497723364394954</v>
      </c>
      <c r="Y54" t="e">
        <f ca="1">J$45*SQRT(SUMSQ(M$44:M45))</f>
        <v>#NAME?</v>
      </c>
      <c r="Z54" t="e">
        <f ca="1">X54-NORMSINV(1-Y$31/2)*Y54</f>
        <v>#NAME?</v>
      </c>
      <c r="AA54" t="e">
        <f ca="1">X54+NORMSINV(1-Y$31/2)*Y54</f>
        <v>#NAME?</v>
      </c>
      <c r="AC54">
        <f t="shared" si="22"/>
        <v>22</v>
      </c>
      <c r="AD54">
        <f>X54+J$36</f>
        <v>6.4201215435722636</v>
      </c>
    </row>
    <row r="55" spans="4:35" x14ac:dyDescent="0.35">
      <c r="U55">
        <f>U54+1</f>
        <v>23</v>
      </c>
      <c r="X55">
        <f>SUMPRODUCT(V52,I33)+SUMPRODUCT(X53:X54,I34:I35)</f>
        <v>0.16789173371178367</v>
      </c>
      <c r="Y55" t="e">
        <f ca="1">J$45*SQRT(SUMSQ(M$44:M46))</f>
        <v>#NAME?</v>
      </c>
      <c r="Z55" t="e">
        <f ca="1">X55-NORMSINV(1-Y$31/2)*Y55</f>
        <v>#NAME?</v>
      </c>
      <c r="AA55" t="e">
        <f ca="1">X55+NORMSINV(1-Y$31/2)*Y55</f>
        <v>#NAME?</v>
      </c>
      <c r="AC55">
        <f t="shared" si="22"/>
        <v>23</v>
      </c>
      <c r="AD55">
        <f>X55+J$36</f>
        <v>6.8529905109279969</v>
      </c>
    </row>
    <row r="56" spans="4:35" x14ac:dyDescent="0.35">
      <c r="U56">
        <f>U55+1</f>
        <v>24</v>
      </c>
      <c r="X56">
        <f>SUMPRODUCT(X53:X55,I33:I35)</f>
        <v>0.3251447767961082</v>
      </c>
      <c r="Y56" t="e">
        <f ca="1">J$45*SQRT(SUMSQ(M$44:M47))</f>
        <v>#NAME?</v>
      </c>
      <c r="Z56" t="e">
        <f ca="1">X56-NORMSINV(1-Y$31/2)*Y56</f>
        <v>#NAME?</v>
      </c>
      <c r="AA56" t="e">
        <f ca="1">X56+NORMSINV(1-Y$31/2)*Y56</f>
        <v>#NAME?</v>
      </c>
      <c r="AC56">
        <f t="shared" si="22"/>
        <v>24</v>
      </c>
      <c r="AD56">
        <f>X56+J$36</f>
        <v>7.0102435540123214</v>
      </c>
    </row>
    <row r="57" spans="4:35" x14ac:dyDescent="0.35">
      <c r="U57" s="4">
        <f>U56+1</f>
        <v>25</v>
      </c>
      <c r="V57" s="4"/>
      <c r="W57" s="4"/>
      <c r="X57" s="4">
        <f>SUMPRODUCT(X54:X56,I33:I35)</f>
        <v>7.3222406689195857E-2</v>
      </c>
      <c r="Y57" s="4" t="e">
        <f ca="1">J$45*SQRT(SUMSQ(M$44:M48))</f>
        <v>#NAME?</v>
      </c>
      <c r="Z57" s="4" t="e">
        <f ca="1">X57-NORMSINV(1-Y$31/2)*Y57</f>
        <v>#NAME?</v>
      </c>
      <c r="AA57" s="4" t="e">
        <f ca="1">X57+NORMSINV(1-Y$31/2)*Y57</f>
        <v>#NAME?</v>
      </c>
      <c r="AC57" s="4">
        <f t="shared" si="22"/>
        <v>25</v>
      </c>
      <c r="AD57" s="4">
        <f>X57+J$36</f>
        <v>6.7583211839054087</v>
      </c>
    </row>
    <row r="59" spans="4:35" x14ac:dyDescent="0.35">
      <c r="D59" t="s">
        <v>407</v>
      </c>
      <c r="H59" t="s">
        <v>355</v>
      </c>
      <c r="L59" t="s">
        <v>374</v>
      </c>
      <c r="P59" t="s">
        <v>379</v>
      </c>
      <c r="U59" t="s">
        <v>383</v>
      </c>
      <c r="AC59" t="s">
        <v>384</v>
      </c>
      <c r="AF59" t="s">
        <v>385</v>
      </c>
    </row>
    <row r="60" spans="4:35" ht="15" thickBot="1" x14ac:dyDescent="0.4">
      <c r="X60" t="s">
        <v>156</v>
      </c>
      <c r="Y60">
        <v>0.05</v>
      </c>
    </row>
    <row r="61" spans="4:35" ht="15" thickTop="1" x14ac:dyDescent="0.35">
      <c r="D61" s="45" t="s">
        <v>291</v>
      </c>
      <c r="E61" s="45" t="s">
        <v>194</v>
      </c>
      <c r="F61" s="45" t="s">
        <v>354</v>
      </c>
      <c r="H61" s="45" t="s">
        <v>356</v>
      </c>
      <c r="I61" s="45" t="s">
        <v>357</v>
      </c>
      <c r="J61" s="45" t="s">
        <v>358</v>
      </c>
      <c r="L61" s="45" t="s">
        <v>173</v>
      </c>
      <c r="M61" s="45" t="s">
        <v>174</v>
      </c>
      <c r="N61" s="45" t="s">
        <v>375</v>
      </c>
      <c r="P61" s="45" t="s">
        <v>380</v>
      </c>
      <c r="Q61" s="45" t="s">
        <v>167</v>
      </c>
      <c r="R61" s="45" t="s">
        <v>297</v>
      </c>
      <c r="S61" s="45" t="s">
        <v>92</v>
      </c>
      <c r="U61" s="45" t="s">
        <v>291</v>
      </c>
      <c r="V61" s="45" t="s">
        <v>194</v>
      </c>
      <c r="W61" s="45" t="s">
        <v>354</v>
      </c>
      <c r="X61" s="45" t="s">
        <v>138</v>
      </c>
      <c r="Y61" s="45" t="s">
        <v>81</v>
      </c>
      <c r="Z61" s="45" t="s">
        <v>127</v>
      </c>
      <c r="AA61" s="45" t="s">
        <v>128</v>
      </c>
      <c r="AC61" s="45" t="s">
        <v>291</v>
      </c>
      <c r="AD61" s="45" t="s">
        <v>179</v>
      </c>
      <c r="AF61" s="45" t="s">
        <v>386</v>
      </c>
      <c r="AG61" s="45" t="s">
        <v>401</v>
      </c>
      <c r="AH61" s="45" t="s">
        <v>404</v>
      </c>
      <c r="AI61" s="45" t="s">
        <v>1</v>
      </c>
    </row>
    <row r="62" spans="4:35" x14ac:dyDescent="0.35">
      <c r="D62">
        <v>1</v>
      </c>
      <c r="E62">
        <f>B4</f>
        <v>4.5267574698597484</v>
      </c>
      <c r="F62">
        <v>0</v>
      </c>
      <c r="H62" s="115">
        <v>3</v>
      </c>
      <c r="I62">
        <v>0.52489081484369016</v>
      </c>
      <c r="J62">
        <v>0</v>
      </c>
      <c r="L62" t="e">
        <f t="array" aca="1" ref="L62:N64" ca="1">ARRoots(I62:I64)</f>
        <v>#NAME?</v>
      </c>
      <c r="M62" t="e">
        <f ca="1"/>
        <v>#NAME?</v>
      </c>
      <c r="N62" t="e">
        <f ca="1"/>
        <v>#NAME?</v>
      </c>
      <c r="P62" t="s">
        <v>381</v>
      </c>
      <c r="Q62">
        <f>I64</f>
        <v>1.1977138188847922</v>
      </c>
      <c r="R62" t="e" cm="1">
        <f t="array" aca="1" ref="R62" ca="1">ARMA_SSE(E62:E81,Q62:Q64,,0,1)</f>
        <v>#NAME?</v>
      </c>
      <c r="S62" t="e">
        <f ca="1">CHIDIST(J77*(LN(R62)-LN(J67)),1)</f>
        <v>#NAME?</v>
      </c>
      <c r="U62">
        <f>D62</f>
        <v>1</v>
      </c>
      <c r="V62">
        <f>E62</f>
        <v>4.5267574698597484</v>
      </c>
      <c r="W62">
        <f>F62</f>
        <v>0</v>
      </c>
      <c r="X62">
        <f>V62-W62</f>
        <v>4.5267574698597484</v>
      </c>
      <c r="Y62">
        <f>J$74</f>
        <v>1.0710106336064442</v>
      </c>
      <c r="Z62">
        <f>X62-NORMSINV(1-Y$60/2)*Y62</f>
        <v>2.4276152009316947</v>
      </c>
      <c r="AA62">
        <f>X62+NORMSINV(1-Y$60/2)*Y62</f>
        <v>6.625899738787802</v>
      </c>
      <c r="AC62">
        <v>1</v>
      </c>
      <c r="AD62">
        <f>B4</f>
        <v>4.5267574698597484</v>
      </c>
      <c r="AF62" s="59" t="e">
        <f t="array" aca="1" ref="AF62:AI78" ca="1">ARMap(E62:E81,3)</f>
        <v>#NAME?</v>
      </c>
      <c r="AG62" s="59" t="e">
        <f ca="1"/>
        <v>#NAME?</v>
      </c>
      <c r="AH62" s="59" t="e">
        <f ca="1"/>
        <v>#NAME?</v>
      </c>
      <c r="AI62" s="59" t="e">
        <f ca="1"/>
        <v>#NAME?</v>
      </c>
    </row>
    <row r="63" spans="4:35" x14ac:dyDescent="0.35">
      <c r="D63">
        <f>D62+1</f>
        <v>2</v>
      </c>
      <c r="E63">
        <f t="shared" ref="E63:E81" si="25">B5</f>
        <v>6.893370777512497</v>
      </c>
      <c r="F63">
        <v>0</v>
      </c>
      <c r="H63" s="115">
        <f>H62-1</f>
        <v>2</v>
      </c>
      <c r="I63">
        <v>-0.7343456636082657</v>
      </c>
      <c r="J63">
        <v>0</v>
      </c>
      <c r="L63" t="e">
        <f ca="1"/>
        <v>#NAME?</v>
      </c>
      <c r="M63" t="e">
        <f ca="1"/>
        <v>#NAME?</v>
      </c>
      <c r="N63" t="e">
        <f ca="1"/>
        <v>#NAME?</v>
      </c>
      <c r="P63" t="s">
        <v>399</v>
      </c>
      <c r="Q63">
        <f>I63</f>
        <v>-0.7343456636082657</v>
      </c>
      <c r="R63" t="e" cm="1">
        <f t="array" aca="1" ref="R63" ca="1">ARMA_SSE(E62:E81,Q62:Q64,,0,2)</f>
        <v>#NAME?</v>
      </c>
      <c r="S63" t="e">
        <f ca="1">CHIDIST(J77*(LN(R63)-LN(J67)),1)</f>
        <v>#NAME?</v>
      </c>
      <c r="U63">
        <f t="shared" ref="U63:U81" si="26">D63</f>
        <v>2</v>
      </c>
      <c r="V63">
        <f t="shared" ref="V63:V81" si="27">E63</f>
        <v>6.893370777512497</v>
      </c>
      <c r="W63">
        <f t="shared" ref="W63:W81" si="28">F63</f>
        <v>0</v>
      </c>
      <c r="X63">
        <f t="shared" ref="X63:X81" si="29">V63-W63</f>
        <v>6.893370777512497</v>
      </c>
      <c r="Y63">
        <f t="shared" ref="Y63:Y81" si="30">J$74</f>
        <v>1.0710106336064442</v>
      </c>
      <c r="Z63">
        <f t="shared" ref="Z63:Z81" si="31">X63-NORMSINV(1-Y$60/2)*Y63</f>
        <v>4.7942285085844434</v>
      </c>
      <c r="AA63">
        <f t="shared" ref="AA63:AA81" si="32">X63+NORMSINV(1-Y$60/2)*Y63</f>
        <v>8.9925130464405498</v>
      </c>
      <c r="AC63">
        <f>AC62+1</f>
        <v>2</v>
      </c>
      <c r="AD63">
        <f>B5</f>
        <v>6.893370777512497</v>
      </c>
      <c r="AF63" s="13" t="e">
        <f ca="1"/>
        <v>#NAME?</v>
      </c>
      <c r="AG63" s="13" t="e">
        <f ca="1"/>
        <v>#NAME?</v>
      </c>
      <c r="AH63" s="13" t="e">
        <f ca="1"/>
        <v>#NAME?</v>
      </c>
      <c r="AI63" s="13" t="e">
        <f ca="1"/>
        <v>#NAME?</v>
      </c>
    </row>
    <row r="64" spans="4:35" x14ac:dyDescent="0.35">
      <c r="D64">
        <f t="shared" ref="D64:D81" si="33">D63+1</f>
        <v>3</v>
      </c>
      <c r="E64">
        <f t="shared" si="25"/>
        <v>8.4253951175675805</v>
      </c>
      <c r="F64">
        <v>0</v>
      </c>
      <c r="H64" s="115">
        <f>H63-1</f>
        <v>1</v>
      </c>
      <c r="I64">
        <v>1.1977138188847922</v>
      </c>
      <c r="J64">
        <v>0</v>
      </c>
      <c r="L64" s="4" t="e">
        <f ca="1"/>
        <v>#NAME?</v>
      </c>
      <c r="M64" s="4" t="e">
        <f ca="1"/>
        <v>#NAME?</v>
      </c>
      <c r="N64" s="4" t="e">
        <f ca="1"/>
        <v>#NAME?</v>
      </c>
      <c r="P64" t="s">
        <v>403</v>
      </c>
      <c r="Q64">
        <f>I62</f>
        <v>0.52489081484369016</v>
      </c>
      <c r="R64" t="e" cm="1">
        <f t="array" aca="1" ref="R64" ca="1">ARMA_SSE(E62:E81,Q62:Q64,,0,3)</f>
        <v>#NAME?</v>
      </c>
      <c r="S64" t="e">
        <f ca="1">CHIDIST(J77*(LN(R64)-LN(J67)),1)</f>
        <v>#NAME?</v>
      </c>
      <c r="U64">
        <f t="shared" si="26"/>
        <v>3</v>
      </c>
      <c r="V64">
        <f t="shared" si="27"/>
        <v>8.4253951175675805</v>
      </c>
      <c r="W64">
        <f t="shared" si="28"/>
        <v>0</v>
      </c>
      <c r="X64">
        <f t="shared" si="29"/>
        <v>8.4253951175675805</v>
      </c>
      <c r="Y64">
        <f t="shared" si="30"/>
        <v>1.0710106336064442</v>
      </c>
      <c r="Z64">
        <f t="shared" si="31"/>
        <v>6.3262528486395269</v>
      </c>
      <c r="AA64">
        <f t="shared" si="32"/>
        <v>10.524537386495634</v>
      </c>
      <c r="AC64">
        <f t="shared" ref="AC64:AC86" si="34">AC63+1</f>
        <v>3</v>
      </c>
      <c r="AD64">
        <f t="shared" ref="AD64:AD81" si="35">B6</f>
        <v>8.4253951175675805</v>
      </c>
      <c r="AF64" s="13" t="e">
        <f ca="1"/>
        <v>#NAME?</v>
      </c>
      <c r="AG64" s="13" t="e">
        <f ca="1"/>
        <v>#NAME?</v>
      </c>
      <c r="AH64" s="13" t="e">
        <f ca="1"/>
        <v>#NAME?</v>
      </c>
      <c r="AI64" s="13" t="e">
        <f ca="1"/>
        <v>#NAME?</v>
      </c>
    </row>
    <row r="65" spans="4:35" x14ac:dyDescent="0.35">
      <c r="D65">
        <f t="shared" si="33"/>
        <v>4</v>
      </c>
      <c r="E65">
        <f t="shared" si="25"/>
        <v>6.999502086988997</v>
      </c>
      <c r="F65">
        <f>E65-SUMPRODUCT(E62:E64,I$62:I$64)</f>
        <v>-0.40564655373035663</v>
      </c>
      <c r="H65" s="10" t="s">
        <v>359</v>
      </c>
      <c r="I65" s="4">
        <v>0</v>
      </c>
      <c r="J65" s="4">
        <v>0</v>
      </c>
      <c r="P65" s="4" t="s">
        <v>120</v>
      </c>
      <c r="Q65" s="4">
        <f>J75</f>
        <v>6.6860051522260298</v>
      </c>
      <c r="R65" s="4">
        <f>-Q65/(J76/SQRT(J77))</f>
        <v>-26.793730763335184</v>
      </c>
      <c r="S65" s="4">
        <f>TDIST(ABS(R65),J77-1,2)</f>
        <v>1.0120327521144312E-14</v>
      </c>
      <c r="U65">
        <f t="shared" si="26"/>
        <v>4</v>
      </c>
      <c r="V65">
        <f t="shared" si="27"/>
        <v>6.999502086988997</v>
      </c>
      <c r="W65">
        <f t="shared" si="28"/>
        <v>-0.40564655373035663</v>
      </c>
      <c r="X65">
        <f t="shared" si="29"/>
        <v>7.4051486407193536</v>
      </c>
      <c r="Y65">
        <f t="shared" si="30"/>
        <v>1.0710106336064442</v>
      </c>
      <c r="Z65">
        <f t="shared" si="31"/>
        <v>5.3060063717913</v>
      </c>
      <c r="AA65">
        <f t="shared" si="32"/>
        <v>9.5042909096474073</v>
      </c>
      <c r="AC65">
        <f t="shared" si="34"/>
        <v>4</v>
      </c>
      <c r="AD65">
        <f t="shared" si="35"/>
        <v>6.999502086988997</v>
      </c>
      <c r="AF65" s="13" t="e">
        <f ca="1"/>
        <v>#NAME?</v>
      </c>
      <c r="AG65" s="13" t="e">
        <f ca="1"/>
        <v>#NAME?</v>
      </c>
      <c r="AH65" s="13" t="e">
        <f ca="1"/>
        <v>#NAME?</v>
      </c>
      <c r="AI65" s="13" t="e">
        <f ca="1"/>
        <v>#NAME?</v>
      </c>
    </row>
    <row r="66" spans="4:35" x14ac:dyDescent="0.35">
      <c r="D66">
        <f t="shared" si="33"/>
        <v>5</v>
      </c>
      <c r="E66">
        <f t="shared" si="25"/>
        <v>6.1875941616300834</v>
      </c>
      <c r="F66">
        <f t="shared" ref="F66:F81" si="36">E66-SUMPRODUCT(E63:E65,I$62:I$64)</f>
        <v>0.37307915107420886</v>
      </c>
      <c r="L66" t="s">
        <v>376</v>
      </c>
      <c r="U66">
        <f t="shared" si="26"/>
        <v>5</v>
      </c>
      <c r="V66">
        <f t="shared" si="27"/>
        <v>6.1875941616300834</v>
      </c>
      <c r="W66">
        <f t="shared" si="28"/>
        <v>0.37307915107420886</v>
      </c>
      <c r="X66">
        <f t="shared" si="29"/>
        <v>5.8145150105558745</v>
      </c>
      <c r="Y66">
        <f t="shared" si="30"/>
        <v>1.0710106336064442</v>
      </c>
      <c r="Z66">
        <f t="shared" si="31"/>
        <v>3.7153727416278208</v>
      </c>
      <c r="AA66">
        <f t="shared" si="32"/>
        <v>7.9136572794839282</v>
      </c>
      <c r="AC66">
        <f t="shared" si="34"/>
        <v>5</v>
      </c>
      <c r="AD66">
        <f t="shared" si="35"/>
        <v>6.1875941616300834</v>
      </c>
      <c r="AF66" s="13" t="e">
        <f ca="1"/>
        <v>#NAME?</v>
      </c>
      <c r="AG66" s="13" t="e">
        <f ca="1"/>
        <v>#NAME?</v>
      </c>
      <c r="AH66" s="13" t="e">
        <f ca="1"/>
        <v>#NAME?</v>
      </c>
      <c r="AI66" s="13" t="e">
        <f ca="1"/>
        <v>#NAME?</v>
      </c>
    </row>
    <row r="67" spans="4:35" ht="15" thickBot="1" x14ac:dyDescent="0.4">
      <c r="D67">
        <f t="shared" si="33"/>
        <v>6</v>
      </c>
      <c r="E67">
        <f t="shared" si="25"/>
        <v>5.8129764708798239</v>
      </c>
      <c r="F67">
        <f t="shared" si="36"/>
        <v>-0.88034906579810723</v>
      </c>
      <c r="I67" t="s">
        <v>121</v>
      </c>
      <c r="J67" s="119">
        <f>SUMSQ(F65:F81)</f>
        <v>16.058892882173076</v>
      </c>
      <c r="P67" t="s">
        <v>360</v>
      </c>
      <c r="Q67" s="120" t="s">
        <v>304</v>
      </c>
      <c r="U67">
        <f t="shared" si="26"/>
        <v>6</v>
      </c>
      <c r="V67">
        <f t="shared" si="27"/>
        <v>5.8129764708798239</v>
      </c>
      <c r="W67">
        <f t="shared" si="28"/>
        <v>-0.88034906579810723</v>
      </c>
      <c r="X67">
        <f t="shared" si="29"/>
        <v>6.6933255366779312</v>
      </c>
      <c r="Y67">
        <f t="shared" si="30"/>
        <v>1.0710106336064442</v>
      </c>
      <c r="Z67">
        <f t="shared" si="31"/>
        <v>4.5941832677498775</v>
      </c>
      <c r="AA67">
        <f t="shared" si="32"/>
        <v>8.792467805605984</v>
      </c>
      <c r="AC67">
        <f t="shared" si="34"/>
        <v>6</v>
      </c>
      <c r="AD67">
        <f t="shared" si="35"/>
        <v>5.8129764708798239</v>
      </c>
      <c r="AF67" s="13" t="e">
        <f ca="1"/>
        <v>#NAME?</v>
      </c>
      <c r="AG67" s="13" t="e">
        <f ca="1"/>
        <v>#NAME?</v>
      </c>
      <c r="AH67" s="13" t="e">
        <f ca="1"/>
        <v>#NAME?</v>
      </c>
      <c r="AI67" s="13" t="e">
        <f ca="1"/>
        <v>#NAME?</v>
      </c>
    </row>
    <row r="68" spans="4:35" ht="15" thickTop="1" x14ac:dyDescent="0.35">
      <c r="D68">
        <f t="shared" si="33"/>
        <v>7</v>
      </c>
      <c r="E68">
        <f t="shared" si="25"/>
        <v>7.1200726875188378</v>
      </c>
      <c r="F68">
        <f t="shared" si="36"/>
        <v>1.0276490263150313</v>
      </c>
      <c r="L68" s="45" t="s">
        <v>173</v>
      </c>
      <c r="M68" s="45" t="s">
        <v>174</v>
      </c>
      <c r="N68" s="45" t="s">
        <v>375</v>
      </c>
      <c r="U68">
        <f t="shared" si="26"/>
        <v>7</v>
      </c>
      <c r="V68">
        <f t="shared" si="27"/>
        <v>7.1200726875188378</v>
      </c>
      <c r="W68">
        <f t="shared" si="28"/>
        <v>1.0276490263150313</v>
      </c>
      <c r="X68">
        <f t="shared" si="29"/>
        <v>6.0924236612038065</v>
      </c>
      <c r="Y68">
        <f t="shared" si="30"/>
        <v>1.0710106336064442</v>
      </c>
      <c r="Z68">
        <f t="shared" si="31"/>
        <v>3.9932813922757529</v>
      </c>
      <c r="AA68">
        <f t="shared" si="32"/>
        <v>8.1915659301318602</v>
      </c>
      <c r="AC68">
        <f t="shared" si="34"/>
        <v>7</v>
      </c>
      <c r="AD68">
        <f t="shared" si="35"/>
        <v>7.1200726875188378</v>
      </c>
      <c r="AF68" s="13" t="e">
        <f ca="1"/>
        <v>#NAME?</v>
      </c>
      <c r="AG68" s="13" t="e">
        <f ca="1"/>
        <v>#NAME?</v>
      </c>
      <c r="AH68" s="13" t="e">
        <f ca="1"/>
        <v>#NAME?</v>
      </c>
      <c r="AI68" s="13" t="e">
        <f ca="1"/>
        <v>#NAME?</v>
      </c>
    </row>
    <row r="69" spans="4:35" x14ac:dyDescent="0.35">
      <c r="D69">
        <f t="shared" si="33"/>
        <v>8</v>
      </c>
      <c r="E69">
        <f t="shared" si="25"/>
        <v>8.5019149332741044</v>
      </c>
      <c r="F69">
        <f t="shared" si="36"/>
        <v>0.99502820659601454</v>
      </c>
      <c r="I69" t="s">
        <v>361</v>
      </c>
      <c r="J69" s="121">
        <v>3</v>
      </c>
      <c r="U69">
        <f t="shared" si="26"/>
        <v>8</v>
      </c>
      <c r="V69">
        <f t="shared" si="27"/>
        <v>8.5019149332741044</v>
      </c>
      <c r="W69">
        <f t="shared" si="28"/>
        <v>0.99502820659601454</v>
      </c>
      <c r="X69">
        <f t="shared" si="29"/>
        <v>7.5068867266780899</v>
      </c>
      <c r="Y69">
        <f t="shared" si="30"/>
        <v>1.0710106336064442</v>
      </c>
      <c r="Z69">
        <f t="shared" si="31"/>
        <v>5.4077444577500362</v>
      </c>
      <c r="AA69">
        <f t="shared" si="32"/>
        <v>9.6060289956061435</v>
      </c>
      <c r="AC69">
        <f t="shared" si="34"/>
        <v>8</v>
      </c>
      <c r="AD69">
        <f t="shared" si="35"/>
        <v>8.5019149332741044</v>
      </c>
      <c r="AF69" s="13" t="e">
        <f ca="1"/>
        <v>#NAME?</v>
      </c>
      <c r="AG69" s="13" t="e">
        <f ca="1"/>
        <v>#NAME?</v>
      </c>
      <c r="AH69" s="13" t="e">
        <f ca="1"/>
        <v>#NAME?</v>
      </c>
      <c r="AI69" s="13" t="e">
        <f ca="1"/>
        <v>#NAME?</v>
      </c>
    </row>
    <row r="70" spans="4:35" x14ac:dyDescent="0.35">
      <c r="D70">
        <f t="shared" si="33"/>
        <v>9</v>
      </c>
      <c r="E70">
        <f t="shared" si="25"/>
        <v>7.3012221051820614</v>
      </c>
      <c r="F70">
        <f t="shared" si="36"/>
        <v>-0.70422235119550969</v>
      </c>
      <c r="I70" t="s">
        <v>362</v>
      </c>
      <c r="J70" s="107">
        <v>0</v>
      </c>
      <c r="L70" t="s">
        <v>377</v>
      </c>
      <c r="U70">
        <f t="shared" si="26"/>
        <v>9</v>
      </c>
      <c r="V70">
        <f t="shared" si="27"/>
        <v>7.3012221051820614</v>
      </c>
      <c r="W70">
        <f t="shared" si="28"/>
        <v>-0.70422235119550969</v>
      </c>
      <c r="X70">
        <f t="shared" si="29"/>
        <v>8.0054444563775711</v>
      </c>
      <c r="Y70">
        <f t="shared" si="30"/>
        <v>1.0710106336064442</v>
      </c>
      <c r="Z70">
        <f t="shared" si="31"/>
        <v>5.9063021874495174</v>
      </c>
      <c r="AA70">
        <f t="shared" si="32"/>
        <v>10.104586725305625</v>
      </c>
      <c r="AC70">
        <f t="shared" si="34"/>
        <v>9</v>
      </c>
      <c r="AD70">
        <f t="shared" si="35"/>
        <v>7.3012221051820614</v>
      </c>
      <c r="AF70" s="13" t="e">
        <f ca="1"/>
        <v>#NAME?</v>
      </c>
      <c r="AG70" s="13" t="e">
        <f ca="1"/>
        <v>#NAME?</v>
      </c>
      <c r="AH70" s="13" t="e">
        <f ca="1"/>
        <v>#NAME?</v>
      </c>
      <c r="AI70" s="13" t="e">
        <f ca="1"/>
        <v>#NAME?</v>
      </c>
    </row>
    <row r="71" spans="4:35" ht="15" thickBot="1" x14ac:dyDescent="0.4">
      <c r="D71">
        <f t="shared" si="33"/>
        <v>10</v>
      </c>
      <c r="E71">
        <f t="shared" si="25"/>
        <v>6.0388768293832715</v>
      </c>
      <c r="F71">
        <f t="shared" si="36"/>
        <v>-0.19981417182226657</v>
      </c>
      <c r="I71" t="s">
        <v>363</v>
      </c>
      <c r="J71" s="107">
        <v>0</v>
      </c>
      <c r="U71">
        <f t="shared" si="26"/>
        <v>10</v>
      </c>
      <c r="V71">
        <f t="shared" si="27"/>
        <v>6.0388768293832715</v>
      </c>
      <c r="W71">
        <f t="shared" si="28"/>
        <v>-0.19981417182226657</v>
      </c>
      <c r="X71">
        <f t="shared" si="29"/>
        <v>6.2386910012055381</v>
      </c>
      <c r="Y71">
        <f t="shared" si="30"/>
        <v>1.0710106336064442</v>
      </c>
      <c r="Z71">
        <f t="shared" si="31"/>
        <v>4.1395487322774844</v>
      </c>
      <c r="AA71">
        <f t="shared" si="32"/>
        <v>8.3378332701335918</v>
      </c>
      <c r="AC71">
        <f t="shared" si="34"/>
        <v>10</v>
      </c>
      <c r="AD71">
        <f t="shared" si="35"/>
        <v>6.0388768293832715</v>
      </c>
      <c r="AF71" s="13" t="e">
        <f ca="1"/>
        <v>#NAME?</v>
      </c>
      <c r="AG71" s="13" t="e">
        <f ca="1"/>
        <v>#NAME?</v>
      </c>
      <c r="AH71" s="13" t="e">
        <f ca="1"/>
        <v>#NAME?</v>
      </c>
      <c r="AI71" s="13" t="e">
        <f ca="1"/>
        <v>#NAME?</v>
      </c>
    </row>
    <row r="72" spans="4:35" ht="15" thickTop="1" x14ac:dyDescent="0.35">
      <c r="D72">
        <f t="shared" si="33"/>
        <v>11</v>
      </c>
      <c r="E72">
        <f t="shared" si="25"/>
        <v>4.7460896891377891</v>
      </c>
      <c r="F72">
        <f t="shared" si="36"/>
        <v>-1.5877128050344576</v>
      </c>
      <c r="I72" t="s">
        <v>364</v>
      </c>
      <c r="J72" s="107">
        <f>AVERAGE(F65:F81)</f>
        <v>5.3773360653897588E-2</v>
      </c>
      <c r="L72" s="45" t="s">
        <v>356</v>
      </c>
      <c r="M72" s="45" t="s">
        <v>378</v>
      </c>
      <c r="U72">
        <f t="shared" si="26"/>
        <v>11</v>
      </c>
      <c r="V72">
        <f t="shared" si="27"/>
        <v>4.7460896891377891</v>
      </c>
      <c r="W72">
        <f t="shared" si="28"/>
        <v>-1.5877128050344576</v>
      </c>
      <c r="X72">
        <f t="shared" si="29"/>
        <v>6.3338024941722466</v>
      </c>
      <c r="Y72">
        <f t="shared" si="30"/>
        <v>1.0710106336064442</v>
      </c>
      <c r="Z72">
        <f t="shared" si="31"/>
        <v>4.2346602252441929</v>
      </c>
      <c r="AA72">
        <f t="shared" si="32"/>
        <v>8.4329447631003003</v>
      </c>
      <c r="AC72">
        <f t="shared" si="34"/>
        <v>11</v>
      </c>
      <c r="AD72">
        <f t="shared" si="35"/>
        <v>4.7460896891377891</v>
      </c>
      <c r="AF72" s="13" t="e">
        <f ca="1"/>
        <v>#NAME?</v>
      </c>
      <c r="AG72" s="13" t="e">
        <f ca="1"/>
        <v>#NAME?</v>
      </c>
      <c r="AH72" s="13" t="e">
        <f ca="1"/>
        <v>#NAME?</v>
      </c>
      <c r="AI72" s="13" t="e">
        <f ca="1"/>
        <v>#NAME?</v>
      </c>
    </row>
    <row r="73" spans="4:35" x14ac:dyDescent="0.35">
      <c r="D73">
        <f t="shared" si="33"/>
        <v>12</v>
      </c>
      <c r="E73">
        <f t="shared" si="25"/>
        <v>6.6536767183588417</v>
      </c>
      <c r="F73">
        <f t="shared" si="36"/>
        <v>1.5714981045901473</v>
      </c>
      <c r="I73" t="s">
        <v>365</v>
      </c>
      <c r="J73" s="107">
        <f>STDEV(F65:F81)</f>
        <v>1.0003042074414423</v>
      </c>
      <c r="L73" s="59">
        <v>0</v>
      </c>
      <c r="M73" s="59" t="e">
        <f t="array" aca="1" ref="M73:M77" ca="1">PSICoeff(I62:I64)</f>
        <v>#NAME?</v>
      </c>
      <c r="U73">
        <f t="shared" si="26"/>
        <v>12</v>
      </c>
      <c r="V73">
        <f t="shared" si="27"/>
        <v>6.6536767183588417</v>
      </c>
      <c r="W73">
        <f t="shared" si="28"/>
        <v>1.5714981045901473</v>
      </c>
      <c r="X73">
        <f t="shared" si="29"/>
        <v>5.0821786137686944</v>
      </c>
      <c r="Y73">
        <f t="shared" si="30"/>
        <v>1.0710106336064442</v>
      </c>
      <c r="Z73">
        <f t="shared" si="31"/>
        <v>2.9830363448406407</v>
      </c>
      <c r="AA73">
        <f t="shared" si="32"/>
        <v>7.1813208826967481</v>
      </c>
      <c r="AC73">
        <f t="shared" si="34"/>
        <v>12</v>
      </c>
      <c r="AD73">
        <f t="shared" si="35"/>
        <v>6.6536767183588417</v>
      </c>
      <c r="AF73" s="13" t="e">
        <f ca="1"/>
        <v>#NAME?</v>
      </c>
      <c r="AG73" s="13" t="e">
        <f ca="1"/>
        <v>#NAME?</v>
      </c>
      <c r="AH73" s="13" t="e">
        <f ca="1"/>
        <v>#NAME?</v>
      </c>
      <c r="AI73" s="13" t="e">
        <f ca="1"/>
        <v>#NAME?</v>
      </c>
    </row>
    <row r="74" spans="4:35" x14ac:dyDescent="0.35">
      <c r="D74">
        <f t="shared" si="33"/>
        <v>13</v>
      </c>
      <c r="E74">
        <f t="shared" si="25"/>
        <v>8.1939759194869595</v>
      </c>
      <c r="F74">
        <f t="shared" si="36"/>
        <v>0.54029477011513016</v>
      </c>
      <c r="I74" t="s">
        <v>366</v>
      </c>
      <c r="J74" s="107">
        <f>SQRT(J67/(J77-J69))</f>
        <v>1.0710106336064442</v>
      </c>
      <c r="L74" s="13">
        <f>L73+1</f>
        <v>1</v>
      </c>
      <c r="M74" s="13" t="e">
        <f ca="1"/>
        <v>#NAME?</v>
      </c>
      <c r="U74">
        <f t="shared" si="26"/>
        <v>13</v>
      </c>
      <c r="V74">
        <f t="shared" si="27"/>
        <v>8.1939759194869595</v>
      </c>
      <c r="W74">
        <f t="shared" si="28"/>
        <v>0.54029477011513016</v>
      </c>
      <c r="X74">
        <f t="shared" si="29"/>
        <v>7.6536811493718293</v>
      </c>
      <c r="Y74">
        <f t="shared" si="30"/>
        <v>1.0710106336064442</v>
      </c>
      <c r="Z74">
        <f t="shared" si="31"/>
        <v>5.5545388804437756</v>
      </c>
      <c r="AA74">
        <f t="shared" si="32"/>
        <v>9.752823418299883</v>
      </c>
      <c r="AC74">
        <f t="shared" si="34"/>
        <v>13</v>
      </c>
      <c r="AD74">
        <f t="shared" si="35"/>
        <v>8.1939759194869595</v>
      </c>
      <c r="AF74" s="13" t="e">
        <f ca="1"/>
        <v>#NAME?</v>
      </c>
      <c r="AG74" s="13" t="e">
        <f ca="1"/>
        <v>#NAME?</v>
      </c>
      <c r="AH74" s="13" t="e">
        <f ca="1"/>
        <v>#NAME?</v>
      </c>
      <c r="AI74" s="13" t="e">
        <f ca="1"/>
        <v>#NAME?</v>
      </c>
    </row>
    <row r="75" spans="4:35" x14ac:dyDescent="0.35">
      <c r="D75">
        <f t="shared" si="33"/>
        <v>14</v>
      </c>
      <c r="E75">
        <f t="shared" si="25"/>
        <v>7.5602635334693442</v>
      </c>
      <c r="F75">
        <f t="shared" si="36"/>
        <v>0.14114510401591218</v>
      </c>
      <c r="I75" t="s">
        <v>367</v>
      </c>
      <c r="J75" s="107">
        <f>AVERAGE(E65:E81)</f>
        <v>6.6860051522260298</v>
      </c>
      <c r="L75" s="13">
        <f>L74+1</f>
        <v>2</v>
      </c>
      <c r="M75" s="13" t="e">
        <f ca="1"/>
        <v>#NAME?</v>
      </c>
      <c r="U75">
        <f t="shared" si="26"/>
        <v>14</v>
      </c>
      <c r="V75">
        <f t="shared" si="27"/>
        <v>7.5602635334693442</v>
      </c>
      <c r="W75">
        <f t="shared" si="28"/>
        <v>0.14114510401591218</v>
      </c>
      <c r="X75">
        <f t="shared" si="29"/>
        <v>7.419118429453432</v>
      </c>
      <c r="Y75">
        <f t="shared" si="30"/>
        <v>1.0710106336064442</v>
      </c>
      <c r="Z75">
        <f t="shared" si="31"/>
        <v>5.3199761605253784</v>
      </c>
      <c r="AA75">
        <f t="shared" si="32"/>
        <v>9.5182606983814857</v>
      </c>
      <c r="AC75">
        <f t="shared" si="34"/>
        <v>14</v>
      </c>
      <c r="AD75">
        <f t="shared" si="35"/>
        <v>7.5602635334693442</v>
      </c>
      <c r="AF75" s="13" t="e">
        <f ca="1"/>
        <v>#NAME?</v>
      </c>
      <c r="AG75" s="13" t="e">
        <f ca="1"/>
        <v>#NAME?</v>
      </c>
      <c r="AH75" s="13" t="e">
        <f ca="1"/>
        <v>#NAME?</v>
      </c>
      <c r="AI75" s="13" t="e">
        <f ca="1"/>
        <v>#NAME?</v>
      </c>
    </row>
    <row r="76" spans="4:35" x14ac:dyDescent="0.35">
      <c r="D76">
        <f t="shared" si="33"/>
        <v>15</v>
      </c>
      <c r="E76">
        <f t="shared" si="25"/>
        <v>6.794451297136205</v>
      </c>
      <c r="F76">
        <f t="shared" si="36"/>
        <v>0.26417607846914049</v>
      </c>
      <c r="I76" t="s">
        <v>368</v>
      </c>
      <c r="J76" s="107">
        <f>STDEV(E65:E81)</f>
        <v>1.0288640167189751</v>
      </c>
      <c r="L76" s="13">
        <f>L75+1</f>
        <v>3</v>
      </c>
      <c r="M76" s="13" t="e">
        <f ca="1"/>
        <v>#NAME?</v>
      </c>
      <c r="U76">
        <f t="shared" si="26"/>
        <v>15</v>
      </c>
      <c r="V76">
        <f t="shared" si="27"/>
        <v>6.794451297136205</v>
      </c>
      <c r="W76">
        <f t="shared" si="28"/>
        <v>0.26417607846914049</v>
      </c>
      <c r="X76">
        <f t="shared" si="29"/>
        <v>6.5302752186670645</v>
      </c>
      <c r="Y76">
        <f t="shared" si="30"/>
        <v>1.0710106336064442</v>
      </c>
      <c r="Z76">
        <f t="shared" si="31"/>
        <v>4.4311329497390108</v>
      </c>
      <c r="AA76">
        <f t="shared" si="32"/>
        <v>8.6294174875951182</v>
      </c>
      <c r="AC76">
        <f t="shared" si="34"/>
        <v>15</v>
      </c>
      <c r="AD76">
        <f t="shared" si="35"/>
        <v>6.794451297136205</v>
      </c>
      <c r="AF76" s="13" t="e">
        <f ca="1"/>
        <v>#NAME?</v>
      </c>
      <c r="AG76" s="13" t="e">
        <f ca="1"/>
        <v>#NAME?</v>
      </c>
      <c r="AH76" s="13" t="e">
        <f ca="1"/>
        <v>#NAME?</v>
      </c>
      <c r="AI76" s="13" t="e">
        <f ca="1"/>
        <v>#NAME?</v>
      </c>
    </row>
    <row r="77" spans="4:35" x14ac:dyDescent="0.35">
      <c r="D77">
        <f t="shared" si="33"/>
        <v>16</v>
      </c>
      <c r="E77">
        <f t="shared" si="25"/>
        <v>4.7244665351583883</v>
      </c>
      <c r="F77">
        <f t="shared" si="36"/>
        <v>-2.1624376308115139</v>
      </c>
      <c r="I77" t="s">
        <v>369</v>
      </c>
      <c r="J77" s="108">
        <f>COUNT(E65:E81)</f>
        <v>17</v>
      </c>
      <c r="L77" s="4">
        <f>L76+1</f>
        <v>4</v>
      </c>
      <c r="M77" s="4" t="e">
        <f ca="1"/>
        <v>#NAME?</v>
      </c>
      <c r="U77">
        <f t="shared" si="26"/>
        <v>16</v>
      </c>
      <c r="V77">
        <f t="shared" si="27"/>
        <v>4.7244665351583883</v>
      </c>
      <c r="W77">
        <f t="shared" si="28"/>
        <v>-2.1624376308115139</v>
      </c>
      <c r="X77">
        <f t="shared" si="29"/>
        <v>6.8869041659699022</v>
      </c>
      <c r="Y77">
        <f t="shared" si="30"/>
        <v>1.0710106336064442</v>
      </c>
      <c r="Z77">
        <f t="shared" si="31"/>
        <v>4.7877618970418485</v>
      </c>
      <c r="AA77">
        <f t="shared" si="32"/>
        <v>8.9860464348979558</v>
      </c>
      <c r="AC77">
        <f t="shared" si="34"/>
        <v>16</v>
      </c>
      <c r="AD77">
        <f t="shared" si="35"/>
        <v>4.7244665351583883</v>
      </c>
      <c r="AF77" s="13" t="e">
        <f ca="1"/>
        <v>#NAME?</v>
      </c>
      <c r="AG77" s="13" t="e">
        <f ca="1"/>
        <v>#NAME?</v>
      </c>
      <c r="AH77" s="13" t="e">
        <f ca="1"/>
        <v>#NAME?</v>
      </c>
      <c r="AI77" s="13" t="e">
        <f ca="1"/>
        <v>#NAME?</v>
      </c>
    </row>
    <row r="78" spans="4:35" x14ac:dyDescent="0.35">
      <c r="D78">
        <f t="shared" si="33"/>
        <v>17</v>
      </c>
      <c r="E78">
        <f t="shared" si="25"/>
        <v>6.0271551265385801</v>
      </c>
      <c r="F78">
        <f t="shared" si="36"/>
        <v>1.3897592306543922</v>
      </c>
      <c r="U78">
        <f t="shared" si="26"/>
        <v>17</v>
      </c>
      <c r="V78">
        <f t="shared" si="27"/>
        <v>6.0271551265385801</v>
      </c>
      <c r="W78">
        <f t="shared" si="28"/>
        <v>1.3897592306543922</v>
      </c>
      <c r="X78">
        <f t="shared" si="29"/>
        <v>4.6373958958841879</v>
      </c>
      <c r="Y78">
        <f t="shared" si="30"/>
        <v>1.0710106336064442</v>
      </c>
      <c r="Z78">
        <f t="shared" si="31"/>
        <v>2.5382536269561342</v>
      </c>
      <c r="AA78">
        <f t="shared" si="32"/>
        <v>6.7365381648122415</v>
      </c>
      <c r="AC78">
        <f t="shared" si="34"/>
        <v>17</v>
      </c>
      <c r="AD78">
        <f t="shared" si="35"/>
        <v>6.0271551265385801</v>
      </c>
      <c r="AF78" s="4" t="e">
        <f ca="1"/>
        <v>#NAME?</v>
      </c>
      <c r="AG78" s="4" t="e">
        <f ca="1"/>
        <v>#NAME?</v>
      </c>
      <c r="AH78" s="4" t="e">
        <f ca="1"/>
        <v>#NAME?</v>
      </c>
      <c r="AI78" s="4" t="e">
        <f ca="1"/>
        <v>#NAME?</v>
      </c>
    </row>
    <row r="79" spans="4:35" x14ac:dyDescent="0.35">
      <c r="D79">
        <f t="shared" si="33"/>
        <v>18</v>
      </c>
      <c r="E79">
        <f t="shared" si="25"/>
        <v>7.1259100258620851</v>
      </c>
      <c r="F79">
        <f t="shared" si="36"/>
        <v>-0.18985052256915047</v>
      </c>
      <c r="I79" t="s">
        <v>370</v>
      </c>
      <c r="J79" s="121">
        <f>-(J82-2*(J69+J70))/2</f>
        <v>-23.63787518321266</v>
      </c>
      <c r="U79">
        <f t="shared" si="26"/>
        <v>18</v>
      </c>
      <c r="V79">
        <f t="shared" si="27"/>
        <v>7.1259100258620851</v>
      </c>
      <c r="W79">
        <f t="shared" si="28"/>
        <v>-0.18985052256915047</v>
      </c>
      <c r="X79">
        <f t="shared" si="29"/>
        <v>7.3157605484312356</v>
      </c>
      <c r="Y79">
        <f t="shared" si="30"/>
        <v>1.0710106336064442</v>
      </c>
      <c r="Z79">
        <f t="shared" si="31"/>
        <v>5.2166182795031819</v>
      </c>
      <c r="AA79">
        <f t="shared" si="32"/>
        <v>9.4149028173592892</v>
      </c>
      <c r="AC79">
        <f t="shared" si="34"/>
        <v>18</v>
      </c>
      <c r="AD79">
        <f t="shared" si="35"/>
        <v>7.1259100258620851</v>
      </c>
    </row>
    <row r="80" spans="4:35" x14ac:dyDescent="0.35">
      <c r="D80">
        <f t="shared" si="33"/>
        <v>19</v>
      </c>
      <c r="E80">
        <f t="shared" si="25"/>
        <v>7.1912478294921529</v>
      </c>
      <c r="F80">
        <f t="shared" si="36"/>
        <v>0.60263306111434822</v>
      </c>
      <c r="I80" t="s">
        <v>145</v>
      </c>
      <c r="J80" s="107">
        <f>J77*LN(J67/J77)+2*(J69+J70)</f>
        <v>5.0318402374664482</v>
      </c>
      <c r="U80">
        <f t="shared" si="26"/>
        <v>19</v>
      </c>
      <c r="V80">
        <f t="shared" si="27"/>
        <v>7.1912478294921529</v>
      </c>
      <c r="W80">
        <f t="shared" si="28"/>
        <v>0.60263306111434822</v>
      </c>
      <c r="X80">
        <f t="shared" si="29"/>
        <v>6.5886147683778047</v>
      </c>
      <c r="Y80">
        <f t="shared" si="30"/>
        <v>1.0710106336064442</v>
      </c>
      <c r="Z80">
        <f t="shared" si="31"/>
        <v>4.489472499449751</v>
      </c>
      <c r="AA80">
        <f t="shared" si="32"/>
        <v>8.6877570373058575</v>
      </c>
      <c r="AC80">
        <f t="shared" si="34"/>
        <v>19</v>
      </c>
      <c r="AD80">
        <f t="shared" si="35"/>
        <v>7.1912478294921529</v>
      </c>
    </row>
    <row r="81" spans="4:30" x14ac:dyDescent="0.35">
      <c r="D81" s="4">
        <f t="shared" si="33"/>
        <v>20</v>
      </c>
      <c r="E81" s="4">
        <f t="shared" si="25"/>
        <v>6.6826916383449895</v>
      </c>
      <c r="F81" s="4">
        <f t="shared" si="36"/>
        <v>0.13891749913329576</v>
      </c>
      <c r="I81" t="s">
        <v>371</v>
      </c>
      <c r="J81" s="107">
        <f>J77*LN(J67/J77)+LN(J77)*(J69+J70)</f>
        <v>7.5314802696350975</v>
      </c>
      <c r="U81">
        <f t="shared" si="26"/>
        <v>20</v>
      </c>
      <c r="V81">
        <f t="shared" si="27"/>
        <v>6.6826916383449895</v>
      </c>
      <c r="W81">
        <f t="shared" si="28"/>
        <v>0.13891749913329576</v>
      </c>
      <c r="X81">
        <f t="shared" si="29"/>
        <v>6.5437741392116937</v>
      </c>
      <c r="Y81">
        <f t="shared" si="30"/>
        <v>1.0710106336064442</v>
      </c>
      <c r="Z81">
        <f t="shared" si="31"/>
        <v>4.44463187028364</v>
      </c>
      <c r="AA81">
        <f t="shared" si="32"/>
        <v>8.6429164081397474</v>
      </c>
      <c r="AC81" s="4">
        <f t="shared" si="34"/>
        <v>20</v>
      </c>
      <c r="AD81" s="4">
        <f t="shared" si="35"/>
        <v>6.6826916383449895</v>
      </c>
    </row>
    <row r="82" spans="4:30" x14ac:dyDescent="0.35">
      <c r="I82" t="s">
        <v>372</v>
      </c>
      <c r="J82" s="107">
        <f>J77*(1+LN(2*PI()))+J80</f>
        <v>53.275750366425321</v>
      </c>
      <c r="U82">
        <f>U81+1</f>
        <v>21</v>
      </c>
      <c r="X82">
        <f>SUMPRODUCT(V79:V81,I$62:I$64)</f>
        <v>6.4634151830493032</v>
      </c>
      <c r="Y82" t="e">
        <f ca="1">J$74*SQRT(SUMSQ(M$73:M73))</f>
        <v>#NAME?</v>
      </c>
      <c r="Z82" t="e">
        <f ca="1">X82-NORMSINV(1-Y$60/2)*Y82</f>
        <v>#NAME?</v>
      </c>
      <c r="AA82" t="e">
        <f ca="1">X82+NORMSINV(1-Y$60/2)*Y82</f>
        <v>#NAME?</v>
      </c>
      <c r="AC82">
        <f t="shared" si="34"/>
        <v>21</v>
      </c>
      <c r="AD82">
        <f>X82</f>
        <v>6.4634151830493032</v>
      </c>
    </row>
    <row r="83" spans="4:30" x14ac:dyDescent="0.35">
      <c r="I83" t="s">
        <v>373</v>
      </c>
      <c r="J83" s="108">
        <f>J77*(1+LN(2*PI()))+J81</f>
        <v>55.77539039859397</v>
      </c>
      <c r="U83">
        <f>U82+1</f>
        <v>22</v>
      </c>
      <c r="X83">
        <f>SUMPRODUCT(V80:V81,I62:I63)+SUMPRODUCT(X82,I64)</f>
        <v>6.6085359890431246</v>
      </c>
      <c r="Y83" t="e">
        <f ca="1">J$74*SQRT(SUMSQ(M$73:M74))</f>
        <v>#NAME?</v>
      </c>
      <c r="Z83" t="e">
        <f ca="1">X83-NORMSINV(1-Y$60/2)*Y83</f>
        <v>#NAME?</v>
      </c>
      <c r="AA83" t="e">
        <f ca="1">X83+NORMSINV(1-Y$60/2)*Y83</f>
        <v>#NAME?</v>
      </c>
      <c r="AC83">
        <f t="shared" si="34"/>
        <v>22</v>
      </c>
      <c r="AD83">
        <f>X83</f>
        <v>6.6085359890431246</v>
      </c>
    </row>
    <row r="84" spans="4:30" x14ac:dyDescent="0.35">
      <c r="U84">
        <f>U83+1</f>
        <v>23</v>
      </c>
      <c r="X84">
        <f>SUMPRODUCT(V81,I62)+SUMPRODUCT(X82:X83,I63:I64)</f>
        <v>6.6764374243023639</v>
      </c>
      <c r="Y84" t="e">
        <f ca="1">J$74*SQRT(SUMSQ(M$73:M75))</f>
        <v>#NAME?</v>
      </c>
      <c r="Z84" t="e">
        <f ca="1">X84-NORMSINV(1-Y$60/2)*Y84</f>
        <v>#NAME?</v>
      </c>
      <c r="AA84" t="e">
        <f ca="1">X84+NORMSINV(1-Y$60/2)*Y84</f>
        <v>#NAME?</v>
      </c>
      <c r="AC84">
        <f t="shared" si="34"/>
        <v>23</v>
      </c>
      <c r="AD84">
        <f>X84</f>
        <v>6.6764374243023639</v>
      </c>
    </row>
    <row r="85" spans="4:30" x14ac:dyDescent="0.35">
      <c r="U85">
        <f>U84+1</f>
        <v>24</v>
      </c>
      <c r="X85">
        <f>SUMPRODUCT(X82:X84,I62:I64)</f>
        <v>6.5360988797573771</v>
      </c>
      <c r="Y85" t="e">
        <f ca="1">J$74*SQRT(SUMSQ(M$73:M76))</f>
        <v>#NAME?</v>
      </c>
      <c r="Z85" t="e">
        <f ca="1">X85-NORMSINV(1-Y$60/2)*Y85</f>
        <v>#NAME?</v>
      </c>
      <c r="AA85" t="e">
        <f ca="1">X85+NORMSINV(1-Y$60/2)*Y85</f>
        <v>#NAME?</v>
      </c>
      <c r="AC85">
        <f t="shared" si="34"/>
        <v>24</v>
      </c>
      <c r="AD85">
        <f>X85</f>
        <v>6.5360988797573771</v>
      </c>
    </row>
    <row r="86" spans="4:30" x14ac:dyDescent="0.35">
      <c r="U86" s="4">
        <f>U85+1</f>
        <v>25</v>
      </c>
      <c r="V86" s="4"/>
      <c r="W86" s="4"/>
      <c r="X86" s="4">
        <f>SUMPRODUCT(X83:X85,I62:I64)</f>
        <v>6.3943229192071396</v>
      </c>
      <c r="Y86" s="4" t="e">
        <f ca="1">J$74*SQRT(SUMSQ(M$73:M77))</f>
        <v>#NAME?</v>
      </c>
      <c r="Z86" s="4" t="e">
        <f ca="1">X86-NORMSINV(1-Y$60/2)*Y86</f>
        <v>#NAME?</v>
      </c>
      <c r="AA86" s="4" t="e">
        <f ca="1">X86+NORMSINV(1-Y$60/2)*Y86</f>
        <v>#NAME?</v>
      </c>
      <c r="AC86" s="4">
        <f t="shared" si="34"/>
        <v>25</v>
      </c>
      <c r="AD86" s="4">
        <f>X86</f>
        <v>6.3943229192071396</v>
      </c>
    </row>
    <row r="88" spans="4:30" x14ac:dyDescent="0.35">
      <c r="D88" t="s">
        <v>406</v>
      </c>
      <c r="H88" t="s">
        <v>355</v>
      </c>
      <c r="L88" t="s">
        <v>374</v>
      </c>
      <c r="P88" t="s">
        <v>379</v>
      </c>
      <c r="U88" t="s">
        <v>383</v>
      </c>
      <c r="AC88" t="s">
        <v>384</v>
      </c>
    </row>
    <row r="89" spans="4:30" ht="15" thickBot="1" x14ac:dyDescent="0.4">
      <c r="X89" t="s">
        <v>156</v>
      </c>
      <c r="Y89">
        <v>0.05</v>
      </c>
    </row>
    <row r="90" spans="4:30" ht="15" thickTop="1" x14ac:dyDescent="0.35">
      <c r="D90" s="45" t="s">
        <v>291</v>
      </c>
      <c r="E90" s="45" t="s">
        <v>194</v>
      </c>
      <c r="F90" s="45" t="s">
        <v>354</v>
      </c>
      <c r="H90" s="45" t="s">
        <v>356</v>
      </c>
      <c r="I90" s="45" t="s">
        <v>357</v>
      </c>
      <c r="J90" s="45" t="s">
        <v>358</v>
      </c>
      <c r="L90" s="45" t="s">
        <v>173</v>
      </c>
      <c r="M90" s="45" t="s">
        <v>174</v>
      </c>
      <c r="N90" s="45" t="s">
        <v>375</v>
      </c>
      <c r="P90" s="45" t="s">
        <v>380</v>
      </c>
      <c r="Q90" s="45" t="s">
        <v>167</v>
      </c>
      <c r="R90" s="45" t="s">
        <v>297</v>
      </c>
      <c r="S90" s="45" t="s">
        <v>92</v>
      </c>
      <c r="U90" s="45" t="s">
        <v>291</v>
      </c>
      <c r="V90" s="45" t="s">
        <v>194</v>
      </c>
      <c r="W90" s="45" t="s">
        <v>354</v>
      </c>
      <c r="X90" s="45" t="s">
        <v>138</v>
      </c>
      <c r="Y90" s="45" t="s">
        <v>81</v>
      </c>
      <c r="Z90" s="45" t="s">
        <v>127</v>
      </c>
      <c r="AA90" s="45" t="s">
        <v>128</v>
      </c>
      <c r="AC90" s="45" t="s">
        <v>291</v>
      </c>
      <c r="AD90" s="45" t="s">
        <v>179</v>
      </c>
    </row>
    <row r="91" spans="4:30" x14ac:dyDescent="0.35">
      <c r="D91">
        <v>1</v>
      </c>
      <c r="E91">
        <f>B4</f>
        <v>4.5267574698597484</v>
      </c>
      <c r="F91">
        <v>0</v>
      </c>
      <c r="H91" s="115">
        <v>3</v>
      </c>
      <c r="I91">
        <v>0.52489081484369016</v>
      </c>
      <c r="J91">
        <v>0</v>
      </c>
      <c r="L91" t="e">
        <f t="array" aca="1" ref="L91:N93" ca="1">ARRoots(I91:I93)</f>
        <v>#NAME?</v>
      </c>
      <c r="M91" t="e">
        <f ca="1"/>
        <v>#NAME?</v>
      </c>
      <c r="N91" t="e">
        <f ca="1"/>
        <v>#NAME?</v>
      </c>
      <c r="P91" t="s">
        <v>381</v>
      </c>
      <c r="Q91">
        <f>I93</f>
        <v>1.1977138188847922</v>
      </c>
      <c r="R91" t="e" cm="1">
        <f t="array" aca="1" ref="R91" ca="1">ARMA_SSE(E91:E110,Q91:Q93,,0,1)</f>
        <v>#NAME?</v>
      </c>
      <c r="S91" t="e">
        <f ca="1">CHIDIST(J106*(LN(R91)-LN(J96)),1)</f>
        <v>#NAME?</v>
      </c>
      <c r="U91">
        <f>D91</f>
        <v>1</v>
      </c>
      <c r="V91">
        <f>E91</f>
        <v>4.5267574698597484</v>
      </c>
      <c r="W91">
        <f>F91</f>
        <v>0</v>
      </c>
      <c r="X91">
        <f>V91-W91</f>
        <v>4.5267574698597484</v>
      </c>
      <c r="Y91">
        <f>J$103</f>
        <v>0.97192631293472387</v>
      </c>
      <c r="Z91">
        <f>X91-NORMSINV(1-Y$89/2)*Y91</f>
        <v>2.621816900880884</v>
      </c>
      <c r="AA91">
        <f>X91+NORMSINV(1-Y$89/2)*Y91</f>
        <v>6.4316980388386131</v>
      </c>
      <c r="AC91">
        <v>1</v>
      </c>
      <c r="AD91">
        <f>B4</f>
        <v>4.5267574698597484</v>
      </c>
    </row>
    <row r="92" spans="4:30" x14ac:dyDescent="0.35">
      <c r="D92">
        <f>D91+1</f>
        <v>2</v>
      </c>
      <c r="E92">
        <f t="shared" ref="E92:E110" si="37">B5</f>
        <v>6.893370777512497</v>
      </c>
      <c r="F92">
        <v>0</v>
      </c>
      <c r="H92" s="115">
        <f>H91-1</f>
        <v>2</v>
      </c>
      <c r="I92">
        <v>-0.7343456636082657</v>
      </c>
      <c r="J92">
        <v>0</v>
      </c>
      <c r="L92" t="e">
        <f ca="1"/>
        <v>#NAME?</v>
      </c>
      <c r="M92" t="e">
        <f ca="1"/>
        <v>#NAME?</v>
      </c>
      <c r="N92" t="e">
        <f ca="1"/>
        <v>#NAME?</v>
      </c>
      <c r="P92" t="s">
        <v>399</v>
      </c>
      <c r="Q92">
        <f>I92</f>
        <v>-0.7343456636082657</v>
      </c>
      <c r="R92" t="e" cm="1">
        <f t="array" aca="1" ref="R92" ca="1">ARMA_SSE(E91:E110,Q91:Q93,,0,2)</f>
        <v>#NAME?</v>
      </c>
      <c r="S92" t="e">
        <f ca="1">CHIDIST(J106*(LN(R92)-LN(J96)),1)</f>
        <v>#NAME?</v>
      </c>
      <c r="U92">
        <f t="shared" ref="U92:U110" si="38">D92</f>
        <v>2</v>
      </c>
      <c r="V92">
        <f t="shared" ref="V92:V110" si="39">E92</f>
        <v>6.893370777512497</v>
      </c>
      <c r="W92">
        <f t="shared" ref="W92:W110" si="40">F92</f>
        <v>0</v>
      </c>
      <c r="X92">
        <f t="shared" ref="X92:X110" si="41">V92-W92</f>
        <v>6.893370777512497</v>
      </c>
      <c r="Y92">
        <f t="shared" ref="Y92:Y110" si="42">J$103</f>
        <v>0.97192631293472387</v>
      </c>
      <c r="Z92">
        <f t="shared" ref="Z92:Z110" si="43">X92-NORMSINV(1-Y$89/2)*Y92</f>
        <v>4.9884302085336323</v>
      </c>
      <c r="AA92">
        <f t="shared" ref="AA92:AA110" si="44">X92+NORMSINV(1-Y$89/2)*Y92</f>
        <v>8.7983113464913618</v>
      </c>
      <c r="AC92">
        <f>AC91+1</f>
        <v>2</v>
      </c>
      <c r="AD92">
        <f>B5</f>
        <v>6.893370777512497</v>
      </c>
    </row>
    <row r="93" spans="4:30" x14ac:dyDescent="0.35">
      <c r="D93">
        <f t="shared" ref="D93:D110" si="45">D92+1</f>
        <v>3</v>
      </c>
      <c r="E93">
        <f t="shared" si="37"/>
        <v>8.4253951175675805</v>
      </c>
      <c r="F93">
        <v>0</v>
      </c>
      <c r="H93" s="115">
        <f>H92-1</f>
        <v>1</v>
      </c>
      <c r="I93">
        <v>1.1977138188847922</v>
      </c>
      <c r="J93">
        <v>0</v>
      </c>
      <c r="L93" s="4" t="e">
        <f ca="1"/>
        <v>#NAME?</v>
      </c>
      <c r="M93" s="4" t="e">
        <f ca="1"/>
        <v>#NAME?</v>
      </c>
      <c r="N93" s="4" t="e">
        <f ca="1"/>
        <v>#NAME?</v>
      </c>
      <c r="P93" t="s">
        <v>403</v>
      </c>
      <c r="Q93">
        <f>I91</f>
        <v>0.52489081484369016</v>
      </c>
      <c r="R93" t="e" cm="1">
        <f t="array" aca="1" ref="R93" ca="1">ARMA_SSE(E91:E110,Q91:Q93,,0,3)</f>
        <v>#NAME?</v>
      </c>
      <c r="S93" t="e">
        <f ca="1">CHIDIST(J106*(LN(R93)-LN(J96)),1)</f>
        <v>#NAME?</v>
      </c>
      <c r="U93">
        <f t="shared" si="38"/>
        <v>3</v>
      </c>
      <c r="V93">
        <f t="shared" si="39"/>
        <v>8.4253951175675805</v>
      </c>
      <c r="W93">
        <f t="shared" si="40"/>
        <v>0</v>
      </c>
      <c r="X93">
        <f t="shared" si="41"/>
        <v>8.4253951175675805</v>
      </c>
      <c r="Y93">
        <f t="shared" si="42"/>
        <v>0.97192631293472387</v>
      </c>
      <c r="Z93">
        <f t="shared" si="43"/>
        <v>6.5204545485887166</v>
      </c>
      <c r="AA93">
        <f t="shared" si="44"/>
        <v>10.330335686546444</v>
      </c>
      <c r="AC93">
        <f t="shared" ref="AC93:AC115" si="46">AC92+1</f>
        <v>3</v>
      </c>
      <c r="AD93">
        <f t="shared" ref="AD93:AD110" si="47">B6</f>
        <v>8.4253951175675805</v>
      </c>
    </row>
    <row r="94" spans="4:30" x14ac:dyDescent="0.35">
      <c r="D94">
        <f t="shared" si="45"/>
        <v>4</v>
      </c>
      <c r="E94">
        <f t="shared" si="37"/>
        <v>6.999502086988997</v>
      </c>
      <c r="F94">
        <f>E94-SUMPRODUCT(E91:E93,I$91:I$93)</f>
        <v>-0.40564655373035663</v>
      </c>
      <c r="H94" s="10" t="s">
        <v>359</v>
      </c>
      <c r="I94" s="4">
        <v>0</v>
      </c>
      <c r="J94" s="4">
        <v>0</v>
      </c>
      <c r="P94" s="4" t="s">
        <v>120</v>
      </c>
      <c r="Q94" s="4">
        <f>J104</f>
        <v>6.6860051522260298</v>
      </c>
      <c r="R94" s="4">
        <f>-Q94/(J105/SQRT(J106))</f>
        <v>-26.793730763335184</v>
      </c>
      <c r="S94" s="4">
        <f>TDIST(ABS(R94),J106-1,2)</f>
        <v>1.0120327521144312E-14</v>
      </c>
      <c r="U94">
        <f t="shared" si="38"/>
        <v>4</v>
      </c>
      <c r="V94">
        <f t="shared" si="39"/>
        <v>6.999502086988997</v>
      </c>
      <c r="W94">
        <f t="shared" si="40"/>
        <v>-0.40564655373035663</v>
      </c>
      <c r="X94">
        <f t="shared" si="41"/>
        <v>7.4051486407193536</v>
      </c>
      <c r="Y94">
        <f t="shared" si="42"/>
        <v>0.97192631293472387</v>
      </c>
      <c r="Z94">
        <f t="shared" si="43"/>
        <v>5.5002080717404898</v>
      </c>
      <c r="AA94">
        <f t="shared" si="44"/>
        <v>9.3100892096982175</v>
      </c>
      <c r="AC94">
        <f t="shared" si="46"/>
        <v>4</v>
      </c>
      <c r="AD94">
        <f t="shared" si="47"/>
        <v>6.999502086988997</v>
      </c>
    </row>
    <row r="95" spans="4:30" x14ac:dyDescent="0.35">
      <c r="D95">
        <f t="shared" si="45"/>
        <v>5</v>
      </c>
      <c r="E95">
        <f t="shared" si="37"/>
        <v>6.1875941616300834</v>
      </c>
      <c r="F95">
        <f t="shared" ref="F95:F110" si="48">E95-SUMPRODUCT(E92:E94,I$91:I$93)</f>
        <v>0.37307915107420886</v>
      </c>
      <c r="L95" t="s">
        <v>376</v>
      </c>
      <c r="U95">
        <f t="shared" si="38"/>
        <v>5</v>
      </c>
      <c r="V95">
        <f t="shared" si="39"/>
        <v>6.1875941616300834</v>
      </c>
      <c r="W95">
        <f t="shared" si="40"/>
        <v>0.37307915107420886</v>
      </c>
      <c r="X95">
        <f t="shared" si="41"/>
        <v>5.8145150105558745</v>
      </c>
      <c r="Y95">
        <f t="shared" si="42"/>
        <v>0.97192631293472387</v>
      </c>
      <c r="Z95">
        <f t="shared" si="43"/>
        <v>3.9095744415770102</v>
      </c>
      <c r="AA95">
        <f t="shared" si="44"/>
        <v>7.7194555795347384</v>
      </c>
      <c r="AC95">
        <f t="shared" si="46"/>
        <v>5</v>
      </c>
      <c r="AD95">
        <f t="shared" si="47"/>
        <v>6.1875941616300834</v>
      </c>
    </row>
    <row r="96" spans="4:30" ht="15" thickBot="1" x14ac:dyDescent="0.4">
      <c r="D96">
        <f t="shared" si="45"/>
        <v>6</v>
      </c>
      <c r="E96">
        <f t="shared" si="37"/>
        <v>5.8129764708798239</v>
      </c>
      <c r="F96">
        <f t="shared" si="48"/>
        <v>-0.88034906579810723</v>
      </c>
      <c r="I96" t="s">
        <v>121</v>
      </c>
      <c r="J96" s="119">
        <f>SUMSQ(F94:F110)</f>
        <v>16.058892882173076</v>
      </c>
      <c r="P96" t="s">
        <v>360</v>
      </c>
      <c r="Q96" s="120" t="s">
        <v>304</v>
      </c>
      <c r="U96">
        <f t="shared" si="38"/>
        <v>6</v>
      </c>
      <c r="V96">
        <f t="shared" si="39"/>
        <v>5.8129764708798239</v>
      </c>
      <c r="W96">
        <f t="shared" si="40"/>
        <v>-0.88034906579810723</v>
      </c>
      <c r="X96">
        <f t="shared" si="41"/>
        <v>6.6933255366779312</v>
      </c>
      <c r="Y96">
        <f t="shared" si="42"/>
        <v>0.97192631293472387</v>
      </c>
      <c r="Z96">
        <f t="shared" si="43"/>
        <v>4.7883849676990664</v>
      </c>
      <c r="AA96">
        <f t="shared" si="44"/>
        <v>8.5982661056567959</v>
      </c>
      <c r="AC96">
        <f t="shared" si="46"/>
        <v>6</v>
      </c>
      <c r="AD96">
        <f t="shared" si="47"/>
        <v>5.8129764708798239</v>
      </c>
    </row>
    <row r="97" spans="4:30" ht="15" thickTop="1" x14ac:dyDescent="0.35">
      <c r="D97">
        <f t="shared" si="45"/>
        <v>7</v>
      </c>
      <c r="E97">
        <f t="shared" si="37"/>
        <v>7.1200726875188378</v>
      </c>
      <c r="F97">
        <f t="shared" si="48"/>
        <v>1.0276490263150313</v>
      </c>
      <c r="L97" s="45" t="s">
        <v>173</v>
      </c>
      <c r="M97" s="45" t="s">
        <v>174</v>
      </c>
      <c r="N97" s="45" t="s">
        <v>375</v>
      </c>
      <c r="U97">
        <f t="shared" si="38"/>
        <v>7</v>
      </c>
      <c r="V97">
        <f t="shared" si="39"/>
        <v>7.1200726875188378</v>
      </c>
      <c r="W97">
        <f t="shared" si="40"/>
        <v>1.0276490263150313</v>
      </c>
      <c r="X97">
        <f t="shared" si="41"/>
        <v>6.0924236612038065</v>
      </c>
      <c r="Y97">
        <f t="shared" si="42"/>
        <v>0.97192631293472387</v>
      </c>
      <c r="Z97">
        <f t="shared" si="43"/>
        <v>4.1874830922249426</v>
      </c>
      <c r="AA97">
        <f t="shared" si="44"/>
        <v>7.9973642301826704</v>
      </c>
      <c r="AC97">
        <f t="shared" si="46"/>
        <v>7</v>
      </c>
      <c r="AD97">
        <f t="shared" si="47"/>
        <v>7.1200726875188378</v>
      </c>
    </row>
    <row r="98" spans="4:30" x14ac:dyDescent="0.35">
      <c r="D98">
        <f t="shared" si="45"/>
        <v>8</v>
      </c>
      <c r="E98">
        <f t="shared" si="37"/>
        <v>8.5019149332741044</v>
      </c>
      <c r="F98">
        <f t="shared" si="48"/>
        <v>0.99502820659601454</v>
      </c>
      <c r="I98" t="s">
        <v>361</v>
      </c>
      <c r="J98" s="121">
        <v>3</v>
      </c>
      <c r="U98">
        <f t="shared" si="38"/>
        <v>8</v>
      </c>
      <c r="V98">
        <f t="shared" si="39"/>
        <v>8.5019149332741044</v>
      </c>
      <c r="W98">
        <f t="shared" si="40"/>
        <v>0.99502820659601454</v>
      </c>
      <c r="X98">
        <f t="shared" si="41"/>
        <v>7.5068867266780899</v>
      </c>
      <c r="Y98">
        <f t="shared" si="42"/>
        <v>0.97192631293472387</v>
      </c>
      <c r="Z98">
        <f t="shared" si="43"/>
        <v>5.601946157699226</v>
      </c>
      <c r="AA98">
        <f t="shared" si="44"/>
        <v>9.4118272956569538</v>
      </c>
      <c r="AC98">
        <f t="shared" si="46"/>
        <v>8</v>
      </c>
      <c r="AD98">
        <f t="shared" si="47"/>
        <v>8.5019149332741044</v>
      </c>
    </row>
    <row r="99" spans="4:30" x14ac:dyDescent="0.35">
      <c r="D99">
        <f t="shared" si="45"/>
        <v>9</v>
      </c>
      <c r="E99">
        <f t="shared" si="37"/>
        <v>7.3012221051820614</v>
      </c>
      <c r="F99">
        <f t="shared" si="48"/>
        <v>-0.70422235119550969</v>
      </c>
      <c r="I99" t="s">
        <v>362</v>
      </c>
      <c r="J99" s="107">
        <v>0</v>
      </c>
      <c r="L99" t="s">
        <v>377</v>
      </c>
      <c r="U99">
        <f t="shared" si="38"/>
        <v>9</v>
      </c>
      <c r="V99">
        <f t="shared" si="39"/>
        <v>7.3012221051820614</v>
      </c>
      <c r="W99">
        <f t="shared" si="40"/>
        <v>-0.70422235119550969</v>
      </c>
      <c r="X99">
        <f t="shared" si="41"/>
        <v>8.0054444563775711</v>
      </c>
      <c r="Y99">
        <f t="shared" si="42"/>
        <v>0.97192631293472387</v>
      </c>
      <c r="Z99">
        <f t="shared" si="43"/>
        <v>6.1005038873987072</v>
      </c>
      <c r="AA99">
        <f t="shared" si="44"/>
        <v>9.910385025356435</v>
      </c>
      <c r="AC99">
        <f t="shared" si="46"/>
        <v>9</v>
      </c>
      <c r="AD99">
        <f t="shared" si="47"/>
        <v>7.3012221051820614</v>
      </c>
    </row>
    <row r="100" spans="4:30" ht="15" thickBot="1" x14ac:dyDescent="0.4">
      <c r="D100">
        <f t="shared" si="45"/>
        <v>10</v>
      </c>
      <c r="E100">
        <f t="shared" si="37"/>
        <v>6.0388768293832715</v>
      </c>
      <c r="F100">
        <f t="shared" si="48"/>
        <v>-0.19981417182226657</v>
      </c>
      <c r="I100" t="s">
        <v>363</v>
      </c>
      <c r="J100" s="107">
        <v>0</v>
      </c>
      <c r="U100">
        <f t="shared" si="38"/>
        <v>10</v>
      </c>
      <c r="V100">
        <f t="shared" si="39"/>
        <v>6.0388768293832715</v>
      </c>
      <c r="W100">
        <f t="shared" si="40"/>
        <v>-0.19981417182226657</v>
      </c>
      <c r="X100">
        <f t="shared" si="41"/>
        <v>6.2386910012055381</v>
      </c>
      <c r="Y100">
        <f t="shared" si="42"/>
        <v>0.97192631293472387</v>
      </c>
      <c r="Z100">
        <f t="shared" si="43"/>
        <v>4.3337504322266742</v>
      </c>
      <c r="AA100">
        <f t="shared" si="44"/>
        <v>8.143631570184402</v>
      </c>
      <c r="AC100">
        <f t="shared" si="46"/>
        <v>10</v>
      </c>
      <c r="AD100">
        <f t="shared" si="47"/>
        <v>6.0388768293832715</v>
      </c>
    </row>
    <row r="101" spans="4:30" ht="15" thickTop="1" x14ac:dyDescent="0.35">
      <c r="D101">
        <f t="shared" si="45"/>
        <v>11</v>
      </c>
      <c r="E101">
        <f t="shared" si="37"/>
        <v>4.7460896891377891</v>
      </c>
      <c r="F101">
        <f t="shared" si="48"/>
        <v>-1.5877128050344576</v>
      </c>
      <c r="I101" t="s">
        <v>364</v>
      </c>
      <c r="J101" s="107">
        <f>AVERAGE(F94:F110)</f>
        <v>5.3773360653897588E-2</v>
      </c>
      <c r="L101" s="45" t="s">
        <v>356</v>
      </c>
      <c r="M101" s="45" t="s">
        <v>378</v>
      </c>
      <c r="U101">
        <f t="shared" si="38"/>
        <v>11</v>
      </c>
      <c r="V101">
        <f t="shared" si="39"/>
        <v>4.7460896891377891</v>
      </c>
      <c r="W101">
        <f t="shared" si="40"/>
        <v>-1.5877128050344576</v>
      </c>
      <c r="X101">
        <f t="shared" si="41"/>
        <v>6.3338024941722466</v>
      </c>
      <c r="Y101">
        <f t="shared" si="42"/>
        <v>0.97192631293472387</v>
      </c>
      <c r="Z101">
        <f t="shared" si="43"/>
        <v>4.4288619251933827</v>
      </c>
      <c r="AA101">
        <f t="shared" si="44"/>
        <v>8.2387430631511105</v>
      </c>
      <c r="AC101">
        <f t="shared" si="46"/>
        <v>11</v>
      </c>
      <c r="AD101">
        <f t="shared" si="47"/>
        <v>4.7460896891377891</v>
      </c>
    </row>
    <row r="102" spans="4:30" x14ac:dyDescent="0.35">
      <c r="D102">
        <f t="shared" si="45"/>
        <v>12</v>
      </c>
      <c r="E102">
        <f t="shared" si="37"/>
        <v>6.6536767183588417</v>
      </c>
      <c r="F102">
        <f t="shared" si="48"/>
        <v>1.5714981045901473</v>
      </c>
      <c r="I102" t="s">
        <v>365</v>
      </c>
      <c r="J102" s="107">
        <f>STDEV(F94:F110)</f>
        <v>1.0003042074414423</v>
      </c>
      <c r="L102" s="59">
        <v>0</v>
      </c>
      <c r="M102" s="59" t="e">
        <f t="array" aca="1" ref="M102:M106" ca="1">PSICoeff(I91:I93)</f>
        <v>#NAME?</v>
      </c>
      <c r="U102">
        <f t="shared" si="38"/>
        <v>12</v>
      </c>
      <c r="V102">
        <f t="shared" si="39"/>
        <v>6.6536767183588417</v>
      </c>
      <c r="W102">
        <f t="shared" si="40"/>
        <v>1.5714981045901473</v>
      </c>
      <c r="X102">
        <f t="shared" si="41"/>
        <v>5.0821786137686944</v>
      </c>
      <c r="Y102">
        <f t="shared" si="42"/>
        <v>0.97192631293472387</v>
      </c>
      <c r="Z102">
        <f t="shared" si="43"/>
        <v>3.1772380447898301</v>
      </c>
      <c r="AA102">
        <f t="shared" si="44"/>
        <v>6.9871191827475592</v>
      </c>
      <c r="AC102">
        <f t="shared" si="46"/>
        <v>12</v>
      </c>
      <c r="AD102">
        <f t="shared" si="47"/>
        <v>6.6536767183588417</v>
      </c>
    </row>
    <row r="103" spans="4:30" x14ac:dyDescent="0.35">
      <c r="D103">
        <f t="shared" si="45"/>
        <v>13</v>
      </c>
      <c r="E103">
        <f t="shared" si="37"/>
        <v>8.1939759194869595</v>
      </c>
      <c r="F103">
        <f t="shared" si="48"/>
        <v>0.54029477011513016</v>
      </c>
      <c r="I103" t="s">
        <v>366</v>
      </c>
      <c r="J103" s="107">
        <f>SQRT(J96/J106)</f>
        <v>0.97192631293472387</v>
      </c>
      <c r="L103" s="13">
        <f>L102+1</f>
        <v>1</v>
      </c>
      <c r="M103" s="13" t="e">
        <f ca="1"/>
        <v>#NAME?</v>
      </c>
      <c r="U103">
        <f t="shared" si="38"/>
        <v>13</v>
      </c>
      <c r="V103">
        <f t="shared" si="39"/>
        <v>8.1939759194869595</v>
      </c>
      <c r="W103">
        <f t="shared" si="40"/>
        <v>0.54029477011513016</v>
      </c>
      <c r="X103">
        <f t="shared" si="41"/>
        <v>7.6536811493718293</v>
      </c>
      <c r="Y103">
        <f t="shared" si="42"/>
        <v>0.97192631293472387</v>
      </c>
      <c r="Z103">
        <f t="shared" si="43"/>
        <v>5.7487405803929654</v>
      </c>
      <c r="AA103">
        <f t="shared" si="44"/>
        <v>9.5586217183506932</v>
      </c>
      <c r="AC103">
        <f t="shared" si="46"/>
        <v>13</v>
      </c>
      <c r="AD103">
        <f t="shared" si="47"/>
        <v>8.1939759194869595</v>
      </c>
    </row>
    <row r="104" spans="4:30" x14ac:dyDescent="0.35">
      <c r="D104">
        <f t="shared" si="45"/>
        <v>14</v>
      </c>
      <c r="E104">
        <f t="shared" si="37"/>
        <v>7.5602635334693442</v>
      </c>
      <c r="F104">
        <f t="shared" si="48"/>
        <v>0.14114510401591218</v>
      </c>
      <c r="I104" t="s">
        <v>367</v>
      </c>
      <c r="J104" s="107">
        <f>AVERAGE(E94:E110)</f>
        <v>6.6860051522260298</v>
      </c>
      <c r="L104" s="13">
        <f>L103+1</f>
        <v>2</v>
      </c>
      <c r="M104" s="13" t="e">
        <f ca="1"/>
        <v>#NAME?</v>
      </c>
      <c r="U104">
        <f t="shared" si="38"/>
        <v>14</v>
      </c>
      <c r="V104">
        <f t="shared" si="39"/>
        <v>7.5602635334693442</v>
      </c>
      <c r="W104">
        <f t="shared" si="40"/>
        <v>0.14114510401591218</v>
      </c>
      <c r="X104">
        <f t="shared" si="41"/>
        <v>7.419118429453432</v>
      </c>
      <c r="Y104">
        <f t="shared" si="42"/>
        <v>0.97192631293472387</v>
      </c>
      <c r="Z104">
        <f t="shared" si="43"/>
        <v>5.5141778604745681</v>
      </c>
      <c r="AA104">
        <f t="shared" si="44"/>
        <v>9.3240589984322959</v>
      </c>
      <c r="AC104">
        <f t="shared" si="46"/>
        <v>14</v>
      </c>
      <c r="AD104">
        <f t="shared" si="47"/>
        <v>7.5602635334693442</v>
      </c>
    </row>
    <row r="105" spans="4:30" x14ac:dyDescent="0.35">
      <c r="D105">
        <f t="shared" si="45"/>
        <v>15</v>
      </c>
      <c r="E105">
        <f t="shared" si="37"/>
        <v>6.794451297136205</v>
      </c>
      <c r="F105">
        <f t="shared" si="48"/>
        <v>0.26417607846914049</v>
      </c>
      <c r="I105" t="s">
        <v>368</v>
      </c>
      <c r="J105" s="107">
        <f>STDEV(E94:E110)</f>
        <v>1.0288640167189751</v>
      </c>
      <c r="L105" s="13">
        <f>L104+1</f>
        <v>3</v>
      </c>
      <c r="M105" s="13" t="e">
        <f ca="1"/>
        <v>#NAME?</v>
      </c>
      <c r="U105">
        <f t="shared" si="38"/>
        <v>15</v>
      </c>
      <c r="V105">
        <f t="shared" si="39"/>
        <v>6.794451297136205</v>
      </c>
      <c r="W105">
        <f t="shared" si="40"/>
        <v>0.26417607846914049</v>
      </c>
      <c r="X105">
        <f t="shared" si="41"/>
        <v>6.5302752186670645</v>
      </c>
      <c r="Y105">
        <f t="shared" si="42"/>
        <v>0.97192631293472387</v>
      </c>
      <c r="Z105">
        <f t="shared" si="43"/>
        <v>4.6253346496882006</v>
      </c>
      <c r="AA105">
        <f t="shared" si="44"/>
        <v>8.4352157876459284</v>
      </c>
      <c r="AC105">
        <f t="shared" si="46"/>
        <v>15</v>
      </c>
      <c r="AD105">
        <f t="shared" si="47"/>
        <v>6.794451297136205</v>
      </c>
    </row>
    <row r="106" spans="4:30" x14ac:dyDescent="0.35">
      <c r="D106">
        <f t="shared" si="45"/>
        <v>16</v>
      </c>
      <c r="E106">
        <f t="shared" si="37"/>
        <v>4.7244665351583883</v>
      </c>
      <c r="F106">
        <f t="shared" si="48"/>
        <v>-2.1624376308115139</v>
      </c>
      <c r="I106" t="s">
        <v>369</v>
      </c>
      <c r="J106" s="108">
        <f>COUNT(E94:E110)</f>
        <v>17</v>
      </c>
      <c r="L106" s="4">
        <f>L105+1</f>
        <v>4</v>
      </c>
      <c r="M106" s="4" t="e">
        <f ca="1"/>
        <v>#NAME?</v>
      </c>
      <c r="U106">
        <f t="shared" si="38"/>
        <v>16</v>
      </c>
      <c r="V106">
        <f t="shared" si="39"/>
        <v>4.7244665351583883</v>
      </c>
      <c r="W106">
        <f t="shared" si="40"/>
        <v>-2.1624376308115139</v>
      </c>
      <c r="X106">
        <f t="shared" si="41"/>
        <v>6.8869041659699022</v>
      </c>
      <c r="Y106">
        <f t="shared" si="42"/>
        <v>0.97192631293472387</v>
      </c>
      <c r="Z106">
        <f t="shared" si="43"/>
        <v>4.9819635969910383</v>
      </c>
      <c r="AA106">
        <f t="shared" si="44"/>
        <v>8.7918447349487661</v>
      </c>
      <c r="AC106">
        <f t="shared" si="46"/>
        <v>16</v>
      </c>
      <c r="AD106">
        <f t="shared" si="47"/>
        <v>4.7244665351583883</v>
      </c>
    </row>
    <row r="107" spans="4:30" x14ac:dyDescent="0.35">
      <c r="D107">
        <f t="shared" si="45"/>
        <v>17</v>
      </c>
      <c r="E107">
        <f t="shared" si="37"/>
        <v>6.0271551265385801</v>
      </c>
      <c r="F107">
        <f t="shared" si="48"/>
        <v>1.3897592306543922</v>
      </c>
      <c r="U107">
        <f t="shared" si="38"/>
        <v>17</v>
      </c>
      <c r="V107">
        <f t="shared" si="39"/>
        <v>6.0271551265385801</v>
      </c>
      <c r="W107">
        <f t="shared" si="40"/>
        <v>1.3897592306543922</v>
      </c>
      <c r="X107">
        <f t="shared" si="41"/>
        <v>4.6373958958841879</v>
      </c>
      <c r="Y107">
        <f t="shared" si="42"/>
        <v>0.97192631293472387</v>
      </c>
      <c r="Z107">
        <f t="shared" si="43"/>
        <v>2.7324553269053236</v>
      </c>
      <c r="AA107">
        <f t="shared" si="44"/>
        <v>6.5423364648630518</v>
      </c>
      <c r="AC107">
        <f t="shared" si="46"/>
        <v>17</v>
      </c>
      <c r="AD107">
        <f t="shared" si="47"/>
        <v>6.0271551265385801</v>
      </c>
    </row>
    <row r="108" spans="4:30" x14ac:dyDescent="0.35">
      <c r="D108">
        <f t="shared" si="45"/>
        <v>18</v>
      </c>
      <c r="E108">
        <f t="shared" si="37"/>
        <v>7.1259100258620851</v>
      </c>
      <c r="F108">
        <f t="shared" si="48"/>
        <v>-0.18985052256915047</v>
      </c>
      <c r="I108" t="s">
        <v>370</v>
      </c>
      <c r="J108" s="121">
        <f>-(J111-2*(J98+J99))/2</f>
        <v>-23.63787518321266</v>
      </c>
      <c r="U108">
        <f t="shared" si="38"/>
        <v>18</v>
      </c>
      <c r="V108">
        <f t="shared" si="39"/>
        <v>7.1259100258620851</v>
      </c>
      <c r="W108">
        <f t="shared" si="40"/>
        <v>-0.18985052256915047</v>
      </c>
      <c r="X108">
        <f t="shared" si="41"/>
        <v>7.3157605484312356</v>
      </c>
      <c r="Y108">
        <f t="shared" si="42"/>
        <v>0.97192631293472387</v>
      </c>
      <c r="Z108">
        <f t="shared" si="43"/>
        <v>5.4108199794523717</v>
      </c>
      <c r="AA108">
        <f t="shared" si="44"/>
        <v>9.2207011174100995</v>
      </c>
      <c r="AC108">
        <f t="shared" si="46"/>
        <v>18</v>
      </c>
      <c r="AD108">
        <f t="shared" si="47"/>
        <v>7.1259100258620851</v>
      </c>
    </row>
    <row r="109" spans="4:30" x14ac:dyDescent="0.35">
      <c r="D109">
        <f t="shared" si="45"/>
        <v>19</v>
      </c>
      <c r="E109">
        <f t="shared" si="37"/>
        <v>7.1912478294921529</v>
      </c>
      <c r="F109">
        <f t="shared" si="48"/>
        <v>0.60263306111434822</v>
      </c>
      <c r="I109" t="s">
        <v>145</v>
      </c>
      <c r="J109" s="107">
        <f>J106*LN(J96/J106)+2*(J98+J99)</f>
        <v>5.0318402374664482</v>
      </c>
      <c r="U109">
        <f t="shared" si="38"/>
        <v>19</v>
      </c>
      <c r="V109">
        <f t="shared" si="39"/>
        <v>7.1912478294921529</v>
      </c>
      <c r="W109">
        <f t="shared" si="40"/>
        <v>0.60263306111434822</v>
      </c>
      <c r="X109">
        <f t="shared" si="41"/>
        <v>6.5886147683778047</v>
      </c>
      <c r="Y109">
        <f t="shared" si="42"/>
        <v>0.97192631293472387</v>
      </c>
      <c r="Z109">
        <f t="shared" si="43"/>
        <v>4.6836741993989399</v>
      </c>
      <c r="AA109">
        <f t="shared" si="44"/>
        <v>8.4935553373566695</v>
      </c>
      <c r="AC109">
        <f t="shared" si="46"/>
        <v>19</v>
      </c>
      <c r="AD109">
        <f t="shared" si="47"/>
        <v>7.1912478294921529</v>
      </c>
    </row>
    <row r="110" spans="4:30" x14ac:dyDescent="0.35">
      <c r="D110" s="4">
        <f t="shared" si="45"/>
        <v>20</v>
      </c>
      <c r="E110" s="4">
        <f t="shared" si="37"/>
        <v>6.6826916383449895</v>
      </c>
      <c r="F110" s="4">
        <f t="shared" si="48"/>
        <v>0.13891749913329576</v>
      </c>
      <c r="I110" t="s">
        <v>371</v>
      </c>
      <c r="J110" s="107">
        <f>J106*LN(J96/J106)+LN(J106)*(J98+J99)</f>
        <v>7.5314802696350975</v>
      </c>
      <c r="U110">
        <f t="shared" si="38"/>
        <v>20</v>
      </c>
      <c r="V110">
        <f t="shared" si="39"/>
        <v>6.6826916383449895</v>
      </c>
      <c r="W110">
        <f t="shared" si="40"/>
        <v>0.13891749913329576</v>
      </c>
      <c r="X110">
        <f t="shared" si="41"/>
        <v>6.5437741392116937</v>
      </c>
      <c r="Y110">
        <f t="shared" si="42"/>
        <v>0.97192631293472387</v>
      </c>
      <c r="Z110">
        <f t="shared" si="43"/>
        <v>4.6388335702328298</v>
      </c>
      <c r="AA110">
        <f t="shared" si="44"/>
        <v>8.4487147081905576</v>
      </c>
      <c r="AC110" s="4">
        <f t="shared" si="46"/>
        <v>20</v>
      </c>
      <c r="AD110" s="4">
        <f t="shared" si="47"/>
        <v>6.6826916383449895</v>
      </c>
    </row>
    <row r="111" spans="4:30" x14ac:dyDescent="0.35">
      <c r="I111" t="s">
        <v>372</v>
      </c>
      <c r="J111" s="107">
        <f>J106*(1+LN(2*PI()))+J109</f>
        <v>53.275750366425321</v>
      </c>
      <c r="U111">
        <f>U110+1</f>
        <v>21</v>
      </c>
      <c r="X111">
        <f>SUMPRODUCT(V108:V110,I$91:I$93)</f>
        <v>6.4634151830493032</v>
      </c>
      <c r="Y111" t="e">
        <f ca="1">J$103*SQRT(SUMSQ(M$102:M102))</f>
        <v>#NAME?</v>
      </c>
      <c r="Z111" t="e">
        <f ca="1">X111-NORMSINV(1-Y$89/2)*Y111</f>
        <v>#NAME?</v>
      </c>
      <c r="AA111" t="e">
        <f ca="1">X111+NORMSINV(1-Y$89/2)*Y111</f>
        <v>#NAME?</v>
      </c>
      <c r="AC111">
        <f t="shared" si="46"/>
        <v>21</v>
      </c>
      <c r="AD111">
        <f>X111</f>
        <v>6.4634151830493032</v>
      </c>
    </row>
    <row r="112" spans="4:30" x14ac:dyDescent="0.35">
      <c r="I112" t="s">
        <v>373</v>
      </c>
      <c r="J112" s="108">
        <f>J106*(1+LN(2*PI()))+J110</f>
        <v>55.77539039859397</v>
      </c>
      <c r="U112">
        <f>U111+1</f>
        <v>22</v>
      </c>
      <c r="X112">
        <f>SUMPRODUCT(V109:V110,I91:I92)+SUMPRODUCT(X111,I93)</f>
        <v>6.6085359890431246</v>
      </c>
      <c r="Y112" t="e">
        <f ca="1">J$103*SQRT(SUMSQ(M$102:M103))</f>
        <v>#NAME?</v>
      </c>
      <c r="Z112" t="e">
        <f ca="1">X112-NORMSINV(1-Y$89/2)*Y112</f>
        <v>#NAME?</v>
      </c>
      <c r="AA112" t="e">
        <f ca="1">X112+NORMSINV(1-Y$89/2)*Y112</f>
        <v>#NAME?</v>
      </c>
      <c r="AC112">
        <f t="shared" si="46"/>
        <v>22</v>
      </c>
      <c r="AD112">
        <f>X112</f>
        <v>6.6085359890431246</v>
      </c>
    </row>
    <row r="113" spans="21:30" x14ac:dyDescent="0.35">
      <c r="U113">
        <f>U112+1</f>
        <v>23</v>
      </c>
      <c r="X113">
        <f>SUMPRODUCT(V110,I91)+SUMPRODUCT(X111:X112,I92:I93)</f>
        <v>6.6764374243023639</v>
      </c>
      <c r="Y113" t="e">
        <f ca="1">J$103*SQRT(SUMSQ(M$102:M104))</f>
        <v>#NAME?</v>
      </c>
      <c r="Z113" t="e">
        <f ca="1">X113-NORMSINV(1-Y$89/2)*Y113</f>
        <v>#NAME?</v>
      </c>
      <c r="AA113" t="e">
        <f ca="1">X113+NORMSINV(1-Y$89/2)*Y113</f>
        <v>#NAME?</v>
      </c>
      <c r="AC113">
        <f t="shared" si="46"/>
        <v>23</v>
      </c>
      <c r="AD113">
        <f>X113</f>
        <v>6.6764374243023639</v>
      </c>
    </row>
    <row r="114" spans="21:30" x14ac:dyDescent="0.35">
      <c r="U114">
        <f>U113+1</f>
        <v>24</v>
      </c>
      <c r="X114">
        <f>SUMPRODUCT(X111:X113,I91:I93)</f>
        <v>6.5360988797573771</v>
      </c>
      <c r="Y114" t="e">
        <f ca="1">J$103*SQRT(SUMSQ(M$102:M105))</f>
        <v>#NAME?</v>
      </c>
      <c r="Z114" t="e">
        <f ca="1">X114-NORMSINV(1-Y$89/2)*Y114</f>
        <v>#NAME?</v>
      </c>
      <c r="AA114" t="e">
        <f ca="1">X114+NORMSINV(1-Y$89/2)*Y114</f>
        <v>#NAME?</v>
      </c>
      <c r="AC114">
        <f t="shared" si="46"/>
        <v>24</v>
      </c>
      <c r="AD114">
        <f>X114</f>
        <v>6.5360988797573771</v>
      </c>
    </row>
    <row r="115" spans="21:30" x14ac:dyDescent="0.35">
      <c r="U115" s="4">
        <f>U114+1</f>
        <v>25</v>
      </c>
      <c r="V115" s="4"/>
      <c r="W115" s="4"/>
      <c r="X115" s="4">
        <f>SUMPRODUCT(X112:X114,I91:I93)</f>
        <v>6.3943229192071396</v>
      </c>
      <c r="Y115" s="4" t="e">
        <f ca="1">J$103*SQRT(SUMSQ(M$102:M106))</f>
        <v>#NAME?</v>
      </c>
      <c r="Z115" s="4" t="e">
        <f ca="1">X115-NORMSINV(1-Y$89/2)*Y115</f>
        <v>#NAME?</v>
      </c>
      <c r="AA115" s="4" t="e">
        <f ca="1">X115+NORMSINV(1-Y$89/2)*Y115</f>
        <v>#NAME?</v>
      </c>
      <c r="AC115" s="4">
        <f t="shared" si="46"/>
        <v>25</v>
      </c>
      <c r="AD115" s="4">
        <f>X115</f>
        <v>6.3943229192071396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29"/>
  <dimension ref="A1:J206"/>
  <sheetViews>
    <sheetView workbookViewId="0"/>
  </sheetViews>
  <sheetFormatPr defaultRowHeight="14.5" x14ac:dyDescent="0.35"/>
  <cols>
    <col min="1" max="1" width="4.7265625" customWidth="1"/>
    <col min="4" max="4" width="3.1796875" customWidth="1"/>
  </cols>
  <sheetData>
    <row r="1" spans="1:3" x14ac:dyDescent="0.35">
      <c r="A1" s="7" t="s">
        <v>108</v>
      </c>
    </row>
    <row r="2" spans="1:3" x14ac:dyDescent="0.35">
      <c r="A2" s="7"/>
    </row>
    <row r="3" spans="1:3" x14ac:dyDescent="0.35">
      <c r="B3" s="8" t="s">
        <v>107</v>
      </c>
      <c r="C3" s="8" t="s">
        <v>110</v>
      </c>
    </row>
    <row r="4" spans="1:3" x14ac:dyDescent="0.35">
      <c r="A4">
        <v>1</v>
      </c>
      <c r="B4">
        <v>-0.69420091468668921</v>
      </c>
    </row>
    <row r="5" spans="1:3" x14ac:dyDescent="0.35">
      <c r="A5">
        <f>A4+1</f>
        <v>2</v>
      </c>
      <c r="B5">
        <v>-0.87558778428873518</v>
      </c>
      <c r="C5">
        <f t="shared" ref="C5:C36" si="0">4+B5+0.5*B4</f>
        <v>2.7773117583679201</v>
      </c>
    </row>
    <row r="6" spans="1:3" x14ac:dyDescent="0.35">
      <c r="A6">
        <f t="shared" ref="A6:A54" si="1">A5+1</f>
        <v>3</v>
      </c>
      <c r="B6">
        <v>-0.74392130947938684</v>
      </c>
      <c r="C6">
        <f t="shared" si="0"/>
        <v>2.8182847983762453</v>
      </c>
    </row>
    <row r="7" spans="1:3" x14ac:dyDescent="0.35">
      <c r="A7">
        <f t="shared" si="1"/>
        <v>4</v>
      </c>
      <c r="B7">
        <v>3.0728091528421642</v>
      </c>
      <c r="C7">
        <f t="shared" si="0"/>
        <v>6.700848498102471</v>
      </c>
    </row>
    <row r="8" spans="1:3" x14ac:dyDescent="0.35">
      <c r="A8">
        <f t="shared" si="1"/>
        <v>5</v>
      </c>
      <c r="B8">
        <v>-1.9419373719738628</v>
      </c>
      <c r="C8">
        <f t="shared" si="0"/>
        <v>3.5944672044472195</v>
      </c>
    </row>
    <row r="9" spans="1:3" x14ac:dyDescent="0.35">
      <c r="A9">
        <f t="shared" si="1"/>
        <v>6</v>
      </c>
      <c r="B9">
        <v>-1.7296502884778595</v>
      </c>
      <c r="C9">
        <f t="shared" si="0"/>
        <v>1.299381025535209</v>
      </c>
    </row>
    <row r="10" spans="1:3" x14ac:dyDescent="0.35">
      <c r="A10">
        <f t="shared" si="1"/>
        <v>7</v>
      </c>
      <c r="B10">
        <v>2.1964877398152103</v>
      </c>
      <c r="C10">
        <f t="shared" si="0"/>
        <v>5.3316625955762804</v>
      </c>
    </row>
    <row r="11" spans="1:3" x14ac:dyDescent="0.35">
      <c r="A11">
        <f t="shared" si="1"/>
        <v>8</v>
      </c>
      <c r="B11">
        <v>-3.6212692123216477</v>
      </c>
      <c r="C11">
        <f t="shared" si="0"/>
        <v>1.4769746575859575</v>
      </c>
    </row>
    <row r="12" spans="1:3" x14ac:dyDescent="0.35">
      <c r="A12">
        <f t="shared" si="1"/>
        <v>9</v>
      </c>
      <c r="B12">
        <v>-0.73537045424691472</v>
      </c>
      <c r="C12">
        <f t="shared" si="0"/>
        <v>1.4539949395922613</v>
      </c>
    </row>
    <row r="13" spans="1:3" x14ac:dyDescent="0.35">
      <c r="A13">
        <f t="shared" si="1"/>
        <v>10</v>
      </c>
      <c r="B13">
        <v>-2.3965548844576574</v>
      </c>
      <c r="C13">
        <f t="shared" si="0"/>
        <v>1.2357598884188852</v>
      </c>
    </row>
    <row r="14" spans="1:3" x14ac:dyDescent="0.35">
      <c r="A14">
        <f t="shared" si="1"/>
        <v>11</v>
      </c>
      <c r="B14">
        <v>-0.75072452984709082</v>
      </c>
      <c r="C14">
        <f t="shared" si="0"/>
        <v>2.0509980279240807</v>
      </c>
    </row>
    <row r="15" spans="1:3" x14ac:dyDescent="0.35">
      <c r="A15">
        <f t="shared" si="1"/>
        <v>12</v>
      </c>
      <c r="B15">
        <v>0.51621828199445963</v>
      </c>
      <c r="C15">
        <f t="shared" si="0"/>
        <v>4.1408560170709148</v>
      </c>
    </row>
    <row r="16" spans="1:3" x14ac:dyDescent="0.35">
      <c r="A16">
        <f t="shared" si="1"/>
        <v>13</v>
      </c>
      <c r="B16">
        <v>1.857550407661875</v>
      </c>
      <c r="C16">
        <f t="shared" si="0"/>
        <v>6.1156595486591048</v>
      </c>
    </row>
    <row r="17" spans="1:10" x14ac:dyDescent="0.35">
      <c r="A17">
        <f t="shared" si="1"/>
        <v>14</v>
      </c>
      <c r="B17">
        <v>1.8555028839107315</v>
      </c>
      <c r="C17">
        <f t="shared" si="0"/>
        <v>6.7842780877416695</v>
      </c>
    </row>
    <row r="18" spans="1:10" x14ac:dyDescent="0.35">
      <c r="A18">
        <f t="shared" si="1"/>
        <v>15</v>
      </c>
      <c r="B18">
        <v>-1.0084510887843623</v>
      </c>
      <c r="C18">
        <f t="shared" si="0"/>
        <v>3.9193003531710038</v>
      </c>
    </row>
    <row r="19" spans="1:10" x14ac:dyDescent="0.35">
      <c r="A19">
        <f t="shared" si="1"/>
        <v>16</v>
      </c>
      <c r="B19">
        <v>1.496039175586874</v>
      </c>
      <c r="C19">
        <f t="shared" si="0"/>
        <v>4.9918136311946935</v>
      </c>
      <c r="F19" s="36" t="s">
        <v>112</v>
      </c>
      <c r="G19" s="23">
        <v>4</v>
      </c>
      <c r="I19" s="36" t="s">
        <v>113</v>
      </c>
      <c r="J19" s="23">
        <f>AVERAGE(C5:C203)</f>
        <v>4.3584220285563759</v>
      </c>
    </row>
    <row r="20" spans="1:10" ht="15" customHeight="1" x14ac:dyDescent="0.35">
      <c r="A20">
        <f t="shared" si="1"/>
        <v>17</v>
      </c>
      <c r="B20">
        <v>-0.4003966728269075</v>
      </c>
      <c r="C20">
        <f t="shared" si="0"/>
        <v>4.3476229149665295</v>
      </c>
      <c r="F20" s="36" t="s">
        <v>219</v>
      </c>
      <c r="G20" s="34">
        <f>2^2*(1+0.5^2)</f>
        <v>5</v>
      </c>
      <c r="I20" s="37" t="s">
        <v>115</v>
      </c>
      <c r="J20" s="34">
        <f>VARP(C5:C203)</f>
        <v>4.4401724486229117</v>
      </c>
    </row>
    <row r="21" spans="1:10" ht="15" customHeight="1" x14ac:dyDescent="0.35">
      <c r="A21">
        <f t="shared" si="1"/>
        <v>18</v>
      </c>
      <c r="B21">
        <v>-2.1659297760239786</v>
      </c>
      <c r="C21">
        <f t="shared" si="0"/>
        <v>1.6338718875625675</v>
      </c>
    </row>
    <row r="22" spans="1:10" x14ac:dyDescent="0.35">
      <c r="A22">
        <f t="shared" si="1"/>
        <v>19</v>
      </c>
      <c r="B22">
        <v>1.265945750690491</v>
      </c>
      <c r="C22">
        <f t="shared" si="0"/>
        <v>4.1829808626785017</v>
      </c>
    </row>
    <row r="23" spans="1:10" x14ac:dyDescent="0.35">
      <c r="A23">
        <f t="shared" si="1"/>
        <v>20</v>
      </c>
      <c r="B23">
        <v>1.3803624088083266</v>
      </c>
      <c r="C23">
        <f t="shared" si="0"/>
        <v>6.0133352841535723</v>
      </c>
    </row>
    <row r="24" spans="1:10" x14ac:dyDescent="0.35">
      <c r="A24">
        <f t="shared" si="1"/>
        <v>21</v>
      </c>
      <c r="B24">
        <v>-0.68994201732456262</v>
      </c>
      <c r="C24">
        <f t="shared" si="0"/>
        <v>4.0002391870796004</v>
      </c>
    </row>
    <row r="25" spans="1:10" x14ac:dyDescent="0.35">
      <c r="A25">
        <f t="shared" si="1"/>
        <v>22</v>
      </c>
      <c r="B25">
        <v>-0.60723301719649769</v>
      </c>
      <c r="C25">
        <f t="shared" si="0"/>
        <v>3.0477959741412213</v>
      </c>
    </row>
    <row r="26" spans="1:10" x14ac:dyDescent="0.35">
      <c r="A26">
        <f t="shared" si="1"/>
        <v>23</v>
      </c>
      <c r="B26">
        <v>0.43319896792900742</v>
      </c>
      <c r="C26">
        <f t="shared" si="0"/>
        <v>4.1295824593307584</v>
      </c>
    </row>
    <row r="27" spans="1:10" x14ac:dyDescent="0.35">
      <c r="A27">
        <f t="shared" si="1"/>
        <v>24</v>
      </c>
      <c r="B27">
        <v>-0.77726215348466687</v>
      </c>
      <c r="C27">
        <f t="shared" si="0"/>
        <v>3.4393373304798365</v>
      </c>
    </row>
    <row r="28" spans="1:10" x14ac:dyDescent="0.35">
      <c r="A28">
        <f t="shared" si="1"/>
        <v>25</v>
      </c>
      <c r="B28">
        <v>-1.8164843165145295</v>
      </c>
      <c r="C28">
        <f t="shared" si="0"/>
        <v>1.7948846067431372</v>
      </c>
    </row>
    <row r="29" spans="1:10" x14ac:dyDescent="0.35">
      <c r="A29">
        <f t="shared" si="1"/>
        <v>26</v>
      </c>
      <c r="B29">
        <v>2.3362010307127998</v>
      </c>
      <c r="C29">
        <f t="shared" si="0"/>
        <v>5.4279588724555357</v>
      </c>
    </row>
    <row r="30" spans="1:10" x14ac:dyDescent="0.35">
      <c r="A30">
        <f t="shared" si="1"/>
        <v>27</v>
      </c>
      <c r="B30">
        <v>0.53940757415645235</v>
      </c>
      <c r="C30">
        <f t="shared" si="0"/>
        <v>5.7075080895128529</v>
      </c>
    </row>
    <row r="31" spans="1:10" x14ac:dyDescent="0.35">
      <c r="A31">
        <f t="shared" si="1"/>
        <v>28</v>
      </c>
      <c r="B31">
        <v>-4.4049614316556011E-2</v>
      </c>
      <c r="C31">
        <f t="shared" si="0"/>
        <v>4.2256541727616703</v>
      </c>
    </row>
    <row r="32" spans="1:10" x14ac:dyDescent="0.35">
      <c r="A32">
        <f t="shared" si="1"/>
        <v>29</v>
      </c>
      <c r="B32">
        <v>2.3057581413476544</v>
      </c>
      <c r="C32">
        <f t="shared" si="0"/>
        <v>6.2837333341893764</v>
      </c>
    </row>
    <row r="33" spans="1:3" x14ac:dyDescent="0.35">
      <c r="A33">
        <f t="shared" si="1"/>
        <v>30</v>
      </c>
      <c r="B33">
        <v>4.4245912408273673</v>
      </c>
      <c r="C33">
        <f t="shared" si="0"/>
        <v>9.5774703115011945</v>
      </c>
    </row>
    <row r="34" spans="1:3" x14ac:dyDescent="0.35">
      <c r="A34">
        <f t="shared" si="1"/>
        <v>31</v>
      </c>
      <c r="B34">
        <v>-0.87761234660300047</v>
      </c>
      <c r="C34">
        <f t="shared" si="0"/>
        <v>5.3346832738106826</v>
      </c>
    </row>
    <row r="35" spans="1:3" x14ac:dyDescent="0.35">
      <c r="A35">
        <f t="shared" si="1"/>
        <v>32</v>
      </c>
      <c r="B35">
        <v>-8.9411512738627755E-2</v>
      </c>
      <c r="C35">
        <f t="shared" si="0"/>
        <v>3.471782313959872</v>
      </c>
    </row>
    <row r="36" spans="1:3" x14ac:dyDescent="0.35">
      <c r="A36">
        <f t="shared" si="1"/>
        <v>33</v>
      </c>
      <c r="B36">
        <v>1.3116096495739089</v>
      </c>
      <c r="C36">
        <f t="shared" si="0"/>
        <v>5.2669038932045948</v>
      </c>
    </row>
    <row r="37" spans="1:3" x14ac:dyDescent="0.35">
      <c r="A37">
        <f t="shared" si="1"/>
        <v>34</v>
      </c>
      <c r="B37">
        <v>-5.7407753840039939E-2</v>
      </c>
      <c r="C37">
        <f t="shared" ref="C37:C68" si="2">4+B37+0.5*B36</f>
        <v>4.5983970709469144</v>
      </c>
    </row>
    <row r="38" spans="1:3" x14ac:dyDescent="0.35">
      <c r="A38">
        <f t="shared" si="1"/>
        <v>35</v>
      </c>
      <c r="B38">
        <v>-0.23005134035884045</v>
      </c>
      <c r="C38">
        <f t="shared" si="2"/>
        <v>3.7412447827211399</v>
      </c>
    </row>
    <row r="39" spans="1:3" x14ac:dyDescent="0.35">
      <c r="A39">
        <f t="shared" si="1"/>
        <v>36</v>
      </c>
      <c r="B39">
        <v>0.57825656951370696</v>
      </c>
      <c r="C39">
        <f t="shared" si="2"/>
        <v>4.4632308993342864</v>
      </c>
    </row>
    <row r="40" spans="1:3" x14ac:dyDescent="0.35">
      <c r="A40">
        <f t="shared" si="1"/>
        <v>37</v>
      </c>
      <c r="B40">
        <v>-2.61696211328037</v>
      </c>
      <c r="C40">
        <f t="shared" si="2"/>
        <v>1.6721661714764835</v>
      </c>
    </row>
    <row r="41" spans="1:3" x14ac:dyDescent="0.35">
      <c r="A41">
        <f t="shared" si="1"/>
        <v>38</v>
      </c>
      <c r="B41">
        <v>-2.4905726166394633</v>
      </c>
      <c r="C41">
        <f t="shared" si="2"/>
        <v>0.20094632672035173</v>
      </c>
    </row>
    <row r="42" spans="1:3" x14ac:dyDescent="0.35">
      <c r="A42">
        <f t="shared" si="1"/>
        <v>39</v>
      </c>
      <c r="B42">
        <v>0.5869249825884717</v>
      </c>
      <c r="C42">
        <f t="shared" si="2"/>
        <v>3.3416386742687401</v>
      </c>
    </row>
    <row r="43" spans="1:3" x14ac:dyDescent="0.35">
      <c r="A43">
        <f t="shared" si="1"/>
        <v>40</v>
      </c>
      <c r="B43">
        <v>-0.81234505881972496</v>
      </c>
      <c r="C43">
        <f t="shared" si="2"/>
        <v>3.4811174324745111</v>
      </c>
    </row>
    <row r="44" spans="1:3" x14ac:dyDescent="0.35">
      <c r="A44">
        <f t="shared" si="1"/>
        <v>41</v>
      </c>
      <c r="B44">
        <v>2.0037975662623024</v>
      </c>
      <c r="C44">
        <f t="shared" si="2"/>
        <v>5.5976250368524401</v>
      </c>
    </row>
    <row r="45" spans="1:3" x14ac:dyDescent="0.35">
      <c r="A45">
        <f t="shared" si="1"/>
        <v>42</v>
      </c>
      <c r="B45">
        <v>3.8424720915805453</v>
      </c>
      <c r="C45">
        <f t="shared" si="2"/>
        <v>8.8443708747116965</v>
      </c>
    </row>
    <row r="46" spans="1:3" x14ac:dyDescent="0.35">
      <c r="A46">
        <f t="shared" si="1"/>
        <v>43</v>
      </c>
      <c r="B46">
        <v>0.32596170386742063</v>
      </c>
      <c r="C46">
        <f t="shared" si="2"/>
        <v>6.2471977496576931</v>
      </c>
    </row>
    <row r="47" spans="1:3" x14ac:dyDescent="0.35">
      <c r="A47">
        <f t="shared" si="1"/>
        <v>44</v>
      </c>
      <c r="B47">
        <v>0.87008659160246826</v>
      </c>
      <c r="C47">
        <f t="shared" si="2"/>
        <v>5.0330674435361784</v>
      </c>
    </row>
    <row r="48" spans="1:3" x14ac:dyDescent="0.35">
      <c r="A48">
        <f t="shared" si="1"/>
        <v>45</v>
      </c>
      <c r="B48">
        <v>-0.36537031831069855</v>
      </c>
      <c r="C48">
        <f t="shared" si="2"/>
        <v>4.0696729774905354</v>
      </c>
    </row>
    <row r="49" spans="1:3" x14ac:dyDescent="0.35">
      <c r="A49">
        <f t="shared" si="1"/>
        <v>46</v>
      </c>
      <c r="B49">
        <v>-1.4235386617346899</v>
      </c>
      <c r="C49">
        <f t="shared" si="2"/>
        <v>2.393776179109961</v>
      </c>
    </row>
    <row r="50" spans="1:3" x14ac:dyDescent="0.35">
      <c r="A50">
        <f t="shared" si="1"/>
        <v>47</v>
      </c>
      <c r="B50">
        <v>2.5046237445473025</v>
      </c>
      <c r="C50">
        <f t="shared" si="2"/>
        <v>5.792854413679958</v>
      </c>
    </row>
    <row r="51" spans="1:3" x14ac:dyDescent="0.35">
      <c r="A51">
        <f t="shared" si="1"/>
        <v>48</v>
      </c>
      <c r="B51">
        <v>0.99722248777568656</v>
      </c>
      <c r="C51">
        <f t="shared" si="2"/>
        <v>6.2495343600493376</v>
      </c>
    </row>
    <row r="52" spans="1:3" x14ac:dyDescent="0.35">
      <c r="A52">
        <f t="shared" si="1"/>
        <v>49</v>
      </c>
      <c r="B52">
        <v>-0.27654238324895275</v>
      </c>
      <c r="C52">
        <f t="shared" si="2"/>
        <v>4.222068860638891</v>
      </c>
    </row>
    <row r="53" spans="1:3" x14ac:dyDescent="0.35">
      <c r="A53">
        <f t="shared" si="1"/>
        <v>50</v>
      </c>
      <c r="B53">
        <v>1.5856114065285145</v>
      </c>
      <c r="C53">
        <f t="shared" si="2"/>
        <v>5.4473402149040373</v>
      </c>
    </row>
    <row r="54" spans="1:3" x14ac:dyDescent="0.35">
      <c r="A54">
        <f t="shared" si="1"/>
        <v>51</v>
      </c>
      <c r="B54">
        <v>0.20961962024818878</v>
      </c>
      <c r="C54">
        <f t="shared" si="2"/>
        <v>5.0024253235124458</v>
      </c>
    </row>
    <row r="55" spans="1:3" x14ac:dyDescent="0.35">
      <c r="A55">
        <f t="shared" ref="A55:A118" si="3">A54+1</f>
        <v>52</v>
      </c>
      <c r="B55">
        <v>1.5484203037498827</v>
      </c>
      <c r="C55">
        <f t="shared" si="2"/>
        <v>5.6532301138739767</v>
      </c>
    </row>
    <row r="56" spans="1:3" x14ac:dyDescent="0.35">
      <c r="A56">
        <f t="shared" si="3"/>
        <v>53</v>
      </c>
      <c r="B56">
        <v>-0.92826506819668664</v>
      </c>
      <c r="C56">
        <f t="shared" si="2"/>
        <v>3.8459450836782549</v>
      </c>
    </row>
    <row r="57" spans="1:3" x14ac:dyDescent="0.35">
      <c r="A57">
        <f t="shared" si="3"/>
        <v>54</v>
      </c>
      <c r="B57">
        <v>3.9340990778615104</v>
      </c>
      <c r="C57">
        <f t="shared" si="2"/>
        <v>7.4699665437631673</v>
      </c>
    </row>
    <row r="58" spans="1:3" x14ac:dyDescent="0.35">
      <c r="A58">
        <f t="shared" si="3"/>
        <v>55</v>
      </c>
      <c r="B58">
        <v>-1.6344170686105275</v>
      </c>
      <c r="C58">
        <f t="shared" si="2"/>
        <v>4.3326324703202275</v>
      </c>
    </row>
    <row r="59" spans="1:3" x14ac:dyDescent="0.35">
      <c r="A59">
        <f t="shared" si="3"/>
        <v>56</v>
      </c>
      <c r="B59">
        <v>-0.63481749081468575</v>
      </c>
      <c r="C59">
        <f t="shared" si="2"/>
        <v>2.5479739748800503</v>
      </c>
    </row>
    <row r="60" spans="1:3" x14ac:dyDescent="0.35">
      <c r="A60">
        <f t="shared" si="3"/>
        <v>57</v>
      </c>
      <c r="B60">
        <v>1.0198933639943912</v>
      </c>
      <c r="C60">
        <f t="shared" si="2"/>
        <v>4.7024846185870484</v>
      </c>
    </row>
    <row r="61" spans="1:3" x14ac:dyDescent="0.35">
      <c r="A61">
        <f t="shared" si="3"/>
        <v>58</v>
      </c>
      <c r="B61">
        <v>1.2294417712870718</v>
      </c>
      <c r="C61">
        <f t="shared" si="2"/>
        <v>5.7393884532842678</v>
      </c>
    </row>
    <row r="62" spans="1:3" x14ac:dyDescent="0.35">
      <c r="A62">
        <f t="shared" si="3"/>
        <v>59</v>
      </c>
      <c r="B62">
        <v>3.2987612286636145</v>
      </c>
      <c r="C62">
        <f t="shared" si="2"/>
        <v>7.9134821143071505</v>
      </c>
    </row>
    <row r="63" spans="1:3" x14ac:dyDescent="0.35">
      <c r="A63">
        <f t="shared" si="3"/>
        <v>60</v>
      </c>
      <c r="B63">
        <v>0.64413182867804231</v>
      </c>
      <c r="C63">
        <f t="shared" si="2"/>
        <v>6.2935124430098499</v>
      </c>
    </row>
    <row r="64" spans="1:3" x14ac:dyDescent="0.35">
      <c r="A64">
        <f t="shared" si="3"/>
        <v>61</v>
      </c>
      <c r="B64">
        <v>-5.96350910370659E-2</v>
      </c>
      <c r="C64">
        <f t="shared" si="2"/>
        <v>4.2624308233019548</v>
      </c>
    </row>
    <row r="65" spans="1:3" x14ac:dyDescent="0.35">
      <c r="A65">
        <f t="shared" si="3"/>
        <v>62</v>
      </c>
      <c r="B65">
        <v>3.1563169379344989</v>
      </c>
      <c r="C65">
        <f t="shared" si="2"/>
        <v>7.1264993924159654</v>
      </c>
    </row>
    <row r="66" spans="1:3" x14ac:dyDescent="0.35">
      <c r="A66">
        <f t="shared" si="3"/>
        <v>63</v>
      </c>
      <c r="B66">
        <v>-2.306240088032308</v>
      </c>
      <c r="C66">
        <f t="shared" si="2"/>
        <v>3.2719183809349417</v>
      </c>
    </row>
    <row r="67" spans="1:3" x14ac:dyDescent="0.35">
      <c r="A67">
        <f t="shared" si="3"/>
        <v>64</v>
      </c>
      <c r="B67">
        <v>-0.40218857040544709</v>
      </c>
      <c r="C67">
        <f t="shared" si="2"/>
        <v>2.4446913855783992</v>
      </c>
    </row>
    <row r="68" spans="1:3" x14ac:dyDescent="0.35">
      <c r="A68">
        <f t="shared" si="3"/>
        <v>65</v>
      </c>
      <c r="B68">
        <v>-0.52759380307616421</v>
      </c>
      <c r="C68">
        <f t="shared" si="2"/>
        <v>3.2713119117211122</v>
      </c>
    </row>
    <row r="69" spans="1:3" x14ac:dyDescent="0.35">
      <c r="A69">
        <f t="shared" si="3"/>
        <v>66</v>
      </c>
      <c r="B69">
        <v>0.9055428679940537</v>
      </c>
      <c r="C69">
        <f t="shared" ref="C69:C100" si="4">4+B69+0.5*B68</f>
        <v>4.6417459664559715</v>
      </c>
    </row>
    <row r="70" spans="1:3" x14ac:dyDescent="0.35">
      <c r="A70">
        <f t="shared" si="3"/>
        <v>67</v>
      </c>
      <c r="B70">
        <v>1.4839149021568461</v>
      </c>
      <c r="C70">
        <f t="shared" si="4"/>
        <v>5.9366863361538726</v>
      </c>
    </row>
    <row r="71" spans="1:3" x14ac:dyDescent="0.35">
      <c r="A71">
        <f t="shared" si="3"/>
        <v>68</v>
      </c>
      <c r="B71">
        <v>-0.26026620501782682</v>
      </c>
      <c r="C71">
        <f t="shared" si="4"/>
        <v>4.4816912460605964</v>
      </c>
    </row>
    <row r="72" spans="1:3" x14ac:dyDescent="0.35">
      <c r="A72">
        <f t="shared" si="3"/>
        <v>69</v>
      </c>
      <c r="B72">
        <v>-3.3625596460355456E-2</v>
      </c>
      <c r="C72">
        <f t="shared" si="4"/>
        <v>3.8362413010307312</v>
      </c>
    </row>
    <row r="73" spans="1:3" x14ac:dyDescent="0.35">
      <c r="A73">
        <f t="shared" si="3"/>
        <v>70</v>
      </c>
      <c r="B73">
        <v>0.68794647636347028</v>
      </c>
      <c r="C73">
        <f t="shared" si="4"/>
        <v>4.6711336781332928</v>
      </c>
    </row>
    <row r="74" spans="1:3" x14ac:dyDescent="0.35">
      <c r="A74">
        <f t="shared" si="3"/>
        <v>71</v>
      </c>
      <c r="B74">
        <v>4.1362425453436655</v>
      </c>
      <c r="C74">
        <f t="shared" si="4"/>
        <v>8.4802157835254022</v>
      </c>
    </row>
    <row r="75" spans="1:3" x14ac:dyDescent="0.35">
      <c r="A75">
        <f t="shared" si="3"/>
        <v>72</v>
      </c>
      <c r="B75">
        <v>0.45211454533455148</v>
      </c>
      <c r="C75">
        <f t="shared" si="4"/>
        <v>6.520235818006384</v>
      </c>
    </row>
    <row r="76" spans="1:3" x14ac:dyDescent="0.35">
      <c r="A76">
        <f t="shared" si="3"/>
        <v>73</v>
      </c>
      <c r="B76">
        <v>1.1252631017477928</v>
      </c>
      <c r="C76">
        <f t="shared" si="4"/>
        <v>5.3513203744150681</v>
      </c>
    </row>
    <row r="77" spans="1:3" x14ac:dyDescent="0.35">
      <c r="A77">
        <f t="shared" si="3"/>
        <v>74</v>
      </c>
      <c r="B77">
        <v>2.0132078825187141</v>
      </c>
      <c r="C77">
        <f t="shared" si="4"/>
        <v>6.57583943339261</v>
      </c>
    </row>
    <row r="78" spans="1:3" x14ac:dyDescent="0.35">
      <c r="A78">
        <f t="shared" si="3"/>
        <v>75</v>
      </c>
      <c r="B78">
        <v>0.97866440297732338</v>
      </c>
      <c r="C78">
        <f t="shared" si="4"/>
        <v>5.9852683442366805</v>
      </c>
    </row>
    <row r="79" spans="1:3" x14ac:dyDescent="0.35">
      <c r="A79">
        <f t="shared" si="3"/>
        <v>76</v>
      </c>
      <c r="B79">
        <v>1.9269932557537803</v>
      </c>
      <c r="C79">
        <f t="shared" si="4"/>
        <v>6.4163254572424417</v>
      </c>
    </row>
    <row r="80" spans="1:3" x14ac:dyDescent="0.35">
      <c r="A80">
        <f t="shared" si="3"/>
        <v>77</v>
      </c>
      <c r="B80">
        <v>-2.3180276622927738</v>
      </c>
      <c r="C80">
        <f t="shared" si="4"/>
        <v>2.6454689655841164</v>
      </c>
    </row>
    <row r="81" spans="1:3" x14ac:dyDescent="0.35">
      <c r="A81">
        <f t="shared" si="3"/>
        <v>78</v>
      </c>
      <c r="B81">
        <v>-0.91963460540494302</v>
      </c>
      <c r="C81">
        <f t="shared" si="4"/>
        <v>1.9213515634486702</v>
      </c>
    </row>
    <row r="82" spans="1:3" x14ac:dyDescent="0.35">
      <c r="A82">
        <f t="shared" si="3"/>
        <v>79</v>
      </c>
      <c r="B82">
        <v>2.9426927083491106</v>
      </c>
      <c r="C82">
        <f t="shared" si="4"/>
        <v>6.4828754056466389</v>
      </c>
    </row>
    <row r="83" spans="1:3" x14ac:dyDescent="0.35">
      <c r="A83">
        <f t="shared" si="3"/>
        <v>80</v>
      </c>
      <c r="B83">
        <v>1.019377953576635</v>
      </c>
      <c r="C83">
        <f t="shared" si="4"/>
        <v>6.49072430775119</v>
      </c>
    </row>
    <row r="84" spans="1:3" x14ac:dyDescent="0.35">
      <c r="A84">
        <f t="shared" si="3"/>
        <v>81</v>
      </c>
      <c r="B84">
        <v>1.6847808127539263</v>
      </c>
      <c r="C84">
        <f t="shared" si="4"/>
        <v>6.1944697895422438</v>
      </c>
    </row>
    <row r="85" spans="1:3" x14ac:dyDescent="0.35">
      <c r="A85">
        <f t="shared" si="3"/>
        <v>82</v>
      </c>
      <c r="B85">
        <v>-2.8579362242959383</v>
      </c>
      <c r="C85">
        <f t="shared" si="4"/>
        <v>1.9844541820810249</v>
      </c>
    </row>
    <row r="86" spans="1:3" x14ac:dyDescent="0.35">
      <c r="A86">
        <f t="shared" si="3"/>
        <v>83</v>
      </c>
      <c r="B86">
        <v>-4.613725323851007</v>
      </c>
      <c r="C86">
        <f t="shared" si="4"/>
        <v>-2.0426934359989763</v>
      </c>
    </row>
    <row r="87" spans="1:3" x14ac:dyDescent="0.35">
      <c r="A87">
        <f t="shared" si="3"/>
        <v>84</v>
      </c>
      <c r="B87">
        <v>3.5477982444532903</v>
      </c>
      <c r="C87">
        <f t="shared" si="4"/>
        <v>5.2409355825277864</v>
      </c>
    </row>
    <row r="88" spans="1:3" x14ac:dyDescent="0.35">
      <c r="A88">
        <f t="shared" si="3"/>
        <v>85</v>
      </c>
      <c r="B88">
        <v>0.97853828339675197</v>
      </c>
      <c r="C88">
        <f t="shared" si="4"/>
        <v>6.7524374056233967</v>
      </c>
    </row>
    <row r="89" spans="1:3" x14ac:dyDescent="0.35">
      <c r="A89">
        <f t="shared" si="3"/>
        <v>86</v>
      </c>
      <c r="B89">
        <v>-2.8388309670524059</v>
      </c>
      <c r="C89">
        <f t="shared" si="4"/>
        <v>1.65043817464597</v>
      </c>
    </row>
    <row r="90" spans="1:3" x14ac:dyDescent="0.35">
      <c r="A90">
        <f t="shared" si="3"/>
        <v>87</v>
      </c>
      <c r="B90">
        <v>0.34123210128753367</v>
      </c>
      <c r="C90">
        <f t="shared" si="4"/>
        <v>2.9218166177613307</v>
      </c>
    </row>
    <row r="91" spans="1:3" x14ac:dyDescent="0.35">
      <c r="A91">
        <f t="shared" si="3"/>
        <v>88</v>
      </c>
      <c r="B91">
        <v>1.5246885661775638</v>
      </c>
      <c r="C91">
        <f t="shared" si="4"/>
        <v>5.6953046168213302</v>
      </c>
    </row>
    <row r="92" spans="1:3" x14ac:dyDescent="0.35">
      <c r="A92">
        <f t="shared" si="3"/>
        <v>89</v>
      </c>
      <c r="B92">
        <v>0.16292493668327629</v>
      </c>
      <c r="C92">
        <f t="shared" si="4"/>
        <v>4.9252692197720584</v>
      </c>
    </row>
    <row r="93" spans="1:3" x14ac:dyDescent="0.35">
      <c r="A93">
        <f t="shared" si="3"/>
        <v>90</v>
      </c>
      <c r="B93">
        <v>-1.7796863231619184</v>
      </c>
      <c r="C93">
        <f t="shared" si="4"/>
        <v>2.3017761451797196</v>
      </c>
    </row>
    <row r="94" spans="1:3" x14ac:dyDescent="0.35">
      <c r="A94">
        <f t="shared" si="3"/>
        <v>91</v>
      </c>
      <c r="B94">
        <v>-1.3228790100716221</v>
      </c>
      <c r="C94">
        <f t="shared" si="4"/>
        <v>1.7872778283474187</v>
      </c>
    </row>
    <row r="95" spans="1:3" x14ac:dyDescent="0.35">
      <c r="A95">
        <f t="shared" si="3"/>
        <v>92</v>
      </c>
      <c r="B95">
        <v>2.0807783968704299</v>
      </c>
      <c r="C95">
        <f t="shared" si="4"/>
        <v>5.4193388918346193</v>
      </c>
    </row>
    <row r="96" spans="1:3" x14ac:dyDescent="0.35">
      <c r="A96">
        <f t="shared" si="3"/>
        <v>93</v>
      </c>
      <c r="B96">
        <v>-2.2197549924019668</v>
      </c>
      <c r="C96">
        <f t="shared" si="4"/>
        <v>2.8206342060332483</v>
      </c>
    </row>
    <row r="97" spans="1:3" x14ac:dyDescent="0.35">
      <c r="A97">
        <f t="shared" si="3"/>
        <v>94</v>
      </c>
      <c r="B97">
        <v>0.90609105867690254</v>
      </c>
      <c r="C97">
        <f t="shared" si="4"/>
        <v>3.796213562475919</v>
      </c>
    </row>
    <row r="98" spans="1:3" x14ac:dyDescent="0.35">
      <c r="A98">
        <f t="shared" si="3"/>
        <v>95</v>
      </c>
      <c r="B98">
        <v>1.7045878815396458</v>
      </c>
      <c r="C98">
        <f t="shared" si="4"/>
        <v>6.1576334108780975</v>
      </c>
    </row>
    <row r="99" spans="1:3" x14ac:dyDescent="0.35">
      <c r="A99">
        <f t="shared" si="3"/>
        <v>96</v>
      </c>
      <c r="B99">
        <v>-1.8927044624652216</v>
      </c>
      <c r="C99">
        <f t="shared" si="4"/>
        <v>2.9595894783046011</v>
      </c>
    </row>
    <row r="100" spans="1:3" x14ac:dyDescent="0.35">
      <c r="A100">
        <f t="shared" si="3"/>
        <v>97</v>
      </c>
      <c r="B100">
        <v>-3.0190432616494287</v>
      </c>
      <c r="C100">
        <f t="shared" si="4"/>
        <v>3.4604507117960481E-2</v>
      </c>
    </row>
    <row r="101" spans="1:3" x14ac:dyDescent="0.35">
      <c r="A101">
        <f t="shared" si="3"/>
        <v>98</v>
      </c>
      <c r="B101">
        <v>-0.38493372959890088</v>
      </c>
      <c r="C101">
        <f t="shared" ref="C101:C132" si="5">4+B101+0.5*B100</f>
        <v>2.1055446395763848</v>
      </c>
    </row>
    <row r="102" spans="1:3" x14ac:dyDescent="0.35">
      <c r="A102">
        <f t="shared" si="3"/>
        <v>99</v>
      </c>
      <c r="B102">
        <v>2.4144439404005369</v>
      </c>
      <c r="C102">
        <f t="shared" si="5"/>
        <v>6.2219770756010861</v>
      </c>
    </row>
    <row r="103" spans="1:3" x14ac:dyDescent="0.35">
      <c r="A103">
        <f t="shared" si="3"/>
        <v>100</v>
      </c>
      <c r="B103">
        <v>-1.8267656438809123</v>
      </c>
      <c r="C103">
        <f t="shared" si="5"/>
        <v>3.3804563263193561</v>
      </c>
    </row>
    <row r="104" spans="1:3" x14ac:dyDescent="0.35">
      <c r="A104">
        <f t="shared" si="3"/>
        <v>101</v>
      </c>
      <c r="B104">
        <v>-4.6720387536128971</v>
      </c>
      <c r="C104">
        <f t="shared" si="5"/>
        <v>-1.5854215755533532</v>
      </c>
    </row>
    <row r="105" spans="1:3" x14ac:dyDescent="0.35">
      <c r="A105">
        <f t="shared" si="3"/>
        <v>102</v>
      </c>
      <c r="B105">
        <v>-0.67969721022420548</v>
      </c>
      <c r="C105">
        <f t="shared" si="5"/>
        <v>0.98428341296934585</v>
      </c>
    </row>
    <row r="106" spans="1:3" x14ac:dyDescent="0.35">
      <c r="A106">
        <f t="shared" si="3"/>
        <v>103</v>
      </c>
      <c r="B106">
        <v>1.0235786471187305</v>
      </c>
      <c r="C106">
        <f t="shared" si="5"/>
        <v>4.6837300420066281</v>
      </c>
    </row>
    <row r="107" spans="1:3" x14ac:dyDescent="0.35">
      <c r="A107">
        <f t="shared" si="3"/>
        <v>104</v>
      </c>
      <c r="B107">
        <v>2.3274476082758975</v>
      </c>
      <c r="C107">
        <f t="shared" si="5"/>
        <v>6.8392369318352628</v>
      </c>
    </row>
    <row r="108" spans="1:3" x14ac:dyDescent="0.35">
      <c r="A108">
        <f t="shared" si="3"/>
        <v>105</v>
      </c>
      <c r="B108">
        <v>1.0316260251136309</v>
      </c>
      <c r="C108">
        <f t="shared" si="5"/>
        <v>6.1953498292515796</v>
      </c>
    </row>
    <row r="109" spans="1:3" x14ac:dyDescent="0.35">
      <c r="A109">
        <f t="shared" si="3"/>
        <v>106</v>
      </c>
      <c r="B109">
        <v>-1.2512099401749281</v>
      </c>
      <c r="C109">
        <f t="shared" si="5"/>
        <v>3.2646030723818873</v>
      </c>
    </row>
    <row r="110" spans="1:3" x14ac:dyDescent="0.35">
      <c r="A110">
        <f t="shared" si="3"/>
        <v>107</v>
      </c>
      <c r="B110">
        <v>0.10921803350296348</v>
      </c>
      <c r="C110">
        <f t="shared" si="5"/>
        <v>3.4836130634154991</v>
      </c>
    </row>
    <row r="111" spans="1:3" x14ac:dyDescent="0.35">
      <c r="A111">
        <f t="shared" si="3"/>
        <v>108</v>
      </c>
      <c r="B111">
        <v>2.4070936899250017</v>
      </c>
      <c r="C111">
        <f t="shared" si="5"/>
        <v>6.4617027066764843</v>
      </c>
    </row>
    <row r="112" spans="1:3" x14ac:dyDescent="0.35">
      <c r="A112">
        <f t="shared" si="3"/>
        <v>109</v>
      </c>
      <c r="B112">
        <v>0.53299160907781618</v>
      </c>
      <c r="C112">
        <f t="shared" si="5"/>
        <v>5.7365384540403177</v>
      </c>
    </row>
    <row r="113" spans="1:3" x14ac:dyDescent="0.35">
      <c r="A113">
        <f t="shared" si="3"/>
        <v>110</v>
      </c>
      <c r="B113">
        <v>1.9257606977912867</v>
      </c>
      <c r="C113">
        <f t="shared" si="5"/>
        <v>6.1922565023301948</v>
      </c>
    </row>
    <row r="114" spans="1:3" x14ac:dyDescent="0.35">
      <c r="A114">
        <f t="shared" si="3"/>
        <v>111</v>
      </c>
      <c r="B114">
        <v>0.54030589728212797</v>
      </c>
      <c r="C114">
        <f t="shared" si="5"/>
        <v>5.503186246177771</v>
      </c>
    </row>
    <row r="115" spans="1:3" x14ac:dyDescent="0.35">
      <c r="A115">
        <f t="shared" si="3"/>
        <v>112</v>
      </c>
      <c r="B115">
        <v>-0.11988049646136403</v>
      </c>
      <c r="C115">
        <f t="shared" si="5"/>
        <v>4.1502724521797001</v>
      </c>
    </row>
    <row r="116" spans="1:3" x14ac:dyDescent="0.35">
      <c r="A116">
        <f t="shared" si="3"/>
        <v>113</v>
      </c>
      <c r="B116">
        <v>-1.1086237225183357</v>
      </c>
      <c r="C116">
        <f t="shared" si="5"/>
        <v>2.8314360292509826</v>
      </c>
    </row>
    <row r="117" spans="1:3" x14ac:dyDescent="0.35">
      <c r="A117">
        <f t="shared" si="3"/>
        <v>114</v>
      </c>
      <c r="B117">
        <v>-0.73079447698851874</v>
      </c>
      <c r="C117">
        <f t="shared" si="5"/>
        <v>2.7148936617523134</v>
      </c>
    </row>
    <row r="118" spans="1:3" x14ac:dyDescent="0.35">
      <c r="A118">
        <f t="shared" si="3"/>
        <v>115</v>
      </c>
      <c r="B118">
        <v>-0.26398126148652912</v>
      </c>
      <c r="C118">
        <f t="shared" si="5"/>
        <v>3.3706215000192117</v>
      </c>
    </row>
    <row r="119" spans="1:3" x14ac:dyDescent="0.35">
      <c r="A119">
        <f t="shared" ref="A119:A182" si="6">A118+1</f>
        <v>116</v>
      </c>
      <c r="B119">
        <v>-0.69838242135073414</v>
      </c>
      <c r="C119">
        <f t="shared" si="5"/>
        <v>3.1696269479060009</v>
      </c>
    </row>
    <row r="120" spans="1:3" x14ac:dyDescent="0.35">
      <c r="A120">
        <f t="shared" si="6"/>
        <v>117</v>
      </c>
      <c r="B120">
        <v>9.8942406605733099E-2</v>
      </c>
      <c r="C120">
        <f t="shared" si="5"/>
        <v>3.749751195930366</v>
      </c>
    </row>
    <row r="121" spans="1:3" x14ac:dyDescent="0.35">
      <c r="A121">
        <f t="shared" si="6"/>
        <v>118</v>
      </c>
      <c r="B121">
        <v>1.5426608666299271</v>
      </c>
      <c r="C121">
        <f t="shared" si="5"/>
        <v>5.5921320699327932</v>
      </c>
    </row>
    <row r="122" spans="1:3" x14ac:dyDescent="0.35">
      <c r="A122">
        <f t="shared" si="6"/>
        <v>119</v>
      </c>
      <c r="B122">
        <v>2.8236106327357645E-2</v>
      </c>
      <c r="C122">
        <f t="shared" si="5"/>
        <v>4.7995665396423206</v>
      </c>
    </row>
    <row r="123" spans="1:3" x14ac:dyDescent="0.35">
      <c r="A123">
        <f t="shared" si="6"/>
        <v>120</v>
      </c>
      <c r="B123">
        <v>3.7298519177469371</v>
      </c>
      <c r="C123">
        <f t="shared" si="5"/>
        <v>7.7439699709106158</v>
      </c>
    </row>
    <row r="124" spans="1:3" x14ac:dyDescent="0.35">
      <c r="A124">
        <f t="shared" si="6"/>
        <v>121</v>
      </c>
      <c r="B124">
        <v>-0.1357621199105585</v>
      </c>
      <c r="C124">
        <f t="shared" si="5"/>
        <v>5.7291638389629096</v>
      </c>
    </row>
    <row r="125" spans="1:3" x14ac:dyDescent="0.35">
      <c r="A125">
        <f t="shared" si="6"/>
        <v>122</v>
      </c>
      <c r="B125">
        <v>0.28565924067400533</v>
      </c>
      <c r="C125">
        <f t="shared" si="5"/>
        <v>4.2177781807187262</v>
      </c>
    </row>
    <row r="126" spans="1:3" x14ac:dyDescent="0.35">
      <c r="A126">
        <f t="shared" si="6"/>
        <v>123</v>
      </c>
      <c r="B126">
        <v>-1.4558091954319821</v>
      </c>
      <c r="C126">
        <f t="shared" si="5"/>
        <v>2.6870204249050205</v>
      </c>
    </row>
    <row r="127" spans="1:3" x14ac:dyDescent="0.35">
      <c r="A127">
        <f t="shared" si="6"/>
        <v>124</v>
      </c>
      <c r="B127">
        <v>-0.40784678043201361</v>
      </c>
      <c r="C127">
        <f t="shared" si="5"/>
        <v>2.8642486218519956</v>
      </c>
    </row>
    <row r="128" spans="1:3" x14ac:dyDescent="0.35">
      <c r="A128">
        <f t="shared" si="6"/>
        <v>125</v>
      </c>
      <c r="B128">
        <v>2.1343551379439551</v>
      </c>
      <c r="C128">
        <f t="shared" si="5"/>
        <v>5.9304317477279485</v>
      </c>
    </row>
    <row r="129" spans="1:3" x14ac:dyDescent="0.35">
      <c r="A129">
        <f t="shared" si="6"/>
        <v>126</v>
      </c>
      <c r="B129">
        <v>-1.5491149335966881</v>
      </c>
      <c r="C129">
        <f t="shared" si="5"/>
        <v>3.5180626353752893</v>
      </c>
    </row>
    <row r="130" spans="1:3" x14ac:dyDescent="0.35">
      <c r="A130">
        <f t="shared" si="6"/>
        <v>127</v>
      </c>
      <c r="B130">
        <v>-7.9749871774825509E-2</v>
      </c>
      <c r="C130">
        <f t="shared" si="5"/>
        <v>3.1456926614268306</v>
      </c>
    </row>
    <row r="131" spans="1:3" x14ac:dyDescent="0.35">
      <c r="A131">
        <f t="shared" si="6"/>
        <v>128</v>
      </c>
      <c r="B131">
        <v>4.3903436969936614E-2</v>
      </c>
      <c r="C131">
        <f t="shared" si="5"/>
        <v>4.0040285010825238</v>
      </c>
    </row>
    <row r="132" spans="1:3" x14ac:dyDescent="0.35">
      <c r="A132">
        <f t="shared" si="6"/>
        <v>129</v>
      </c>
      <c r="B132">
        <v>-0.27009948997537037</v>
      </c>
      <c r="C132">
        <f t="shared" si="5"/>
        <v>3.7518522285095979</v>
      </c>
    </row>
    <row r="133" spans="1:3" x14ac:dyDescent="0.35">
      <c r="A133">
        <f t="shared" si="6"/>
        <v>130</v>
      </c>
      <c r="B133">
        <v>5.0453329047212323</v>
      </c>
      <c r="C133">
        <f t="shared" ref="C133:C164" si="7">4+B133+0.5*B132</f>
        <v>8.910283159733547</v>
      </c>
    </row>
    <row r="134" spans="1:3" x14ac:dyDescent="0.35">
      <c r="A134">
        <f t="shared" si="6"/>
        <v>131</v>
      </c>
      <c r="B134">
        <v>0.51053066687885029</v>
      </c>
      <c r="C134">
        <f t="shared" si="7"/>
        <v>7.0331971192394658</v>
      </c>
    </row>
    <row r="135" spans="1:3" x14ac:dyDescent="0.35">
      <c r="A135">
        <f t="shared" si="6"/>
        <v>132</v>
      </c>
      <c r="B135">
        <v>0.62138390886575301</v>
      </c>
      <c r="C135">
        <f t="shared" si="7"/>
        <v>4.8766492423051782</v>
      </c>
    </row>
    <row r="136" spans="1:3" x14ac:dyDescent="0.35">
      <c r="A136">
        <f t="shared" si="6"/>
        <v>133</v>
      </c>
      <c r="B136">
        <v>2.2475382984199674</v>
      </c>
      <c r="C136">
        <f t="shared" si="7"/>
        <v>6.5582302528528436</v>
      </c>
    </row>
    <row r="137" spans="1:3" x14ac:dyDescent="0.35">
      <c r="A137">
        <f t="shared" si="6"/>
        <v>134</v>
      </c>
      <c r="B137">
        <v>-0.62013908128748463</v>
      </c>
      <c r="C137">
        <f t="shared" si="7"/>
        <v>4.503630067922499</v>
      </c>
    </row>
    <row r="138" spans="1:3" x14ac:dyDescent="0.35">
      <c r="A138">
        <f t="shared" si="6"/>
        <v>135</v>
      </c>
      <c r="B138">
        <v>0.55435670358155276</v>
      </c>
      <c r="C138">
        <f t="shared" si="7"/>
        <v>4.2442871629378098</v>
      </c>
    </row>
    <row r="139" spans="1:3" x14ac:dyDescent="0.35">
      <c r="A139">
        <f t="shared" si="6"/>
        <v>136</v>
      </c>
      <c r="B139">
        <v>-4.8587617165446293</v>
      </c>
      <c r="C139">
        <f t="shared" si="7"/>
        <v>-0.58158336475385286</v>
      </c>
    </row>
    <row r="140" spans="1:3" x14ac:dyDescent="0.35">
      <c r="A140">
        <f t="shared" si="6"/>
        <v>137</v>
      </c>
      <c r="B140">
        <v>-0.24725173442981468</v>
      </c>
      <c r="C140">
        <f t="shared" si="7"/>
        <v>1.3233674072978707</v>
      </c>
    </row>
    <row r="141" spans="1:3" x14ac:dyDescent="0.35">
      <c r="A141">
        <f t="shared" si="6"/>
        <v>138</v>
      </c>
      <c r="B141">
        <v>-0.38472772345057415</v>
      </c>
      <c r="C141">
        <f t="shared" si="7"/>
        <v>3.4916464093345185</v>
      </c>
    </row>
    <row r="142" spans="1:3" x14ac:dyDescent="0.35">
      <c r="A142">
        <f t="shared" si="6"/>
        <v>139</v>
      </c>
      <c r="B142">
        <v>-2.1433699121846428</v>
      </c>
      <c r="C142">
        <f t="shared" si="7"/>
        <v>1.6642662260900702</v>
      </c>
    </row>
    <row r="143" spans="1:3" x14ac:dyDescent="0.35">
      <c r="A143">
        <f t="shared" si="6"/>
        <v>140</v>
      </c>
      <c r="B143">
        <v>-2.8293252062742349</v>
      </c>
      <c r="C143">
        <f t="shared" si="7"/>
        <v>9.8989837633443711E-2</v>
      </c>
    </row>
    <row r="144" spans="1:3" x14ac:dyDescent="0.35">
      <c r="A144">
        <f t="shared" si="6"/>
        <v>141</v>
      </c>
      <c r="B144">
        <v>-4.6406597913258025</v>
      </c>
      <c r="C144">
        <f t="shared" si="7"/>
        <v>-2.05532239446292</v>
      </c>
    </row>
    <row r="145" spans="1:3" x14ac:dyDescent="0.35">
      <c r="A145">
        <f t="shared" si="6"/>
        <v>142</v>
      </c>
      <c r="B145">
        <v>4.4023595282677244</v>
      </c>
      <c r="C145">
        <f t="shared" si="7"/>
        <v>6.0820296326048222</v>
      </c>
    </row>
    <row r="146" spans="1:3" x14ac:dyDescent="0.35">
      <c r="A146">
        <f t="shared" si="6"/>
        <v>143</v>
      </c>
      <c r="B146">
        <v>1.0380237781213144</v>
      </c>
      <c r="C146">
        <f t="shared" si="7"/>
        <v>7.2392035422551757</v>
      </c>
    </row>
    <row r="147" spans="1:3" x14ac:dyDescent="0.35">
      <c r="A147">
        <f t="shared" si="6"/>
        <v>144</v>
      </c>
      <c r="B147">
        <v>-3.0733209607626564</v>
      </c>
      <c r="C147">
        <f t="shared" si="7"/>
        <v>1.4456909282980008</v>
      </c>
    </row>
    <row r="148" spans="1:3" x14ac:dyDescent="0.35">
      <c r="A148">
        <f t="shared" si="6"/>
        <v>145</v>
      </c>
      <c r="B148">
        <v>-1.2141125550648808</v>
      </c>
      <c r="C148">
        <f t="shared" si="7"/>
        <v>1.249226964553791</v>
      </c>
    </row>
    <row r="149" spans="1:3" x14ac:dyDescent="0.35">
      <c r="A149">
        <f t="shared" si="6"/>
        <v>146</v>
      </c>
      <c r="B149">
        <v>0.89348266296512779</v>
      </c>
      <c r="C149">
        <f t="shared" si="7"/>
        <v>4.2864263854326872</v>
      </c>
    </row>
    <row r="150" spans="1:3" x14ac:dyDescent="0.35">
      <c r="A150">
        <f t="shared" si="6"/>
        <v>147</v>
      </c>
      <c r="B150">
        <v>2.3436799367168093</v>
      </c>
      <c r="C150">
        <f t="shared" si="7"/>
        <v>6.7904212681993723</v>
      </c>
    </row>
    <row r="151" spans="1:3" x14ac:dyDescent="0.35">
      <c r="A151">
        <f t="shared" si="6"/>
        <v>148</v>
      </c>
      <c r="B151">
        <v>2.9325155604201343</v>
      </c>
      <c r="C151">
        <f t="shared" si="7"/>
        <v>8.1043555287785392</v>
      </c>
    </row>
    <row r="152" spans="1:3" x14ac:dyDescent="0.35">
      <c r="A152">
        <f t="shared" si="6"/>
        <v>149</v>
      </c>
      <c r="B152">
        <v>0.14367537059120353</v>
      </c>
      <c r="C152">
        <f t="shared" si="7"/>
        <v>5.6099331508012709</v>
      </c>
    </row>
    <row r="153" spans="1:3" x14ac:dyDescent="0.35">
      <c r="A153">
        <f t="shared" si="6"/>
        <v>150</v>
      </c>
      <c r="B153">
        <v>-3.9529352242002851</v>
      </c>
      <c r="C153">
        <f t="shared" si="7"/>
        <v>0.11890246109531667</v>
      </c>
    </row>
    <row r="154" spans="1:3" x14ac:dyDescent="0.35">
      <c r="A154">
        <f t="shared" si="6"/>
        <v>151</v>
      </c>
      <c r="B154">
        <v>5.5613094153478082</v>
      </c>
      <c r="C154">
        <f t="shared" si="7"/>
        <v>7.5848418032476648</v>
      </c>
    </row>
    <row r="155" spans="1:3" x14ac:dyDescent="0.35">
      <c r="A155">
        <f t="shared" si="6"/>
        <v>152</v>
      </c>
      <c r="B155">
        <v>-0.10019864436221061</v>
      </c>
      <c r="C155">
        <f t="shared" si="7"/>
        <v>6.6804560633116932</v>
      </c>
    </row>
    <row r="156" spans="1:3" x14ac:dyDescent="0.35">
      <c r="A156">
        <f t="shared" si="6"/>
        <v>153</v>
      </c>
      <c r="B156">
        <v>-0.66606758365839636</v>
      </c>
      <c r="C156">
        <f t="shared" si="7"/>
        <v>3.2838330941604985</v>
      </c>
    </row>
    <row r="157" spans="1:3" x14ac:dyDescent="0.35">
      <c r="A157">
        <f t="shared" si="6"/>
        <v>154</v>
      </c>
      <c r="B157">
        <v>-2.0981399943381884</v>
      </c>
      <c r="C157">
        <f t="shared" si="7"/>
        <v>1.5688262138326134</v>
      </c>
    </row>
    <row r="158" spans="1:3" x14ac:dyDescent="0.35">
      <c r="A158">
        <f t="shared" si="6"/>
        <v>155</v>
      </c>
      <c r="B158">
        <v>1.2251159106662934</v>
      </c>
      <c r="C158">
        <f t="shared" si="7"/>
        <v>4.176045913497199</v>
      </c>
    </row>
    <row r="159" spans="1:3" x14ac:dyDescent="0.35">
      <c r="A159">
        <f t="shared" si="6"/>
        <v>156</v>
      </c>
      <c r="B159">
        <v>-0.12676325993953469</v>
      </c>
      <c r="C159">
        <f t="shared" si="7"/>
        <v>4.4857946953936123</v>
      </c>
    </row>
    <row r="160" spans="1:3" x14ac:dyDescent="0.35">
      <c r="A160">
        <f t="shared" si="6"/>
        <v>157</v>
      </c>
      <c r="B160">
        <v>1.1570064245985452</v>
      </c>
      <c r="C160">
        <f t="shared" si="7"/>
        <v>5.093624794628778</v>
      </c>
    </row>
    <row r="161" spans="1:3" x14ac:dyDescent="0.35">
      <c r="A161">
        <f t="shared" si="6"/>
        <v>158</v>
      </c>
      <c r="B161">
        <v>0.40989502220620444</v>
      </c>
      <c r="C161">
        <f t="shared" si="7"/>
        <v>4.9883982345054774</v>
      </c>
    </row>
    <row r="162" spans="1:3" x14ac:dyDescent="0.35">
      <c r="A162">
        <f t="shared" si="6"/>
        <v>159</v>
      </c>
      <c r="B162">
        <v>2.2936521170715736</v>
      </c>
      <c r="C162">
        <f t="shared" si="7"/>
        <v>6.4985996281746754</v>
      </c>
    </row>
    <row r="163" spans="1:3" x14ac:dyDescent="0.35">
      <c r="A163">
        <f t="shared" si="6"/>
        <v>160</v>
      </c>
      <c r="B163">
        <v>2.4857117999045872</v>
      </c>
      <c r="C163">
        <f t="shared" si="7"/>
        <v>7.632537858440374</v>
      </c>
    </row>
    <row r="164" spans="1:3" x14ac:dyDescent="0.35">
      <c r="A164">
        <f t="shared" si="6"/>
        <v>161</v>
      </c>
      <c r="B164">
        <v>0.69550043821023466</v>
      </c>
      <c r="C164">
        <f t="shared" si="7"/>
        <v>5.9383563381625279</v>
      </c>
    </row>
    <row r="165" spans="1:3" x14ac:dyDescent="0.35">
      <c r="A165">
        <f t="shared" si="6"/>
        <v>162</v>
      </c>
      <c r="B165">
        <v>0.6039917171120085</v>
      </c>
      <c r="C165">
        <f t="shared" ref="C165:C196" si="8">4+B165+0.5*B164</f>
        <v>4.9517419362171262</v>
      </c>
    </row>
    <row r="166" spans="1:3" x14ac:dyDescent="0.35">
      <c r="A166">
        <f t="shared" si="6"/>
        <v>163</v>
      </c>
      <c r="B166">
        <v>1.6834379817024707</v>
      </c>
      <c r="C166">
        <f t="shared" si="8"/>
        <v>5.9854338402584748</v>
      </c>
    </row>
    <row r="167" spans="1:3" x14ac:dyDescent="0.35">
      <c r="A167">
        <f t="shared" si="6"/>
        <v>164</v>
      </c>
      <c r="B167">
        <v>4.4919622321583974</v>
      </c>
      <c r="C167">
        <f t="shared" si="8"/>
        <v>9.3336812230096324</v>
      </c>
    </row>
    <row r="168" spans="1:3" x14ac:dyDescent="0.35">
      <c r="A168">
        <f t="shared" si="6"/>
        <v>165</v>
      </c>
      <c r="B168">
        <v>-2.8973666534519515</v>
      </c>
      <c r="C168">
        <f t="shared" si="8"/>
        <v>3.3486144626272472</v>
      </c>
    </row>
    <row r="169" spans="1:3" x14ac:dyDescent="0.35">
      <c r="A169">
        <f t="shared" si="6"/>
        <v>166</v>
      </c>
      <c r="B169">
        <v>-0.23696162345469682</v>
      </c>
      <c r="C169">
        <f t="shared" si="8"/>
        <v>2.3143550498193273</v>
      </c>
    </row>
    <row r="170" spans="1:3" x14ac:dyDescent="0.35">
      <c r="A170">
        <f t="shared" si="6"/>
        <v>167</v>
      </c>
      <c r="B170">
        <v>0.74425925362625922</v>
      </c>
      <c r="C170">
        <f t="shared" si="8"/>
        <v>4.6257784418989107</v>
      </c>
    </row>
    <row r="171" spans="1:3" x14ac:dyDescent="0.35">
      <c r="A171">
        <f t="shared" si="6"/>
        <v>168</v>
      </c>
      <c r="B171">
        <v>0.31255868255619462</v>
      </c>
      <c r="C171">
        <f t="shared" si="8"/>
        <v>4.6846883093693243</v>
      </c>
    </row>
    <row r="172" spans="1:3" x14ac:dyDescent="0.35">
      <c r="A172">
        <f t="shared" si="6"/>
        <v>169</v>
      </c>
      <c r="B172">
        <v>1.711735690842773</v>
      </c>
      <c r="C172">
        <f t="shared" si="8"/>
        <v>5.8680150321208702</v>
      </c>
    </row>
    <row r="173" spans="1:3" x14ac:dyDescent="0.35">
      <c r="A173">
        <f t="shared" si="6"/>
        <v>170</v>
      </c>
      <c r="B173">
        <v>1.4092291935456605</v>
      </c>
      <c r="C173">
        <f t="shared" si="8"/>
        <v>6.2650970389670464</v>
      </c>
    </row>
    <row r="174" spans="1:3" x14ac:dyDescent="0.35">
      <c r="A174">
        <f t="shared" si="6"/>
        <v>171</v>
      </c>
      <c r="B174">
        <v>-1.0444935398867645</v>
      </c>
      <c r="C174">
        <f t="shared" si="8"/>
        <v>3.6601210568860654</v>
      </c>
    </row>
    <row r="175" spans="1:3" x14ac:dyDescent="0.35">
      <c r="A175">
        <f t="shared" si="6"/>
        <v>172</v>
      </c>
      <c r="B175">
        <v>2.0468577626200233</v>
      </c>
      <c r="C175">
        <f t="shared" si="8"/>
        <v>5.5246109926766414</v>
      </c>
    </row>
    <row r="176" spans="1:3" x14ac:dyDescent="0.35">
      <c r="A176">
        <f t="shared" si="6"/>
        <v>173</v>
      </c>
      <c r="B176">
        <v>1.0181519976236177</v>
      </c>
      <c r="C176">
        <f t="shared" si="8"/>
        <v>6.0415808789336296</v>
      </c>
    </row>
    <row r="177" spans="1:3" x14ac:dyDescent="0.35">
      <c r="A177">
        <f t="shared" si="6"/>
        <v>174</v>
      </c>
      <c r="B177">
        <v>-0.14413909445669246</v>
      </c>
      <c r="C177">
        <f t="shared" si="8"/>
        <v>4.3649369043551163</v>
      </c>
    </row>
    <row r="178" spans="1:3" x14ac:dyDescent="0.35">
      <c r="A178">
        <f t="shared" si="6"/>
        <v>175</v>
      </c>
      <c r="B178">
        <v>-3.1624769047698686</v>
      </c>
      <c r="C178">
        <f t="shared" si="8"/>
        <v>0.76545354800178511</v>
      </c>
    </row>
    <row r="179" spans="1:3" x14ac:dyDescent="0.35">
      <c r="A179">
        <f t="shared" si="6"/>
        <v>176</v>
      </c>
      <c r="B179">
        <v>1.0643808418547649</v>
      </c>
      <c r="C179">
        <f t="shared" si="8"/>
        <v>3.483142389469831</v>
      </c>
    </row>
    <row r="180" spans="1:3" x14ac:dyDescent="0.35">
      <c r="A180">
        <f t="shared" si="6"/>
        <v>177</v>
      </c>
      <c r="B180">
        <v>-0.37541754431011493</v>
      </c>
      <c r="C180">
        <f t="shared" si="8"/>
        <v>4.1567728766172678</v>
      </c>
    </row>
    <row r="181" spans="1:3" x14ac:dyDescent="0.35">
      <c r="A181">
        <f t="shared" si="6"/>
        <v>178</v>
      </c>
      <c r="B181">
        <v>-1.3024912863125961</v>
      </c>
      <c r="C181">
        <f t="shared" si="8"/>
        <v>2.5097999415323464</v>
      </c>
    </row>
    <row r="182" spans="1:3" x14ac:dyDescent="0.35">
      <c r="A182">
        <f t="shared" si="6"/>
        <v>179</v>
      </c>
      <c r="B182">
        <v>0.14623880979302159</v>
      </c>
      <c r="C182">
        <f t="shared" si="8"/>
        <v>3.4949931666367231</v>
      </c>
    </row>
    <row r="183" spans="1:3" x14ac:dyDescent="0.35">
      <c r="A183">
        <f t="shared" ref="A183:A203" si="9">A182+1</f>
        <v>180</v>
      </c>
      <c r="B183">
        <v>-0.79752555006842463</v>
      </c>
      <c r="C183">
        <f t="shared" si="8"/>
        <v>3.2755938548280858</v>
      </c>
    </row>
    <row r="184" spans="1:3" x14ac:dyDescent="0.35">
      <c r="A184">
        <f t="shared" si="9"/>
        <v>181</v>
      </c>
      <c r="B184">
        <v>2.1337494089782312</v>
      </c>
      <c r="C184">
        <f t="shared" si="8"/>
        <v>5.7349866339440183</v>
      </c>
    </row>
    <row r="185" spans="1:3" x14ac:dyDescent="0.35">
      <c r="A185">
        <f t="shared" si="9"/>
        <v>182</v>
      </c>
      <c r="B185">
        <v>-7.5519709735454965E-2</v>
      </c>
      <c r="C185">
        <f t="shared" si="8"/>
        <v>4.9913549947536602</v>
      </c>
    </row>
    <row r="186" spans="1:3" x14ac:dyDescent="0.35">
      <c r="A186">
        <f t="shared" si="9"/>
        <v>183</v>
      </c>
      <c r="B186">
        <v>-1.6639090449239911</v>
      </c>
      <c r="C186">
        <f t="shared" si="8"/>
        <v>2.2983311002082814</v>
      </c>
    </row>
    <row r="187" spans="1:3" x14ac:dyDescent="0.35">
      <c r="A187">
        <f t="shared" si="9"/>
        <v>184</v>
      </c>
      <c r="B187">
        <v>1.5086760682566831</v>
      </c>
      <c r="C187">
        <f t="shared" si="8"/>
        <v>4.6767215457946882</v>
      </c>
    </row>
    <row r="188" spans="1:3" x14ac:dyDescent="0.35">
      <c r="A188">
        <f t="shared" si="9"/>
        <v>185</v>
      </c>
      <c r="B188">
        <v>2.3902319500511857</v>
      </c>
      <c r="C188">
        <f t="shared" si="8"/>
        <v>7.1445699841795278</v>
      </c>
    </row>
    <row r="189" spans="1:3" x14ac:dyDescent="0.35">
      <c r="A189">
        <f t="shared" si="9"/>
        <v>186</v>
      </c>
      <c r="B189">
        <v>-3.3171698035556143</v>
      </c>
      <c r="C189">
        <f t="shared" si="8"/>
        <v>1.8779461714699786</v>
      </c>
    </row>
    <row r="190" spans="1:3" x14ac:dyDescent="0.35">
      <c r="A190">
        <f t="shared" si="9"/>
        <v>187</v>
      </c>
      <c r="B190">
        <v>1.0781329144528979</v>
      </c>
      <c r="C190">
        <f t="shared" si="8"/>
        <v>3.4195480126750901</v>
      </c>
    </row>
    <row r="191" spans="1:3" x14ac:dyDescent="0.35">
      <c r="A191">
        <f t="shared" si="9"/>
        <v>188</v>
      </c>
      <c r="B191">
        <v>1.5567309462376926</v>
      </c>
      <c r="C191">
        <f t="shared" si="8"/>
        <v>6.0957974034641413</v>
      </c>
    </row>
    <row r="192" spans="1:3" x14ac:dyDescent="0.35">
      <c r="A192">
        <f t="shared" si="9"/>
        <v>189</v>
      </c>
      <c r="B192">
        <v>2.3070163158394528</v>
      </c>
      <c r="C192">
        <f t="shared" si="8"/>
        <v>7.0853817889582995</v>
      </c>
    </row>
    <row r="193" spans="1:3" x14ac:dyDescent="0.35">
      <c r="A193">
        <f t="shared" si="9"/>
        <v>190</v>
      </c>
      <c r="B193">
        <v>0.55441335405162318</v>
      </c>
      <c r="C193">
        <f t="shared" si="8"/>
        <v>5.7079215119713496</v>
      </c>
    </row>
    <row r="194" spans="1:3" x14ac:dyDescent="0.35">
      <c r="A194">
        <f t="shared" si="9"/>
        <v>191</v>
      </c>
      <c r="B194">
        <v>-1.9751380436788943</v>
      </c>
      <c r="C194">
        <f t="shared" si="8"/>
        <v>2.3020686333469169</v>
      </c>
    </row>
    <row r="195" spans="1:3" x14ac:dyDescent="0.35">
      <c r="A195">
        <f t="shared" si="9"/>
        <v>192</v>
      </c>
      <c r="B195">
        <v>0.91198382356160401</v>
      </c>
      <c r="C195">
        <f t="shared" si="8"/>
        <v>3.9244148017221567</v>
      </c>
    </row>
    <row r="196" spans="1:3" x14ac:dyDescent="0.35">
      <c r="A196">
        <f t="shared" si="9"/>
        <v>193</v>
      </c>
      <c r="B196">
        <v>-0.81463532483798784</v>
      </c>
      <c r="C196">
        <f t="shared" si="8"/>
        <v>3.6413565869428144</v>
      </c>
    </row>
    <row r="197" spans="1:3" x14ac:dyDescent="0.35">
      <c r="A197">
        <f t="shared" si="9"/>
        <v>194</v>
      </c>
      <c r="B197">
        <v>0.49076938257402997</v>
      </c>
      <c r="C197">
        <f t="shared" ref="C197:C203" si="10">4+B197+0.5*B196</f>
        <v>4.0834517201550353</v>
      </c>
    </row>
    <row r="198" spans="1:3" x14ac:dyDescent="0.35">
      <c r="A198">
        <f t="shared" si="9"/>
        <v>195</v>
      </c>
      <c r="B198">
        <v>-2.2885601654883678</v>
      </c>
      <c r="C198">
        <f t="shared" si="10"/>
        <v>1.9568245257986472</v>
      </c>
    </row>
    <row r="199" spans="1:3" x14ac:dyDescent="0.35">
      <c r="A199">
        <f t="shared" si="9"/>
        <v>196</v>
      </c>
      <c r="B199">
        <v>0.93023171808179261</v>
      </c>
      <c r="C199">
        <f t="shared" si="10"/>
        <v>3.7859516353376081</v>
      </c>
    </row>
    <row r="200" spans="1:3" x14ac:dyDescent="0.35">
      <c r="A200">
        <f t="shared" si="9"/>
        <v>197</v>
      </c>
      <c r="B200">
        <v>0.79644074037922397</v>
      </c>
      <c r="C200">
        <f t="shared" si="10"/>
        <v>5.2615565994201203</v>
      </c>
    </row>
    <row r="201" spans="1:3" x14ac:dyDescent="0.35">
      <c r="A201">
        <f t="shared" si="9"/>
        <v>198</v>
      </c>
      <c r="B201">
        <v>4.1441833756284634</v>
      </c>
      <c r="C201">
        <f t="shared" si="10"/>
        <v>8.5424037458180759</v>
      </c>
    </row>
    <row r="202" spans="1:3" x14ac:dyDescent="0.35">
      <c r="A202">
        <f t="shared" si="9"/>
        <v>199</v>
      </c>
      <c r="B202">
        <v>-0.81179966656030933</v>
      </c>
      <c r="C202">
        <f t="shared" si="10"/>
        <v>5.2602920212539228</v>
      </c>
    </row>
    <row r="203" spans="1:3" x14ac:dyDescent="0.35">
      <c r="A203" s="13">
        <f t="shared" si="9"/>
        <v>200</v>
      </c>
      <c r="B203" s="4">
        <v>-1.9638608721279491</v>
      </c>
      <c r="C203" s="4">
        <f t="shared" si="10"/>
        <v>1.6302392945918964</v>
      </c>
    </row>
    <row r="205" spans="1:3" x14ac:dyDescent="0.35">
      <c r="B205" t="s">
        <v>109</v>
      </c>
    </row>
    <row r="206" spans="1:3" x14ac:dyDescent="0.35">
      <c r="B206" t="e" cm="1">
        <f t="array" aca="1" ref="B206" ca="1">FTEXT(C5)</f>
        <v>#NAME?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5"/>
  <dimension ref="A1:G207"/>
  <sheetViews>
    <sheetView workbookViewId="0"/>
  </sheetViews>
  <sheetFormatPr defaultRowHeight="14.5" x14ac:dyDescent="0.35"/>
  <cols>
    <col min="1" max="1" width="4.7265625" customWidth="1"/>
    <col min="4" max="4" width="3.1796875" customWidth="1"/>
    <col min="5" max="5" width="3.7265625" style="69" customWidth="1"/>
    <col min="6" max="7" width="10.7265625" customWidth="1"/>
  </cols>
  <sheetData>
    <row r="1" spans="1:7" x14ac:dyDescent="0.35">
      <c r="A1" s="7" t="s">
        <v>108</v>
      </c>
    </row>
    <row r="2" spans="1:7" x14ac:dyDescent="0.35">
      <c r="A2" s="7"/>
    </row>
    <row r="3" spans="1:7" x14ac:dyDescent="0.35">
      <c r="A3" s="7"/>
    </row>
    <row r="4" spans="1:7" x14ac:dyDescent="0.35">
      <c r="B4" s="70" t="s">
        <v>107</v>
      </c>
      <c r="C4" s="70" t="s">
        <v>110</v>
      </c>
      <c r="E4" s="70" t="s">
        <v>78</v>
      </c>
      <c r="F4" s="70" t="s">
        <v>77</v>
      </c>
      <c r="G4" s="70" t="s">
        <v>116</v>
      </c>
    </row>
    <row r="5" spans="1:7" x14ac:dyDescent="0.35">
      <c r="A5">
        <v>1</v>
      </c>
      <c r="B5">
        <v>-0.69420091468668921</v>
      </c>
      <c r="E5" s="69">
        <v>1</v>
      </c>
      <c r="F5" t="e" cm="1">
        <f t="array" aca="1" ref="F5" ca="1">ACF($C$6:$D$204,E5)</f>
        <v>#NAME?</v>
      </c>
      <c r="G5" s="69">
        <f>0.5/(1+0.5^2)</f>
        <v>0.4</v>
      </c>
    </row>
    <row r="6" spans="1:7" x14ac:dyDescent="0.35">
      <c r="A6">
        <f>A5+1</f>
        <v>2</v>
      </c>
      <c r="B6">
        <v>-0.87558778428873518</v>
      </c>
      <c r="C6">
        <f t="shared" ref="C6:C69" si="0">4+B6+0.5*B5</f>
        <v>2.7773117583679201</v>
      </c>
      <c r="E6" s="69">
        <f>E5+1</f>
        <v>2</v>
      </c>
      <c r="F6" t="e" cm="1">
        <f t="array" aca="1" ref="F6" ca="1">ACF($C$6:$D$204,E6)</f>
        <v>#NAME?</v>
      </c>
      <c r="G6" s="69">
        <v>0</v>
      </c>
    </row>
    <row r="7" spans="1:7" x14ac:dyDescent="0.35">
      <c r="A7">
        <f t="shared" ref="A7:A70" si="1">A6+1</f>
        <v>3</v>
      </c>
      <c r="B7">
        <v>-0.74392130947938684</v>
      </c>
      <c r="C7">
        <f t="shared" si="0"/>
        <v>2.8182847983762453</v>
      </c>
      <c r="E7" s="69">
        <f t="shared" ref="E7:E16" si="2">E6+1</f>
        <v>3</v>
      </c>
      <c r="F7" t="e" cm="1">
        <f t="array" aca="1" ref="F7" ca="1">ACF($C$6:$D$204,E7)</f>
        <v>#NAME?</v>
      </c>
      <c r="G7" s="69">
        <v>0</v>
      </c>
    </row>
    <row r="8" spans="1:7" x14ac:dyDescent="0.35">
      <c r="A8">
        <f t="shared" si="1"/>
        <v>4</v>
      </c>
      <c r="B8">
        <v>3.0728091528421642</v>
      </c>
      <c r="C8">
        <f t="shared" si="0"/>
        <v>6.700848498102471</v>
      </c>
      <c r="E8" s="69">
        <f t="shared" si="2"/>
        <v>4</v>
      </c>
      <c r="F8" t="e" cm="1">
        <f t="array" aca="1" ref="F8" ca="1">ACF($C$6:$D$204,E8)</f>
        <v>#NAME?</v>
      </c>
      <c r="G8" s="69">
        <v>0</v>
      </c>
    </row>
    <row r="9" spans="1:7" x14ac:dyDescent="0.35">
      <c r="A9">
        <f t="shared" si="1"/>
        <v>5</v>
      </c>
      <c r="B9">
        <v>-1.9419373719738628</v>
      </c>
      <c r="C9">
        <f t="shared" si="0"/>
        <v>3.5944672044472195</v>
      </c>
      <c r="E9" s="69">
        <f t="shared" si="2"/>
        <v>5</v>
      </c>
      <c r="F9" t="e" cm="1">
        <f t="array" aca="1" ref="F9" ca="1">ACF($C$6:$D$204,E9)</f>
        <v>#NAME?</v>
      </c>
      <c r="G9" s="69">
        <v>0</v>
      </c>
    </row>
    <row r="10" spans="1:7" x14ac:dyDescent="0.35">
      <c r="A10">
        <f t="shared" si="1"/>
        <v>6</v>
      </c>
      <c r="B10">
        <v>-1.7296502884778595</v>
      </c>
      <c r="C10">
        <f t="shared" si="0"/>
        <v>1.299381025535209</v>
      </c>
      <c r="E10" s="69">
        <f t="shared" si="2"/>
        <v>6</v>
      </c>
      <c r="F10" t="e" cm="1">
        <f t="array" aca="1" ref="F10" ca="1">ACF($C$6:$D$204,E10)</f>
        <v>#NAME?</v>
      </c>
      <c r="G10" s="69">
        <v>0</v>
      </c>
    </row>
    <row r="11" spans="1:7" x14ac:dyDescent="0.35">
      <c r="A11">
        <f t="shared" si="1"/>
        <v>7</v>
      </c>
      <c r="B11">
        <v>2.1964877398152103</v>
      </c>
      <c r="C11">
        <f t="shared" si="0"/>
        <v>5.3316625955762804</v>
      </c>
      <c r="E11" s="69">
        <f t="shared" si="2"/>
        <v>7</v>
      </c>
      <c r="F11" t="e" cm="1">
        <f t="array" aca="1" ref="F11" ca="1">ACF($C$6:$D$204,E11)</f>
        <v>#NAME?</v>
      </c>
      <c r="G11" s="69">
        <v>0</v>
      </c>
    </row>
    <row r="12" spans="1:7" x14ac:dyDescent="0.35">
      <c r="A12">
        <f t="shared" si="1"/>
        <v>8</v>
      </c>
      <c r="B12">
        <v>-3.6212692123216477</v>
      </c>
      <c r="C12">
        <f t="shared" si="0"/>
        <v>1.4769746575859575</v>
      </c>
      <c r="E12" s="69">
        <f t="shared" si="2"/>
        <v>8</v>
      </c>
      <c r="F12" t="e" cm="1">
        <f t="array" aca="1" ref="F12" ca="1">ACF($C$6:$D$204,E12)</f>
        <v>#NAME?</v>
      </c>
      <c r="G12" s="69">
        <v>0</v>
      </c>
    </row>
    <row r="13" spans="1:7" x14ac:dyDescent="0.35">
      <c r="A13">
        <f t="shared" si="1"/>
        <v>9</v>
      </c>
      <c r="B13">
        <v>-0.73537045424691472</v>
      </c>
      <c r="C13">
        <f t="shared" si="0"/>
        <v>1.4539949395922613</v>
      </c>
      <c r="E13" s="69">
        <f t="shared" si="2"/>
        <v>9</v>
      </c>
      <c r="F13" t="e" cm="1">
        <f t="array" aca="1" ref="F13" ca="1">ACF($C$6:$D$204,E13)</f>
        <v>#NAME?</v>
      </c>
      <c r="G13" s="69">
        <v>0</v>
      </c>
    </row>
    <row r="14" spans="1:7" x14ac:dyDescent="0.35">
      <c r="A14">
        <f t="shared" si="1"/>
        <v>10</v>
      </c>
      <c r="B14">
        <v>-2.3965548844576574</v>
      </c>
      <c r="C14">
        <f t="shared" si="0"/>
        <v>1.2357598884188852</v>
      </c>
      <c r="E14" s="69">
        <f t="shared" si="2"/>
        <v>10</v>
      </c>
      <c r="F14" t="e" cm="1">
        <f t="array" aca="1" ref="F14" ca="1">ACF($C$6:$D$204,E14)</f>
        <v>#NAME?</v>
      </c>
      <c r="G14" s="69">
        <v>0</v>
      </c>
    </row>
    <row r="15" spans="1:7" x14ac:dyDescent="0.35">
      <c r="A15">
        <f t="shared" si="1"/>
        <v>11</v>
      </c>
      <c r="B15">
        <v>-0.75072452984709082</v>
      </c>
      <c r="C15">
        <f t="shared" si="0"/>
        <v>2.0509980279240807</v>
      </c>
      <c r="E15" s="69">
        <f t="shared" si="2"/>
        <v>11</v>
      </c>
      <c r="F15" t="e" cm="1">
        <f t="array" aca="1" ref="F15" ca="1">ACF($C$6:$D$204,E15)</f>
        <v>#NAME?</v>
      </c>
      <c r="G15" s="69">
        <v>0</v>
      </c>
    </row>
    <row r="16" spans="1:7" x14ac:dyDescent="0.35">
      <c r="A16">
        <f t="shared" si="1"/>
        <v>12</v>
      </c>
      <c r="B16">
        <v>0.51621828199445963</v>
      </c>
      <c r="C16">
        <f t="shared" si="0"/>
        <v>4.1408560170709148</v>
      </c>
      <c r="E16" s="69">
        <f t="shared" si="2"/>
        <v>12</v>
      </c>
      <c r="F16" t="e" cm="1">
        <f t="array" aca="1" ref="F16" ca="1">ACF($C$6:$D$204,E16)</f>
        <v>#NAME?</v>
      </c>
      <c r="G16" s="69">
        <v>0</v>
      </c>
    </row>
    <row r="17" spans="1:7" x14ac:dyDescent="0.35">
      <c r="A17">
        <f t="shared" si="1"/>
        <v>13</v>
      </c>
      <c r="B17">
        <v>1.857550407661875</v>
      </c>
      <c r="C17">
        <f t="shared" si="0"/>
        <v>6.1156595486591048</v>
      </c>
      <c r="E17" s="69">
        <f>E16+1</f>
        <v>13</v>
      </c>
      <c r="F17" t="e" cm="1">
        <f t="array" aca="1" ref="F17" ca="1">ACF($C$6:$D$204,E17)</f>
        <v>#NAME?</v>
      </c>
      <c r="G17" s="69">
        <v>0</v>
      </c>
    </row>
    <row r="18" spans="1:7" x14ac:dyDescent="0.35">
      <c r="A18">
        <f t="shared" si="1"/>
        <v>14</v>
      </c>
      <c r="B18">
        <v>1.8555028839107315</v>
      </c>
      <c r="C18">
        <f t="shared" si="0"/>
        <v>6.7842780877416695</v>
      </c>
      <c r="E18" s="69">
        <f>E17+1</f>
        <v>14</v>
      </c>
      <c r="F18" t="e" cm="1">
        <f t="array" aca="1" ref="F18" ca="1">ACF($C$6:$D$204,E18)</f>
        <v>#NAME?</v>
      </c>
      <c r="G18" s="69">
        <v>0</v>
      </c>
    </row>
    <row r="19" spans="1:7" x14ac:dyDescent="0.35">
      <c r="A19">
        <f t="shared" si="1"/>
        <v>15</v>
      </c>
      <c r="B19">
        <v>-1.0084510887843623</v>
      </c>
      <c r="C19">
        <f t="shared" si="0"/>
        <v>3.9193003531710038</v>
      </c>
      <c r="E19" s="10">
        <f>E18+1</f>
        <v>15</v>
      </c>
      <c r="F19" s="4" t="e" cm="1">
        <f t="array" aca="1" ref="F19" ca="1">ACF($C$6:$D$204,E19)</f>
        <v>#NAME?</v>
      </c>
      <c r="G19" s="10">
        <v>0</v>
      </c>
    </row>
    <row r="20" spans="1:7" x14ac:dyDescent="0.35">
      <c r="A20">
        <f t="shared" si="1"/>
        <v>16</v>
      </c>
      <c r="B20">
        <v>1.496039175586874</v>
      </c>
      <c r="C20">
        <f t="shared" si="0"/>
        <v>4.9918136311946935</v>
      </c>
    </row>
    <row r="21" spans="1:7" x14ac:dyDescent="0.35">
      <c r="A21">
        <f t="shared" si="1"/>
        <v>17</v>
      </c>
      <c r="B21">
        <v>-0.4003966728269075</v>
      </c>
      <c r="C21">
        <f t="shared" si="0"/>
        <v>4.3476229149665295</v>
      </c>
    </row>
    <row r="22" spans="1:7" x14ac:dyDescent="0.35">
      <c r="A22">
        <f t="shared" si="1"/>
        <v>18</v>
      </c>
      <c r="B22">
        <v>-2.1659297760239786</v>
      </c>
      <c r="C22">
        <f t="shared" si="0"/>
        <v>1.6338718875625675</v>
      </c>
    </row>
    <row r="23" spans="1:7" x14ac:dyDescent="0.35">
      <c r="A23">
        <f t="shared" si="1"/>
        <v>19</v>
      </c>
      <c r="B23">
        <v>1.265945750690491</v>
      </c>
      <c r="C23">
        <f t="shared" si="0"/>
        <v>4.1829808626785017</v>
      </c>
    </row>
    <row r="24" spans="1:7" x14ac:dyDescent="0.35">
      <c r="A24">
        <f t="shared" si="1"/>
        <v>20</v>
      </c>
      <c r="B24">
        <v>1.3803624088083266</v>
      </c>
      <c r="C24">
        <f t="shared" si="0"/>
        <v>6.0133352841535723</v>
      </c>
    </row>
    <row r="25" spans="1:7" x14ac:dyDescent="0.35">
      <c r="A25">
        <f t="shared" si="1"/>
        <v>21</v>
      </c>
      <c r="B25">
        <v>-0.68994201732456262</v>
      </c>
      <c r="C25">
        <f t="shared" si="0"/>
        <v>4.0002391870796004</v>
      </c>
    </row>
    <row r="26" spans="1:7" x14ac:dyDescent="0.35">
      <c r="A26">
        <f t="shared" si="1"/>
        <v>22</v>
      </c>
      <c r="B26">
        <v>-0.60723301719649769</v>
      </c>
      <c r="C26">
        <f t="shared" si="0"/>
        <v>3.0477959741412213</v>
      </c>
    </row>
    <row r="27" spans="1:7" x14ac:dyDescent="0.35">
      <c r="A27">
        <f t="shared" si="1"/>
        <v>23</v>
      </c>
      <c r="B27">
        <v>0.43319896792900742</v>
      </c>
      <c r="C27">
        <f t="shared" si="0"/>
        <v>4.1295824593307584</v>
      </c>
    </row>
    <row r="28" spans="1:7" x14ac:dyDescent="0.35">
      <c r="A28">
        <f t="shared" si="1"/>
        <v>24</v>
      </c>
      <c r="B28">
        <v>-0.77726215348466687</v>
      </c>
      <c r="C28">
        <f t="shared" si="0"/>
        <v>3.4393373304798365</v>
      </c>
    </row>
    <row r="29" spans="1:7" x14ac:dyDescent="0.35">
      <c r="A29">
        <f t="shared" si="1"/>
        <v>25</v>
      </c>
      <c r="B29">
        <v>-1.8164843165145295</v>
      </c>
      <c r="C29">
        <f t="shared" si="0"/>
        <v>1.7948846067431372</v>
      </c>
    </row>
    <row r="30" spans="1:7" x14ac:dyDescent="0.35">
      <c r="A30">
        <f t="shared" si="1"/>
        <v>26</v>
      </c>
      <c r="B30">
        <v>2.3362010307127998</v>
      </c>
      <c r="C30">
        <f t="shared" si="0"/>
        <v>5.4279588724555357</v>
      </c>
    </row>
    <row r="31" spans="1:7" x14ac:dyDescent="0.35">
      <c r="A31">
        <f t="shared" si="1"/>
        <v>27</v>
      </c>
      <c r="B31">
        <v>0.53940757415645235</v>
      </c>
      <c r="C31">
        <f t="shared" si="0"/>
        <v>5.7075080895128529</v>
      </c>
    </row>
    <row r="32" spans="1:7" x14ac:dyDescent="0.35">
      <c r="A32">
        <f t="shared" si="1"/>
        <v>28</v>
      </c>
      <c r="B32">
        <v>-4.4049614316556011E-2</v>
      </c>
      <c r="C32">
        <f t="shared" si="0"/>
        <v>4.2256541727616703</v>
      </c>
    </row>
    <row r="33" spans="1:3" x14ac:dyDescent="0.35">
      <c r="A33">
        <f t="shared" si="1"/>
        <v>29</v>
      </c>
      <c r="B33">
        <v>2.3057581413476544</v>
      </c>
      <c r="C33">
        <f t="shared" si="0"/>
        <v>6.2837333341893764</v>
      </c>
    </row>
    <row r="34" spans="1:3" x14ac:dyDescent="0.35">
      <c r="A34">
        <f t="shared" si="1"/>
        <v>30</v>
      </c>
      <c r="B34">
        <v>4.4245912408273673</v>
      </c>
      <c r="C34">
        <f t="shared" si="0"/>
        <v>9.5774703115011945</v>
      </c>
    </row>
    <row r="35" spans="1:3" x14ac:dyDescent="0.35">
      <c r="A35">
        <f t="shared" si="1"/>
        <v>31</v>
      </c>
      <c r="B35">
        <v>-0.87761234660300047</v>
      </c>
      <c r="C35">
        <f t="shared" si="0"/>
        <v>5.3346832738106826</v>
      </c>
    </row>
    <row r="36" spans="1:3" x14ac:dyDescent="0.35">
      <c r="A36">
        <f t="shared" si="1"/>
        <v>32</v>
      </c>
      <c r="B36">
        <v>-8.9411512738627755E-2</v>
      </c>
      <c r="C36">
        <f t="shared" si="0"/>
        <v>3.471782313959872</v>
      </c>
    </row>
    <row r="37" spans="1:3" x14ac:dyDescent="0.35">
      <c r="A37">
        <f t="shared" si="1"/>
        <v>33</v>
      </c>
      <c r="B37">
        <v>1.3116096495739089</v>
      </c>
      <c r="C37">
        <f t="shared" si="0"/>
        <v>5.2669038932045948</v>
      </c>
    </row>
    <row r="38" spans="1:3" x14ac:dyDescent="0.35">
      <c r="A38">
        <f t="shared" si="1"/>
        <v>34</v>
      </c>
      <c r="B38">
        <v>-5.7407753840039939E-2</v>
      </c>
      <c r="C38">
        <f t="shared" si="0"/>
        <v>4.5983970709469144</v>
      </c>
    </row>
    <row r="39" spans="1:3" x14ac:dyDescent="0.35">
      <c r="A39">
        <f t="shared" si="1"/>
        <v>35</v>
      </c>
      <c r="B39">
        <v>-0.23005134035884045</v>
      </c>
      <c r="C39">
        <f t="shared" si="0"/>
        <v>3.7412447827211399</v>
      </c>
    </row>
    <row r="40" spans="1:3" x14ac:dyDescent="0.35">
      <c r="A40">
        <f t="shared" si="1"/>
        <v>36</v>
      </c>
      <c r="B40">
        <v>0.57825656951370696</v>
      </c>
      <c r="C40">
        <f t="shared" si="0"/>
        <v>4.4632308993342864</v>
      </c>
    </row>
    <row r="41" spans="1:3" x14ac:dyDescent="0.35">
      <c r="A41">
        <f t="shared" si="1"/>
        <v>37</v>
      </c>
      <c r="B41">
        <v>-2.61696211328037</v>
      </c>
      <c r="C41">
        <f t="shared" si="0"/>
        <v>1.6721661714764835</v>
      </c>
    </row>
    <row r="42" spans="1:3" x14ac:dyDescent="0.35">
      <c r="A42">
        <f t="shared" si="1"/>
        <v>38</v>
      </c>
      <c r="B42">
        <v>-2.4905726166394633</v>
      </c>
      <c r="C42">
        <f t="shared" si="0"/>
        <v>0.20094632672035173</v>
      </c>
    </row>
    <row r="43" spans="1:3" x14ac:dyDescent="0.35">
      <c r="A43">
        <f t="shared" si="1"/>
        <v>39</v>
      </c>
      <c r="B43">
        <v>0.5869249825884717</v>
      </c>
      <c r="C43">
        <f t="shared" si="0"/>
        <v>3.3416386742687401</v>
      </c>
    </row>
    <row r="44" spans="1:3" x14ac:dyDescent="0.35">
      <c r="A44">
        <f t="shared" si="1"/>
        <v>40</v>
      </c>
      <c r="B44">
        <v>-0.81234505881972496</v>
      </c>
      <c r="C44">
        <f t="shared" si="0"/>
        <v>3.4811174324745111</v>
      </c>
    </row>
    <row r="45" spans="1:3" x14ac:dyDescent="0.35">
      <c r="A45">
        <f t="shared" si="1"/>
        <v>41</v>
      </c>
      <c r="B45">
        <v>2.0037975662623024</v>
      </c>
      <c r="C45">
        <f t="shared" si="0"/>
        <v>5.5976250368524401</v>
      </c>
    </row>
    <row r="46" spans="1:3" x14ac:dyDescent="0.35">
      <c r="A46">
        <f t="shared" si="1"/>
        <v>42</v>
      </c>
      <c r="B46">
        <v>3.8424720915805453</v>
      </c>
      <c r="C46">
        <f t="shared" si="0"/>
        <v>8.8443708747116965</v>
      </c>
    </row>
    <row r="47" spans="1:3" x14ac:dyDescent="0.35">
      <c r="A47">
        <f t="shared" si="1"/>
        <v>43</v>
      </c>
      <c r="B47">
        <v>0.32596170386742063</v>
      </c>
      <c r="C47">
        <f t="shared" si="0"/>
        <v>6.2471977496576931</v>
      </c>
    </row>
    <row r="48" spans="1:3" x14ac:dyDescent="0.35">
      <c r="A48">
        <f t="shared" si="1"/>
        <v>44</v>
      </c>
      <c r="B48">
        <v>0.87008659160246826</v>
      </c>
      <c r="C48">
        <f t="shared" si="0"/>
        <v>5.0330674435361784</v>
      </c>
    </row>
    <row r="49" spans="1:3" x14ac:dyDescent="0.35">
      <c r="A49">
        <f t="shared" si="1"/>
        <v>45</v>
      </c>
      <c r="B49">
        <v>-0.36537031831069855</v>
      </c>
      <c r="C49">
        <f t="shared" si="0"/>
        <v>4.0696729774905354</v>
      </c>
    </row>
    <row r="50" spans="1:3" x14ac:dyDescent="0.35">
      <c r="A50">
        <f t="shared" si="1"/>
        <v>46</v>
      </c>
      <c r="B50">
        <v>-1.4235386617346899</v>
      </c>
      <c r="C50">
        <f t="shared" si="0"/>
        <v>2.393776179109961</v>
      </c>
    </row>
    <row r="51" spans="1:3" x14ac:dyDescent="0.35">
      <c r="A51">
        <f t="shared" si="1"/>
        <v>47</v>
      </c>
      <c r="B51">
        <v>2.5046237445473025</v>
      </c>
      <c r="C51">
        <f t="shared" si="0"/>
        <v>5.792854413679958</v>
      </c>
    </row>
    <row r="52" spans="1:3" x14ac:dyDescent="0.35">
      <c r="A52">
        <f t="shared" si="1"/>
        <v>48</v>
      </c>
      <c r="B52">
        <v>0.99722248777568656</v>
      </c>
      <c r="C52">
        <f t="shared" si="0"/>
        <v>6.2495343600493376</v>
      </c>
    </row>
    <row r="53" spans="1:3" x14ac:dyDescent="0.35">
      <c r="A53">
        <f t="shared" si="1"/>
        <v>49</v>
      </c>
      <c r="B53">
        <v>-0.27654238324895275</v>
      </c>
      <c r="C53">
        <f t="shared" si="0"/>
        <v>4.222068860638891</v>
      </c>
    </row>
    <row r="54" spans="1:3" x14ac:dyDescent="0.35">
      <c r="A54">
        <f t="shared" si="1"/>
        <v>50</v>
      </c>
      <c r="B54">
        <v>1.5856114065285145</v>
      </c>
      <c r="C54">
        <f t="shared" si="0"/>
        <v>5.4473402149040373</v>
      </c>
    </row>
    <row r="55" spans="1:3" x14ac:dyDescent="0.35">
      <c r="A55">
        <f t="shared" si="1"/>
        <v>51</v>
      </c>
      <c r="B55">
        <v>0.20961962024818878</v>
      </c>
      <c r="C55">
        <f t="shared" si="0"/>
        <v>5.0024253235124458</v>
      </c>
    </row>
    <row r="56" spans="1:3" x14ac:dyDescent="0.35">
      <c r="A56">
        <f t="shared" si="1"/>
        <v>52</v>
      </c>
      <c r="B56">
        <v>1.5484203037498827</v>
      </c>
      <c r="C56">
        <f t="shared" si="0"/>
        <v>5.6532301138739767</v>
      </c>
    </row>
    <row r="57" spans="1:3" x14ac:dyDescent="0.35">
      <c r="A57">
        <f t="shared" si="1"/>
        <v>53</v>
      </c>
      <c r="B57">
        <v>-0.92826506819668664</v>
      </c>
      <c r="C57">
        <f t="shared" si="0"/>
        <v>3.8459450836782549</v>
      </c>
    </row>
    <row r="58" spans="1:3" x14ac:dyDescent="0.35">
      <c r="A58">
        <f t="shared" si="1"/>
        <v>54</v>
      </c>
      <c r="B58">
        <v>3.9340990778615104</v>
      </c>
      <c r="C58">
        <f t="shared" si="0"/>
        <v>7.4699665437631673</v>
      </c>
    </row>
    <row r="59" spans="1:3" x14ac:dyDescent="0.35">
      <c r="A59">
        <f t="shared" si="1"/>
        <v>55</v>
      </c>
      <c r="B59">
        <v>-1.6344170686105275</v>
      </c>
      <c r="C59">
        <f t="shared" si="0"/>
        <v>4.3326324703202275</v>
      </c>
    </row>
    <row r="60" spans="1:3" x14ac:dyDescent="0.35">
      <c r="A60">
        <f t="shared" si="1"/>
        <v>56</v>
      </c>
      <c r="B60">
        <v>-0.63481749081468575</v>
      </c>
      <c r="C60">
        <f t="shared" si="0"/>
        <v>2.5479739748800503</v>
      </c>
    </row>
    <row r="61" spans="1:3" x14ac:dyDescent="0.35">
      <c r="A61">
        <f t="shared" si="1"/>
        <v>57</v>
      </c>
      <c r="B61">
        <v>1.0198933639943912</v>
      </c>
      <c r="C61">
        <f t="shared" si="0"/>
        <v>4.7024846185870484</v>
      </c>
    </row>
    <row r="62" spans="1:3" x14ac:dyDescent="0.35">
      <c r="A62">
        <f t="shared" si="1"/>
        <v>58</v>
      </c>
      <c r="B62">
        <v>1.2294417712870718</v>
      </c>
      <c r="C62">
        <f t="shared" si="0"/>
        <v>5.7393884532842678</v>
      </c>
    </row>
    <row r="63" spans="1:3" x14ac:dyDescent="0.35">
      <c r="A63">
        <f t="shared" si="1"/>
        <v>59</v>
      </c>
      <c r="B63">
        <v>3.2987612286636145</v>
      </c>
      <c r="C63">
        <f t="shared" si="0"/>
        <v>7.9134821143071505</v>
      </c>
    </row>
    <row r="64" spans="1:3" x14ac:dyDescent="0.35">
      <c r="A64">
        <f t="shared" si="1"/>
        <v>60</v>
      </c>
      <c r="B64">
        <v>0.64413182867804231</v>
      </c>
      <c r="C64">
        <f t="shared" si="0"/>
        <v>6.2935124430098499</v>
      </c>
    </row>
    <row r="65" spans="1:3" x14ac:dyDescent="0.35">
      <c r="A65">
        <f t="shared" si="1"/>
        <v>61</v>
      </c>
      <c r="B65">
        <v>-5.96350910370659E-2</v>
      </c>
      <c r="C65">
        <f t="shared" si="0"/>
        <v>4.2624308233019548</v>
      </c>
    </row>
    <row r="66" spans="1:3" x14ac:dyDescent="0.35">
      <c r="A66">
        <f t="shared" si="1"/>
        <v>62</v>
      </c>
      <c r="B66">
        <v>3.1563169379344989</v>
      </c>
      <c r="C66">
        <f t="shared" si="0"/>
        <v>7.1264993924159654</v>
      </c>
    </row>
    <row r="67" spans="1:3" x14ac:dyDescent="0.35">
      <c r="A67">
        <f t="shared" si="1"/>
        <v>63</v>
      </c>
      <c r="B67">
        <v>-2.306240088032308</v>
      </c>
      <c r="C67">
        <f t="shared" si="0"/>
        <v>3.2719183809349417</v>
      </c>
    </row>
    <row r="68" spans="1:3" x14ac:dyDescent="0.35">
      <c r="A68">
        <f t="shared" si="1"/>
        <v>64</v>
      </c>
      <c r="B68">
        <v>-0.40218857040544709</v>
      </c>
      <c r="C68">
        <f t="shared" si="0"/>
        <v>2.4446913855783992</v>
      </c>
    </row>
    <row r="69" spans="1:3" x14ac:dyDescent="0.35">
      <c r="A69">
        <f t="shared" si="1"/>
        <v>65</v>
      </c>
      <c r="B69">
        <v>-0.52759380307616421</v>
      </c>
      <c r="C69">
        <f t="shared" si="0"/>
        <v>3.2713119117211122</v>
      </c>
    </row>
    <row r="70" spans="1:3" x14ac:dyDescent="0.35">
      <c r="A70">
        <f t="shared" si="1"/>
        <v>66</v>
      </c>
      <c r="B70">
        <v>0.9055428679940537</v>
      </c>
      <c r="C70">
        <f t="shared" ref="C70:C133" si="3">4+B70+0.5*B69</f>
        <v>4.6417459664559715</v>
      </c>
    </row>
    <row r="71" spans="1:3" x14ac:dyDescent="0.35">
      <c r="A71">
        <f t="shared" ref="A71:A134" si="4">A70+1</f>
        <v>67</v>
      </c>
      <c r="B71">
        <v>1.4839149021568461</v>
      </c>
      <c r="C71">
        <f t="shared" si="3"/>
        <v>5.9366863361538726</v>
      </c>
    </row>
    <row r="72" spans="1:3" x14ac:dyDescent="0.35">
      <c r="A72">
        <f t="shared" si="4"/>
        <v>68</v>
      </c>
      <c r="B72">
        <v>-0.26026620501782682</v>
      </c>
      <c r="C72">
        <f t="shared" si="3"/>
        <v>4.4816912460605964</v>
      </c>
    </row>
    <row r="73" spans="1:3" x14ac:dyDescent="0.35">
      <c r="A73">
        <f t="shared" si="4"/>
        <v>69</v>
      </c>
      <c r="B73">
        <v>-3.3625596460355456E-2</v>
      </c>
      <c r="C73">
        <f t="shared" si="3"/>
        <v>3.8362413010307312</v>
      </c>
    </row>
    <row r="74" spans="1:3" x14ac:dyDescent="0.35">
      <c r="A74">
        <f t="shared" si="4"/>
        <v>70</v>
      </c>
      <c r="B74">
        <v>0.68794647636347028</v>
      </c>
      <c r="C74">
        <f t="shared" si="3"/>
        <v>4.6711336781332928</v>
      </c>
    </row>
    <row r="75" spans="1:3" x14ac:dyDescent="0.35">
      <c r="A75">
        <f t="shared" si="4"/>
        <v>71</v>
      </c>
      <c r="B75">
        <v>4.1362425453436655</v>
      </c>
      <c r="C75">
        <f t="shared" si="3"/>
        <v>8.4802157835254022</v>
      </c>
    </row>
    <row r="76" spans="1:3" x14ac:dyDescent="0.35">
      <c r="A76">
        <f t="shared" si="4"/>
        <v>72</v>
      </c>
      <c r="B76">
        <v>0.45211454533455148</v>
      </c>
      <c r="C76">
        <f t="shared" si="3"/>
        <v>6.520235818006384</v>
      </c>
    </row>
    <row r="77" spans="1:3" x14ac:dyDescent="0.35">
      <c r="A77">
        <f t="shared" si="4"/>
        <v>73</v>
      </c>
      <c r="B77">
        <v>1.1252631017477928</v>
      </c>
      <c r="C77">
        <f t="shared" si="3"/>
        <v>5.3513203744150681</v>
      </c>
    </row>
    <row r="78" spans="1:3" x14ac:dyDescent="0.35">
      <c r="A78">
        <f t="shared" si="4"/>
        <v>74</v>
      </c>
      <c r="B78">
        <v>2.0132078825187141</v>
      </c>
      <c r="C78">
        <f t="shared" si="3"/>
        <v>6.57583943339261</v>
      </c>
    </row>
    <row r="79" spans="1:3" x14ac:dyDescent="0.35">
      <c r="A79">
        <f t="shared" si="4"/>
        <v>75</v>
      </c>
      <c r="B79">
        <v>0.97866440297732338</v>
      </c>
      <c r="C79">
        <f t="shared" si="3"/>
        <v>5.9852683442366805</v>
      </c>
    </row>
    <row r="80" spans="1:3" x14ac:dyDescent="0.35">
      <c r="A80">
        <f t="shared" si="4"/>
        <v>76</v>
      </c>
      <c r="B80">
        <v>1.9269932557537803</v>
      </c>
      <c r="C80">
        <f t="shared" si="3"/>
        <v>6.4163254572424417</v>
      </c>
    </row>
    <row r="81" spans="1:3" x14ac:dyDescent="0.35">
      <c r="A81">
        <f t="shared" si="4"/>
        <v>77</v>
      </c>
      <c r="B81">
        <v>-2.3180276622927738</v>
      </c>
      <c r="C81">
        <f t="shared" si="3"/>
        <v>2.6454689655841164</v>
      </c>
    </row>
    <row r="82" spans="1:3" x14ac:dyDescent="0.35">
      <c r="A82">
        <f t="shared" si="4"/>
        <v>78</v>
      </c>
      <c r="B82">
        <v>-0.91963460540494302</v>
      </c>
      <c r="C82">
        <f t="shared" si="3"/>
        <v>1.9213515634486702</v>
      </c>
    </row>
    <row r="83" spans="1:3" x14ac:dyDescent="0.35">
      <c r="A83">
        <f t="shared" si="4"/>
        <v>79</v>
      </c>
      <c r="B83">
        <v>2.9426927083491106</v>
      </c>
      <c r="C83">
        <f t="shared" si="3"/>
        <v>6.4828754056466389</v>
      </c>
    </row>
    <row r="84" spans="1:3" x14ac:dyDescent="0.35">
      <c r="A84">
        <f t="shared" si="4"/>
        <v>80</v>
      </c>
      <c r="B84">
        <v>1.019377953576635</v>
      </c>
      <c r="C84">
        <f t="shared" si="3"/>
        <v>6.49072430775119</v>
      </c>
    </row>
    <row r="85" spans="1:3" x14ac:dyDescent="0.35">
      <c r="A85">
        <f t="shared" si="4"/>
        <v>81</v>
      </c>
      <c r="B85">
        <v>1.6847808127539263</v>
      </c>
      <c r="C85">
        <f t="shared" si="3"/>
        <v>6.1944697895422438</v>
      </c>
    </row>
    <row r="86" spans="1:3" x14ac:dyDescent="0.35">
      <c r="A86">
        <f t="shared" si="4"/>
        <v>82</v>
      </c>
      <c r="B86">
        <v>-2.8579362242959383</v>
      </c>
      <c r="C86">
        <f t="shared" si="3"/>
        <v>1.9844541820810249</v>
      </c>
    </row>
    <row r="87" spans="1:3" x14ac:dyDescent="0.35">
      <c r="A87">
        <f t="shared" si="4"/>
        <v>83</v>
      </c>
      <c r="B87">
        <v>-4.613725323851007</v>
      </c>
      <c r="C87">
        <f t="shared" si="3"/>
        <v>-2.0426934359989763</v>
      </c>
    </row>
    <row r="88" spans="1:3" x14ac:dyDescent="0.35">
      <c r="A88">
        <f t="shared" si="4"/>
        <v>84</v>
      </c>
      <c r="B88">
        <v>3.5477982444532903</v>
      </c>
      <c r="C88">
        <f t="shared" si="3"/>
        <v>5.2409355825277864</v>
      </c>
    </row>
    <row r="89" spans="1:3" x14ac:dyDescent="0.35">
      <c r="A89">
        <f t="shared" si="4"/>
        <v>85</v>
      </c>
      <c r="B89">
        <v>0.97853828339675197</v>
      </c>
      <c r="C89">
        <f t="shared" si="3"/>
        <v>6.7524374056233967</v>
      </c>
    </row>
    <row r="90" spans="1:3" x14ac:dyDescent="0.35">
      <c r="A90">
        <f t="shared" si="4"/>
        <v>86</v>
      </c>
      <c r="B90">
        <v>-2.8388309670524059</v>
      </c>
      <c r="C90">
        <f t="shared" si="3"/>
        <v>1.65043817464597</v>
      </c>
    </row>
    <row r="91" spans="1:3" x14ac:dyDescent="0.35">
      <c r="A91">
        <f t="shared" si="4"/>
        <v>87</v>
      </c>
      <c r="B91">
        <v>0.34123210128753367</v>
      </c>
      <c r="C91">
        <f t="shared" si="3"/>
        <v>2.9218166177613307</v>
      </c>
    </row>
    <row r="92" spans="1:3" x14ac:dyDescent="0.35">
      <c r="A92">
        <f t="shared" si="4"/>
        <v>88</v>
      </c>
      <c r="B92">
        <v>1.5246885661775638</v>
      </c>
      <c r="C92">
        <f t="shared" si="3"/>
        <v>5.6953046168213302</v>
      </c>
    </row>
    <row r="93" spans="1:3" x14ac:dyDescent="0.35">
      <c r="A93">
        <f t="shared" si="4"/>
        <v>89</v>
      </c>
      <c r="B93">
        <v>0.16292493668327629</v>
      </c>
      <c r="C93">
        <f t="shared" si="3"/>
        <v>4.9252692197720584</v>
      </c>
    </row>
    <row r="94" spans="1:3" x14ac:dyDescent="0.35">
      <c r="A94">
        <f t="shared" si="4"/>
        <v>90</v>
      </c>
      <c r="B94">
        <v>-1.7796863231619184</v>
      </c>
      <c r="C94">
        <f t="shared" si="3"/>
        <v>2.3017761451797196</v>
      </c>
    </row>
    <row r="95" spans="1:3" x14ac:dyDescent="0.35">
      <c r="A95">
        <f t="shared" si="4"/>
        <v>91</v>
      </c>
      <c r="B95">
        <v>-1.3228790100716221</v>
      </c>
      <c r="C95">
        <f t="shared" si="3"/>
        <v>1.7872778283474187</v>
      </c>
    </row>
    <row r="96" spans="1:3" x14ac:dyDescent="0.35">
      <c r="A96">
        <f t="shared" si="4"/>
        <v>92</v>
      </c>
      <c r="B96">
        <v>2.0807783968704299</v>
      </c>
      <c r="C96">
        <f t="shared" si="3"/>
        <v>5.4193388918346193</v>
      </c>
    </row>
    <row r="97" spans="1:3" x14ac:dyDescent="0.35">
      <c r="A97">
        <f t="shared" si="4"/>
        <v>93</v>
      </c>
      <c r="B97">
        <v>-2.2197549924019668</v>
      </c>
      <c r="C97">
        <f t="shared" si="3"/>
        <v>2.8206342060332483</v>
      </c>
    </row>
    <row r="98" spans="1:3" x14ac:dyDescent="0.35">
      <c r="A98">
        <f t="shared" si="4"/>
        <v>94</v>
      </c>
      <c r="B98">
        <v>0.90609105867690254</v>
      </c>
      <c r="C98">
        <f t="shared" si="3"/>
        <v>3.796213562475919</v>
      </c>
    </row>
    <row r="99" spans="1:3" x14ac:dyDescent="0.35">
      <c r="A99">
        <f t="shared" si="4"/>
        <v>95</v>
      </c>
      <c r="B99">
        <v>1.7045878815396458</v>
      </c>
      <c r="C99">
        <f t="shared" si="3"/>
        <v>6.1576334108780975</v>
      </c>
    </row>
    <row r="100" spans="1:3" x14ac:dyDescent="0.35">
      <c r="A100">
        <f t="shared" si="4"/>
        <v>96</v>
      </c>
      <c r="B100">
        <v>-1.8927044624652216</v>
      </c>
      <c r="C100">
        <f t="shared" si="3"/>
        <v>2.9595894783046011</v>
      </c>
    </row>
    <row r="101" spans="1:3" x14ac:dyDescent="0.35">
      <c r="A101">
        <f t="shared" si="4"/>
        <v>97</v>
      </c>
      <c r="B101">
        <v>-3.0190432616494287</v>
      </c>
      <c r="C101">
        <f t="shared" si="3"/>
        <v>3.4604507117960481E-2</v>
      </c>
    </row>
    <row r="102" spans="1:3" x14ac:dyDescent="0.35">
      <c r="A102">
        <f t="shared" si="4"/>
        <v>98</v>
      </c>
      <c r="B102">
        <v>-0.38493372959890088</v>
      </c>
      <c r="C102">
        <f t="shared" si="3"/>
        <v>2.1055446395763848</v>
      </c>
    </row>
    <row r="103" spans="1:3" x14ac:dyDescent="0.35">
      <c r="A103">
        <f t="shared" si="4"/>
        <v>99</v>
      </c>
      <c r="B103">
        <v>2.4144439404005369</v>
      </c>
      <c r="C103">
        <f t="shared" si="3"/>
        <v>6.2219770756010861</v>
      </c>
    </row>
    <row r="104" spans="1:3" x14ac:dyDescent="0.35">
      <c r="A104">
        <f t="shared" si="4"/>
        <v>100</v>
      </c>
      <c r="B104">
        <v>-1.8267656438809123</v>
      </c>
      <c r="C104">
        <f t="shared" si="3"/>
        <v>3.3804563263193561</v>
      </c>
    </row>
    <row r="105" spans="1:3" x14ac:dyDescent="0.35">
      <c r="A105">
        <f t="shared" si="4"/>
        <v>101</v>
      </c>
      <c r="B105">
        <v>-4.6720387536128971</v>
      </c>
      <c r="C105">
        <f t="shared" si="3"/>
        <v>-1.5854215755533532</v>
      </c>
    </row>
    <row r="106" spans="1:3" x14ac:dyDescent="0.35">
      <c r="A106">
        <f t="shared" si="4"/>
        <v>102</v>
      </c>
      <c r="B106">
        <v>-0.67969721022420548</v>
      </c>
      <c r="C106">
        <f t="shared" si="3"/>
        <v>0.98428341296934585</v>
      </c>
    </row>
    <row r="107" spans="1:3" x14ac:dyDescent="0.35">
      <c r="A107">
        <f t="shared" si="4"/>
        <v>103</v>
      </c>
      <c r="B107">
        <v>1.0235786471187305</v>
      </c>
      <c r="C107">
        <f t="shared" si="3"/>
        <v>4.6837300420066281</v>
      </c>
    </row>
    <row r="108" spans="1:3" x14ac:dyDescent="0.35">
      <c r="A108">
        <f t="shared" si="4"/>
        <v>104</v>
      </c>
      <c r="B108">
        <v>2.3274476082758975</v>
      </c>
      <c r="C108">
        <f t="shared" si="3"/>
        <v>6.8392369318352628</v>
      </c>
    </row>
    <row r="109" spans="1:3" x14ac:dyDescent="0.35">
      <c r="A109">
        <f t="shared" si="4"/>
        <v>105</v>
      </c>
      <c r="B109">
        <v>1.0316260251136309</v>
      </c>
      <c r="C109">
        <f t="shared" si="3"/>
        <v>6.1953498292515796</v>
      </c>
    </row>
    <row r="110" spans="1:3" x14ac:dyDescent="0.35">
      <c r="A110">
        <f t="shared" si="4"/>
        <v>106</v>
      </c>
      <c r="B110">
        <v>-1.2512099401749281</v>
      </c>
      <c r="C110">
        <f t="shared" si="3"/>
        <v>3.2646030723818873</v>
      </c>
    </row>
    <row r="111" spans="1:3" x14ac:dyDescent="0.35">
      <c r="A111">
        <f t="shared" si="4"/>
        <v>107</v>
      </c>
      <c r="B111">
        <v>0.10921803350296348</v>
      </c>
      <c r="C111">
        <f t="shared" si="3"/>
        <v>3.4836130634154991</v>
      </c>
    </row>
    <row r="112" spans="1:3" x14ac:dyDescent="0.35">
      <c r="A112">
        <f t="shared" si="4"/>
        <v>108</v>
      </c>
      <c r="B112">
        <v>2.4070936899250017</v>
      </c>
      <c r="C112">
        <f t="shared" si="3"/>
        <v>6.4617027066764843</v>
      </c>
    </row>
    <row r="113" spans="1:3" x14ac:dyDescent="0.35">
      <c r="A113">
        <f t="shared" si="4"/>
        <v>109</v>
      </c>
      <c r="B113">
        <v>0.53299160907781618</v>
      </c>
      <c r="C113">
        <f t="shared" si="3"/>
        <v>5.7365384540403177</v>
      </c>
    </row>
    <row r="114" spans="1:3" x14ac:dyDescent="0.35">
      <c r="A114">
        <f t="shared" si="4"/>
        <v>110</v>
      </c>
      <c r="B114">
        <v>1.9257606977912867</v>
      </c>
      <c r="C114">
        <f t="shared" si="3"/>
        <v>6.1922565023301948</v>
      </c>
    </row>
    <row r="115" spans="1:3" x14ac:dyDescent="0.35">
      <c r="A115">
        <f t="shared" si="4"/>
        <v>111</v>
      </c>
      <c r="B115">
        <v>0.54030589728212797</v>
      </c>
      <c r="C115">
        <f t="shared" si="3"/>
        <v>5.503186246177771</v>
      </c>
    </row>
    <row r="116" spans="1:3" x14ac:dyDescent="0.35">
      <c r="A116">
        <f t="shared" si="4"/>
        <v>112</v>
      </c>
      <c r="B116">
        <v>-0.11988049646136403</v>
      </c>
      <c r="C116">
        <f t="shared" si="3"/>
        <v>4.1502724521797001</v>
      </c>
    </row>
    <row r="117" spans="1:3" x14ac:dyDescent="0.35">
      <c r="A117">
        <f t="shared" si="4"/>
        <v>113</v>
      </c>
      <c r="B117">
        <v>-1.1086237225183357</v>
      </c>
      <c r="C117">
        <f t="shared" si="3"/>
        <v>2.8314360292509826</v>
      </c>
    </row>
    <row r="118" spans="1:3" x14ac:dyDescent="0.35">
      <c r="A118">
        <f t="shared" si="4"/>
        <v>114</v>
      </c>
      <c r="B118">
        <v>-0.73079447698851874</v>
      </c>
      <c r="C118">
        <f t="shared" si="3"/>
        <v>2.7148936617523134</v>
      </c>
    </row>
    <row r="119" spans="1:3" x14ac:dyDescent="0.35">
      <c r="A119">
        <f t="shared" si="4"/>
        <v>115</v>
      </c>
      <c r="B119">
        <v>-0.26398126148652912</v>
      </c>
      <c r="C119">
        <f t="shared" si="3"/>
        <v>3.3706215000192117</v>
      </c>
    </row>
    <row r="120" spans="1:3" x14ac:dyDescent="0.35">
      <c r="A120">
        <f t="shared" si="4"/>
        <v>116</v>
      </c>
      <c r="B120">
        <v>-0.69838242135073414</v>
      </c>
      <c r="C120">
        <f t="shared" si="3"/>
        <v>3.1696269479060009</v>
      </c>
    </row>
    <row r="121" spans="1:3" x14ac:dyDescent="0.35">
      <c r="A121">
        <f t="shared" si="4"/>
        <v>117</v>
      </c>
      <c r="B121">
        <v>9.8942406605733099E-2</v>
      </c>
      <c r="C121">
        <f t="shared" si="3"/>
        <v>3.749751195930366</v>
      </c>
    </row>
    <row r="122" spans="1:3" x14ac:dyDescent="0.35">
      <c r="A122">
        <f t="shared" si="4"/>
        <v>118</v>
      </c>
      <c r="B122">
        <v>1.5426608666299271</v>
      </c>
      <c r="C122">
        <f t="shared" si="3"/>
        <v>5.5921320699327932</v>
      </c>
    </row>
    <row r="123" spans="1:3" x14ac:dyDescent="0.35">
      <c r="A123">
        <f t="shared" si="4"/>
        <v>119</v>
      </c>
      <c r="B123">
        <v>2.8236106327357645E-2</v>
      </c>
      <c r="C123">
        <f t="shared" si="3"/>
        <v>4.7995665396423206</v>
      </c>
    </row>
    <row r="124" spans="1:3" x14ac:dyDescent="0.35">
      <c r="A124">
        <f t="shared" si="4"/>
        <v>120</v>
      </c>
      <c r="B124">
        <v>3.7298519177469371</v>
      </c>
      <c r="C124">
        <f t="shared" si="3"/>
        <v>7.7439699709106158</v>
      </c>
    </row>
    <row r="125" spans="1:3" x14ac:dyDescent="0.35">
      <c r="A125">
        <f t="shared" si="4"/>
        <v>121</v>
      </c>
      <c r="B125">
        <v>-0.1357621199105585</v>
      </c>
      <c r="C125">
        <f t="shared" si="3"/>
        <v>5.7291638389629096</v>
      </c>
    </row>
    <row r="126" spans="1:3" x14ac:dyDescent="0.35">
      <c r="A126">
        <f t="shared" si="4"/>
        <v>122</v>
      </c>
      <c r="B126">
        <v>0.28565924067400533</v>
      </c>
      <c r="C126">
        <f t="shared" si="3"/>
        <v>4.2177781807187262</v>
      </c>
    </row>
    <row r="127" spans="1:3" x14ac:dyDescent="0.35">
      <c r="A127">
        <f t="shared" si="4"/>
        <v>123</v>
      </c>
      <c r="B127">
        <v>-1.4558091954319821</v>
      </c>
      <c r="C127">
        <f t="shared" si="3"/>
        <v>2.6870204249050205</v>
      </c>
    </row>
    <row r="128" spans="1:3" x14ac:dyDescent="0.35">
      <c r="A128">
        <f t="shared" si="4"/>
        <v>124</v>
      </c>
      <c r="B128">
        <v>-0.40784678043201361</v>
      </c>
      <c r="C128">
        <f t="shared" si="3"/>
        <v>2.8642486218519956</v>
      </c>
    </row>
    <row r="129" spans="1:3" x14ac:dyDescent="0.35">
      <c r="A129">
        <f t="shared" si="4"/>
        <v>125</v>
      </c>
      <c r="B129">
        <v>2.1343551379439551</v>
      </c>
      <c r="C129">
        <f t="shared" si="3"/>
        <v>5.9304317477279485</v>
      </c>
    </row>
    <row r="130" spans="1:3" x14ac:dyDescent="0.35">
      <c r="A130">
        <f t="shared" si="4"/>
        <v>126</v>
      </c>
      <c r="B130">
        <v>-1.5491149335966881</v>
      </c>
      <c r="C130">
        <f t="shared" si="3"/>
        <v>3.5180626353752893</v>
      </c>
    </row>
    <row r="131" spans="1:3" x14ac:dyDescent="0.35">
      <c r="A131">
        <f t="shared" si="4"/>
        <v>127</v>
      </c>
      <c r="B131">
        <v>-7.9749871774825509E-2</v>
      </c>
      <c r="C131">
        <f t="shared" si="3"/>
        <v>3.1456926614268306</v>
      </c>
    </row>
    <row r="132" spans="1:3" x14ac:dyDescent="0.35">
      <c r="A132">
        <f t="shared" si="4"/>
        <v>128</v>
      </c>
      <c r="B132">
        <v>4.3903436969936614E-2</v>
      </c>
      <c r="C132">
        <f t="shared" si="3"/>
        <v>4.0040285010825238</v>
      </c>
    </row>
    <row r="133" spans="1:3" x14ac:dyDescent="0.35">
      <c r="A133">
        <f t="shared" si="4"/>
        <v>129</v>
      </c>
      <c r="B133">
        <v>-0.27009948997537037</v>
      </c>
      <c r="C133">
        <f t="shared" si="3"/>
        <v>3.7518522285095979</v>
      </c>
    </row>
    <row r="134" spans="1:3" x14ac:dyDescent="0.35">
      <c r="A134">
        <f t="shared" si="4"/>
        <v>130</v>
      </c>
      <c r="B134">
        <v>5.0453329047212323</v>
      </c>
      <c r="C134">
        <f t="shared" ref="C134:C197" si="5">4+B134+0.5*B133</f>
        <v>8.910283159733547</v>
      </c>
    </row>
    <row r="135" spans="1:3" x14ac:dyDescent="0.35">
      <c r="A135">
        <f t="shared" ref="A135:A198" si="6">A134+1</f>
        <v>131</v>
      </c>
      <c r="B135">
        <v>0.51053066687885029</v>
      </c>
      <c r="C135">
        <f t="shared" si="5"/>
        <v>7.0331971192394658</v>
      </c>
    </row>
    <row r="136" spans="1:3" x14ac:dyDescent="0.35">
      <c r="A136">
        <f t="shared" si="6"/>
        <v>132</v>
      </c>
      <c r="B136">
        <v>0.62138390886575301</v>
      </c>
      <c r="C136">
        <f t="shared" si="5"/>
        <v>4.8766492423051782</v>
      </c>
    </row>
    <row r="137" spans="1:3" x14ac:dyDescent="0.35">
      <c r="A137">
        <f t="shared" si="6"/>
        <v>133</v>
      </c>
      <c r="B137">
        <v>2.2475382984199674</v>
      </c>
      <c r="C137">
        <f t="shared" si="5"/>
        <v>6.5582302528528436</v>
      </c>
    </row>
    <row r="138" spans="1:3" x14ac:dyDescent="0.35">
      <c r="A138">
        <f t="shared" si="6"/>
        <v>134</v>
      </c>
      <c r="B138">
        <v>-0.62013908128748463</v>
      </c>
      <c r="C138">
        <f t="shared" si="5"/>
        <v>4.503630067922499</v>
      </c>
    </row>
    <row r="139" spans="1:3" x14ac:dyDescent="0.35">
      <c r="A139">
        <f t="shared" si="6"/>
        <v>135</v>
      </c>
      <c r="B139">
        <v>0.55435670358155276</v>
      </c>
      <c r="C139">
        <f t="shared" si="5"/>
        <v>4.2442871629378098</v>
      </c>
    </row>
    <row r="140" spans="1:3" x14ac:dyDescent="0.35">
      <c r="A140">
        <f t="shared" si="6"/>
        <v>136</v>
      </c>
      <c r="B140">
        <v>-4.8587617165446293</v>
      </c>
      <c r="C140">
        <f t="shared" si="5"/>
        <v>-0.58158336475385286</v>
      </c>
    </row>
    <row r="141" spans="1:3" x14ac:dyDescent="0.35">
      <c r="A141">
        <f t="shared" si="6"/>
        <v>137</v>
      </c>
      <c r="B141">
        <v>-0.24725173442981468</v>
      </c>
      <c r="C141">
        <f t="shared" si="5"/>
        <v>1.3233674072978707</v>
      </c>
    </row>
    <row r="142" spans="1:3" x14ac:dyDescent="0.35">
      <c r="A142">
        <f t="shared" si="6"/>
        <v>138</v>
      </c>
      <c r="B142">
        <v>-0.38472772345057415</v>
      </c>
      <c r="C142">
        <f t="shared" si="5"/>
        <v>3.4916464093345185</v>
      </c>
    </row>
    <row r="143" spans="1:3" x14ac:dyDescent="0.35">
      <c r="A143">
        <f t="shared" si="6"/>
        <v>139</v>
      </c>
      <c r="B143">
        <v>-2.1433699121846428</v>
      </c>
      <c r="C143">
        <f t="shared" si="5"/>
        <v>1.6642662260900702</v>
      </c>
    </row>
    <row r="144" spans="1:3" x14ac:dyDescent="0.35">
      <c r="A144">
        <f t="shared" si="6"/>
        <v>140</v>
      </c>
      <c r="B144">
        <v>-2.8293252062742349</v>
      </c>
      <c r="C144">
        <f t="shared" si="5"/>
        <v>9.8989837633443711E-2</v>
      </c>
    </row>
    <row r="145" spans="1:3" x14ac:dyDescent="0.35">
      <c r="A145">
        <f t="shared" si="6"/>
        <v>141</v>
      </c>
      <c r="B145">
        <v>-4.6406597913258025</v>
      </c>
      <c r="C145">
        <f t="shared" si="5"/>
        <v>-2.05532239446292</v>
      </c>
    </row>
    <row r="146" spans="1:3" x14ac:dyDescent="0.35">
      <c r="A146">
        <f t="shared" si="6"/>
        <v>142</v>
      </c>
      <c r="B146">
        <v>4.4023595282677244</v>
      </c>
      <c r="C146">
        <f t="shared" si="5"/>
        <v>6.0820296326048222</v>
      </c>
    </row>
    <row r="147" spans="1:3" x14ac:dyDescent="0.35">
      <c r="A147">
        <f t="shared" si="6"/>
        <v>143</v>
      </c>
      <c r="B147">
        <v>1.0380237781213144</v>
      </c>
      <c r="C147">
        <f t="shared" si="5"/>
        <v>7.2392035422551757</v>
      </c>
    </row>
    <row r="148" spans="1:3" x14ac:dyDescent="0.35">
      <c r="A148">
        <f t="shared" si="6"/>
        <v>144</v>
      </c>
      <c r="B148">
        <v>-3.0733209607626564</v>
      </c>
      <c r="C148">
        <f t="shared" si="5"/>
        <v>1.4456909282980008</v>
      </c>
    </row>
    <row r="149" spans="1:3" x14ac:dyDescent="0.35">
      <c r="A149">
        <f t="shared" si="6"/>
        <v>145</v>
      </c>
      <c r="B149">
        <v>-1.2141125550648808</v>
      </c>
      <c r="C149">
        <f t="shared" si="5"/>
        <v>1.249226964553791</v>
      </c>
    </row>
    <row r="150" spans="1:3" x14ac:dyDescent="0.35">
      <c r="A150">
        <f t="shared" si="6"/>
        <v>146</v>
      </c>
      <c r="B150">
        <v>0.89348266296512779</v>
      </c>
      <c r="C150">
        <f t="shared" si="5"/>
        <v>4.2864263854326872</v>
      </c>
    </row>
    <row r="151" spans="1:3" x14ac:dyDescent="0.35">
      <c r="A151">
        <f t="shared" si="6"/>
        <v>147</v>
      </c>
      <c r="B151">
        <v>2.3436799367168093</v>
      </c>
      <c r="C151">
        <f t="shared" si="5"/>
        <v>6.7904212681993723</v>
      </c>
    </row>
    <row r="152" spans="1:3" x14ac:dyDescent="0.35">
      <c r="A152">
        <f t="shared" si="6"/>
        <v>148</v>
      </c>
      <c r="B152">
        <v>2.9325155604201343</v>
      </c>
      <c r="C152">
        <f t="shared" si="5"/>
        <v>8.1043555287785392</v>
      </c>
    </row>
    <row r="153" spans="1:3" x14ac:dyDescent="0.35">
      <c r="A153">
        <f t="shared" si="6"/>
        <v>149</v>
      </c>
      <c r="B153">
        <v>0.14367537059120353</v>
      </c>
      <c r="C153">
        <f t="shared" si="5"/>
        <v>5.6099331508012709</v>
      </c>
    </row>
    <row r="154" spans="1:3" x14ac:dyDescent="0.35">
      <c r="A154">
        <f t="shared" si="6"/>
        <v>150</v>
      </c>
      <c r="B154">
        <v>-3.9529352242002851</v>
      </c>
      <c r="C154">
        <f t="shared" si="5"/>
        <v>0.11890246109531667</v>
      </c>
    </row>
    <row r="155" spans="1:3" x14ac:dyDescent="0.35">
      <c r="A155">
        <f t="shared" si="6"/>
        <v>151</v>
      </c>
      <c r="B155">
        <v>5.5613094153478082</v>
      </c>
      <c r="C155">
        <f t="shared" si="5"/>
        <v>7.5848418032476648</v>
      </c>
    </row>
    <row r="156" spans="1:3" x14ac:dyDescent="0.35">
      <c r="A156">
        <f t="shared" si="6"/>
        <v>152</v>
      </c>
      <c r="B156">
        <v>-0.10019864436221061</v>
      </c>
      <c r="C156">
        <f t="shared" si="5"/>
        <v>6.6804560633116932</v>
      </c>
    </row>
    <row r="157" spans="1:3" x14ac:dyDescent="0.35">
      <c r="A157">
        <f t="shared" si="6"/>
        <v>153</v>
      </c>
      <c r="B157">
        <v>-0.66606758365839636</v>
      </c>
      <c r="C157">
        <f t="shared" si="5"/>
        <v>3.2838330941604985</v>
      </c>
    </row>
    <row r="158" spans="1:3" x14ac:dyDescent="0.35">
      <c r="A158">
        <f t="shared" si="6"/>
        <v>154</v>
      </c>
      <c r="B158">
        <v>-2.0981399943381884</v>
      </c>
      <c r="C158">
        <f t="shared" si="5"/>
        <v>1.5688262138326134</v>
      </c>
    </row>
    <row r="159" spans="1:3" x14ac:dyDescent="0.35">
      <c r="A159">
        <f t="shared" si="6"/>
        <v>155</v>
      </c>
      <c r="B159">
        <v>1.2251159106662934</v>
      </c>
      <c r="C159">
        <f t="shared" si="5"/>
        <v>4.176045913497199</v>
      </c>
    </row>
    <row r="160" spans="1:3" x14ac:dyDescent="0.35">
      <c r="A160">
        <f t="shared" si="6"/>
        <v>156</v>
      </c>
      <c r="B160">
        <v>-0.12676325993953469</v>
      </c>
      <c r="C160">
        <f t="shared" si="5"/>
        <v>4.4857946953936123</v>
      </c>
    </row>
    <row r="161" spans="1:3" x14ac:dyDescent="0.35">
      <c r="A161">
        <f t="shared" si="6"/>
        <v>157</v>
      </c>
      <c r="B161">
        <v>1.1570064245985452</v>
      </c>
      <c r="C161">
        <f t="shared" si="5"/>
        <v>5.093624794628778</v>
      </c>
    </row>
    <row r="162" spans="1:3" x14ac:dyDescent="0.35">
      <c r="A162">
        <f t="shared" si="6"/>
        <v>158</v>
      </c>
      <c r="B162">
        <v>0.40989502220620444</v>
      </c>
      <c r="C162">
        <f t="shared" si="5"/>
        <v>4.9883982345054774</v>
      </c>
    </row>
    <row r="163" spans="1:3" x14ac:dyDescent="0.35">
      <c r="A163">
        <f t="shared" si="6"/>
        <v>159</v>
      </c>
      <c r="B163">
        <v>2.2936521170715736</v>
      </c>
      <c r="C163">
        <f t="shared" si="5"/>
        <v>6.4985996281746754</v>
      </c>
    </row>
    <row r="164" spans="1:3" x14ac:dyDescent="0.35">
      <c r="A164">
        <f t="shared" si="6"/>
        <v>160</v>
      </c>
      <c r="B164">
        <v>2.4857117999045872</v>
      </c>
      <c r="C164">
        <f t="shared" si="5"/>
        <v>7.632537858440374</v>
      </c>
    </row>
    <row r="165" spans="1:3" x14ac:dyDescent="0.35">
      <c r="A165">
        <f t="shared" si="6"/>
        <v>161</v>
      </c>
      <c r="B165">
        <v>0.69550043821023466</v>
      </c>
      <c r="C165">
        <f t="shared" si="5"/>
        <v>5.9383563381625279</v>
      </c>
    </row>
    <row r="166" spans="1:3" x14ac:dyDescent="0.35">
      <c r="A166">
        <f t="shared" si="6"/>
        <v>162</v>
      </c>
      <c r="B166">
        <v>0.6039917171120085</v>
      </c>
      <c r="C166">
        <f t="shared" si="5"/>
        <v>4.9517419362171262</v>
      </c>
    </row>
    <row r="167" spans="1:3" x14ac:dyDescent="0.35">
      <c r="A167">
        <f t="shared" si="6"/>
        <v>163</v>
      </c>
      <c r="B167">
        <v>1.6834379817024707</v>
      </c>
      <c r="C167">
        <f t="shared" si="5"/>
        <v>5.9854338402584748</v>
      </c>
    </row>
    <row r="168" spans="1:3" x14ac:dyDescent="0.35">
      <c r="A168">
        <f t="shared" si="6"/>
        <v>164</v>
      </c>
      <c r="B168">
        <v>4.4919622321583974</v>
      </c>
      <c r="C168">
        <f t="shared" si="5"/>
        <v>9.3336812230096324</v>
      </c>
    </row>
    <row r="169" spans="1:3" x14ac:dyDescent="0.35">
      <c r="A169">
        <f t="shared" si="6"/>
        <v>165</v>
      </c>
      <c r="B169">
        <v>-2.8973666534519515</v>
      </c>
      <c r="C169">
        <f t="shared" si="5"/>
        <v>3.3486144626272472</v>
      </c>
    </row>
    <row r="170" spans="1:3" x14ac:dyDescent="0.35">
      <c r="A170">
        <f t="shared" si="6"/>
        <v>166</v>
      </c>
      <c r="B170">
        <v>-0.23696162345469682</v>
      </c>
      <c r="C170">
        <f t="shared" si="5"/>
        <v>2.3143550498193273</v>
      </c>
    </row>
    <row r="171" spans="1:3" x14ac:dyDescent="0.35">
      <c r="A171">
        <f t="shared" si="6"/>
        <v>167</v>
      </c>
      <c r="B171">
        <v>0.74425925362625922</v>
      </c>
      <c r="C171">
        <f t="shared" si="5"/>
        <v>4.6257784418989107</v>
      </c>
    </row>
    <row r="172" spans="1:3" x14ac:dyDescent="0.35">
      <c r="A172">
        <f t="shared" si="6"/>
        <v>168</v>
      </c>
      <c r="B172">
        <v>0.31255868255619462</v>
      </c>
      <c r="C172">
        <f t="shared" si="5"/>
        <v>4.6846883093693243</v>
      </c>
    </row>
    <row r="173" spans="1:3" x14ac:dyDescent="0.35">
      <c r="A173">
        <f t="shared" si="6"/>
        <v>169</v>
      </c>
      <c r="B173">
        <v>1.711735690842773</v>
      </c>
      <c r="C173">
        <f t="shared" si="5"/>
        <v>5.8680150321208702</v>
      </c>
    </row>
    <row r="174" spans="1:3" x14ac:dyDescent="0.35">
      <c r="A174">
        <f t="shared" si="6"/>
        <v>170</v>
      </c>
      <c r="B174">
        <v>1.4092291935456605</v>
      </c>
      <c r="C174">
        <f t="shared" si="5"/>
        <v>6.2650970389670464</v>
      </c>
    </row>
    <row r="175" spans="1:3" x14ac:dyDescent="0.35">
      <c r="A175">
        <f t="shared" si="6"/>
        <v>171</v>
      </c>
      <c r="B175">
        <v>-1.0444935398867645</v>
      </c>
      <c r="C175">
        <f t="shared" si="5"/>
        <v>3.6601210568860654</v>
      </c>
    </row>
    <row r="176" spans="1:3" x14ac:dyDescent="0.35">
      <c r="A176">
        <f t="shared" si="6"/>
        <v>172</v>
      </c>
      <c r="B176">
        <v>2.0468577626200233</v>
      </c>
      <c r="C176">
        <f t="shared" si="5"/>
        <v>5.5246109926766414</v>
      </c>
    </row>
    <row r="177" spans="1:3" x14ac:dyDescent="0.35">
      <c r="A177">
        <f t="shared" si="6"/>
        <v>173</v>
      </c>
      <c r="B177">
        <v>1.0181519976236177</v>
      </c>
      <c r="C177">
        <f t="shared" si="5"/>
        <v>6.0415808789336296</v>
      </c>
    </row>
    <row r="178" spans="1:3" x14ac:dyDescent="0.35">
      <c r="A178">
        <f t="shared" si="6"/>
        <v>174</v>
      </c>
      <c r="B178">
        <v>-0.14413909445669246</v>
      </c>
      <c r="C178">
        <f t="shared" si="5"/>
        <v>4.3649369043551163</v>
      </c>
    </row>
    <row r="179" spans="1:3" x14ac:dyDescent="0.35">
      <c r="A179">
        <f t="shared" si="6"/>
        <v>175</v>
      </c>
      <c r="B179">
        <v>-3.1624769047698686</v>
      </c>
      <c r="C179">
        <f t="shared" si="5"/>
        <v>0.76545354800178511</v>
      </c>
    </row>
    <row r="180" spans="1:3" x14ac:dyDescent="0.35">
      <c r="A180">
        <f t="shared" si="6"/>
        <v>176</v>
      </c>
      <c r="B180">
        <v>1.0643808418547649</v>
      </c>
      <c r="C180">
        <f t="shared" si="5"/>
        <v>3.483142389469831</v>
      </c>
    </row>
    <row r="181" spans="1:3" x14ac:dyDescent="0.35">
      <c r="A181">
        <f t="shared" si="6"/>
        <v>177</v>
      </c>
      <c r="B181">
        <v>-0.37541754431011493</v>
      </c>
      <c r="C181">
        <f t="shared" si="5"/>
        <v>4.1567728766172678</v>
      </c>
    </row>
    <row r="182" spans="1:3" x14ac:dyDescent="0.35">
      <c r="A182">
        <f t="shared" si="6"/>
        <v>178</v>
      </c>
      <c r="B182">
        <v>-1.3024912863125961</v>
      </c>
      <c r="C182">
        <f t="shared" si="5"/>
        <v>2.5097999415323464</v>
      </c>
    </row>
    <row r="183" spans="1:3" x14ac:dyDescent="0.35">
      <c r="A183">
        <f t="shared" si="6"/>
        <v>179</v>
      </c>
      <c r="B183">
        <v>0.14623880979302159</v>
      </c>
      <c r="C183">
        <f t="shared" si="5"/>
        <v>3.4949931666367231</v>
      </c>
    </row>
    <row r="184" spans="1:3" x14ac:dyDescent="0.35">
      <c r="A184">
        <f t="shared" si="6"/>
        <v>180</v>
      </c>
      <c r="B184">
        <v>-0.79752555006842463</v>
      </c>
      <c r="C184">
        <f t="shared" si="5"/>
        <v>3.2755938548280858</v>
      </c>
    </row>
    <row r="185" spans="1:3" x14ac:dyDescent="0.35">
      <c r="A185">
        <f t="shared" si="6"/>
        <v>181</v>
      </c>
      <c r="B185">
        <v>2.1337494089782312</v>
      </c>
      <c r="C185">
        <f t="shared" si="5"/>
        <v>5.7349866339440183</v>
      </c>
    </row>
    <row r="186" spans="1:3" x14ac:dyDescent="0.35">
      <c r="A186">
        <f t="shared" si="6"/>
        <v>182</v>
      </c>
      <c r="B186">
        <v>-7.5519709735454965E-2</v>
      </c>
      <c r="C186">
        <f t="shared" si="5"/>
        <v>4.9913549947536602</v>
      </c>
    </row>
    <row r="187" spans="1:3" x14ac:dyDescent="0.35">
      <c r="A187">
        <f t="shared" si="6"/>
        <v>183</v>
      </c>
      <c r="B187">
        <v>-1.6639090449239911</v>
      </c>
      <c r="C187">
        <f t="shared" si="5"/>
        <v>2.2983311002082814</v>
      </c>
    </row>
    <row r="188" spans="1:3" x14ac:dyDescent="0.35">
      <c r="A188">
        <f t="shared" si="6"/>
        <v>184</v>
      </c>
      <c r="B188">
        <v>1.5086760682566831</v>
      </c>
      <c r="C188">
        <f t="shared" si="5"/>
        <v>4.6767215457946882</v>
      </c>
    </row>
    <row r="189" spans="1:3" x14ac:dyDescent="0.35">
      <c r="A189">
        <f t="shared" si="6"/>
        <v>185</v>
      </c>
      <c r="B189">
        <v>2.3902319500511857</v>
      </c>
      <c r="C189">
        <f t="shared" si="5"/>
        <v>7.1445699841795278</v>
      </c>
    </row>
    <row r="190" spans="1:3" x14ac:dyDescent="0.35">
      <c r="A190">
        <f t="shared" si="6"/>
        <v>186</v>
      </c>
      <c r="B190">
        <v>-3.3171698035556143</v>
      </c>
      <c r="C190">
        <f t="shared" si="5"/>
        <v>1.8779461714699786</v>
      </c>
    </row>
    <row r="191" spans="1:3" x14ac:dyDescent="0.35">
      <c r="A191">
        <f t="shared" si="6"/>
        <v>187</v>
      </c>
      <c r="B191">
        <v>1.0781329144528979</v>
      </c>
      <c r="C191">
        <f t="shared" si="5"/>
        <v>3.4195480126750901</v>
      </c>
    </row>
    <row r="192" spans="1:3" x14ac:dyDescent="0.35">
      <c r="A192">
        <f t="shared" si="6"/>
        <v>188</v>
      </c>
      <c r="B192">
        <v>1.5567309462376926</v>
      </c>
      <c r="C192">
        <f t="shared" si="5"/>
        <v>6.0957974034641413</v>
      </c>
    </row>
    <row r="193" spans="1:6" x14ac:dyDescent="0.35">
      <c r="A193">
        <f t="shared" si="6"/>
        <v>189</v>
      </c>
      <c r="B193">
        <v>2.3070163158394528</v>
      </c>
      <c r="C193">
        <f t="shared" si="5"/>
        <v>7.0853817889582995</v>
      </c>
    </row>
    <row r="194" spans="1:6" x14ac:dyDescent="0.35">
      <c r="A194">
        <f t="shared" si="6"/>
        <v>190</v>
      </c>
      <c r="B194">
        <v>0.55441335405162318</v>
      </c>
      <c r="C194">
        <f t="shared" si="5"/>
        <v>5.7079215119713496</v>
      </c>
    </row>
    <row r="195" spans="1:6" x14ac:dyDescent="0.35">
      <c r="A195">
        <f t="shared" si="6"/>
        <v>191</v>
      </c>
      <c r="B195">
        <v>-1.9751380436788943</v>
      </c>
      <c r="C195">
        <f t="shared" si="5"/>
        <v>2.3020686333469169</v>
      </c>
    </row>
    <row r="196" spans="1:6" x14ac:dyDescent="0.35">
      <c r="A196">
        <f t="shared" si="6"/>
        <v>192</v>
      </c>
      <c r="B196">
        <v>0.91198382356160401</v>
      </c>
      <c r="C196">
        <f t="shared" si="5"/>
        <v>3.9244148017221567</v>
      </c>
    </row>
    <row r="197" spans="1:6" x14ac:dyDescent="0.35">
      <c r="A197">
        <f t="shared" si="6"/>
        <v>193</v>
      </c>
      <c r="B197">
        <v>-0.81463532483798784</v>
      </c>
      <c r="C197">
        <f t="shared" si="5"/>
        <v>3.6413565869428144</v>
      </c>
    </row>
    <row r="198" spans="1:6" x14ac:dyDescent="0.35">
      <c r="A198">
        <f t="shared" si="6"/>
        <v>194</v>
      </c>
      <c r="B198">
        <v>0.49076938257402997</v>
      </c>
      <c r="C198">
        <f t="shared" ref="C198:C204" si="7">4+B198+0.5*B197</f>
        <v>4.0834517201550353</v>
      </c>
    </row>
    <row r="199" spans="1:6" x14ac:dyDescent="0.35">
      <c r="A199">
        <f t="shared" ref="A199:A204" si="8">A198+1</f>
        <v>195</v>
      </c>
      <c r="B199">
        <v>-2.2885601654883678</v>
      </c>
      <c r="C199">
        <f t="shared" si="7"/>
        <v>1.9568245257986472</v>
      </c>
    </row>
    <row r="200" spans="1:6" x14ac:dyDescent="0.35">
      <c r="A200">
        <f t="shared" si="8"/>
        <v>196</v>
      </c>
      <c r="B200">
        <v>0.93023171808179261</v>
      </c>
      <c r="C200">
        <f t="shared" si="7"/>
        <v>3.7859516353376081</v>
      </c>
    </row>
    <row r="201" spans="1:6" x14ac:dyDescent="0.35">
      <c r="A201">
        <f t="shared" si="8"/>
        <v>197</v>
      </c>
      <c r="B201">
        <v>0.79644074037922397</v>
      </c>
      <c r="C201">
        <f t="shared" si="7"/>
        <v>5.2615565994201203</v>
      </c>
    </row>
    <row r="202" spans="1:6" x14ac:dyDescent="0.35">
      <c r="A202">
        <f t="shared" si="8"/>
        <v>198</v>
      </c>
      <c r="B202">
        <v>4.1441833756284634</v>
      </c>
      <c r="C202">
        <f t="shared" si="7"/>
        <v>8.5424037458180759</v>
      </c>
    </row>
    <row r="203" spans="1:6" x14ac:dyDescent="0.35">
      <c r="A203">
        <f t="shared" si="8"/>
        <v>199</v>
      </c>
      <c r="B203">
        <v>-0.81179966656030933</v>
      </c>
      <c r="C203">
        <f t="shared" si="7"/>
        <v>5.2602920212539228</v>
      </c>
    </row>
    <row r="204" spans="1:6" x14ac:dyDescent="0.35">
      <c r="A204" s="13">
        <f t="shared" si="8"/>
        <v>200</v>
      </c>
      <c r="B204" s="4">
        <v>-1.9638608721279491</v>
      </c>
      <c r="C204" s="4">
        <f t="shared" si="7"/>
        <v>1.6302392945918964</v>
      </c>
      <c r="E204" s="69" t="s">
        <v>79</v>
      </c>
      <c r="F204">
        <f>VAR(C6:C204)</f>
        <v>4.4625975619997975</v>
      </c>
    </row>
    <row r="206" spans="1:6" x14ac:dyDescent="0.35">
      <c r="B206" t="s">
        <v>109</v>
      </c>
    </row>
    <row r="207" spans="1:6" x14ac:dyDescent="0.35">
      <c r="B207" t="e" cm="1">
        <f t="array" aca="1" ref="B207" ca="1">FTEXT(C6)</f>
        <v>#NAME?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6"/>
  <dimension ref="A1:R207"/>
  <sheetViews>
    <sheetView workbookViewId="0"/>
  </sheetViews>
  <sheetFormatPr defaultRowHeight="14.5" x14ac:dyDescent="0.35"/>
  <cols>
    <col min="1" max="1" width="4.7265625" customWidth="1"/>
    <col min="4" max="4" width="3.1796875" customWidth="1"/>
    <col min="5" max="5" width="3.7265625" style="69" customWidth="1"/>
    <col min="6" max="7" width="10.7265625" customWidth="1"/>
    <col min="18" max="18" width="11.1796875" customWidth="1"/>
  </cols>
  <sheetData>
    <row r="1" spans="1:18" x14ac:dyDescent="0.35">
      <c r="A1" s="7" t="s">
        <v>108</v>
      </c>
    </row>
    <row r="2" spans="1:18" x14ac:dyDescent="0.35">
      <c r="A2" s="7"/>
    </row>
    <row r="3" spans="1:18" x14ac:dyDescent="0.35">
      <c r="A3" s="7"/>
    </row>
    <row r="4" spans="1:18" x14ac:dyDescent="0.35">
      <c r="B4" s="70" t="s">
        <v>107</v>
      </c>
      <c r="C4" s="70" t="s">
        <v>110</v>
      </c>
      <c r="E4" s="70" t="s">
        <v>78</v>
      </c>
      <c r="F4" s="70" t="s">
        <v>119</v>
      </c>
      <c r="G4" s="70" t="s">
        <v>195</v>
      </c>
      <c r="Q4" s="70" t="s">
        <v>78</v>
      </c>
      <c r="R4" s="70" t="s">
        <v>195</v>
      </c>
    </row>
    <row r="5" spans="1:18" x14ac:dyDescent="0.35">
      <c r="A5">
        <v>1</v>
      </c>
      <c r="B5">
        <v>-0.69420091468668921</v>
      </c>
      <c r="E5" s="69">
        <v>1</v>
      </c>
      <c r="F5" t="e" cm="1">
        <f t="array" aca="1" ref="F5" ca="1">PACF($C$6:$D$204,E5)</f>
        <v>#NAME?</v>
      </c>
      <c r="G5" s="69">
        <f>-((-0.5)^E5/(1+SUMPRODUCT(0.5^(2*E$5:E5))))</f>
        <v>0.4</v>
      </c>
      <c r="Q5" s="69">
        <v>1</v>
      </c>
      <c r="R5" s="69">
        <f>-((-0.5)^Q5*(1-0.5^2)/(1-0.5^(2*Q5+2)))</f>
        <v>0.4</v>
      </c>
    </row>
    <row r="6" spans="1:18" x14ac:dyDescent="0.35">
      <c r="A6">
        <f>A5+1</f>
        <v>2</v>
      </c>
      <c r="B6">
        <v>-0.87558778428873518</v>
      </c>
      <c r="C6">
        <f t="shared" ref="C6:C69" si="0">4+B6+0.5*B5</f>
        <v>2.7773117583679201</v>
      </c>
      <c r="E6" s="69">
        <f>E5+1</f>
        <v>2</v>
      </c>
      <c r="F6" t="e" cm="1">
        <f t="array" aca="1" ref="F6" ca="1">PACF($C$6:$D$204,E6)</f>
        <v>#NAME?</v>
      </c>
      <c r="G6" s="69">
        <f>-((-0.5)^E6/(1+SUMPRODUCT(0.5^(2*E$5:E6))))</f>
        <v>-0.19047619047619047</v>
      </c>
      <c r="Q6" s="69">
        <f>Q5+1</f>
        <v>2</v>
      </c>
      <c r="R6" s="69">
        <f t="shared" ref="R6:R19" si="1">-((-0.5)^Q6*(1-0.5^2)/(1-0.5^(2*Q6+2)))</f>
        <v>-0.19047619047619047</v>
      </c>
    </row>
    <row r="7" spans="1:18" x14ac:dyDescent="0.35">
      <c r="A7">
        <f t="shared" ref="A7:A70" si="2">A6+1</f>
        <v>3</v>
      </c>
      <c r="B7">
        <v>-0.74392130947938684</v>
      </c>
      <c r="C7">
        <f t="shared" si="0"/>
        <v>2.8182847983762453</v>
      </c>
      <c r="E7" s="69">
        <f t="shared" ref="E7:E16" si="3">E6+1</f>
        <v>3</v>
      </c>
      <c r="F7" t="e" cm="1">
        <f t="array" aca="1" ref="F7" ca="1">PACF($C$6:$D$204,E7)</f>
        <v>#NAME?</v>
      </c>
      <c r="G7" s="69">
        <f>-((-0.5)^E7/(1+SUMPRODUCT(0.5^(2*E$5:E7))))</f>
        <v>9.4117647058823528E-2</v>
      </c>
      <c r="Q7" s="69">
        <f t="shared" ref="Q7:Q16" si="4">Q6+1</f>
        <v>3</v>
      </c>
      <c r="R7" s="69">
        <f t="shared" si="1"/>
        <v>9.4117647058823528E-2</v>
      </c>
    </row>
    <row r="8" spans="1:18" x14ac:dyDescent="0.35">
      <c r="A8">
        <f t="shared" si="2"/>
        <v>4</v>
      </c>
      <c r="B8">
        <v>3.0728091528421642</v>
      </c>
      <c r="C8">
        <f t="shared" si="0"/>
        <v>6.700848498102471</v>
      </c>
      <c r="E8" s="69">
        <f t="shared" si="3"/>
        <v>4</v>
      </c>
      <c r="F8" t="e" cm="1">
        <f t="array" aca="1" ref="F8" ca="1">PACF($C$6:$D$204,E8)</f>
        <v>#NAME?</v>
      </c>
      <c r="G8" s="69">
        <f>-((-0.5)^E8/(1+SUMPRODUCT(0.5^(2*E$5:E8))))</f>
        <v>-4.6920821114369501E-2</v>
      </c>
      <c r="Q8" s="69">
        <f t="shared" si="4"/>
        <v>4</v>
      </c>
      <c r="R8" s="69">
        <f t="shared" si="1"/>
        <v>-4.6920821114369501E-2</v>
      </c>
    </row>
    <row r="9" spans="1:18" x14ac:dyDescent="0.35">
      <c r="A9">
        <f t="shared" si="2"/>
        <v>5</v>
      </c>
      <c r="B9">
        <v>-1.9419373719738628</v>
      </c>
      <c r="C9">
        <f t="shared" si="0"/>
        <v>3.5944672044472195</v>
      </c>
      <c r="E9" s="69">
        <f t="shared" si="3"/>
        <v>5</v>
      </c>
      <c r="F9" t="e" cm="1">
        <f t="array" aca="1" ref="F9" ca="1">PACF($C$6:$D$204,E9)</f>
        <v>#NAME?</v>
      </c>
      <c r="G9" s="69">
        <f>-((-0.5)^E9/(1+SUMPRODUCT(0.5^(2*E$5:E9))))</f>
        <v>2.3443223443223443E-2</v>
      </c>
      <c r="Q9" s="69">
        <f t="shared" si="4"/>
        <v>5</v>
      </c>
      <c r="R9" s="69">
        <f t="shared" si="1"/>
        <v>2.3443223443223443E-2</v>
      </c>
    </row>
    <row r="10" spans="1:18" x14ac:dyDescent="0.35">
      <c r="A10">
        <f t="shared" si="2"/>
        <v>6</v>
      </c>
      <c r="B10">
        <v>-1.7296502884778595</v>
      </c>
      <c r="C10">
        <f t="shared" si="0"/>
        <v>1.299381025535209</v>
      </c>
      <c r="E10" s="69">
        <f t="shared" si="3"/>
        <v>6</v>
      </c>
      <c r="F10" t="e" cm="1">
        <f t="array" aca="1" ref="F10" ca="1">PACF($C$6:$D$204,E10)</f>
        <v>#NAME?</v>
      </c>
      <c r="G10" s="69">
        <f>-((-0.5)^E10/(1+SUMPRODUCT(0.5^(2*E$5:E10))))</f>
        <v>-1.1719465299395715E-2</v>
      </c>
      <c r="Q10" s="69">
        <f t="shared" si="4"/>
        <v>6</v>
      </c>
      <c r="R10" s="69">
        <f t="shared" si="1"/>
        <v>-1.1719465299395715E-2</v>
      </c>
    </row>
    <row r="11" spans="1:18" x14ac:dyDescent="0.35">
      <c r="A11">
        <f t="shared" si="2"/>
        <v>7</v>
      </c>
      <c r="B11">
        <v>2.1964877398152103</v>
      </c>
      <c r="C11">
        <f t="shared" si="0"/>
        <v>5.3316625955762804</v>
      </c>
      <c r="E11" s="69">
        <f t="shared" si="3"/>
        <v>7</v>
      </c>
      <c r="F11" t="e" cm="1">
        <f t="array" aca="1" ref="F11" ca="1">PACF($C$6:$D$204,E11)</f>
        <v>#NAME?</v>
      </c>
      <c r="G11" s="69">
        <f>-((-0.5)^E11/(1+SUMPRODUCT(0.5^(2*E$5:E11))))</f>
        <v>5.859464408331426E-3</v>
      </c>
      <c r="Q11" s="69">
        <f t="shared" si="4"/>
        <v>7</v>
      </c>
      <c r="R11" s="69">
        <f t="shared" si="1"/>
        <v>5.859464408331426E-3</v>
      </c>
    </row>
    <row r="12" spans="1:18" x14ac:dyDescent="0.35">
      <c r="A12">
        <f t="shared" si="2"/>
        <v>8</v>
      </c>
      <c r="B12">
        <v>-3.6212692123216477</v>
      </c>
      <c r="C12">
        <f t="shared" si="0"/>
        <v>1.4769746575859575</v>
      </c>
      <c r="E12" s="69">
        <f t="shared" si="3"/>
        <v>8</v>
      </c>
      <c r="F12" t="e" cm="1">
        <f t="array" aca="1" ref="F12" ca="1">PACF($C$6:$D$204,E12)</f>
        <v>#NAME?</v>
      </c>
      <c r="G12" s="69">
        <f>-((-0.5)^E12/(1+SUMPRODUCT(0.5^(2*E$5:E12))))</f>
        <v>-2.9296986759135279E-3</v>
      </c>
      <c r="Q12" s="69">
        <f t="shared" si="4"/>
        <v>8</v>
      </c>
      <c r="R12" s="69">
        <f t="shared" si="1"/>
        <v>-2.9296986759135279E-3</v>
      </c>
    </row>
    <row r="13" spans="1:18" x14ac:dyDescent="0.35">
      <c r="A13">
        <f t="shared" si="2"/>
        <v>9</v>
      </c>
      <c r="B13">
        <v>-0.73537045424691472</v>
      </c>
      <c r="C13">
        <f t="shared" si="0"/>
        <v>1.4539949395922613</v>
      </c>
      <c r="E13" s="69">
        <f t="shared" si="3"/>
        <v>9</v>
      </c>
      <c r="F13" t="e" cm="1">
        <f t="array" aca="1" ref="F13" ca="1">PACF($C$6:$D$204,E13)</f>
        <v>#NAME?</v>
      </c>
      <c r="G13" s="69">
        <f>-((-0.5)^E13/(1+SUMPRODUCT(0.5^(2*E$5:E13))))</f>
        <v>1.4648451469851942E-3</v>
      </c>
      <c r="Q13" s="69">
        <f t="shared" si="4"/>
        <v>9</v>
      </c>
      <c r="R13" s="69">
        <f t="shared" si="1"/>
        <v>1.4648451469851942E-3</v>
      </c>
    </row>
    <row r="14" spans="1:18" x14ac:dyDescent="0.35">
      <c r="A14">
        <f t="shared" si="2"/>
        <v>10</v>
      </c>
      <c r="B14">
        <v>-2.3965548844576574</v>
      </c>
      <c r="C14">
        <f t="shared" si="0"/>
        <v>1.2357598884188852</v>
      </c>
      <c r="E14" s="69">
        <f t="shared" si="3"/>
        <v>10</v>
      </c>
      <c r="F14" t="e" cm="1">
        <f t="array" aca="1" ref="F14" ca="1">PACF($C$6:$D$204,E14)</f>
        <v>#NAME?</v>
      </c>
      <c r="G14" s="69">
        <f>-((-0.5)^E14/(1+SUMPRODUCT(0.5^(2*E$5:E14))))</f>
        <v>-7.3242204962302437E-4</v>
      </c>
      <c r="Q14" s="69">
        <f t="shared" si="4"/>
        <v>10</v>
      </c>
      <c r="R14" s="69">
        <f t="shared" si="1"/>
        <v>-7.3242204962302437E-4</v>
      </c>
    </row>
    <row r="15" spans="1:18" x14ac:dyDescent="0.35">
      <c r="A15">
        <f t="shared" si="2"/>
        <v>11</v>
      </c>
      <c r="B15">
        <v>-0.75072452984709082</v>
      </c>
      <c r="C15">
        <f t="shared" si="0"/>
        <v>2.0509980279240807</v>
      </c>
      <c r="E15" s="69">
        <f t="shared" si="3"/>
        <v>11</v>
      </c>
      <c r="F15" t="e" cm="1">
        <f t="array" aca="1" ref="F15" ca="1">PACF($C$6:$D$204,E15)</f>
        <v>#NAME?</v>
      </c>
      <c r="G15" s="69">
        <f>-((-0.5)^E15/(1+SUMPRODUCT(0.5^(2*E$5:E15))))</f>
        <v>3.6621095932787414E-4</v>
      </c>
      <c r="Q15" s="69">
        <f t="shared" si="4"/>
        <v>11</v>
      </c>
      <c r="R15" s="69">
        <f t="shared" si="1"/>
        <v>3.6621095932787414E-4</v>
      </c>
    </row>
    <row r="16" spans="1:18" x14ac:dyDescent="0.35">
      <c r="A16">
        <f t="shared" si="2"/>
        <v>12</v>
      </c>
      <c r="B16">
        <v>0.51621828199445963</v>
      </c>
      <c r="C16">
        <f t="shared" si="0"/>
        <v>4.1408560170709148</v>
      </c>
      <c r="E16" s="69">
        <f t="shared" si="3"/>
        <v>12</v>
      </c>
      <c r="F16" t="e" cm="1">
        <f t="array" aca="1" ref="F16" ca="1">PACF($C$6:$D$204,E16)</f>
        <v>#NAME?</v>
      </c>
      <c r="G16" s="69">
        <f>-((-0.5)^E16/(1+SUMPRODUCT(0.5^(2*E$5:E16))))</f>
        <v>-1.8310547147848416E-4</v>
      </c>
      <c r="Q16" s="69">
        <f t="shared" si="4"/>
        <v>12</v>
      </c>
      <c r="R16" s="69">
        <f t="shared" si="1"/>
        <v>-1.8310547147848416E-4</v>
      </c>
    </row>
    <row r="17" spans="1:18" x14ac:dyDescent="0.35">
      <c r="A17">
        <f t="shared" si="2"/>
        <v>13</v>
      </c>
      <c r="B17">
        <v>1.857550407661875</v>
      </c>
      <c r="C17">
        <f t="shared" si="0"/>
        <v>6.1156595486591048</v>
      </c>
      <c r="E17" s="69">
        <f>E16+1</f>
        <v>13</v>
      </c>
      <c r="F17" t="e" cm="1">
        <f t="array" aca="1" ref="F17" ca="1">PACF($C$6:$D$204,E17)</f>
        <v>#NAME?</v>
      </c>
      <c r="G17" s="69">
        <f>-((-0.5)^E17/(1+SUMPRODUCT(0.5^(2*E$5:E17))))</f>
        <v>9.1552734716060513E-5</v>
      </c>
      <c r="Q17" s="69">
        <f>Q16+1</f>
        <v>13</v>
      </c>
      <c r="R17" s="69">
        <f t="shared" si="1"/>
        <v>9.1552734716060513E-5</v>
      </c>
    </row>
    <row r="18" spans="1:18" x14ac:dyDescent="0.35">
      <c r="A18">
        <f t="shared" si="2"/>
        <v>14</v>
      </c>
      <c r="B18">
        <v>1.8555028839107315</v>
      </c>
      <c r="C18">
        <f t="shared" si="0"/>
        <v>6.7842780877416695</v>
      </c>
      <c r="E18" s="69">
        <f>E17+1</f>
        <v>14</v>
      </c>
      <c r="F18" t="e" cm="1">
        <f t="array" aca="1" ref="F18" ca="1">PACF($C$6:$D$204,E18)</f>
        <v>#NAME?</v>
      </c>
      <c r="G18" s="69">
        <f>-((-0.5)^E18/(1+SUMPRODUCT(0.5^(2*E$5:E18))))</f>
        <v>-4.5776367230132564E-5</v>
      </c>
      <c r="Q18" s="69">
        <f>Q17+1</f>
        <v>14</v>
      </c>
      <c r="R18" s="69">
        <f t="shared" si="1"/>
        <v>-4.5776367230132564E-5</v>
      </c>
    </row>
    <row r="19" spans="1:18" x14ac:dyDescent="0.35">
      <c r="A19">
        <f t="shared" si="2"/>
        <v>15</v>
      </c>
      <c r="B19">
        <v>-1.0084510887843623</v>
      </c>
      <c r="C19">
        <f t="shared" si="0"/>
        <v>3.9193003531710038</v>
      </c>
      <c r="E19" s="10">
        <f>E18+1</f>
        <v>15</v>
      </c>
      <c r="F19" s="4" t="e" cm="1">
        <f t="array" aca="1" ref="F19" ca="1">PACF($C$6:$D$204,E19)</f>
        <v>#NAME?</v>
      </c>
      <c r="G19" s="10">
        <f>-((-0.5)^E19/(1+SUMPRODUCT(0.5^(2*E$5:E19))))</f>
        <v>2.2888183599079071E-5</v>
      </c>
      <c r="Q19" s="10">
        <f>Q18+1</f>
        <v>15</v>
      </c>
      <c r="R19" s="10">
        <f t="shared" si="1"/>
        <v>2.2888183599079071E-5</v>
      </c>
    </row>
    <row r="20" spans="1:18" x14ac:dyDescent="0.35">
      <c r="A20">
        <f t="shared" si="2"/>
        <v>16</v>
      </c>
      <c r="B20">
        <v>1.496039175586874</v>
      </c>
      <c r="C20">
        <f t="shared" si="0"/>
        <v>4.9918136311946935</v>
      </c>
    </row>
    <row r="21" spans="1:18" x14ac:dyDescent="0.35">
      <c r="A21">
        <f t="shared" si="2"/>
        <v>17</v>
      </c>
      <c r="B21">
        <v>-0.4003966728269075</v>
      </c>
      <c r="C21">
        <f t="shared" si="0"/>
        <v>4.3476229149665295</v>
      </c>
    </row>
    <row r="22" spans="1:18" x14ac:dyDescent="0.35">
      <c r="A22">
        <f t="shared" si="2"/>
        <v>18</v>
      </c>
      <c r="B22">
        <v>-2.1659297760239786</v>
      </c>
      <c r="C22">
        <f t="shared" si="0"/>
        <v>1.6338718875625675</v>
      </c>
    </row>
    <row r="23" spans="1:18" x14ac:dyDescent="0.35">
      <c r="A23">
        <f t="shared" si="2"/>
        <v>19</v>
      </c>
      <c r="B23">
        <v>1.265945750690491</v>
      </c>
      <c r="C23">
        <f t="shared" si="0"/>
        <v>4.1829808626785017</v>
      </c>
    </row>
    <row r="24" spans="1:18" x14ac:dyDescent="0.35">
      <c r="A24">
        <f t="shared" si="2"/>
        <v>20</v>
      </c>
      <c r="B24">
        <v>1.3803624088083266</v>
      </c>
      <c r="C24">
        <f t="shared" si="0"/>
        <v>6.0133352841535723</v>
      </c>
    </row>
    <row r="25" spans="1:18" x14ac:dyDescent="0.35">
      <c r="A25">
        <f t="shared" si="2"/>
        <v>21</v>
      </c>
      <c r="B25">
        <v>-0.68994201732456262</v>
      </c>
      <c r="C25">
        <f t="shared" si="0"/>
        <v>4.0002391870796004</v>
      </c>
    </row>
    <row r="26" spans="1:18" x14ac:dyDescent="0.35">
      <c r="A26">
        <f t="shared" si="2"/>
        <v>22</v>
      </c>
      <c r="B26">
        <v>-0.60723301719649769</v>
      </c>
      <c r="C26">
        <f t="shared" si="0"/>
        <v>3.0477959741412213</v>
      </c>
    </row>
    <row r="27" spans="1:18" x14ac:dyDescent="0.35">
      <c r="A27">
        <f t="shared" si="2"/>
        <v>23</v>
      </c>
      <c r="B27">
        <v>0.43319896792900742</v>
      </c>
      <c r="C27">
        <f t="shared" si="0"/>
        <v>4.1295824593307584</v>
      </c>
    </row>
    <row r="28" spans="1:18" x14ac:dyDescent="0.35">
      <c r="A28">
        <f t="shared" si="2"/>
        <v>24</v>
      </c>
      <c r="B28">
        <v>-0.77726215348466687</v>
      </c>
      <c r="C28">
        <f t="shared" si="0"/>
        <v>3.4393373304798365</v>
      </c>
    </row>
    <row r="29" spans="1:18" x14ac:dyDescent="0.35">
      <c r="A29">
        <f t="shared" si="2"/>
        <v>25</v>
      </c>
      <c r="B29">
        <v>-1.8164843165145295</v>
      </c>
      <c r="C29">
        <f t="shared" si="0"/>
        <v>1.7948846067431372</v>
      </c>
    </row>
    <row r="30" spans="1:18" x14ac:dyDescent="0.35">
      <c r="A30">
        <f t="shared" si="2"/>
        <v>26</v>
      </c>
      <c r="B30">
        <v>2.3362010307127998</v>
      </c>
      <c r="C30">
        <f t="shared" si="0"/>
        <v>5.4279588724555357</v>
      </c>
    </row>
    <row r="31" spans="1:18" x14ac:dyDescent="0.35">
      <c r="A31">
        <f t="shared" si="2"/>
        <v>27</v>
      </c>
      <c r="B31">
        <v>0.53940757415645235</v>
      </c>
      <c r="C31">
        <f t="shared" si="0"/>
        <v>5.7075080895128529</v>
      </c>
    </row>
    <row r="32" spans="1:18" x14ac:dyDescent="0.35">
      <c r="A32">
        <f t="shared" si="2"/>
        <v>28</v>
      </c>
      <c r="B32">
        <v>-4.4049614316556011E-2</v>
      </c>
      <c r="C32">
        <f t="shared" si="0"/>
        <v>4.2256541727616703</v>
      </c>
    </row>
    <row r="33" spans="1:3" x14ac:dyDescent="0.35">
      <c r="A33">
        <f t="shared" si="2"/>
        <v>29</v>
      </c>
      <c r="B33">
        <v>2.3057581413476544</v>
      </c>
      <c r="C33">
        <f t="shared" si="0"/>
        <v>6.2837333341893764</v>
      </c>
    </row>
    <row r="34" spans="1:3" x14ac:dyDescent="0.35">
      <c r="A34">
        <f t="shared" si="2"/>
        <v>30</v>
      </c>
      <c r="B34">
        <v>4.4245912408273673</v>
      </c>
      <c r="C34">
        <f t="shared" si="0"/>
        <v>9.5774703115011945</v>
      </c>
    </row>
    <row r="35" spans="1:3" x14ac:dyDescent="0.35">
      <c r="A35">
        <f t="shared" si="2"/>
        <v>31</v>
      </c>
      <c r="B35">
        <v>-0.87761234660300047</v>
      </c>
      <c r="C35">
        <f t="shared" si="0"/>
        <v>5.3346832738106826</v>
      </c>
    </row>
    <row r="36" spans="1:3" x14ac:dyDescent="0.35">
      <c r="A36">
        <f t="shared" si="2"/>
        <v>32</v>
      </c>
      <c r="B36">
        <v>-8.9411512738627755E-2</v>
      </c>
      <c r="C36">
        <f t="shared" si="0"/>
        <v>3.471782313959872</v>
      </c>
    </row>
    <row r="37" spans="1:3" x14ac:dyDescent="0.35">
      <c r="A37">
        <f t="shared" si="2"/>
        <v>33</v>
      </c>
      <c r="B37">
        <v>1.3116096495739089</v>
      </c>
      <c r="C37">
        <f t="shared" si="0"/>
        <v>5.2669038932045948</v>
      </c>
    </row>
    <row r="38" spans="1:3" x14ac:dyDescent="0.35">
      <c r="A38">
        <f t="shared" si="2"/>
        <v>34</v>
      </c>
      <c r="B38">
        <v>-5.7407753840039939E-2</v>
      </c>
      <c r="C38">
        <f t="shared" si="0"/>
        <v>4.5983970709469144</v>
      </c>
    </row>
    <row r="39" spans="1:3" x14ac:dyDescent="0.35">
      <c r="A39">
        <f t="shared" si="2"/>
        <v>35</v>
      </c>
      <c r="B39">
        <v>-0.23005134035884045</v>
      </c>
      <c r="C39">
        <f t="shared" si="0"/>
        <v>3.7412447827211399</v>
      </c>
    </row>
    <row r="40" spans="1:3" x14ac:dyDescent="0.35">
      <c r="A40">
        <f t="shared" si="2"/>
        <v>36</v>
      </c>
      <c r="B40">
        <v>0.57825656951370696</v>
      </c>
      <c r="C40">
        <f t="shared" si="0"/>
        <v>4.4632308993342864</v>
      </c>
    </row>
    <row r="41" spans="1:3" x14ac:dyDescent="0.35">
      <c r="A41">
        <f t="shared" si="2"/>
        <v>37</v>
      </c>
      <c r="B41">
        <v>-2.61696211328037</v>
      </c>
      <c r="C41">
        <f t="shared" si="0"/>
        <v>1.6721661714764835</v>
      </c>
    </row>
    <row r="42" spans="1:3" x14ac:dyDescent="0.35">
      <c r="A42">
        <f t="shared" si="2"/>
        <v>38</v>
      </c>
      <c r="B42">
        <v>-2.4905726166394633</v>
      </c>
      <c r="C42">
        <f t="shared" si="0"/>
        <v>0.20094632672035173</v>
      </c>
    </row>
    <row r="43" spans="1:3" x14ac:dyDescent="0.35">
      <c r="A43">
        <f t="shared" si="2"/>
        <v>39</v>
      </c>
      <c r="B43">
        <v>0.5869249825884717</v>
      </c>
      <c r="C43">
        <f t="shared" si="0"/>
        <v>3.3416386742687401</v>
      </c>
    </row>
    <row r="44" spans="1:3" x14ac:dyDescent="0.35">
      <c r="A44">
        <f t="shared" si="2"/>
        <v>40</v>
      </c>
      <c r="B44">
        <v>-0.81234505881972496</v>
      </c>
      <c r="C44">
        <f t="shared" si="0"/>
        <v>3.4811174324745111</v>
      </c>
    </row>
    <row r="45" spans="1:3" x14ac:dyDescent="0.35">
      <c r="A45">
        <f t="shared" si="2"/>
        <v>41</v>
      </c>
      <c r="B45">
        <v>2.0037975662623024</v>
      </c>
      <c r="C45">
        <f t="shared" si="0"/>
        <v>5.5976250368524401</v>
      </c>
    </row>
    <row r="46" spans="1:3" x14ac:dyDescent="0.35">
      <c r="A46">
        <f t="shared" si="2"/>
        <v>42</v>
      </c>
      <c r="B46">
        <v>3.8424720915805453</v>
      </c>
      <c r="C46">
        <f t="shared" si="0"/>
        <v>8.8443708747116965</v>
      </c>
    </row>
    <row r="47" spans="1:3" x14ac:dyDescent="0.35">
      <c r="A47">
        <f t="shared" si="2"/>
        <v>43</v>
      </c>
      <c r="B47">
        <v>0.32596170386742063</v>
      </c>
      <c r="C47">
        <f t="shared" si="0"/>
        <v>6.2471977496576931</v>
      </c>
    </row>
    <row r="48" spans="1:3" x14ac:dyDescent="0.35">
      <c r="A48">
        <f t="shared" si="2"/>
        <v>44</v>
      </c>
      <c r="B48">
        <v>0.87008659160246826</v>
      </c>
      <c r="C48">
        <f t="shared" si="0"/>
        <v>5.0330674435361784</v>
      </c>
    </row>
    <row r="49" spans="1:3" x14ac:dyDescent="0.35">
      <c r="A49">
        <f t="shared" si="2"/>
        <v>45</v>
      </c>
      <c r="B49">
        <v>-0.36537031831069855</v>
      </c>
      <c r="C49">
        <f t="shared" si="0"/>
        <v>4.0696729774905354</v>
      </c>
    </row>
    <row r="50" spans="1:3" x14ac:dyDescent="0.35">
      <c r="A50">
        <f t="shared" si="2"/>
        <v>46</v>
      </c>
      <c r="B50">
        <v>-1.4235386617346899</v>
      </c>
      <c r="C50">
        <f t="shared" si="0"/>
        <v>2.393776179109961</v>
      </c>
    </row>
    <row r="51" spans="1:3" x14ac:dyDescent="0.35">
      <c r="A51">
        <f t="shared" si="2"/>
        <v>47</v>
      </c>
      <c r="B51">
        <v>2.5046237445473025</v>
      </c>
      <c r="C51">
        <f t="shared" si="0"/>
        <v>5.792854413679958</v>
      </c>
    </row>
    <row r="52" spans="1:3" x14ac:dyDescent="0.35">
      <c r="A52">
        <f t="shared" si="2"/>
        <v>48</v>
      </c>
      <c r="B52">
        <v>0.99722248777568656</v>
      </c>
      <c r="C52">
        <f t="shared" si="0"/>
        <v>6.2495343600493376</v>
      </c>
    </row>
    <row r="53" spans="1:3" x14ac:dyDescent="0.35">
      <c r="A53">
        <f t="shared" si="2"/>
        <v>49</v>
      </c>
      <c r="B53">
        <v>-0.27654238324895275</v>
      </c>
      <c r="C53">
        <f t="shared" si="0"/>
        <v>4.222068860638891</v>
      </c>
    </row>
    <row r="54" spans="1:3" x14ac:dyDescent="0.35">
      <c r="A54">
        <f t="shared" si="2"/>
        <v>50</v>
      </c>
      <c r="B54">
        <v>1.5856114065285145</v>
      </c>
      <c r="C54">
        <f t="shared" si="0"/>
        <v>5.4473402149040373</v>
      </c>
    </row>
    <row r="55" spans="1:3" x14ac:dyDescent="0.35">
      <c r="A55">
        <f t="shared" si="2"/>
        <v>51</v>
      </c>
      <c r="B55">
        <v>0.20961962024818878</v>
      </c>
      <c r="C55">
        <f t="shared" si="0"/>
        <v>5.0024253235124458</v>
      </c>
    </row>
    <row r="56" spans="1:3" x14ac:dyDescent="0.35">
      <c r="A56">
        <f t="shared" si="2"/>
        <v>52</v>
      </c>
      <c r="B56">
        <v>1.5484203037498827</v>
      </c>
      <c r="C56">
        <f t="shared" si="0"/>
        <v>5.6532301138739767</v>
      </c>
    </row>
    <row r="57" spans="1:3" x14ac:dyDescent="0.35">
      <c r="A57">
        <f t="shared" si="2"/>
        <v>53</v>
      </c>
      <c r="B57">
        <v>-0.92826506819668664</v>
      </c>
      <c r="C57">
        <f t="shared" si="0"/>
        <v>3.8459450836782549</v>
      </c>
    </row>
    <row r="58" spans="1:3" x14ac:dyDescent="0.35">
      <c r="A58">
        <f t="shared" si="2"/>
        <v>54</v>
      </c>
      <c r="B58">
        <v>3.9340990778615104</v>
      </c>
      <c r="C58">
        <f t="shared" si="0"/>
        <v>7.4699665437631673</v>
      </c>
    </row>
    <row r="59" spans="1:3" x14ac:dyDescent="0.35">
      <c r="A59">
        <f t="shared" si="2"/>
        <v>55</v>
      </c>
      <c r="B59">
        <v>-1.6344170686105275</v>
      </c>
      <c r="C59">
        <f t="shared" si="0"/>
        <v>4.3326324703202275</v>
      </c>
    </row>
    <row r="60" spans="1:3" x14ac:dyDescent="0.35">
      <c r="A60">
        <f t="shared" si="2"/>
        <v>56</v>
      </c>
      <c r="B60">
        <v>-0.63481749081468575</v>
      </c>
      <c r="C60">
        <f t="shared" si="0"/>
        <v>2.5479739748800503</v>
      </c>
    </row>
    <row r="61" spans="1:3" x14ac:dyDescent="0.35">
      <c r="A61">
        <f t="shared" si="2"/>
        <v>57</v>
      </c>
      <c r="B61">
        <v>1.0198933639943912</v>
      </c>
      <c r="C61">
        <f t="shared" si="0"/>
        <v>4.7024846185870484</v>
      </c>
    </row>
    <row r="62" spans="1:3" x14ac:dyDescent="0.35">
      <c r="A62">
        <f t="shared" si="2"/>
        <v>58</v>
      </c>
      <c r="B62">
        <v>1.2294417712870718</v>
      </c>
      <c r="C62">
        <f t="shared" si="0"/>
        <v>5.7393884532842678</v>
      </c>
    </row>
    <row r="63" spans="1:3" x14ac:dyDescent="0.35">
      <c r="A63">
        <f t="shared" si="2"/>
        <v>59</v>
      </c>
      <c r="B63">
        <v>3.2987612286636145</v>
      </c>
      <c r="C63">
        <f t="shared" si="0"/>
        <v>7.9134821143071505</v>
      </c>
    </row>
    <row r="64" spans="1:3" x14ac:dyDescent="0.35">
      <c r="A64">
        <f t="shared" si="2"/>
        <v>60</v>
      </c>
      <c r="B64">
        <v>0.64413182867804231</v>
      </c>
      <c r="C64">
        <f t="shared" si="0"/>
        <v>6.2935124430098499</v>
      </c>
    </row>
    <row r="65" spans="1:3" x14ac:dyDescent="0.35">
      <c r="A65">
        <f t="shared" si="2"/>
        <v>61</v>
      </c>
      <c r="B65">
        <v>-5.96350910370659E-2</v>
      </c>
      <c r="C65">
        <f t="shared" si="0"/>
        <v>4.2624308233019548</v>
      </c>
    </row>
    <row r="66" spans="1:3" x14ac:dyDescent="0.35">
      <c r="A66">
        <f t="shared" si="2"/>
        <v>62</v>
      </c>
      <c r="B66">
        <v>3.1563169379344989</v>
      </c>
      <c r="C66">
        <f t="shared" si="0"/>
        <v>7.1264993924159654</v>
      </c>
    </row>
    <row r="67" spans="1:3" x14ac:dyDescent="0.35">
      <c r="A67">
        <f t="shared" si="2"/>
        <v>63</v>
      </c>
      <c r="B67">
        <v>-2.306240088032308</v>
      </c>
      <c r="C67">
        <f t="shared" si="0"/>
        <v>3.2719183809349417</v>
      </c>
    </row>
    <row r="68" spans="1:3" x14ac:dyDescent="0.35">
      <c r="A68">
        <f t="shared" si="2"/>
        <v>64</v>
      </c>
      <c r="B68">
        <v>-0.40218857040544709</v>
      </c>
      <c r="C68">
        <f t="shared" si="0"/>
        <v>2.4446913855783992</v>
      </c>
    </row>
    <row r="69" spans="1:3" x14ac:dyDescent="0.35">
      <c r="A69">
        <f t="shared" si="2"/>
        <v>65</v>
      </c>
      <c r="B69">
        <v>-0.52759380307616421</v>
      </c>
      <c r="C69">
        <f t="shared" si="0"/>
        <v>3.2713119117211122</v>
      </c>
    </row>
    <row r="70" spans="1:3" x14ac:dyDescent="0.35">
      <c r="A70">
        <f t="shared" si="2"/>
        <v>66</v>
      </c>
      <c r="B70">
        <v>0.9055428679940537</v>
      </c>
      <c r="C70">
        <f t="shared" ref="C70:C133" si="5">4+B70+0.5*B69</f>
        <v>4.6417459664559715</v>
      </c>
    </row>
    <row r="71" spans="1:3" x14ac:dyDescent="0.35">
      <c r="A71">
        <f t="shared" ref="A71:A134" si="6">A70+1</f>
        <v>67</v>
      </c>
      <c r="B71">
        <v>1.4839149021568461</v>
      </c>
      <c r="C71">
        <f t="shared" si="5"/>
        <v>5.9366863361538726</v>
      </c>
    </row>
    <row r="72" spans="1:3" x14ac:dyDescent="0.35">
      <c r="A72">
        <f t="shared" si="6"/>
        <v>68</v>
      </c>
      <c r="B72">
        <v>-0.26026620501782682</v>
      </c>
      <c r="C72">
        <f t="shared" si="5"/>
        <v>4.4816912460605964</v>
      </c>
    </row>
    <row r="73" spans="1:3" x14ac:dyDescent="0.35">
      <c r="A73">
        <f t="shared" si="6"/>
        <v>69</v>
      </c>
      <c r="B73">
        <v>-3.3625596460355456E-2</v>
      </c>
      <c r="C73">
        <f t="shared" si="5"/>
        <v>3.8362413010307312</v>
      </c>
    </row>
    <row r="74" spans="1:3" x14ac:dyDescent="0.35">
      <c r="A74">
        <f t="shared" si="6"/>
        <v>70</v>
      </c>
      <c r="B74">
        <v>0.68794647636347028</v>
      </c>
      <c r="C74">
        <f t="shared" si="5"/>
        <v>4.6711336781332928</v>
      </c>
    </row>
    <row r="75" spans="1:3" x14ac:dyDescent="0.35">
      <c r="A75">
        <f t="shared" si="6"/>
        <v>71</v>
      </c>
      <c r="B75">
        <v>4.1362425453436655</v>
      </c>
      <c r="C75">
        <f t="shared" si="5"/>
        <v>8.4802157835254022</v>
      </c>
    </row>
    <row r="76" spans="1:3" x14ac:dyDescent="0.35">
      <c r="A76">
        <f t="shared" si="6"/>
        <v>72</v>
      </c>
      <c r="B76">
        <v>0.45211454533455148</v>
      </c>
      <c r="C76">
        <f t="shared" si="5"/>
        <v>6.520235818006384</v>
      </c>
    </row>
    <row r="77" spans="1:3" x14ac:dyDescent="0.35">
      <c r="A77">
        <f t="shared" si="6"/>
        <v>73</v>
      </c>
      <c r="B77">
        <v>1.1252631017477928</v>
      </c>
      <c r="C77">
        <f t="shared" si="5"/>
        <v>5.3513203744150681</v>
      </c>
    </row>
    <row r="78" spans="1:3" x14ac:dyDescent="0.35">
      <c r="A78">
        <f t="shared" si="6"/>
        <v>74</v>
      </c>
      <c r="B78">
        <v>2.0132078825187141</v>
      </c>
      <c r="C78">
        <f t="shared" si="5"/>
        <v>6.57583943339261</v>
      </c>
    </row>
    <row r="79" spans="1:3" x14ac:dyDescent="0.35">
      <c r="A79">
        <f t="shared" si="6"/>
        <v>75</v>
      </c>
      <c r="B79">
        <v>0.97866440297732338</v>
      </c>
      <c r="C79">
        <f t="shared" si="5"/>
        <v>5.9852683442366805</v>
      </c>
    </row>
    <row r="80" spans="1:3" x14ac:dyDescent="0.35">
      <c r="A80">
        <f t="shared" si="6"/>
        <v>76</v>
      </c>
      <c r="B80">
        <v>1.9269932557537803</v>
      </c>
      <c r="C80">
        <f t="shared" si="5"/>
        <v>6.4163254572424417</v>
      </c>
    </row>
    <row r="81" spans="1:3" x14ac:dyDescent="0.35">
      <c r="A81">
        <f t="shared" si="6"/>
        <v>77</v>
      </c>
      <c r="B81">
        <v>-2.3180276622927738</v>
      </c>
      <c r="C81">
        <f t="shared" si="5"/>
        <v>2.6454689655841164</v>
      </c>
    </row>
    <row r="82" spans="1:3" x14ac:dyDescent="0.35">
      <c r="A82">
        <f t="shared" si="6"/>
        <v>78</v>
      </c>
      <c r="B82">
        <v>-0.91963460540494302</v>
      </c>
      <c r="C82">
        <f t="shared" si="5"/>
        <v>1.9213515634486702</v>
      </c>
    </row>
    <row r="83" spans="1:3" x14ac:dyDescent="0.35">
      <c r="A83">
        <f t="shared" si="6"/>
        <v>79</v>
      </c>
      <c r="B83">
        <v>2.9426927083491106</v>
      </c>
      <c r="C83">
        <f t="shared" si="5"/>
        <v>6.4828754056466389</v>
      </c>
    </row>
    <row r="84" spans="1:3" x14ac:dyDescent="0.35">
      <c r="A84">
        <f t="shared" si="6"/>
        <v>80</v>
      </c>
      <c r="B84">
        <v>1.019377953576635</v>
      </c>
      <c r="C84">
        <f t="shared" si="5"/>
        <v>6.49072430775119</v>
      </c>
    </row>
    <row r="85" spans="1:3" x14ac:dyDescent="0.35">
      <c r="A85">
        <f t="shared" si="6"/>
        <v>81</v>
      </c>
      <c r="B85">
        <v>1.6847808127539263</v>
      </c>
      <c r="C85">
        <f t="shared" si="5"/>
        <v>6.1944697895422438</v>
      </c>
    </row>
    <row r="86" spans="1:3" x14ac:dyDescent="0.35">
      <c r="A86">
        <f t="shared" si="6"/>
        <v>82</v>
      </c>
      <c r="B86">
        <v>-2.8579362242959383</v>
      </c>
      <c r="C86">
        <f t="shared" si="5"/>
        <v>1.9844541820810249</v>
      </c>
    </row>
    <row r="87" spans="1:3" x14ac:dyDescent="0.35">
      <c r="A87">
        <f t="shared" si="6"/>
        <v>83</v>
      </c>
      <c r="B87">
        <v>-4.613725323851007</v>
      </c>
      <c r="C87">
        <f t="shared" si="5"/>
        <v>-2.0426934359989763</v>
      </c>
    </row>
    <row r="88" spans="1:3" x14ac:dyDescent="0.35">
      <c r="A88">
        <f t="shared" si="6"/>
        <v>84</v>
      </c>
      <c r="B88">
        <v>3.5477982444532903</v>
      </c>
      <c r="C88">
        <f t="shared" si="5"/>
        <v>5.2409355825277864</v>
      </c>
    </row>
    <row r="89" spans="1:3" x14ac:dyDescent="0.35">
      <c r="A89">
        <f t="shared" si="6"/>
        <v>85</v>
      </c>
      <c r="B89">
        <v>0.97853828339675197</v>
      </c>
      <c r="C89">
        <f t="shared" si="5"/>
        <v>6.7524374056233967</v>
      </c>
    </row>
    <row r="90" spans="1:3" x14ac:dyDescent="0.35">
      <c r="A90">
        <f t="shared" si="6"/>
        <v>86</v>
      </c>
      <c r="B90">
        <v>-2.8388309670524059</v>
      </c>
      <c r="C90">
        <f t="shared" si="5"/>
        <v>1.65043817464597</v>
      </c>
    </row>
    <row r="91" spans="1:3" x14ac:dyDescent="0.35">
      <c r="A91">
        <f t="shared" si="6"/>
        <v>87</v>
      </c>
      <c r="B91">
        <v>0.34123210128753367</v>
      </c>
      <c r="C91">
        <f t="shared" si="5"/>
        <v>2.9218166177613307</v>
      </c>
    </row>
    <row r="92" spans="1:3" x14ac:dyDescent="0.35">
      <c r="A92">
        <f t="shared" si="6"/>
        <v>88</v>
      </c>
      <c r="B92">
        <v>1.5246885661775638</v>
      </c>
      <c r="C92">
        <f t="shared" si="5"/>
        <v>5.6953046168213302</v>
      </c>
    </row>
    <row r="93" spans="1:3" x14ac:dyDescent="0.35">
      <c r="A93">
        <f t="shared" si="6"/>
        <v>89</v>
      </c>
      <c r="B93">
        <v>0.16292493668327629</v>
      </c>
      <c r="C93">
        <f t="shared" si="5"/>
        <v>4.9252692197720584</v>
      </c>
    </row>
    <row r="94" spans="1:3" x14ac:dyDescent="0.35">
      <c r="A94">
        <f t="shared" si="6"/>
        <v>90</v>
      </c>
      <c r="B94">
        <v>-1.7796863231619184</v>
      </c>
      <c r="C94">
        <f t="shared" si="5"/>
        <v>2.3017761451797196</v>
      </c>
    </row>
    <row r="95" spans="1:3" x14ac:dyDescent="0.35">
      <c r="A95">
        <f t="shared" si="6"/>
        <v>91</v>
      </c>
      <c r="B95">
        <v>-1.3228790100716221</v>
      </c>
      <c r="C95">
        <f t="shared" si="5"/>
        <v>1.7872778283474187</v>
      </c>
    </row>
    <row r="96" spans="1:3" x14ac:dyDescent="0.35">
      <c r="A96">
        <f t="shared" si="6"/>
        <v>92</v>
      </c>
      <c r="B96">
        <v>2.0807783968704299</v>
      </c>
      <c r="C96">
        <f t="shared" si="5"/>
        <v>5.4193388918346193</v>
      </c>
    </row>
    <row r="97" spans="1:3" x14ac:dyDescent="0.35">
      <c r="A97">
        <f t="shared" si="6"/>
        <v>93</v>
      </c>
      <c r="B97">
        <v>-2.2197549924019668</v>
      </c>
      <c r="C97">
        <f t="shared" si="5"/>
        <v>2.8206342060332483</v>
      </c>
    </row>
    <row r="98" spans="1:3" x14ac:dyDescent="0.35">
      <c r="A98">
        <f t="shared" si="6"/>
        <v>94</v>
      </c>
      <c r="B98">
        <v>0.90609105867690254</v>
      </c>
      <c r="C98">
        <f t="shared" si="5"/>
        <v>3.796213562475919</v>
      </c>
    </row>
    <row r="99" spans="1:3" x14ac:dyDescent="0.35">
      <c r="A99">
        <f t="shared" si="6"/>
        <v>95</v>
      </c>
      <c r="B99">
        <v>1.7045878815396458</v>
      </c>
      <c r="C99">
        <f t="shared" si="5"/>
        <v>6.1576334108780975</v>
      </c>
    </row>
    <row r="100" spans="1:3" x14ac:dyDescent="0.35">
      <c r="A100">
        <f t="shared" si="6"/>
        <v>96</v>
      </c>
      <c r="B100">
        <v>-1.8927044624652216</v>
      </c>
      <c r="C100">
        <f t="shared" si="5"/>
        <v>2.9595894783046011</v>
      </c>
    </row>
    <row r="101" spans="1:3" x14ac:dyDescent="0.35">
      <c r="A101">
        <f t="shared" si="6"/>
        <v>97</v>
      </c>
      <c r="B101">
        <v>-3.0190432616494287</v>
      </c>
      <c r="C101">
        <f t="shared" si="5"/>
        <v>3.4604507117960481E-2</v>
      </c>
    </row>
    <row r="102" spans="1:3" x14ac:dyDescent="0.35">
      <c r="A102">
        <f t="shared" si="6"/>
        <v>98</v>
      </c>
      <c r="B102">
        <v>-0.38493372959890088</v>
      </c>
      <c r="C102">
        <f t="shared" si="5"/>
        <v>2.1055446395763848</v>
      </c>
    </row>
    <row r="103" spans="1:3" x14ac:dyDescent="0.35">
      <c r="A103">
        <f t="shared" si="6"/>
        <v>99</v>
      </c>
      <c r="B103">
        <v>2.4144439404005369</v>
      </c>
      <c r="C103">
        <f t="shared" si="5"/>
        <v>6.2219770756010861</v>
      </c>
    </row>
    <row r="104" spans="1:3" x14ac:dyDescent="0.35">
      <c r="A104">
        <f t="shared" si="6"/>
        <v>100</v>
      </c>
      <c r="B104">
        <v>-1.8267656438809123</v>
      </c>
      <c r="C104">
        <f t="shared" si="5"/>
        <v>3.3804563263193561</v>
      </c>
    </row>
    <row r="105" spans="1:3" x14ac:dyDescent="0.35">
      <c r="A105">
        <f t="shared" si="6"/>
        <v>101</v>
      </c>
      <c r="B105">
        <v>-4.6720387536128971</v>
      </c>
      <c r="C105">
        <f t="shared" si="5"/>
        <v>-1.5854215755533532</v>
      </c>
    </row>
    <row r="106" spans="1:3" x14ac:dyDescent="0.35">
      <c r="A106">
        <f t="shared" si="6"/>
        <v>102</v>
      </c>
      <c r="B106">
        <v>-0.67969721022420548</v>
      </c>
      <c r="C106">
        <f t="shared" si="5"/>
        <v>0.98428341296934585</v>
      </c>
    </row>
    <row r="107" spans="1:3" x14ac:dyDescent="0.35">
      <c r="A107">
        <f t="shared" si="6"/>
        <v>103</v>
      </c>
      <c r="B107">
        <v>1.0235786471187305</v>
      </c>
      <c r="C107">
        <f t="shared" si="5"/>
        <v>4.6837300420066281</v>
      </c>
    </row>
    <row r="108" spans="1:3" x14ac:dyDescent="0.35">
      <c r="A108">
        <f t="shared" si="6"/>
        <v>104</v>
      </c>
      <c r="B108">
        <v>2.3274476082758975</v>
      </c>
      <c r="C108">
        <f t="shared" si="5"/>
        <v>6.8392369318352628</v>
      </c>
    </row>
    <row r="109" spans="1:3" x14ac:dyDescent="0.35">
      <c r="A109">
        <f t="shared" si="6"/>
        <v>105</v>
      </c>
      <c r="B109">
        <v>1.0316260251136309</v>
      </c>
      <c r="C109">
        <f t="shared" si="5"/>
        <v>6.1953498292515796</v>
      </c>
    </row>
    <row r="110" spans="1:3" x14ac:dyDescent="0.35">
      <c r="A110">
        <f t="shared" si="6"/>
        <v>106</v>
      </c>
      <c r="B110">
        <v>-1.2512099401749281</v>
      </c>
      <c r="C110">
        <f t="shared" si="5"/>
        <v>3.2646030723818873</v>
      </c>
    </row>
    <row r="111" spans="1:3" x14ac:dyDescent="0.35">
      <c r="A111">
        <f t="shared" si="6"/>
        <v>107</v>
      </c>
      <c r="B111">
        <v>0.10921803350296348</v>
      </c>
      <c r="C111">
        <f t="shared" si="5"/>
        <v>3.4836130634154991</v>
      </c>
    </row>
    <row r="112" spans="1:3" x14ac:dyDescent="0.35">
      <c r="A112">
        <f t="shared" si="6"/>
        <v>108</v>
      </c>
      <c r="B112">
        <v>2.4070936899250017</v>
      </c>
      <c r="C112">
        <f t="shared" si="5"/>
        <v>6.4617027066764843</v>
      </c>
    </row>
    <row r="113" spans="1:3" x14ac:dyDescent="0.35">
      <c r="A113">
        <f t="shared" si="6"/>
        <v>109</v>
      </c>
      <c r="B113">
        <v>0.53299160907781618</v>
      </c>
      <c r="C113">
        <f t="shared" si="5"/>
        <v>5.7365384540403177</v>
      </c>
    </row>
    <row r="114" spans="1:3" x14ac:dyDescent="0.35">
      <c r="A114">
        <f t="shared" si="6"/>
        <v>110</v>
      </c>
      <c r="B114">
        <v>1.9257606977912867</v>
      </c>
      <c r="C114">
        <f t="shared" si="5"/>
        <v>6.1922565023301948</v>
      </c>
    </row>
    <row r="115" spans="1:3" x14ac:dyDescent="0.35">
      <c r="A115">
        <f t="shared" si="6"/>
        <v>111</v>
      </c>
      <c r="B115">
        <v>0.54030589728212797</v>
      </c>
      <c r="C115">
        <f t="shared" si="5"/>
        <v>5.503186246177771</v>
      </c>
    </row>
    <row r="116" spans="1:3" x14ac:dyDescent="0.35">
      <c r="A116">
        <f t="shared" si="6"/>
        <v>112</v>
      </c>
      <c r="B116">
        <v>-0.11988049646136403</v>
      </c>
      <c r="C116">
        <f t="shared" si="5"/>
        <v>4.1502724521797001</v>
      </c>
    </row>
    <row r="117" spans="1:3" x14ac:dyDescent="0.35">
      <c r="A117">
        <f t="shared" si="6"/>
        <v>113</v>
      </c>
      <c r="B117">
        <v>-1.1086237225183357</v>
      </c>
      <c r="C117">
        <f t="shared" si="5"/>
        <v>2.8314360292509826</v>
      </c>
    </row>
    <row r="118" spans="1:3" x14ac:dyDescent="0.35">
      <c r="A118">
        <f t="shared" si="6"/>
        <v>114</v>
      </c>
      <c r="B118">
        <v>-0.73079447698851874</v>
      </c>
      <c r="C118">
        <f t="shared" si="5"/>
        <v>2.7148936617523134</v>
      </c>
    </row>
    <row r="119" spans="1:3" x14ac:dyDescent="0.35">
      <c r="A119">
        <f t="shared" si="6"/>
        <v>115</v>
      </c>
      <c r="B119">
        <v>-0.26398126148652912</v>
      </c>
      <c r="C119">
        <f t="shared" si="5"/>
        <v>3.3706215000192117</v>
      </c>
    </row>
    <row r="120" spans="1:3" x14ac:dyDescent="0.35">
      <c r="A120">
        <f t="shared" si="6"/>
        <v>116</v>
      </c>
      <c r="B120">
        <v>-0.69838242135073414</v>
      </c>
      <c r="C120">
        <f t="shared" si="5"/>
        <v>3.1696269479060009</v>
      </c>
    </row>
    <row r="121" spans="1:3" x14ac:dyDescent="0.35">
      <c r="A121">
        <f t="shared" si="6"/>
        <v>117</v>
      </c>
      <c r="B121">
        <v>9.8942406605733099E-2</v>
      </c>
      <c r="C121">
        <f t="shared" si="5"/>
        <v>3.749751195930366</v>
      </c>
    </row>
    <row r="122" spans="1:3" x14ac:dyDescent="0.35">
      <c r="A122">
        <f t="shared" si="6"/>
        <v>118</v>
      </c>
      <c r="B122">
        <v>1.5426608666299271</v>
      </c>
      <c r="C122">
        <f t="shared" si="5"/>
        <v>5.5921320699327932</v>
      </c>
    </row>
    <row r="123" spans="1:3" x14ac:dyDescent="0.35">
      <c r="A123">
        <f t="shared" si="6"/>
        <v>119</v>
      </c>
      <c r="B123">
        <v>2.8236106327357645E-2</v>
      </c>
      <c r="C123">
        <f t="shared" si="5"/>
        <v>4.7995665396423206</v>
      </c>
    </row>
    <row r="124" spans="1:3" x14ac:dyDescent="0.35">
      <c r="A124">
        <f t="shared" si="6"/>
        <v>120</v>
      </c>
      <c r="B124">
        <v>3.7298519177469371</v>
      </c>
      <c r="C124">
        <f t="shared" si="5"/>
        <v>7.7439699709106158</v>
      </c>
    </row>
    <row r="125" spans="1:3" x14ac:dyDescent="0.35">
      <c r="A125">
        <f t="shared" si="6"/>
        <v>121</v>
      </c>
      <c r="B125">
        <v>-0.1357621199105585</v>
      </c>
      <c r="C125">
        <f t="shared" si="5"/>
        <v>5.7291638389629096</v>
      </c>
    </row>
    <row r="126" spans="1:3" x14ac:dyDescent="0.35">
      <c r="A126">
        <f t="shared" si="6"/>
        <v>122</v>
      </c>
      <c r="B126">
        <v>0.28565924067400533</v>
      </c>
      <c r="C126">
        <f t="shared" si="5"/>
        <v>4.2177781807187262</v>
      </c>
    </row>
    <row r="127" spans="1:3" x14ac:dyDescent="0.35">
      <c r="A127">
        <f t="shared" si="6"/>
        <v>123</v>
      </c>
      <c r="B127">
        <v>-1.4558091954319821</v>
      </c>
      <c r="C127">
        <f t="shared" si="5"/>
        <v>2.6870204249050205</v>
      </c>
    </row>
    <row r="128" spans="1:3" x14ac:dyDescent="0.35">
      <c r="A128">
        <f t="shared" si="6"/>
        <v>124</v>
      </c>
      <c r="B128">
        <v>-0.40784678043201361</v>
      </c>
      <c r="C128">
        <f t="shared" si="5"/>
        <v>2.8642486218519956</v>
      </c>
    </row>
    <row r="129" spans="1:3" x14ac:dyDescent="0.35">
      <c r="A129">
        <f t="shared" si="6"/>
        <v>125</v>
      </c>
      <c r="B129">
        <v>2.1343551379439551</v>
      </c>
      <c r="C129">
        <f t="shared" si="5"/>
        <v>5.9304317477279485</v>
      </c>
    </row>
    <row r="130" spans="1:3" x14ac:dyDescent="0.35">
      <c r="A130">
        <f t="shared" si="6"/>
        <v>126</v>
      </c>
      <c r="B130">
        <v>-1.5491149335966881</v>
      </c>
      <c r="C130">
        <f t="shared" si="5"/>
        <v>3.5180626353752893</v>
      </c>
    </row>
    <row r="131" spans="1:3" x14ac:dyDescent="0.35">
      <c r="A131">
        <f t="shared" si="6"/>
        <v>127</v>
      </c>
      <c r="B131">
        <v>-7.9749871774825509E-2</v>
      </c>
      <c r="C131">
        <f t="shared" si="5"/>
        <v>3.1456926614268306</v>
      </c>
    </row>
    <row r="132" spans="1:3" x14ac:dyDescent="0.35">
      <c r="A132">
        <f t="shared" si="6"/>
        <v>128</v>
      </c>
      <c r="B132">
        <v>4.3903436969936614E-2</v>
      </c>
      <c r="C132">
        <f t="shared" si="5"/>
        <v>4.0040285010825238</v>
      </c>
    </row>
    <row r="133" spans="1:3" x14ac:dyDescent="0.35">
      <c r="A133">
        <f t="shared" si="6"/>
        <v>129</v>
      </c>
      <c r="B133">
        <v>-0.27009948997537037</v>
      </c>
      <c r="C133">
        <f t="shared" si="5"/>
        <v>3.7518522285095979</v>
      </c>
    </row>
    <row r="134" spans="1:3" x14ac:dyDescent="0.35">
      <c r="A134">
        <f t="shared" si="6"/>
        <v>130</v>
      </c>
      <c r="B134">
        <v>5.0453329047212323</v>
      </c>
      <c r="C134">
        <f t="shared" ref="C134:C197" si="7">4+B134+0.5*B133</f>
        <v>8.910283159733547</v>
      </c>
    </row>
    <row r="135" spans="1:3" x14ac:dyDescent="0.35">
      <c r="A135">
        <f t="shared" ref="A135:A198" si="8">A134+1</f>
        <v>131</v>
      </c>
      <c r="B135">
        <v>0.51053066687885029</v>
      </c>
      <c r="C135">
        <f t="shared" si="7"/>
        <v>7.0331971192394658</v>
      </c>
    </row>
    <row r="136" spans="1:3" x14ac:dyDescent="0.35">
      <c r="A136">
        <f t="shared" si="8"/>
        <v>132</v>
      </c>
      <c r="B136">
        <v>0.62138390886575301</v>
      </c>
      <c r="C136">
        <f t="shared" si="7"/>
        <v>4.8766492423051782</v>
      </c>
    </row>
    <row r="137" spans="1:3" x14ac:dyDescent="0.35">
      <c r="A137">
        <f t="shared" si="8"/>
        <v>133</v>
      </c>
      <c r="B137">
        <v>2.2475382984199674</v>
      </c>
      <c r="C137">
        <f t="shared" si="7"/>
        <v>6.5582302528528436</v>
      </c>
    </row>
    <row r="138" spans="1:3" x14ac:dyDescent="0.35">
      <c r="A138">
        <f t="shared" si="8"/>
        <v>134</v>
      </c>
      <c r="B138">
        <v>-0.62013908128748463</v>
      </c>
      <c r="C138">
        <f t="shared" si="7"/>
        <v>4.503630067922499</v>
      </c>
    </row>
    <row r="139" spans="1:3" x14ac:dyDescent="0.35">
      <c r="A139">
        <f t="shared" si="8"/>
        <v>135</v>
      </c>
      <c r="B139">
        <v>0.55435670358155276</v>
      </c>
      <c r="C139">
        <f t="shared" si="7"/>
        <v>4.2442871629378098</v>
      </c>
    </row>
    <row r="140" spans="1:3" x14ac:dyDescent="0.35">
      <c r="A140">
        <f t="shared" si="8"/>
        <v>136</v>
      </c>
      <c r="B140">
        <v>-4.8587617165446293</v>
      </c>
      <c r="C140">
        <f t="shared" si="7"/>
        <v>-0.58158336475385286</v>
      </c>
    </row>
    <row r="141" spans="1:3" x14ac:dyDescent="0.35">
      <c r="A141">
        <f t="shared" si="8"/>
        <v>137</v>
      </c>
      <c r="B141">
        <v>-0.24725173442981468</v>
      </c>
      <c r="C141">
        <f t="shared" si="7"/>
        <v>1.3233674072978707</v>
      </c>
    </row>
    <row r="142" spans="1:3" x14ac:dyDescent="0.35">
      <c r="A142">
        <f t="shared" si="8"/>
        <v>138</v>
      </c>
      <c r="B142">
        <v>-0.38472772345057415</v>
      </c>
      <c r="C142">
        <f t="shared" si="7"/>
        <v>3.4916464093345185</v>
      </c>
    </row>
    <row r="143" spans="1:3" x14ac:dyDescent="0.35">
      <c r="A143">
        <f t="shared" si="8"/>
        <v>139</v>
      </c>
      <c r="B143">
        <v>-2.1433699121846428</v>
      </c>
      <c r="C143">
        <f t="shared" si="7"/>
        <v>1.6642662260900702</v>
      </c>
    </row>
    <row r="144" spans="1:3" x14ac:dyDescent="0.35">
      <c r="A144">
        <f t="shared" si="8"/>
        <v>140</v>
      </c>
      <c r="B144">
        <v>-2.8293252062742349</v>
      </c>
      <c r="C144">
        <f t="shared" si="7"/>
        <v>9.8989837633443711E-2</v>
      </c>
    </row>
    <row r="145" spans="1:3" x14ac:dyDescent="0.35">
      <c r="A145">
        <f t="shared" si="8"/>
        <v>141</v>
      </c>
      <c r="B145">
        <v>-4.6406597913258025</v>
      </c>
      <c r="C145">
        <f t="shared" si="7"/>
        <v>-2.05532239446292</v>
      </c>
    </row>
    <row r="146" spans="1:3" x14ac:dyDescent="0.35">
      <c r="A146">
        <f t="shared" si="8"/>
        <v>142</v>
      </c>
      <c r="B146">
        <v>4.4023595282677244</v>
      </c>
      <c r="C146">
        <f t="shared" si="7"/>
        <v>6.0820296326048222</v>
      </c>
    </row>
    <row r="147" spans="1:3" x14ac:dyDescent="0.35">
      <c r="A147">
        <f t="shared" si="8"/>
        <v>143</v>
      </c>
      <c r="B147">
        <v>1.0380237781213144</v>
      </c>
      <c r="C147">
        <f t="shared" si="7"/>
        <v>7.2392035422551757</v>
      </c>
    </row>
    <row r="148" spans="1:3" x14ac:dyDescent="0.35">
      <c r="A148">
        <f t="shared" si="8"/>
        <v>144</v>
      </c>
      <c r="B148">
        <v>-3.0733209607626564</v>
      </c>
      <c r="C148">
        <f t="shared" si="7"/>
        <v>1.4456909282980008</v>
      </c>
    </row>
    <row r="149" spans="1:3" x14ac:dyDescent="0.35">
      <c r="A149">
        <f t="shared" si="8"/>
        <v>145</v>
      </c>
      <c r="B149">
        <v>-1.2141125550648808</v>
      </c>
      <c r="C149">
        <f t="shared" si="7"/>
        <v>1.249226964553791</v>
      </c>
    </row>
    <row r="150" spans="1:3" x14ac:dyDescent="0.35">
      <c r="A150">
        <f t="shared" si="8"/>
        <v>146</v>
      </c>
      <c r="B150">
        <v>0.89348266296512779</v>
      </c>
      <c r="C150">
        <f t="shared" si="7"/>
        <v>4.2864263854326872</v>
      </c>
    </row>
    <row r="151" spans="1:3" x14ac:dyDescent="0.35">
      <c r="A151">
        <f t="shared" si="8"/>
        <v>147</v>
      </c>
      <c r="B151">
        <v>2.3436799367168093</v>
      </c>
      <c r="C151">
        <f t="shared" si="7"/>
        <v>6.7904212681993723</v>
      </c>
    </row>
    <row r="152" spans="1:3" x14ac:dyDescent="0.35">
      <c r="A152">
        <f t="shared" si="8"/>
        <v>148</v>
      </c>
      <c r="B152">
        <v>2.9325155604201343</v>
      </c>
      <c r="C152">
        <f t="shared" si="7"/>
        <v>8.1043555287785392</v>
      </c>
    </row>
    <row r="153" spans="1:3" x14ac:dyDescent="0.35">
      <c r="A153">
        <f t="shared" si="8"/>
        <v>149</v>
      </c>
      <c r="B153">
        <v>0.14367537059120353</v>
      </c>
      <c r="C153">
        <f t="shared" si="7"/>
        <v>5.6099331508012709</v>
      </c>
    </row>
    <row r="154" spans="1:3" x14ac:dyDescent="0.35">
      <c r="A154">
        <f t="shared" si="8"/>
        <v>150</v>
      </c>
      <c r="B154">
        <v>-3.9529352242002851</v>
      </c>
      <c r="C154">
        <f t="shared" si="7"/>
        <v>0.11890246109531667</v>
      </c>
    </row>
    <row r="155" spans="1:3" x14ac:dyDescent="0.35">
      <c r="A155">
        <f t="shared" si="8"/>
        <v>151</v>
      </c>
      <c r="B155">
        <v>5.5613094153478082</v>
      </c>
      <c r="C155">
        <f t="shared" si="7"/>
        <v>7.5848418032476648</v>
      </c>
    </row>
    <row r="156" spans="1:3" x14ac:dyDescent="0.35">
      <c r="A156">
        <f t="shared" si="8"/>
        <v>152</v>
      </c>
      <c r="B156">
        <v>-0.10019864436221061</v>
      </c>
      <c r="C156">
        <f t="shared" si="7"/>
        <v>6.6804560633116932</v>
      </c>
    </row>
    <row r="157" spans="1:3" x14ac:dyDescent="0.35">
      <c r="A157">
        <f t="shared" si="8"/>
        <v>153</v>
      </c>
      <c r="B157">
        <v>-0.66606758365839636</v>
      </c>
      <c r="C157">
        <f t="shared" si="7"/>
        <v>3.2838330941604985</v>
      </c>
    </row>
    <row r="158" spans="1:3" x14ac:dyDescent="0.35">
      <c r="A158">
        <f t="shared" si="8"/>
        <v>154</v>
      </c>
      <c r="B158">
        <v>-2.0981399943381884</v>
      </c>
      <c r="C158">
        <f t="shared" si="7"/>
        <v>1.5688262138326134</v>
      </c>
    </row>
    <row r="159" spans="1:3" x14ac:dyDescent="0.35">
      <c r="A159">
        <f t="shared" si="8"/>
        <v>155</v>
      </c>
      <c r="B159">
        <v>1.2251159106662934</v>
      </c>
      <c r="C159">
        <f t="shared" si="7"/>
        <v>4.176045913497199</v>
      </c>
    </row>
    <row r="160" spans="1:3" x14ac:dyDescent="0.35">
      <c r="A160">
        <f t="shared" si="8"/>
        <v>156</v>
      </c>
      <c r="B160">
        <v>-0.12676325993953469</v>
      </c>
      <c r="C160">
        <f t="shared" si="7"/>
        <v>4.4857946953936123</v>
      </c>
    </row>
    <row r="161" spans="1:3" x14ac:dyDescent="0.35">
      <c r="A161">
        <f t="shared" si="8"/>
        <v>157</v>
      </c>
      <c r="B161">
        <v>1.1570064245985452</v>
      </c>
      <c r="C161">
        <f t="shared" si="7"/>
        <v>5.093624794628778</v>
      </c>
    </row>
    <row r="162" spans="1:3" x14ac:dyDescent="0.35">
      <c r="A162">
        <f t="shared" si="8"/>
        <v>158</v>
      </c>
      <c r="B162">
        <v>0.40989502220620444</v>
      </c>
      <c r="C162">
        <f t="shared" si="7"/>
        <v>4.9883982345054774</v>
      </c>
    </row>
    <row r="163" spans="1:3" x14ac:dyDescent="0.35">
      <c r="A163">
        <f t="shared" si="8"/>
        <v>159</v>
      </c>
      <c r="B163">
        <v>2.2936521170715736</v>
      </c>
      <c r="C163">
        <f t="shared" si="7"/>
        <v>6.4985996281746754</v>
      </c>
    </row>
    <row r="164" spans="1:3" x14ac:dyDescent="0.35">
      <c r="A164">
        <f t="shared" si="8"/>
        <v>160</v>
      </c>
      <c r="B164">
        <v>2.4857117999045872</v>
      </c>
      <c r="C164">
        <f t="shared" si="7"/>
        <v>7.632537858440374</v>
      </c>
    </row>
    <row r="165" spans="1:3" x14ac:dyDescent="0.35">
      <c r="A165">
        <f t="shared" si="8"/>
        <v>161</v>
      </c>
      <c r="B165">
        <v>0.69550043821023466</v>
      </c>
      <c r="C165">
        <f t="shared" si="7"/>
        <v>5.9383563381625279</v>
      </c>
    </row>
    <row r="166" spans="1:3" x14ac:dyDescent="0.35">
      <c r="A166">
        <f t="shared" si="8"/>
        <v>162</v>
      </c>
      <c r="B166">
        <v>0.6039917171120085</v>
      </c>
      <c r="C166">
        <f t="shared" si="7"/>
        <v>4.9517419362171262</v>
      </c>
    </row>
    <row r="167" spans="1:3" x14ac:dyDescent="0.35">
      <c r="A167">
        <f t="shared" si="8"/>
        <v>163</v>
      </c>
      <c r="B167">
        <v>1.6834379817024707</v>
      </c>
      <c r="C167">
        <f t="shared" si="7"/>
        <v>5.9854338402584748</v>
      </c>
    </row>
    <row r="168" spans="1:3" x14ac:dyDescent="0.35">
      <c r="A168">
        <f t="shared" si="8"/>
        <v>164</v>
      </c>
      <c r="B168">
        <v>4.4919622321583974</v>
      </c>
      <c r="C168">
        <f t="shared" si="7"/>
        <v>9.3336812230096324</v>
      </c>
    </row>
    <row r="169" spans="1:3" x14ac:dyDescent="0.35">
      <c r="A169">
        <f t="shared" si="8"/>
        <v>165</v>
      </c>
      <c r="B169">
        <v>-2.8973666534519515</v>
      </c>
      <c r="C169">
        <f t="shared" si="7"/>
        <v>3.3486144626272472</v>
      </c>
    </row>
    <row r="170" spans="1:3" x14ac:dyDescent="0.35">
      <c r="A170">
        <f t="shared" si="8"/>
        <v>166</v>
      </c>
      <c r="B170">
        <v>-0.23696162345469682</v>
      </c>
      <c r="C170">
        <f t="shared" si="7"/>
        <v>2.3143550498193273</v>
      </c>
    </row>
    <row r="171" spans="1:3" x14ac:dyDescent="0.35">
      <c r="A171">
        <f t="shared" si="8"/>
        <v>167</v>
      </c>
      <c r="B171">
        <v>0.74425925362625922</v>
      </c>
      <c r="C171">
        <f t="shared" si="7"/>
        <v>4.6257784418989107</v>
      </c>
    </row>
    <row r="172" spans="1:3" x14ac:dyDescent="0.35">
      <c r="A172">
        <f t="shared" si="8"/>
        <v>168</v>
      </c>
      <c r="B172">
        <v>0.31255868255619462</v>
      </c>
      <c r="C172">
        <f t="shared" si="7"/>
        <v>4.6846883093693243</v>
      </c>
    </row>
    <row r="173" spans="1:3" x14ac:dyDescent="0.35">
      <c r="A173">
        <f t="shared" si="8"/>
        <v>169</v>
      </c>
      <c r="B173">
        <v>1.711735690842773</v>
      </c>
      <c r="C173">
        <f t="shared" si="7"/>
        <v>5.8680150321208702</v>
      </c>
    </row>
    <row r="174" spans="1:3" x14ac:dyDescent="0.35">
      <c r="A174">
        <f t="shared" si="8"/>
        <v>170</v>
      </c>
      <c r="B174">
        <v>1.4092291935456605</v>
      </c>
      <c r="C174">
        <f t="shared" si="7"/>
        <v>6.2650970389670464</v>
      </c>
    </row>
    <row r="175" spans="1:3" x14ac:dyDescent="0.35">
      <c r="A175">
        <f t="shared" si="8"/>
        <v>171</v>
      </c>
      <c r="B175">
        <v>-1.0444935398867645</v>
      </c>
      <c r="C175">
        <f t="shared" si="7"/>
        <v>3.6601210568860654</v>
      </c>
    </row>
    <row r="176" spans="1:3" x14ac:dyDescent="0.35">
      <c r="A176">
        <f t="shared" si="8"/>
        <v>172</v>
      </c>
      <c r="B176">
        <v>2.0468577626200233</v>
      </c>
      <c r="C176">
        <f t="shared" si="7"/>
        <v>5.5246109926766414</v>
      </c>
    </row>
    <row r="177" spans="1:3" x14ac:dyDescent="0.35">
      <c r="A177">
        <f t="shared" si="8"/>
        <v>173</v>
      </c>
      <c r="B177">
        <v>1.0181519976236177</v>
      </c>
      <c r="C177">
        <f t="shared" si="7"/>
        <v>6.0415808789336296</v>
      </c>
    </row>
    <row r="178" spans="1:3" x14ac:dyDescent="0.35">
      <c r="A178">
        <f t="shared" si="8"/>
        <v>174</v>
      </c>
      <c r="B178">
        <v>-0.14413909445669246</v>
      </c>
      <c r="C178">
        <f t="shared" si="7"/>
        <v>4.3649369043551163</v>
      </c>
    </row>
    <row r="179" spans="1:3" x14ac:dyDescent="0.35">
      <c r="A179">
        <f t="shared" si="8"/>
        <v>175</v>
      </c>
      <c r="B179">
        <v>-3.1624769047698686</v>
      </c>
      <c r="C179">
        <f t="shared" si="7"/>
        <v>0.76545354800178511</v>
      </c>
    </row>
    <row r="180" spans="1:3" x14ac:dyDescent="0.35">
      <c r="A180">
        <f t="shared" si="8"/>
        <v>176</v>
      </c>
      <c r="B180">
        <v>1.0643808418547649</v>
      </c>
      <c r="C180">
        <f t="shared" si="7"/>
        <v>3.483142389469831</v>
      </c>
    </row>
    <row r="181" spans="1:3" x14ac:dyDescent="0.35">
      <c r="A181">
        <f t="shared" si="8"/>
        <v>177</v>
      </c>
      <c r="B181">
        <v>-0.37541754431011493</v>
      </c>
      <c r="C181">
        <f t="shared" si="7"/>
        <v>4.1567728766172678</v>
      </c>
    </row>
    <row r="182" spans="1:3" x14ac:dyDescent="0.35">
      <c r="A182">
        <f t="shared" si="8"/>
        <v>178</v>
      </c>
      <c r="B182">
        <v>-1.3024912863125961</v>
      </c>
      <c r="C182">
        <f t="shared" si="7"/>
        <v>2.5097999415323464</v>
      </c>
    </row>
    <row r="183" spans="1:3" x14ac:dyDescent="0.35">
      <c r="A183">
        <f t="shared" si="8"/>
        <v>179</v>
      </c>
      <c r="B183">
        <v>0.14623880979302159</v>
      </c>
      <c r="C183">
        <f t="shared" si="7"/>
        <v>3.4949931666367231</v>
      </c>
    </row>
    <row r="184" spans="1:3" x14ac:dyDescent="0.35">
      <c r="A184">
        <f t="shared" si="8"/>
        <v>180</v>
      </c>
      <c r="B184">
        <v>-0.79752555006842463</v>
      </c>
      <c r="C184">
        <f t="shared" si="7"/>
        <v>3.2755938548280858</v>
      </c>
    </row>
    <row r="185" spans="1:3" x14ac:dyDescent="0.35">
      <c r="A185">
        <f t="shared" si="8"/>
        <v>181</v>
      </c>
      <c r="B185">
        <v>2.1337494089782312</v>
      </c>
      <c r="C185">
        <f t="shared" si="7"/>
        <v>5.7349866339440183</v>
      </c>
    </row>
    <row r="186" spans="1:3" x14ac:dyDescent="0.35">
      <c r="A186">
        <f t="shared" si="8"/>
        <v>182</v>
      </c>
      <c r="B186">
        <v>-7.5519709735454965E-2</v>
      </c>
      <c r="C186">
        <f t="shared" si="7"/>
        <v>4.9913549947536602</v>
      </c>
    </row>
    <row r="187" spans="1:3" x14ac:dyDescent="0.35">
      <c r="A187">
        <f t="shared" si="8"/>
        <v>183</v>
      </c>
      <c r="B187">
        <v>-1.6639090449239911</v>
      </c>
      <c r="C187">
        <f t="shared" si="7"/>
        <v>2.2983311002082814</v>
      </c>
    </row>
    <row r="188" spans="1:3" x14ac:dyDescent="0.35">
      <c r="A188">
        <f t="shared" si="8"/>
        <v>184</v>
      </c>
      <c r="B188">
        <v>1.5086760682566831</v>
      </c>
      <c r="C188">
        <f t="shared" si="7"/>
        <v>4.6767215457946882</v>
      </c>
    </row>
    <row r="189" spans="1:3" x14ac:dyDescent="0.35">
      <c r="A189">
        <f t="shared" si="8"/>
        <v>185</v>
      </c>
      <c r="B189">
        <v>2.3902319500511857</v>
      </c>
      <c r="C189">
        <f t="shared" si="7"/>
        <v>7.1445699841795278</v>
      </c>
    </row>
    <row r="190" spans="1:3" x14ac:dyDescent="0.35">
      <c r="A190">
        <f t="shared" si="8"/>
        <v>186</v>
      </c>
      <c r="B190">
        <v>-3.3171698035556143</v>
      </c>
      <c r="C190">
        <f t="shared" si="7"/>
        <v>1.8779461714699786</v>
      </c>
    </row>
    <row r="191" spans="1:3" x14ac:dyDescent="0.35">
      <c r="A191">
        <f t="shared" si="8"/>
        <v>187</v>
      </c>
      <c r="B191">
        <v>1.0781329144528979</v>
      </c>
      <c r="C191">
        <f t="shared" si="7"/>
        <v>3.4195480126750901</v>
      </c>
    </row>
    <row r="192" spans="1:3" x14ac:dyDescent="0.35">
      <c r="A192">
        <f t="shared" si="8"/>
        <v>188</v>
      </c>
      <c r="B192">
        <v>1.5567309462376926</v>
      </c>
      <c r="C192">
        <f t="shared" si="7"/>
        <v>6.0957974034641413</v>
      </c>
    </row>
    <row r="193" spans="1:6" x14ac:dyDescent="0.35">
      <c r="A193">
        <f t="shared" si="8"/>
        <v>189</v>
      </c>
      <c r="B193">
        <v>2.3070163158394528</v>
      </c>
      <c r="C193">
        <f t="shared" si="7"/>
        <v>7.0853817889582995</v>
      </c>
    </row>
    <row r="194" spans="1:6" x14ac:dyDescent="0.35">
      <c r="A194">
        <f t="shared" si="8"/>
        <v>190</v>
      </c>
      <c r="B194">
        <v>0.55441335405162318</v>
      </c>
      <c r="C194">
        <f t="shared" si="7"/>
        <v>5.7079215119713496</v>
      </c>
    </row>
    <row r="195" spans="1:6" x14ac:dyDescent="0.35">
      <c r="A195">
        <f t="shared" si="8"/>
        <v>191</v>
      </c>
      <c r="B195">
        <v>-1.9751380436788943</v>
      </c>
      <c r="C195">
        <f t="shared" si="7"/>
        <v>2.3020686333469169</v>
      </c>
    </row>
    <row r="196" spans="1:6" x14ac:dyDescent="0.35">
      <c r="A196">
        <f t="shared" si="8"/>
        <v>192</v>
      </c>
      <c r="B196">
        <v>0.91198382356160401</v>
      </c>
      <c r="C196">
        <f t="shared" si="7"/>
        <v>3.9244148017221567</v>
      </c>
    </row>
    <row r="197" spans="1:6" x14ac:dyDescent="0.35">
      <c r="A197">
        <f t="shared" si="8"/>
        <v>193</v>
      </c>
      <c r="B197">
        <v>-0.81463532483798784</v>
      </c>
      <c r="C197">
        <f t="shared" si="7"/>
        <v>3.6413565869428144</v>
      </c>
    </row>
    <row r="198" spans="1:6" x14ac:dyDescent="0.35">
      <c r="A198">
        <f t="shared" si="8"/>
        <v>194</v>
      </c>
      <c r="B198">
        <v>0.49076938257402997</v>
      </c>
      <c r="C198">
        <f t="shared" ref="C198:C204" si="9">4+B198+0.5*B197</f>
        <v>4.0834517201550353</v>
      </c>
    </row>
    <row r="199" spans="1:6" x14ac:dyDescent="0.35">
      <c r="A199">
        <f t="shared" ref="A199:A204" si="10">A198+1</f>
        <v>195</v>
      </c>
      <c r="B199">
        <v>-2.2885601654883678</v>
      </c>
      <c r="C199">
        <f t="shared" si="9"/>
        <v>1.9568245257986472</v>
      </c>
    </row>
    <row r="200" spans="1:6" x14ac:dyDescent="0.35">
      <c r="A200">
        <f t="shared" si="10"/>
        <v>196</v>
      </c>
      <c r="B200">
        <v>0.93023171808179261</v>
      </c>
      <c r="C200">
        <f t="shared" si="9"/>
        <v>3.7859516353376081</v>
      </c>
    </row>
    <row r="201" spans="1:6" x14ac:dyDescent="0.35">
      <c r="A201">
        <f t="shared" si="10"/>
        <v>197</v>
      </c>
      <c r="B201">
        <v>0.79644074037922397</v>
      </c>
      <c r="C201">
        <f t="shared" si="9"/>
        <v>5.2615565994201203</v>
      </c>
    </row>
    <row r="202" spans="1:6" x14ac:dyDescent="0.35">
      <c r="A202">
        <f t="shared" si="10"/>
        <v>198</v>
      </c>
      <c r="B202">
        <v>4.1441833756284634</v>
      </c>
      <c r="C202">
        <f t="shared" si="9"/>
        <v>8.5424037458180759</v>
      </c>
    </row>
    <row r="203" spans="1:6" x14ac:dyDescent="0.35">
      <c r="A203">
        <f t="shared" si="10"/>
        <v>199</v>
      </c>
      <c r="B203">
        <v>-0.81179966656030933</v>
      </c>
      <c r="C203">
        <f t="shared" si="9"/>
        <v>5.2602920212539228</v>
      </c>
    </row>
    <row r="204" spans="1:6" x14ac:dyDescent="0.35">
      <c r="A204" s="13">
        <f t="shared" si="10"/>
        <v>200</v>
      </c>
      <c r="B204" s="4">
        <v>-1.9638608721279491</v>
      </c>
      <c r="C204" s="4">
        <f t="shared" si="9"/>
        <v>1.6302392945918964</v>
      </c>
      <c r="E204" s="69" t="s">
        <v>79</v>
      </c>
      <c r="F204">
        <f>VAR(C6:C204)</f>
        <v>4.4625975619997975</v>
      </c>
    </row>
    <row r="206" spans="1:6" x14ac:dyDescent="0.35">
      <c r="B206" t="s">
        <v>109</v>
      </c>
    </row>
    <row r="207" spans="1:6" x14ac:dyDescent="0.35">
      <c r="B207" t="e" cm="1">
        <f t="array" aca="1" ref="B207" ca="1">FTEXT(C6)</f>
        <v>#NAME?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8"/>
  <dimension ref="A1:K23"/>
  <sheetViews>
    <sheetView workbookViewId="0"/>
  </sheetViews>
  <sheetFormatPr defaultRowHeight="14.5" x14ac:dyDescent="0.35"/>
  <cols>
    <col min="10" max="10" width="4.26953125" customWidth="1"/>
    <col min="11" max="11" width="22" customWidth="1"/>
  </cols>
  <sheetData>
    <row r="1" spans="1:11" x14ac:dyDescent="0.35">
      <c r="A1" s="7" t="s">
        <v>139</v>
      </c>
      <c r="E1" s="7" t="s">
        <v>434</v>
      </c>
      <c r="H1" s="103" t="s">
        <v>436</v>
      </c>
    </row>
    <row r="3" spans="1:11" x14ac:dyDescent="0.35">
      <c r="A3" s="35" t="s">
        <v>200</v>
      </c>
      <c r="B3" s="139">
        <v>5</v>
      </c>
      <c r="E3" s="35" t="s">
        <v>200</v>
      </c>
      <c r="F3" s="139">
        <v>6</v>
      </c>
      <c r="H3" s="35" t="s">
        <v>200</v>
      </c>
      <c r="I3" s="139">
        <v>6</v>
      </c>
    </row>
    <row r="4" spans="1:11" x14ac:dyDescent="0.35">
      <c r="A4" s="35" t="s">
        <v>170</v>
      </c>
      <c r="B4" s="34">
        <v>0.4</v>
      </c>
      <c r="E4" s="35" t="s">
        <v>170</v>
      </c>
      <c r="F4" s="24">
        <v>0.4</v>
      </c>
      <c r="H4" s="35" t="s">
        <v>170</v>
      </c>
      <c r="I4" s="24">
        <v>0.4</v>
      </c>
    </row>
    <row r="5" spans="1:11" x14ac:dyDescent="0.35">
      <c r="A5" s="38"/>
      <c r="B5" s="38"/>
      <c r="C5" s="38"/>
      <c r="E5" s="35" t="s">
        <v>172</v>
      </c>
      <c r="F5" s="34">
        <v>-0.2</v>
      </c>
      <c r="H5" s="35" t="s">
        <v>172</v>
      </c>
      <c r="I5" s="34">
        <v>-0.2</v>
      </c>
    </row>
    <row r="7" spans="1:11" x14ac:dyDescent="0.35">
      <c r="A7" t="s">
        <v>136</v>
      </c>
      <c r="E7" t="s">
        <v>136</v>
      </c>
      <c r="H7" t="s">
        <v>136</v>
      </c>
    </row>
    <row r="9" spans="1:11" x14ac:dyDescent="0.35">
      <c r="A9" s="35" t="s">
        <v>137</v>
      </c>
      <c r="B9" s="23">
        <f>B3/(1-B4)</f>
        <v>8.3333333333333339</v>
      </c>
      <c r="E9" s="35" t="s">
        <v>137</v>
      </c>
      <c r="F9" s="23">
        <f>F3/(1-F4-F5)</f>
        <v>7.5</v>
      </c>
      <c r="H9" s="35" t="s">
        <v>137</v>
      </c>
      <c r="I9" s="23">
        <f>I3/(1-I4-I5)</f>
        <v>7.5</v>
      </c>
      <c r="K9" t="e" cm="1">
        <f t="array" aca="1" ref="K9" ca="1">FTEXT(I9)</f>
        <v>#NAME?</v>
      </c>
    </row>
    <row r="10" spans="1:11" x14ac:dyDescent="0.35">
      <c r="A10" s="35" t="s">
        <v>433</v>
      </c>
      <c r="B10" s="24">
        <v>1</v>
      </c>
      <c r="E10" s="35" t="s">
        <v>433</v>
      </c>
      <c r="F10" s="24">
        <v>1</v>
      </c>
      <c r="H10" s="35" t="s">
        <v>433</v>
      </c>
      <c r="I10" s="24" t="e">
        <f t="array" aca="1" ref="I10:I14" ca="1">PSICoeff(I4:I5,,,FALSE)</f>
        <v>#NAME?</v>
      </c>
      <c r="K10" t="e" cm="1">
        <f t="array" aca="1" ref="K10" ca="1">FTEXT(I10)</f>
        <v>#NAME?</v>
      </c>
    </row>
    <row r="11" spans="1:11" x14ac:dyDescent="0.35">
      <c r="A11" s="35" t="s">
        <v>220</v>
      </c>
      <c r="B11" s="24">
        <f>B4</f>
        <v>0.4</v>
      </c>
      <c r="E11" s="35" t="s">
        <v>220</v>
      </c>
      <c r="F11" s="24">
        <f>F4</f>
        <v>0.4</v>
      </c>
      <c r="H11" s="35" t="s">
        <v>220</v>
      </c>
      <c r="I11" s="24" t="e">
        <f ca="1"/>
        <v>#NAME?</v>
      </c>
    </row>
    <row r="12" spans="1:11" x14ac:dyDescent="0.35">
      <c r="A12" s="35" t="s">
        <v>221</v>
      </c>
      <c r="B12" s="24">
        <f>B4^2</f>
        <v>0.16000000000000003</v>
      </c>
      <c r="E12" s="35" t="s">
        <v>221</v>
      </c>
      <c r="F12" s="24">
        <f>F11^2+F5</f>
        <v>-3.999999999999998E-2</v>
      </c>
      <c r="H12" s="35" t="s">
        <v>221</v>
      </c>
      <c r="I12" s="24" t="e">
        <f ca="1"/>
        <v>#NAME?</v>
      </c>
    </row>
    <row r="13" spans="1:11" x14ac:dyDescent="0.35">
      <c r="A13" s="35" t="s">
        <v>222</v>
      </c>
      <c r="B13" s="24">
        <f>B4^3</f>
        <v>6.4000000000000015E-2</v>
      </c>
      <c r="E13" s="35" t="s">
        <v>222</v>
      </c>
      <c r="F13" s="24">
        <f>F11*(F12+F5)</f>
        <v>-9.6000000000000002E-2</v>
      </c>
      <c r="H13" s="35" t="s">
        <v>222</v>
      </c>
      <c r="I13" s="24" t="e">
        <f ca="1"/>
        <v>#NAME?</v>
      </c>
    </row>
    <row r="14" spans="1:11" x14ac:dyDescent="0.35">
      <c r="A14" s="35" t="s">
        <v>223</v>
      </c>
      <c r="B14" s="34">
        <f>B4^4</f>
        <v>2.5600000000000012E-2</v>
      </c>
      <c r="E14" s="35" t="s">
        <v>223</v>
      </c>
      <c r="F14" s="34">
        <f>F13*F4+F12*F5</f>
        <v>-3.0400000000000007E-2</v>
      </c>
      <c r="H14" s="35" t="s">
        <v>223</v>
      </c>
      <c r="I14" s="34" t="e">
        <f ca="1"/>
        <v>#NAME?</v>
      </c>
    </row>
    <row r="16" spans="1:11" x14ac:dyDescent="0.35">
      <c r="A16" s="140" t="s">
        <v>435</v>
      </c>
    </row>
    <row r="18" spans="1:6" x14ac:dyDescent="0.35">
      <c r="A18" s="35" t="s">
        <v>137</v>
      </c>
      <c r="B18" s="23">
        <f>B9</f>
        <v>8.3333333333333339</v>
      </c>
      <c r="E18" s="35" t="s">
        <v>137</v>
      </c>
      <c r="F18" s="23">
        <f>F9</f>
        <v>7.5</v>
      </c>
    </row>
    <row r="19" spans="1:6" x14ac:dyDescent="0.35">
      <c r="A19" s="35" t="s">
        <v>433</v>
      </c>
      <c r="B19" s="24" t="e">
        <f t="array" aca="1" ref="B19:B23" ca="1">PSICoeff(B4)</f>
        <v>#NAME?</v>
      </c>
      <c r="E19" s="35" t="s">
        <v>433</v>
      </c>
      <c r="F19" s="24" t="e">
        <f t="array" aca="1" ref="F19:F23" ca="1">PSICoeff(F4:F5,,,FALSE)</f>
        <v>#NAME?</v>
      </c>
    </row>
    <row r="20" spans="1:6" x14ac:dyDescent="0.35">
      <c r="A20" s="35" t="s">
        <v>220</v>
      </c>
      <c r="B20" s="24" t="e">
        <f ca="1"/>
        <v>#NAME?</v>
      </c>
      <c r="E20" s="35" t="s">
        <v>220</v>
      </c>
      <c r="F20" s="24" t="e">
        <f ca="1"/>
        <v>#NAME?</v>
      </c>
    </row>
    <row r="21" spans="1:6" x14ac:dyDescent="0.35">
      <c r="A21" s="35" t="s">
        <v>221</v>
      </c>
      <c r="B21" s="24" t="e">
        <f ca="1"/>
        <v>#NAME?</v>
      </c>
      <c r="E21" s="35" t="s">
        <v>221</v>
      </c>
      <c r="F21" s="24" t="e">
        <f ca="1"/>
        <v>#NAME?</v>
      </c>
    </row>
    <row r="22" spans="1:6" x14ac:dyDescent="0.35">
      <c r="A22" s="35" t="s">
        <v>222</v>
      </c>
      <c r="B22" s="24" t="e">
        <f ca="1"/>
        <v>#NAME?</v>
      </c>
      <c r="E22" s="35" t="s">
        <v>222</v>
      </c>
      <c r="F22" s="24" t="e">
        <f ca="1"/>
        <v>#NAME?</v>
      </c>
    </row>
    <row r="23" spans="1:6" x14ac:dyDescent="0.35">
      <c r="A23" s="35" t="s">
        <v>223</v>
      </c>
      <c r="B23" s="34" t="e">
        <f ca="1"/>
        <v>#NAME?</v>
      </c>
      <c r="E23" s="35" t="s">
        <v>223</v>
      </c>
      <c r="F23" s="34" t="e">
        <f ca="1"/>
        <v>#NAME?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8"/>
  <dimension ref="A1:AF206"/>
  <sheetViews>
    <sheetView workbookViewId="0"/>
  </sheetViews>
  <sheetFormatPr defaultRowHeight="14.5" x14ac:dyDescent="0.35"/>
  <cols>
    <col min="1" max="1" width="4.7265625" customWidth="1"/>
    <col min="4" max="4" width="3.1796875" customWidth="1"/>
    <col min="7" max="7" width="3.54296875" customWidth="1"/>
    <col min="8" max="8" width="26.453125" customWidth="1"/>
    <col min="9" max="9" width="9.1796875" customWidth="1"/>
    <col min="10" max="10" width="4.54296875" style="71" customWidth="1"/>
    <col min="13" max="13" width="4.54296875" customWidth="1"/>
    <col min="16" max="16" width="3" customWidth="1"/>
    <col min="17" max="17" width="17.453125" customWidth="1"/>
    <col min="31" max="31" width="4" customWidth="1"/>
    <col min="32" max="32" width="55.453125" customWidth="1"/>
  </cols>
  <sheetData>
    <row r="1" spans="1:32" x14ac:dyDescent="0.35">
      <c r="A1" s="7" t="s">
        <v>258</v>
      </c>
    </row>
    <row r="2" spans="1:32" s="72" customFormat="1" x14ac:dyDescent="0.35">
      <c r="A2" s="81"/>
      <c r="J2" s="73"/>
      <c r="AC2" s="73" t="s">
        <v>255</v>
      </c>
      <c r="AD2" s="73" t="s">
        <v>256</v>
      </c>
      <c r="AF2" s="73" t="s">
        <v>257</v>
      </c>
    </row>
    <row r="3" spans="1:32" s="72" customFormat="1" ht="15" customHeight="1" x14ac:dyDescent="0.35">
      <c r="B3" s="82" t="s">
        <v>107</v>
      </c>
      <c r="C3" s="82" t="s">
        <v>110</v>
      </c>
      <c r="E3" s="82" t="s">
        <v>227</v>
      </c>
      <c r="F3" s="82" t="s">
        <v>167</v>
      </c>
      <c r="G3" s="82"/>
      <c r="H3" s="82" t="s">
        <v>229</v>
      </c>
      <c r="I3" s="74"/>
      <c r="J3" s="82" t="s">
        <v>80</v>
      </c>
      <c r="K3" s="83" t="s">
        <v>233</v>
      </c>
      <c r="L3" s="82" t="s">
        <v>169</v>
      </c>
      <c r="N3" s="82" t="s">
        <v>227</v>
      </c>
      <c r="O3" s="82" t="s">
        <v>228</v>
      </c>
      <c r="P3" s="82"/>
      <c r="Q3" s="82" t="s">
        <v>229</v>
      </c>
      <c r="S3" s="72" t="s">
        <v>240</v>
      </c>
      <c r="AB3" s="73" t="s">
        <v>80</v>
      </c>
      <c r="AC3" s="84">
        <f>COUNT(C4:C203)</f>
        <v>200</v>
      </c>
      <c r="AD3" s="85">
        <f>AC3</f>
        <v>200</v>
      </c>
      <c r="AF3" s="72" t="e" cm="1">
        <f t="array" aca="1" ref="AF3" ca="1">FTEXT(AC3)</f>
        <v>#NAME?</v>
      </c>
    </row>
    <row r="4" spans="1:32" s="72" customFormat="1" ht="15" customHeight="1" x14ac:dyDescent="0.35">
      <c r="A4" s="72">
        <v>1</v>
      </c>
      <c r="B4" s="72">
        <v>-0.51207912635870179</v>
      </c>
      <c r="C4" s="72">
        <f>B4</f>
        <v>-0.51207912635870179</v>
      </c>
      <c r="E4" s="78" t="s">
        <v>120</v>
      </c>
      <c r="F4" s="72">
        <f>AVERAGE(C4:C203)</f>
        <v>3.2013189005273911E-2</v>
      </c>
      <c r="H4" s="72" t="e" cm="1">
        <f t="array" aca="1" ref="H4" ca="1">FTEXT(F4)</f>
        <v>#NAME?</v>
      </c>
      <c r="J4" s="73">
        <v>0</v>
      </c>
      <c r="L4" s="72">
        <f>O9</f>
        <v>0.21565115265493742</v>
      </c>
      <c r="N4" s="73" t="s">
        <v>237</v>
      </c>
      <c r="O4" s="73" t="s">
        <v>234</v>
      </c>
      <c r="P4" s="73"/>
      <c r="Q4" s="72" t="e" cm="1">
        <f t="array" aca="1" ref="Q4" ca="1">FTEXT(L4)</f>
        <v>#NAME?</v>
      </c>
      <c r="AB4" s="73" t="s">
        <v>168</v>
      </c>
      <c r="AC4" s="86" t="e">
        <f ca="1">F10</f>
        <v>#NAME?</v>
      </c>
      <c r="AD4" s="87">
        <v>-0.4</v>
      </c>
      <c r="AF4" s="72" t="e" cm="1">
        <f t="array" aca="1" ref="AF4" ca="1">FTEXT(AC4)</f>
        <v>#NAME?</v>
      </c>
    </row>
    <row r="5" spans="1:32" s="72" customFormat="1" ht="15" customHeight="1" thickBot="1" x14ac:dyDescent="0.4">
      <c r="A5" s="72">
        <f>A4+1</f>
        <v>2</v>
      </c>
      <c r="B5" s="72">
        <v>-0.36334374693531363</v>
      </c>
      <c r="C5" s="72">
        <f>B5-0.4*B4</f>
        <v>-0.15851209639183289</v>
      </c>
      <c r="E5" s="89" t="s">
        <v>251</v>
      </c>
      <c r="F5" s="72">
        <f>VARP(C4:C203)</f>
        <v>0.21565115265493742</v>
      </c>
      <c r="H5" s="72" t="e" cm="1">
        <f t="array" aca="1" ref="H5" ca="1">FTEXT(F5)</f>
        <v>#NAME?</v>
      </c>
      <c r="J5" s="73">
        <f>J4+1</f>
        <v>1</v>
      </c>
      <c r="K5" s="72" t="e">
        <f t="shared" ref="K5:K14" ca="1" si="0">O$10/L4</f>
        <v>#NAME?</v>
      </c>
      <c r="L5" s="72" t="e">
        <f t="shared" ref="L5:L14" ca="1" si="1">O$9-K5^2*L4</f>
        <v>#NAME?</v>
      </c>
      <c r="N5" s="90" t="s">
        <v>239</v>
      </c>
      <c r="O5" s="73" t="s">
        <v>235</v>
      </c>
      <c r="P5" s="73"/>
      <c r="Q5" s="72" t="e" cm="1">
        <f t="array" aca="1" ref="Q5" ca="1">FTEXT(K5)</f>
        <v>#NAME?</v>
      </c>
      <c r="S5" s="72" t="s">
        <v>241</v>
      </c>
      <c r="V5" s="72" t="s">
        <v>156</v>
      </c>
      <c r="W5" s="72">
        <v>0.05</v>
      </c>
      <c r="AB5" s="73" t="s">
        <v>81</v>
      </c>
      <c r="AC5" s="91" t="e">
        <f ca="1">SQRT((1+AC4^2+4*AC4^4+AC4^6+AC4^8)/(AC3*(1-AC4^2)^2))</f>
        <v>#NAME?</v>
      </c>
      <c r="AD5" s="92">
        <f>(1+AD4^2+4*AD4^4+AD4^6+AD4^8)/(AD3*(1-AD4^2)^2)</f>
        <v>8.9792471655328835E-3</v>
      </c>
      <c r="AF5" s="72" t="e" cm="1">
        <f t="array" aca="1" ref="AF5" ca="1">FTEXT(AC5)</f>
        <v>#NAME?</v>
      </c>
    </row>
    <row r="6" spans="1:32" s="72" customFormat="1" ht="15" customHeight="1" thickTop="1" x14ac:dyDescent="0.35">
      <c r="A6" s="72">
        <f t="shared" ref="A6:A69" si="2">A5+1</f>
        <v>3</v>
      </c>
      <c r="B6" s="72">
        <v>0.11192767204794295</v>
      </c>
      <c r="C6" s="72">
        <f t="shared" ref="C6:C69" si="3">B6-0.4*B5</f>
        <v>0.2572651708220684</v>
      </c>
      <c r="E6" s="93" t="s">
        <v>252</v>
      </c>
      <c r="F6" s="76" t="e" cm="1">
        <f t="array" aca="1" ref="F6" ca="1">ACF(C4:C203,1)</f>
        <v>#NAME?</v>
      </c>
      <c r="G6" s="76"/>
      <c r="H6" s="76" t="e" cm="1">
        <f t="array" aca="1" ref="H6" ca="1">FTEXT(F6)</f>
        <v>#NAME?</v>
      </c>
      <c r="I6" s="77"/>
      <c r="J6" s="73">
        <f t="shared" ref="J6:J14" si="4">J5+1</f>
        <v>2</v>
      </c>
      <c r="K6" s="72" t="e">
        <f t="shared" ca="1" si="0"/>
        <v>#NAME?</v>
      </c>
      <c r="L6" s="72" t="e">
        <f t="shared" ca="1" si="1"/>
        <v>#NAME?</v>
      </c>
      <c r="N6" s="75" t="s">
        <v>238</v>
      </c>
      <c r="O6" s="75" t="s">
        <v>236</v>
      </c>
      <c r="P6" s="75"/>
      <c r="Q6" s="76" t="e" cm="1">
        <f t="array" aca="1" ref="Q6" ca="1">FTEXT(L5)</f>
        <v>#NAME?</v>
      </c>
      <c r="S6" s="94" t="s">
        <v>147</v>
      </c>
      <c r="T6" s="94" t="s">
        <v>143</v>
      </c>
      <c r="U6" s="94" t="s">
        <v>152</v>
      </c>
      <c r="V6" s="94" t="s">
        <v>242</v>
      </c>
      <c r="W6" s="94" t="s">
        <v>3</v>
      </c>
      <c r="X6" s="94" t="s">
        <v>88</v>
      </c>
      <c r="Y6" s="94" t="s">
        <v>243</v>
      </c>
      <c r="Z6" s="94" t="s">
        <v>244</v>
      </c>
      <c r="AF6" s="72" t="e" cm="1">
        <f t="array" aca="1" ref="AF6" ca="1">FTEXT(AC6)</f>
        <v>#NAME?</v>
      </c>
    </row>
    <row r="7" spans="1:32" s="72" customFormat="1" ht="15" customHeight="1" x14ac:dyDescent="0.35">
      <c r="A7" s="72">
        <f t="shared" si="2"/>
        <v>4</v>
      </c>
      <c r="B7" s="72">
        <v>2.6947470072676356E-2</v>
      </c>
      <c r="C7" s="72">
        <f t="shared" si="3"/>
        <v>-1.7823598746500826E-2</v>
      </c>
      <c r="J7" s="73">
        <f t="shared" si="4"/>
        <v>3</v>
      </c>
      <c r="K7" s="72" t="e">
        <f t="shared" ca="1" si="0"/>
        <v>#NAME?</v>
      </c>
      <c r="L7" s="72" t="e">
        <f t="shared" ca="1" si="1"/>
        <v>#NAME?</v>
      </c>
      <c r="S7" s="72">
        <f>COUNT(C4:C203)</f>
        <v>200</v>
      </c>
      <c r="T7" s="72">
        <f>AVERAGE(C4:C203)</f>
        <v>3.2013189005273911E-2</v>
      </c>
      <c r="U7" s="72">
        <f>STDEV(C4:C203)</f>
        <v>0.46554787808439407</v>
      </c>
      <c r="V7" s="72">
        <f>U7/SQRT(S7)</f>
        <v>3.2919206156048313E-2</v>
      </c>
      <c r="W7" s="72">
        <f>(T7-W9)/V7</f>
        <v>0.97247755166149596</v>
      </c>
      <c r="X7" s="72">
        <f>S7-1</f>
        <v>199</v>
      </c>
      <c r="Y7" s="72">
        <f>ABS(T7-W9)/U7</f>
        <v>6.8764547133153484E-2</v>
      </c>
      <c r="Z7" s="72">
        <f>SQRT(W7^2/(W7^2+X7))</f>
        <v>6.8773881656667729E-2</v>
      </c>
      <c r="AB7" s="88" t="s">
        <v>10</v>
      </c>
      <c r="AC7" s="79">
        <v>0.05</v>
      </c>
      <c r="AD7" s="79">
        <v>0.05</v>
      </c>
    </row>
    <row r="8" spans="1:32" s="72" customFormat="1" ht="15" customHeight="1" x14ac:dyDescent="0.35">
      <c r="A8" s="72">
        <f t="shared" si="2"/>
        <v>5</v>
      </c>
      <c r="B8" s="72">
        <v>-1.6753415454899445E-2</v>
      </c>
      <c r="C8" s="72">
        <f t="shared" si="3"/>
        <v>-2.7532403483969986E-2</v>
      </c>
      <c r="J8" s="73">
        <f t="shared" si="4"/>
        <v>4</v>
      </c>
      <c r="K8" s="72" t="e">
        <f t="shared" ca="1" si="0"/>
        <v>#NAME?</v>
      </c>
      <c r="L8" s="72" t="e">
        <f t="shared" ca="1" si="1"/>
        <v>#NAME?</v>
      </c>
      <c r="N8" s="82" t="s">
        <v>227</v>
      </c>
      <c r="O8" s="82" t="s">
        <v>167</v>
      </c>
      <c r="P8" s="82"/>
      <c r="Q8" s="82" t="s">
        <v>229</v>
      </c>
      <c r="S8" s="95"/>
      <c r="T8" s="95"/>
      <c r="U8" s="95"/>
      <c r="V8" s="95"/>
      <c r="W8" s="95"/>
      <c r="X8" s="95"/>
      <c r="Y8" s="95"/>
      <c r="Z8" s="95"/>
      <c r="AB8" s="88" t="s">
        <v>127</v>
      </c>
      <c r="AC8" s="96" t="e">
        <f ca="1">AC4-NORMSINV(1-AC7)*AC5</f>
        <v>#NAME?</v>
      </c>
      <c r="AD8" s="96">
        <f>AD4-NORMSINV(1-AD7)*AD5</f>
        <v>-0.41476954726752052</v>
      </c>
      <c r="AF8" s="72" t="e" cm="1">
        <f t="array" aca="1" ref="AF8" ca="1">FTEXT(AC8)</f>
        <v>#NAME?</v>
      </c>
    </row>
    <row r="9" spans="1:32" s="72" customFormat="1" ht="15" customHeight="1" thickBot="1" x14ac:dyDescent="0.4">
      <c r="A9" s="72">
        <f t="shared" si="2"/>
        <v>6</v>
      </c>
      <c r="B9" s="72">
        <v>8.1914358993839212E-2</v>
      </c>
      <c r="C9" s="72">
        <f t="shared" si="3"/>
        <v>8.8615725175798993E-2</v>
      </c>
      <c r="E9" s="82" t="s">
        <v>227</v>
      </c>
      <c r="F9" s="82" t="s">
        <v>167</v>
      </c>
      <c r="G9" s="82"/>
      <c r="H9" s="82" t="s">
        <v>229</v>
      </c>
      <c r="I9" s="74"/>
      <c r="J9" s="74">
        <f t="shared" si="4"/>
        <v>5</v>
      </c>
      <c r="K9" s="72" t="e">
        <f t="shared" ca="1" si="0"/>
        <v>#NAME?</v>
      </c>
      <c r="L9" s="72" t="e">
        <f t="shared" ca="1" si="1"/>
        <v>#NAME?</v>
      </c>
      <c r="N9" s="89" t="s">
        <v>231</v>
      </c>
      <c r="O9" s="72">
        <f>VARP(C4:C203)</f>
        <v>0.21565115265493742</v>
      </c>
      <c r="Q9" s="72" t="e" cm="1">
        <f t="array" aca="1" ref="Q9" ca="1">FTEXT(O9)</f>
        <v>#NAME?</v>
      </c>
      <c r="S9" s="72" t="s">
        <v>245</v>
      </c>
      <c r="V9" s="72" t="s">
        <v>246</v>
      </c>
      <c r="W9" s="72">
        <v>0</v>
      </c>
      <c r="AB9" s="88" t="s">
        <v>128</v>
      </c>
      <c r="AC9" s="80" t="e">
        <f ca="1">AC4+NORMSINV(1-AC7)*AC5</f>
        <v>#NAME?</v>
      </c>
      <c r="AD9" s="80">
        <f>AD4+NORMSINV(1-AD7)*AD5</f>
        <v>-0.38523045273247952</v>
      </c>
      <c r="AF9" s="72" t="e" cm="1">
        <f t="array" aca="1" ref="AF9" ca="1">FTEXT(AC9)</f>
        <v>#NAME?</v>
      </c>
    </row>
    <row r="10" spans="1:32" s="72" customFormat="1" ht="15" customHeight="1" thickTop="1" x14ac:dyDescent="0.35">
      <c r="A10" s="72">
        <f t="shared" si="2"/>
        <v>7</v>
      </c>
      <c r="B10" s="72">
        <v>0.63820678984685353</v>
      </c>
      <c r="C10" s="72">
        <f t="shared" si="3"/>
        <v>0.60544104624931783</v>
      </c>
      <c r="E10" s="90" t="s">
        <v>253</v>
      </c>
      <c r="F10" s="72" t="e">
        <f ca="1">(1-SQRT(1-4*F6^2))/(2*F6)</f>
        <v>#NAME?</v>
      </c>
      <c r="H10" s="72" t="e" cm="1">
        <f t="array" aca="1" ref="H10" ca="1">FTEXT(F10)</f>
        <v>#NAME?</v>
      </c>
      <c r="J10" s="73">
        <f t="shared" si="4"/>
        <v>6</v>
      </c>
      <c r="K10" s="72" t="e">
        <f t="shared" ca="1" si="0"/>
        <v>#NAME?</v>
      </c>
      <c r="L10" s="72" t="e">
        <f t="shared" ca="1" si="1"/>
        <v>#NAME?</v>
      </c>
      <c r="N10" s="93" t="s">
        <v>232</v>
      </c>
      <c r="O10" s="76" t="e" cm="1">
        <f t="array" aca="1" ref="O10" ca="1">ACVF(C4:C203,1)</f>
        <v>#NAME?</v>
      </c>
      <c r="P10" s="76"/>
      <c r="Q10" s="76" t="e" cm="1">
        <f t="array" aca="1" ref="Q10" ca="1">FTEXT(O10)</f>
        <v>#NAME?</v>
      </c>
      <c r="S10" s="94" t="s">
        <v>247</v>
      </c>
      <c r="T10" s="94" t="s">
        <v>92</v>
      </c>
      <c r="U10" s="94" t="s">
        <v>248</v>
      </c>
      <c r="V10" s="94" t="s">
        <v>127</v>
      </c>
      <c r="W10" s="94" t="s">
        <v>128</v>
      </c>
      <c r="X10" s="94" t="s">
        <v>84</v>
      </c>
    </row>
    <row r="11" spans="1:32" s="72" customFormat="1" ht="15" customHeight="1" x14ac:dyDescent="0.35">
      <c r="A11" s="72">
        <f t="shared" si="2"/>
        <v>8</v>
      </c>
      <c r="B11" s="72">
        <v>0.13169322212412099</v>
      </c>
      <c r="C11" s="72">
        <f t="shared" si="3"/>
        <v>-0.12358949381462042</v>
      </c>
      <c r="E11" s="97" t="s">
        <v>253</v>
      </c>
      <c r="F11" s="76" t="e">
        <f ca="1">(1+SQRT(1-4*F6^2))/(2*F6)</f>
        <v>#NAME?</v>
      </c>
      <c r="G11" s="76"/>
      <c r="H11" s="76" t="e" cm="1">
        <f t="array" aca="1" ref="H11" ca="1">FTEXT(F11)</f>
        <v>#NAME?</v>
      </c>
      <c r="I11" s="77"/>
      <c r="J11" s="73">
        <f t="shared" si="4"/>
        <v>7</v>
      </c>
      <c r="K11" s="72" t="e">
        <f t="shared" ca="1" si="0"/>
        <v>#NAME?</v>
      </c>
      <c r="L11" s="72" t="e">
        <f t="shared" ca="1" si="1"/>
        <v>#NAME?</v>
      </c>
      <c r="S11" s="72" t="s">
        <v>249</v>
      </c>
      <c r="T11" s="72">
        <f>TDIST(ABS(W7),X7,1)</f>
        <v>0.16599679679333762</v>
      </c>
      <c r="U11" s="72">
        <f>TINV(W5*2,X7)</f>
        <v>1.6525467461665586</v>
      </c>
      <c r="X11" s="73" t="str">
        <f>IF(T11&lt;W5,"yes","no")</f>
        <v>no</v>
      </c>
    </row>
    <row r="12" spans="1:32" s="72" customFormat="1" ht="15" customHeight="1" x14ac:dyDescent="0.35">
      <c r="A12" s="72">
        <f t="shared" si="2"/>
        <v>9</v>
      </c>
      <c r="B12" s="72">
        <v>-5.7137285520943479E-2</v>
      </c>
      <c r="C12" s="72">
        <f t="shared" si="3"/>
        <v>-0.10981457437059187</v>
      </c>
      <c r="E12" s="98" t="s">
        <v>254</v>
      </c>
      <c r="F12" s="72" t="e">
        <f ca="1">F5/(1+F10^2)</f>
        <v>#NAME?</v>
      </c>
      <c r="H12" s="72" t="e" cm="1">
        <f t="array" aca="1" ref="H12" ca="1">FTEXT(F12)</f>
        <v>#NAME?</v>
      </c>
      <c r="J12" s="73">
        <f t="shared" si="4"/>
        <v>8</v>
      </c>
      <c r="K12" s="72" t="e">
        <f t="shared" ca="1" si="0"/>
        <v>#NAME?</v>
      </c>
      <c r="L12" s="72" t="e">
        <f t="shared" ca="1" si="1"/>
        <v>#NAME?</v>
      </c>
      <c r="S12" s="72" t="s">
        <v>250</v>
      </c>
      <c r="T12" s="72">
        <f>TDIST(ABS(W7),X7,2)</f>
        <v>0.33199359358667524</v>
      </c>
      <c r="U12" s="72">
        <f>TINV(W5,X7)</f>
        <v>1.9719565442517553</v>
      </c>
      <c r="V12" s="72">
        <f>T7-U12*V7</f>
        <v>-3.2902055005718224E-2</v>
      </c>
      <c r="W12" s="72">
        <f>T7+U12*V7</f>
        <v>9.6928433016266052E-2</v>
      </c>
      <c r="X12" s="73" t="str">
        <f>IF(T12&lt;W5,"yes","no")</f>
        <v>no</v>
      </c>
    </row>
    <row r="13" spans="1:32" s="72" customFormat="1" ht="15" customHeight="1" x14ac:dyDescent="0.35">
      <c r="A13" s="72">
        <f t="shared" si="2"/>
        <v>10</v>
      </c>
      <c r="B13" s="72">
        <v>0.54124755369311517</v>
      </c>
      <c r="C13" s="72">
        <f t="shared" si="3"/>
        <v>0.56410246790149254</v>
      </c>
      <c r="E13" s="99" t="s">
        <v>254</v>
      </c>
      <c r="F13" s="76" t="e">
        <f ca="1">F5/(1+F11^2)</f>
        <v>#NAME?</v>
      </c>
      <c r="G13" s="76"/>
      <c r="H13" s="76" t="e" cm="1">
        <f t="array" aca="1" ref="H13" ca="1">FTEXT(F13)</f>
        <v>#NAME?</v>
      </c>
      <c r="I13" s="77"/>
      <c r="J13" s="73">
        <f t="shared" si="4"/>
        <v>9</v>
      </c>
      <c r="K13" s="72" t="e">
        <f t="shared" ca="1" si="0"/>
        <v>#NAME?</v>
      </c>
      <c r="L13" s="72" t="e">
        <f t="shared" ca="1" si="1"/>
        <v>#NAME?</v>
      </c>
      <c r="S13" s="95"/>
      <c r="T13" s="95"/>
      <c r="U13" s="95"/>
      <c r="V13" s="95"/>
      <c r="W13" s="95"/>
      <c r="X13" s="95"/>
    </row>
    <row r="14" spans="1:32" s="72" customFormat="1" ht="15" customHeight="1" x14ac:dyDescent="0.35">
      <c r="A14" s="72">
        <f t="shared" si="2"/>
        <v>11</v>
      </c>
      <c r="B14" s="72">
        <v>0.43912452837972638</v>
      </c>
      <c r="C14" s="72">
        <f t="shared" si="3"/>
        <v>0.22262550690248029</v>
      </c>
      <c r="J14" s="75">
        <f t="shared" si="4"/>
        <v>10</v>
      </c>
      <c r="K14" s="76" t="e">
        <f t="shared" ca="1" si="0"/>
        <v>#NAME?</v>
      </c>
      <c r="L14" s="76" t="e">
        <f t="shared" ca="1" si="1"/>
        <v>#NAME?</v>
      </c>
    </row>
    <row r="15" spans="1:32" s="72" customFormat="1" x14ac:dyDescent="0.35">
      <c r="A15" s="72">
        <f t="shared" si="2"/>
        <v>12</v>
      </c>
      <c r="B15" s="72">
        <v>0.54883288339069092</v>
      </c>
      <c r="C15" s="72">
        <f t="shared" si="3"/>
        <v>0.37318307203880036</v>
      </c>
    </row>
    <row r="16" spans="1:32" s="72" customFormat="1" x14ac:dyDescent="0.35">
      <c r="A16" s="72">
        <f t="shared" si="2"/>
        <v>13</v>
      </c>
      <c r="B16" s="72">
        <v>0.85693829196286697</v>
      </c>
      <c r="C16" s="72">
        <f t="shared" si="3"/>
        <v>0.63740513860659065</v>
      </c>
    </row>
    <row r="17" spans="1:10" x14ac:dyDescent="0.35">
      <c r="A17">
        <f t="shared" si="2"/>
        <v>14</v>
      </c>
      <c r="B17">
        <v>0.43225906999569413</v>
      </c>
      <c r="C17" s="72">
        <f t="shared" si="3"/>
        <v>8.9483753210547301E-2</v>
      </c>
      <c r="I17" s="72"/>
      <c r="J17"/>
    </row>
    <row r="18" spans="1:10" x14ac:dyDescent="0.35">
      <c r="A18">
        <f t="shared" si="2"/>
        <v>15</v>
      </c>
      <c r="B18">
        <v>-6.4599939622106764E-2</v>
      </c>
      <c r="C18" s="72">
        <f t="shared" si="3"/>
        <v>-0.23750356762038444</v>
      </c>
      <c r="I18" s="72"/>
      <c r="J18"/>
    </row>
    <row r="19" spans="1:10" x14ac:dyDescent="0.35">
      <c r="A19">
        <f t="shared" si="2"/>
        <v>16</v>
      </c>
      <c r="B19">
        <v>-0.20365610579624818</v>
      </c>
      <c r="C19" s="72">
        <f t="shared" si="3"/>
        <v>-0.17781612994740548</v>
      </c>
      <c r="J19"/>
    </row>
    <row r="20" spans="1:10" x14ac:dyDescent="0.35">
      <c r="A20">
        <f t="shared" si="2"/>
        <v>17</v>
      </c>
      <c r="B20">
        <v>-0.11232162753376856</v>
      </c>
      <c r="C20" s="72">
        <f t="shared" si="3"/>
        <v>-3.0859185215269286E-2</v>
      </c>
    </row>
    <row r="21" spans="1:10" x14ac:dyDescent="0.35">
      <c r="A21">
        <f t="shared" si="2"/>
        <v>18</v>
      </c>
      <c r="B21">
        <v>-0.12263390545953902</v>
      </c>
      <c r="C21" s="72">
        <f t="shared" si="3"/>
        <v>-7.7705254446031588E-2</v>
      </c>
    </row>
    <row r="22" spans="1:10" x14ac:dyDescent="0.35">
      <c r="A22">
        <f t="shared" si="2"/>
        <v>19</v>
      </c>
      <c r="B22">
        <v>0.4997230636303775</v>
      </c>
      <c r="C22" s="72">
        <f t="shared" si="3"/>
        <v>0.54877662581419306</v>
      </c>
    </row>
    <row r="23" spans="1:10" x14ac:dyDescent="0.35">
      <c r="A23">
        <f t="shared" si="2"/>
        <v>20</v>
      </c>
      <c r="B23">
        <v>-7.107510966411526E-2</v>
      </c>
      <c r="C23" s="72">
        <f t="shared" si="3"/>
        <v>-0.27096433511626627</v>
      </c>
    </row>
    <row r="24" spans="1:10" x14ac:dyDescent="0.35">
      <c r="A24">
        <f t="shared" si="2"/>
        <v>21</v>
      </c>
      <c r="B24">
        <v>0.9239136154717118</v>
      </c>
      <c r="C24" s="72">
        <f t="shared" si="3"/>
        <v>0.95234365933735787</v>
      </c>
    </row>
    <row r="25" spans="1:10" x14ac:dyDescent="0.35">
      <c r="A25">
        <f t="shared" si="2"/>
        <v>22</v>
      </c>
      <c r="B25">
        <v>0.15295754626692404</v>
      </c>
      <c r="C25" s="72">
        <f t="shared" si="3"/>
        <v>-0.21660789992176072</v>
      </c>
    </row>
    <row r="26" spans="1:10" x14ac:dyDescent="0.35">
      <c r="A26">
        <f t="shared" si="2"/>
        <v>23</v>
      </c>
      <c r="B26">
        <v>0.33328421180909701</v>
      </c>
      <c r="C26" s="72">
        <f t="shared" si="3"/>
        <v>0.2721011933023274</v>
      </c>
    </row>
    <row r="27" spans="1:10" x14ac:dyDescent="0.35">
      <c r="A27">
        <f t="shared" si="2"/>
        <v>24</v>
      </c>
      <c r="B27">
        <v>0.18774221804470156</v>
      </c>
      <c r="C27" s="72">
        <f t="shared" si="3"/>
        <v>5.4428533321062761E-2</v>
      </c>
    </row>
    <row r="28" spans="1:10" x14ac:dyDescent="0.35">
      <c r="A28">
        <f t="shared" si="2"/>
        <v>25</v>
      </c>
      <c r="B28">
        <v>0.22501409955220572</v>
      </c>
      <c r="C28" s="72">
        <f t="shared" si="3"/>
        <v>0.14991721233432509</v>
      </c>
    </row>
    <row r="29" spans="1:10" x14ac:dyDescent="0.35">
      <c r="A29">
        <f t="shared" si="2"/>
        <v>26</v>
      </c>
      <c r="B29">
        <v>0.1013872161540149</v>
      </c>
      <c r="C29" s="72">
        <f t="shared" si="3"/>
        <v>1.1381576333132609E-2</v>
      </c>
    </row>
    <row r="30" spans="1:10" x14ac:dyDescent="0.35">
      <c r="A30">
        <f t="shared" si="2"/>
        <v>27</v>
      </c>
      <c r="B30">
        <v>0.16772638439529058</v>
      </c>
      <c r="C30" s="72">
        <f t="shared" si="3"/>
        <v>0.12717149793368462</v>
      </c>
    </row>
    <row r="31" spans="1:10" x14ac:dyDescent="0.35">
      <c r="A31">
        <f t="shared" si="2"/>
        <v>28</v>
      </c>
      <c r="B31">
        <v>-0.31651644142481467</v>
      </c>
      <c r="C31" s="72">
        <f t="shared" si="3"/>
        <v>-0.3836069951829309</v>
      </c>
    </row>
    <row r="32" spans="1:10" x14ac:dyDescent="0.35">
      <c r="A32">
        <f t="shared" si="2"/>
        <v>29</v>
      </c>
      <c r="B32">
        <v>-0.59068997433252501</v>
      </c>
      <c r="C32" s="72">
        <f t="shared" si="3"/>
        <v>-0.4640833977625991</v>
      </c>
    </row>
    <row r="33" spans="1:3" x14ac:dyDescent="0.35">
      <c r="A33">
        <f t="shared" si="2"/>
        <v>30</v>
      </c>
      <c r="B33">
        <v>0.3060210831404202</v>
      </c>
      <c r="C33" s="72">
        <f t="shared" si="3"/>
        <v>0.54229707287343021</v>
      </c>
    </row>
    <row r="34" spans="1:3" x14ac:dyDescent="0.35">
      <c r="A34">
        <f t="shared" si="2"/>
        <v>31</v>
      </c>
      <c r="B34">
        <v>-0.62752248082675643</v>
      </c>
      <c r="C34" s="72">
        <f t="shared" si="3"/>
        <v>-0.74993091408292456</v>
      </c>
    </row>
    <row r="35" spans="1:3" x14ac:dyDescent="0.35">
      <c r="A35">
        <f t="shared" si="2"/>
        <v>32</v>
      </c>
      <c r="B35">
        <v>0.23702118556121191</v>
      </c>
      <c r="C35" s="72">
        <f t="shared" si="3"/>
        <v>0.4880301778919145</v>
      </c>
    </row>
    <row r="36" spans="1:3" x14ac:dyDescent="0.35">
      <c r="A36">
        <f t="shared" si="2"/>
        <v>33</v>
      </c>
      <c r="B36">
        <v>-9.8704944770256597E-2</v>
      </c>
      <c r="C36" s="72">
        <f t="shared" si="3"/>
        <v>-0.19351341899474137</v>
      </c>
    </row>
    <row r="37" spans="1:3" x14ac:dyDescent="0.35">
      <c r="A37">
        <f t="shared" si="2"/>
        <v>34</v>
      </c>
      <c r="B37">
        <v>0.33462467270222157</v>
      </c>
      <c r="C37" s="72">
        <f t="shared" si="3"/>
        <v>0.37410665061032422</v>
      </c>
    </row>
    <row r="38" spans="1:3" x14ac:dyDescent="0.35">
      <c r="A38">
        <f t="shared" si="2"/>
        <v>35</v>
      </c>
      <c r="B38">
        <v>7.6903283588442367E-2</v>
      </c>
      <c r="C38" s="72">
        <f t="shared" si="3"/>
        <v>-5.6946585492446272E-2</v>
      </c>
    </row>
    <row r="39" spans="1:3" x14ac:dyDescent="0.35">
      <c r="A39">
        <f t="shared" si="2"/>
        <v>36</v>
      </c>
      <c r="B39">
        <v>-0.31754085082588029</v>
      </c>
      <c r="C39" s="72">
        <f t="shared" si="3"/>
        <v>-0.34830216426125726</v>
      </c>
    </row>
    <row r="40" spans="1:3" x14ac:dyDescent="0.35">
      <c r="A40">
        <f t="shared" si="2"/>
        <v>37</v>
      </c>
      <c r="B40">
        <v>-0.25419372210868713</v>
      </c>
      <c r="C40" s="72">
        <f t="shared" si="3"/>
        <v>-0.12717738177833501</v>
      </c>
    </row>
    <row r="41" spans="1:3" x14ac:dyDescent="0.35">
      <c r="A41">
        <f t="shared" si="2"/>
        <v>38</v>
      </c>
      <c r="B41">
        <v>0.62604102360566283</v>
      </c>
      <c r="C41" s="72">
        <f t="shared" si="3"/>
        <v>0.72771851244913766</v>
      </c>
    </row>
    <row r="42" spans="1:3" x14ac:dyDescent="0.35">
      <c r="A42">
        <f t="shared" si="2"/>
        <v>39</v>
      </c>
      <c r="B42">
        <v>0.65942009251344469</v>
      </c>
      <c r="C42" s="72">
        <f t="shared" si="3"/>
        <v>0.40900368307117957</v>
      </c>
    </row>
    <row r="43" spans="1:3" x14ac:dyDescent="0.35">
      <c r="A43">
        <f t="shared" si="2"/>
        <v>40</v>
      </c>
      <c r="B43">
        <v>3.9187187377916315E-2</v>
      </c>
      <c r="C43" s="72">
        <f t="shared" si="3"/>
        <v>-0.22458084962746155</v>
      </c>
    </row>
    <row r="44" spans="1:3" x14ac:dyDescent="0.35">
      <c r="A44">
        <f t="shared" si="2"/>
        <v>41</v>
      </c>
      <c r="B44">
        <v>0.17389833870797153</v>
      </c>
      <c r="C44" s="72">
        <f t="shared" si="3"/>
        <v>0.15822346375680502</v>
      </c>
    </row>
    <row r="45" spans="1:3" x14ac:dyDescent="0.35">
      <c r="A45">
        <f t="shared" si="2"/>
        <v>42</v>
      </c>
      <c r="B45">
        <v>-0.11526190497676622</v>
      </c>
      <c r="C45" s="72">
        <f t="shared" si="3"/>
        <v>-0.18482124045995485</v>
      </c>
    </row>
    <row r="46" spans="1:3" x14ac:dyDescent="0.35">
      <c r="A46">
        <f t="shared" si="2"/>
        <v>43</v>
      </c>
      <c r="B46">
        <v>-0.30619159093863518</v>
      </c>
      <c r="C46" s="72">
        <f t="shared" si="3"/>
        <v>-0.26008682894792867</v>
      </c>
    </row>
    <row r="47" spans="1:3" x14ac:dyDescent="0.35">
      <c r="A47">
        <f t="shared" si="2"/>
        <v>44</v>
      </c>
      <c r="B47">
        <v>0.1324161057881085</v>
      </c>
      <c r="C47" s="72">
        <f t="shared" si="3"/>
        <v>0.25489274216356261</v>
      </c>
    </row>
    <row r="48" spans="1:3" x14ac:dyDescent="0.35">
      <c r="A48">
        <f t="shared" si="2"/>
        <v>45</v>
      </c>
      <c r="B48">
        <v>-0.54694148767811068</v>
      </c>
      <c r="C48" s="72">
        <f t="shared" si="3"/>
        <v>-0.59990792999335407</v>
      </c>
    </row>
    <row r="49" spans="1:3" x14ac:dyDescent="0.35">
      <c r="A49">
        <f t="shared" si="2"/>
        <v>46</v>
      </c>
      <c r="B49">
        <v>7.5804716770691866E-2</v>
      </c>
      <c r="C49" s="72">
        <f t="shared" si="3"/>
        <v>0.29458131184193614</v>
      </c>
    </row>
    <row r="50" spans="1:3" x14ac:dyDescent="0.35">
      <c r="A50">
        <f t="shared" si="2"/>
        <v>47</v>
      </c>
      <c r="B50">
        <v>-1.3805346031133389E-2</v>
      </c>
      <c r="C50" s="72">
        <f t="shared" si="3"/>
        <v>-4.412723273941014E-2</v>
      </c>
    </row>
    <row r="51" spans="1:3" x14ac:dyDescent="0.35">
      <c r="A51">
        <f t="shared" si="2"/>
        <v>48</v>
      </c>
      <c r="B51">
        <v>0.33052630065869121</v>
      </c>
      <c r="C51" s="72">
        <f t="shared" si="3"/>
        <v>0.33604843907114457</v>
      </c>
    </row>
    <row r="52" spans="1:3" x14ac:dyDescent="0.35">
      <c r="A52">
        <f t="shared" si="2"/>
        <v>49</v>
      </c>
      <c r="B52">
        <v>6.3089327347226012E-2</v>
      </c>
      <c r="C52" s="72">
        <f t="shared" si="3"/>
        <v>-6.9121192916250476E-2</v>
      </c>
    </row>
    <row r="53" spans="1:3" x14ac:dyDescent="0.35">
      <c r="A53">
        <f t="shared" si="2"/>
        <v>50</v>
      </c>
      <c r="B53">
        <v>-0.26048714702548137</v>
      </c>
      <c r="C53" s="72">
        <f t="shared" si="3"/>
        <v>-0.28572287796437179</v>
      </c>
    </row>
    <row r="54" spans="1:3" x14ac:dyDescent="0.35">
      <c r="A54">
        <f t="shared" si="2"/>
        <v>51</v>
      </c>
      <c r="B54">
        <v>0.64674810862294951</v>
      </c>
      <c r="C54" s="72">
        <f t="shared" si="3"/>
        <v>0.75094296743314204</v>
      </c>
    </row>
    <row r="55" spans="1:3" x14ac:dyDescent="0.35">
      <c r="A55">
        <f t="shared" si="2"/>
        <v>52</v>
      </c>
      <c r="B55">
        <v>0.70366243241228765</v>
      </c>
      <c r="C55" s="72">
        <f t="shared" si="3"/>
        <v>0.44496318896310783</v>
      </c>
    </row>
    <row r="56" spans="1:3" x14ac:dyDescent="0.35">
      <c r="A56">
        <f t="shared" si="2"/>
        <v>53</v>
      </c>
      <c r="B56">
        <v>4.8029876219132531E-2</v>
      </c>
      <c r="C56" s="72">
        <f t="shared" si="3"/>
        <v>-0.23343509674578256</v>
      </c>
    </row>
    <row r="57" spans="1:3" x14ac:dyDescent="0.35">
      <c r="A57">
        <f t="shared" si="2"/>
        <v>54</v>
      </c>
      <c r="B57">
        <v>0.51735363915428434</v>
      </c>
      <c r="C57" s="72">
        <f t="shared" si="3"/>
        <v>0.49814168866663133</v>
      </c>
    </row>
    <row r="58" spans="1:3" x14ac:dyDescent="0.35">
      <c r="A58">
        <f t="shared" si="2"/>
        <v>55</v>
      </c>
      <c r="B58">
        <v>0.16904804283569394</v>
      </c>
      <c r="C58" s="72">
        <f t="shared" si="3"/>
        <v>-3.7893412826019796E-2</v>
      </c>
    </row>
    <row r="59" spans="1:3" x14ac:dyDescent="0.35">
      <c r="A59">
        <f t="shared" si="2"/>
        <v>56</v>
      </c>
      <c r="B59">
        <v>0.87765490133672586</v>
      </c>
      <c r="C59" s="72">
        <f t="shared" si="3"/>
        <v>0.81003568420244831</v>
      </c>
    </row>
    <row r="60" spans="1:3" x14ac:dyDescent="0.35">
      <c r="A60">
        <f t="shared" si="2"/>
        <v>57</v>
      </c>
      <c r="B60">
        <v>0.13484802117187894</v>
      </c>
      <c r="C60" s="72">
        <f t="shared" si="3"/>
        <v>-0.21621393936281141</v>
      </c>
    </row>
    <row r="61" spans="1:3" x14ac:dyDescent="0.35">
      <c r="A61">
        <f t="shared" si="2"/>
        <v>58</v>
      </c>
      <c r="B61">
        <v>0.27471421248229116</v>
      </c>
      <c r="C61" s="72">
        <f t="shared" si="3"/>
        <v>0.22077500401353958</v>
      </c>
    </row>
    <row r="62" spans="1:3" x14ac:dyDescent="0.35">
      <c r="A62">
        <f t="shared" si="2"/>
        <v>59</v>
      </c>
      <c r="B62">
        <v>0.75044548677266099</v>
      </c>
      <c r="C62" s="72">
        <f t="shared" si="3"/>
        <v>0.64055980177974448</v>
      </c>
    </row>
    <row r="63" spans="1:3" x14ac:dyDescent="0.35">
      <c r="A63">
        <f t="shared" si="2"/>
        <v>60</v>
      </c>
      <c r="B63">
        <v>0.43224327377155569</v>
      </c>
      <c r="C63" s="72">
        <f t="shared" si="3"/>
        <v>0.13206507906249126</v>
      </c>
    </row>
    <row r="64" spans="1:3" x14ac:dyDescent="0.35">
      <c r="A64">
        <f t="shared" si="2"/>
        <v>61</v>
      </c>
      <c r="B64">
        <v>-3.9059421132505837E-2</v>
      </c>
      <c r="C64" s="72">
        <f t="shared" si="3"/>
        <v>-0.21195673064112813</v>
      </c>
    </row>
    <row r="65" spans="1:3" x14ac:dyDescent="0.35">
      <c r="A65">
        <f t="shared" si="2"/>
        <v>62</v>
      </c>
      <c r="B65">
        <v>-0.50717404197370719</v>
      </c>
      <c r="C65" s="72">
        <f t="shared" si="3"/>
        <v>-0.49155027352070485</v>
      </c>
    </row>
    <row r="66" spans="1:3" x14ac:dyDescent="0.35">
      <c r="A66">
        <f t="shared" si="2"/>
        <v>63</v>
      </c>
      <c r="B66">
        <v>0.51960944946831655</v>
      </c>
      <c r="C66" s="72">
        <f t="shared" si="3"/>
        <v>0.72247906625779945</v>
      </c>
    </row>
    <row r="67" spans="1:3" x14ac:dyDescent="0.35">
      <c r="A67">
        <f t="shared" si="2"/>
        <v>64</v>
      </c>
      <c r="B67">
        <v>-0.26181646538481168</v>
      </c>
      <c r="C67" s="72">
        <f t="shared" si="3"/>
        <v>-0.46966024517213834</v>
      </c>
    </row>
    <row r="68" spans="1:3" x14ac:dyDescent="0.35">
      <c r="A68">
        <f t="shared" si="2"/>
        <v>65</v>
      </c>
      <c r="B68">
        <v>-0.13816887905714118</v>
      </c>
      <c r="C68" s="72">
        <f t="shared" si="3"/>
        <v>-3.34422929032165E-2</v>
      </c>
    </row>
    <row r="69" spans="1:3" x14ac:dyDescent="0.35">
      <c r="A69">
        <f t="shared" si="2"/>
        <v>66</v>
      </c>
      <c r="B69">
        <v>-9.6577054658605041E-2</v>
      </c>
      <c r="C69" s="72">
        <f t="shared" si="3"/>
        <v>-4.1309503035748568E-2</v>
      </c>
    </row>
    <row r="70" spans="1:3" x14ac:dyDescent="0.35">
      <c r="A70">
        <f t="shared" ref="A70:A133" si="5">A69+1</f>
        <v>67</v>
      </c>
      <c r="B70">
        <v>5.7370588729134829E-2</v>
      </c>
      <c r="C70" s="72">
        <f t="shared" ref="C70:C133" si="6">B70-0.4*B69</f>
        <v>9.6001410592576858E-2</v>
      </c>
    </row>
    <row r="71" spans="1:3" x14ac:dyDescent="0.35">
      <c r="A71">
        <f t="shared" si="5"/>
        <v>68</v>
      </c>
      <c r="B71">
        <v>-0.17149698873547628</v>
      </c>
      <c r="C71" s="72">
        <f t="shared" si="6"/>
        <v>-0.1944452242271302</v>
      </c>
    </row>
    <row r="72" spans="1:3" x14ac:dyDescent="0.35">
      <c r="A72">
        <f t="shared" si="5"/>
        <v>69</v>
      </c>
      <c r="B72">
        <v>-0.26611226014777867</v>
      </c>
      <c r="C72" s="72">
        <f t="shared" si="6"/>
        <v>-0.19751346465358816</v>
      </c>
    </row>
    <row r="73" spans="1:3" x14ac:dyDescent="0.35">
      <c r="A73">
        <f t="shared" si="5"/>
        <v>70</v>
      </c>
      <c r="B73">
        <v>0.18782245949059648</v>
      </c>
      <c r="C73" s="72">
        <f t="shared" si="6"/>
        <v>0.29426736354970795</v>
      </c>
    </row>
    <row r="74" spans="1:3" x14ac:dyDescent="0.35">
      <c r="A74">
        <f t="shared" si="5"/>
        <v>71</v>
      </c>
      <c r="B74">
        <v>0.41543305078380388</v>
      </c>
      <c r="C74" s="72">
        <f t="shared" si="6"/>
        <v>0.34030406698756527</v>
      </c>
    </row>
    <row r="75" spans="1:3" x14ac:dyDescent="0.35">
      <c r="A75">
        <f t="shared" si="5"/>
        <v>72</v>
      </c>
      <c r="B75">
        <v>0.70353176573511123</v>
      </c>
      <c r="C75" s="72">
        <f t="shared" si="6"/>
        <v>0.53735854542158967</v>
      </c>
    </row>
    <row r="76" spans="1:3" x14ac:dyDescent="0.35">
      <c r="A76">
        <f t="shared" si="5"/>
        <v>73</v>
      </c>
      <c r="B76">
        <v>-0.3952458411406039</v>
      </c>
      <c r="C76" s="72">
        <f t="shared" si="6"/>
        <v>-0.67665854743464848</v>
      </c>
    </row>
    <row r="77" spans="1:3" x14ac:dyDescent="0.35">
      <c r="A77">
        <f t="shared" si="5"/>
        <v>74</v>
      </c>
      <c r="B77">
        <v>-0.51964111108785283</v>
      </c>
      <c r="C77" s="72">
        <f t="shared" si="6"/>
        <v>-0.36154277463161122</v>
      </c>
    </row>
    <row r="78" spans="1:3" x14ac:dyDescent="0.35">
      <c r="A78">
        <f t="shared" si="5"/>
        <v>75</v>
      </c>
      <c r="B78">
        <v>0.14942689895794989</v>
      </c>
      <c r="C78" s="72">
        <f t="shared" si="6"/>
        <v>0.35728334339309104</v>
      </c>
    </row>
    <row r="79" spans="1:3" x14ac:dyDescent="0.35">
      <c r="A79">
        <f t="shared" si="5"/>
        <v>76</v>
      </c>
      <c r="B79">
        <v>0.46561919595619389</v>
      </c>
      <c r="C79" s="72">
        <f t="shared" si="6"/>
        <v>0.40584843637301393</v>
      </c>
    </row>
    <row r="80" spans="1:3" x14ac:dyDescent="0.35">
      <c r="A80">
        <f t="shared" si="5"/>
        <v>77</v>
      </c>
      <c r="B80">
        <v>0.28518260718846278</v>
      </c>
      <c r="C80" s="72">
        <f t="shared" si="6"/>
        <v>9.8934928805985201E-2</v>
      </c>
    </row>
    <row r="81" spans="1:3" x14ac:dyDescent="0.35">
      <c r="A81">
        <f t="shared" si="5"/>
        <v>78</v>
      </c>
      <c r="B81">
        <v>-0.79657845002233552</v>
      </c>
      <c r="C81" s="72">
        <f t="shared" si="6"/>
        <v>-0.91065149289772063</v>
      </c>
    </row>
    <row r="82" spans="1:3" x14ac:dyDescent="0.35">
      <c r="A82">
        <f t="shared" si="5"/>
        <v>79</v>
      </c>
      <c r="B82">
        <v>0.29482782543320696</v>
      </c>
      <c r="C82" s="72">
        <f t="shared" si="6"/>
        <v>0.61345920544214116</v>
      </c>
    </row>
    <row r="83" spans="1:3" x14ac:dyDescent="0.35">
      <c r="A83">
        <f t="shared" si="5"/>
        <v>80</v>
      </c>
      <c r="B83">
        <v>-0.45924627456910311</v>
      </c>
      <c r="C83" s="72">
        <f t="shared" si="6"/>
        <v>-0.57717740474238588</v>
      </c>
    </row>
    <row r="84" spans="1:3" x14ac:dyDescent="0.35">
      <c r="A84">
        <f t="shared" si="5"/>
        <v>81</v>
      </c>
      <c r="B84">
        <v>-6.2314962980168344E-2</v>
      </c>
      <c r="C84" s="72">
        <f t="shared" si="6"/>
        <v>0.12138354684747291</v>
      </c>
    </row>
    <row r="85" spans="1:3" x14ac:dyDescent="0.35">
      <c r="A85">
        <f t="shared" si="5"/>
        <v>82</v>
      </c>
      <c r="B85">
        <v>-0.67254194699176517</v>
      </c>
      <c r="C85" s="72">
        <f t="shared" si="6"/>
        <v>-0.64761596179969783</v>
      </c>
    </row>
    <row r="86" spans="1:3" x14ac:dyDescent="0.35">
      <c r="A86">
        <f t="shared" si="5"/>
        <v>83</v>
      </c>
      <c r="B86">
        <v>-0.36329102577914368</v>
      </c>
      <c r="C86" s="72">
        <f t="shared" si="6"/>
        <v>-9.4274246982437582E-2</v>
      </c>
    </row>
    <row r="87" spans="1:3" x14ac:dyDescent="0.35">
      <c r="A87">
        <f t="shared" si="5"/>
        <v>84</v>
      </c>
      <c r="B87">
        <v>0.24488281260528305</v>
      </c>
      <c r="C87" s="72">
        <f t="shared" si="6"/>
        <v>0.39019922291694054</v>
      </c>
    </row>
    <row r="88" spans="1:3" x14ac:dyDescent="0.35">
      <c r="A88">
        <f t="shared" si="5"/>
        <v>85</v>
      </c>
      <c r="B88">
        <v>0.34561225352951408</v>
      </c>
      <c r="C88" s="72">
        <f t="shared" si="6"/>
        <v>0.24765912848740085</v>
      </c>
    </row>
    <row r="89" spans="1:3" x14ac:dyDescent="0.35">
      <c r="A89">
        <f t="shared" si="5"/>
        <v>86</v>
      </c>
      <c r="B89">
        <v>0.40011886698200072</v>
      </c>
      <c r="C89" s="72">
        <f t="shared" si="6"/>
        <v>0.26187396557019504</v>
      </c>
    </row>
    <row r="90" spans="1:3" x14ac:dyDescent="0.35">
      <c r="A90">
        <f t="shared" si="5"/>
        <v>87</v>
      </c>
      <c r="B90">
        <v>-0.10067849717756344</v>
      </c>
      <c r="C90" s="72">
        <f t="shared" si="6"/>
        <v>-0.26072604397036375</v>
      </c>
    </row>
    <row r="91" spans="1:3" x14ac:dyDescent="0.35">
      <c r="A91">
        <f t="shared" si="5"/>
        <v>88</v>
      </c>
      <c r="B91">
        <v>0.24606536316588329</v>
      </c>
      <c r="C91" s="72">
        <f t="shared" si="6"/>
        <v>0.28633676203690867</v>
      </c>
    </row>
    <row r="92" spans="1:3" x14ac:dyDescent="0.35">
      <c r="A92">
        <f t="shared" si="5"/>
        <v>89</v>
      </c>
      <c r="B92">
        <v>0.12154161546185811</v>
      </c>
      <c r="C92" s="72">
        <f t="shared" si="6"/>
        <v>2.3115470195504792E-2</v>
      </c>
    </row>
    <row r="93" spans="1:3" x14ac:dyDescent="0.35">
      <c r="A93">
        <f t="shared" si="5"/>
        <v>90</v>
      </c>
      <c r="B93">
        <v>-0.64956989756150918</v>
      </c>
      <c r="C93" s="72">
        <f t="shared" si="6"/>
        <v>-0.69818654374625244</v>
      </c>
    </row>
    <row r="94" spans="1:3" x14ac:dyDescent="0.35">
      <c r="A94">
        <f t="shared" si="5"/>
        <v>91</v>
      </c>
      <c r="B94">
        <v>0.6011857555182194</v>
      </c>
      <c r="C94" s="72">
        <f t="shared" si="6"/>
        <v>0.86101371454282316</v>
      </c>
    </row>
    <row r="95" spans="1:3" x14ac:dyDescent="0.35">
      <c r="A95">
        <f t="shared" si="5"/>
        <v>92</v>
      </c>
      <c r="B95">
        <v>0.44718607623193701</v>
      </c>
      <c r="C95" s="72">
        <f t="shared" si="6"/>
        <v>0.20671177402464924</v>
      </c>
    </row>
    <row r="96" spans="1:3" x14ac:dyDescent="0.35">
      <c r="A96">
        <f t="shared" si="5"/>
        <v>93</v>
      </c>
      <c r="B96">
        <v>-7.9606486546142483E-2</v>
      </c>
      <c r="C96" s="72">
        <f t="shared" si="6"/>
        <v>-0.25848091703891729</v>
      </c>
    </row>
    <row r="97" spans="1:3" x14ac:dyDescent="0.35">
      <c r="A97">
        <f t="shared" si="5"/>
        <v>94</v>
      </c>
      <c r="B97">
        <v>0.14220353155740251</v>
      </c>
      <c r="C97" s="72">
        <f t="shared" si="6"/>
        <v>0.17404612617585952</v>
      </c>
    </row>
    <row r="98" spans="1:3" x14ac:dyDescent="0.35">
      <c r="A98">
        <f t="shared" si="5"/>
        <v>95</v>
      </c>
      <c r="B98">
        <v>0.77169994942716358</v>
      </c>
      <c r="C98" s="72">
        <f t="shared" si="6"/>
        <v>0.7148185368042026</v>
      </c>
    </row>
    <row r="99" spans="1:3" x14ac:dyDescent="0.35">
      <c r="A99">
        <f t="shared" si="5"/>
        <v>96</v>
      </c>
      <c r="B99">
        <v>-0.12293261993415876</v>
      </c>
      <c r="C99" s="72">
        <f t="shared" si="6"/>
        <v>-0.43161259970502425</v>
      </c>
    </row>
    <row r="100" spans="1:3" x14ac:dyDescent="0.35">
      <c r="A100">
        <f t="shared" si="5"/>
        <v>97</v>
      </c>
      <c r="B100">
        <v>0.46496436932208723</v>
      </c>
      <c r="C100" s="72">
        <f t="shared" si="6"/>
        <v>0.51413741729575069</v>
      </c>
    </row>
    <row r="101" spans="1:3" x14ac:dyDescent="0.35">
      <c r="A101">
        <f t="shared" si="5"/>
        <v>98</v>
      </c>
      <c r="B101">
        <v>0.31875260921576248</v>
      </c>
      <c r="C101" s="72">
        <f t="shared" si="6"/>
        <v>0.13276686148692757</v>
      </c>
    </row>
    <row r="102" spans="1:3" x14ac:dyDescent="0.35">
      <c r="A102">
        <f t="shared" si="5"/>
        <v>99</v>
      </c>
      <c r="B102">
        <v>-0.48810125234772345</v>
      </c>
      <c r="C102" s="72">
        <f t="shared" si="6"/>
        <v>-0.61560229603402838</v>
      </c>
    </row>
    <row r="103" spans="1:3" x14ac:dyDescent="0.35">
      <c r="A103">
        <f t="shared" si="5"/>
        <v>100</v>
      </c>
      <c r="B103">
        <v>-0.25274879361122082</v>
      </c>
      <c r="C103" s="72">
        <f t="shared" si="6"/>
        <v>-5.7508292672131422E-2</v>
      </c>
    </row>
    <row r="104" spans="1:3" x14ac:dyDescent="0.35">
      <c r="A104">
        <f t="shared" si="5"/>
        <v>101</v>
      </c>
      <c r="B104">
        <v>0.54117532652533107</v>
      </c>
      <c r="C104" s="72">
        <f t="shared" si="6"/>
        <v>0.64227484396981938</v>
      </c>
    </row>
    <row r="105" spans="1:3" x14ac:dyDescent="0.35">
      <c r="A105">
        <f t="shared" si="5"/>
        <v>102</v>
      </c>
      <c r="B105">
        <v>0.41588929488972975</v>
      </c>
      <c r="C105" s="72">
        <f t="shared" si="6"/>
        <v>0.19941916427959733</v>
      </c>
    </row>
    <row r="106" spans="1:3" x14ac:dyDescent="0.35">
      <c r="A106">
        <f t="shared" si="5"/>
        <v>103</v>
      </c>
      <c r="B106">
        <v>0.16041617374482156</v>
      </c>
      <c r="C106" s="72">
        <f t="shared" si="6"/>
        <v>-5.9395442110703467E-3</v>
      </c>
    </row>
    <row r="107" spans="1:3" x14ac:dyDescent="0.35">
      <c r="A107">
        <f t="shared" si="5"/>
        <v>104</v>
      </c>
      <c r="B107">
        <v>-1.3475817579209382</v>
      </c>
      <c r="C107" s="72">
        <f t="shared" si="6"/>
        <v>-1.4117482274188669</v>
      </c>
    </row>
    <row r="108" spans="1:3" x14ac:dyDescent="0.35">
      <c r="A108">
        <f t="shared" si="5"/>
        <v>105</v>
      </c>
      <c r="B108">
        <v>0.27028380803135105</v>
      </c>
      <c r="C108" s="72">
        <f t="shared" si="6"/>
        <v>0.80931651119972625</v>
      </c>
    </row>
    <row r="109" spans="1:3" x14ac:dyDescent="0.35">
      <c r="A109">
        <f t="shared" si="5"/>
        <v>106</v>
      </c>
      <c r="B109">
        <v>-0.36664722071372097</v>
      </c>
      <c r="C109" s="72">
        <f t="shared" si="6"/>
        <v>-0.47476074392626139</v>
      </c>
    </row>
    <row r="110" spans="1:3" x14ac:dyDescent="0.35">
      <c r="A110">
        <f t="shared" si="5"/>
        <v>107</v>
      </c>
      <c r="B110">
        <v>0.3629695180051602</v>
      </c>
      <c r="C110" s="72">
        <f t="shared" si="6"/>
        <v>0.50962840629064865</v>
      </c>
    </row>
    <row r="111" spans="1:3" x14ac:dyDescent="0.35">
      <c r="A111">
        <f t="shared" si="5"/>
        <v>108</v>
      </c>
      <c r="B111">
        <v>3.405456366832614E-2</v>
      </c>
      <c r="C111" s="72">
        <f t="shared" si="6"/>
        <v>-0.11113324353373795</v>
      </c>
    </row>
    <row r="112" spans="1:3" x14ac:dyDescent="0.35">
      <c r="A112">
        <f t="shared" si="5"/>
        <v>109</v>
      </c>
      <c r="B112">
        <v>0.22472251974334059</v>
      </c>
      <c r="C112" s="72">
        <f t="shared" si="6"/>
        <v>0.21110069427601014</v>
      </c>
    </row>
    <row r="113" spans="1:3" x14ac:dyDescent="0.35">
      <c r="A113">
        <f t="shared" si="5"/>
        <v>110</v>
      </c>
      <c r="B113">
        <v>0.2383581719603089</v>
      </c>
      <c r="C113" s="72">
        <f t="shared" si="6"/>
        <v>0.14846916406297267</v>
      </c>
    </row>
    <row r="114" spans="1:3" x14ac:dyDescent="0.35">
      <c r="A114">
        <f t="shared" si="5"/>
        <v>111</v>
      </c>
      <c r="B114">
        <v>2.9018813129743858E-3</v>
      </c>
      <c r="C114" s="72">
        <f t="shared" si="6"/>
        <v>-9.2441387471149175E-2</v>
      </c>
    </row>
    <row r="115" spans="1:3" x14ac:dyDescent="0.35">
      <c r="A115">
        <f t="shared" si="5"/>
        <v>112</v>
      </c>
      <c r="B115">
        <v>-7.0164403849902052E-2</v>
      </c>
      <c r="C115" s="72">
        <f t="shared" si="6"/>
        <v>-7.1325156375091806E-2</v>
      </c>
    </row>
    <row r="116" spans="1:3" x14ac:dyDescent="0.35">
      <c r="A116">
        <f t="shared" si="5"/>
        <v>113</v>
      </c>
      <c r="B116">
        <v>-0.21069309060190561</v>
      </c>
      <c r="C116" s="72">
        <f t="shared" si="6"/>
        <v>-0.18262732906194479</v>
      </c>
    </row>
    <row r="117" spans="1:3" x14ac:dyDescent="0.35">
      <c r="A117">
        <f t="shared" si="5"/>
        <v>114</v>
      </c>
      <c r="B117">
        <v>-0.47693066897558539</v>
      </c>
      <c r="C117" s="72">
        <f t="shared" si="6"/>
        <v>-0.39265343273482312</v>
      </c>
    </row>
    <row r="118" spans="1:3" x14ac:dyDescent="0.35">
      <c r="A118">
        <f t="shared" si="5"/>
        <v>115</v>
      </c>
      <c r="B118">
        <v>-1.0820146542971813E-2</v>
      </c>
      <c r="C118" s="72">
        <f t="shared" si="6"/>
        <v>0.17995212104726235</v>
      </c>
    </row>
    <row r="119" spans="1:3" x14ac:dyDescent="0.35">
      <c r="A119">
        <f t="shared" si="5"/>
        <v>116</v>
      </c>
      <c r="B119">
        <v>-0.53806306600499088</v>
      </c>
      <c r="C119" s="72">
        <f t="shared" si="6"/>
        <v>-0.53373500738780211</v>
      </c>
    </row>
    <row r="120" spans="1:3" x14ac:dyDescent="0.35">
      <c r="A120">
        <f t="shared" si="5"/>
        <v>117</v>
      </c>
      <c r="B120">
        <v>-0.37680201240903044</v>
      </c>
      <c r="C120" s="72">
        <f t="shared" si="6"/>
        <v>-0.16157678600703407</v>
      </c>
    </row>
    <row r="121" spans="1:3" x14ac:dyDescent="0.35">
      <c r="A121">
        <f t="shared" si="5"/>
        <v>118</v>
      </c>
      <c r="B121">
        <v>6.051836334584762E-2</v>
      </c>
      <c r="C121" s="72">
        <f t="shared" si="6"/>
        <v>0.2112391683094598</v>
      </c>
    </row>
    <row r="122" spans="1:3" x14ac:dyDescent="0.35">
      <c r="A122">
        <f t="shared" si="5"/>
        <v>119</v>
      </c>
      <c r="B122">
        <v>0.908568246574603</v>
      </c>
      <c r="C122" s="72">
        <f t="shared" si="6"/>
        <v>0.88436090123626399</v>
      </c>
    </row>
    <row r="123" spans="1:3" x14ac:dyDescent="0.35">
      <c r="A123">
        <f t="shared" si="5"/>
        <v>120</v>
      </c>
      <c r="B123">
        <v>-0.36496444622151897</v>
      </c>
      <c r="C123" s="72">
        <f t="shared" si="6"/>
        <v>-0.72839174485136016</v>
      </c>
    </row>
    <row r="124" spans="1:3" x14ac:dyDescent="0.35">
      <c r="A124">
        <f t="shared" si="5"/>
        <v>121</v>
      </c>
      <c r="B124">
        <v>-0.46851595528866929</v>
      </c>
      <c r="C124" s="72">
        <f t="shared" si="6"/>
        <v>-0.32253017680006169</v>
      </c>
    </row>
    <row r="125" spans="1:3" x14ac:dyDescent="0.35">
      <c r="A125">
        <f t="shared" si="5"/>
        <v>122</v>
      </c>
      <c r="B125">
        <v>1.0250626756055023</v>
      </c>
      <c r="C125" s="72">
        <f t="shared" si="6"/>
        <v>1.21246905772097</v>
      </c>
    </row>
    <row r="126" spans="1:3" x14ac:dyDescent="0.35">
      <c r="A126">
        <f t="shared" si="5"/>
        <v>123</v>
      </c>
      <c r="B126">
        <v>-0.12821570689953871</v>
      </c>
      <c r="C126" s="72">
        <f t="shared" si="6"/>
        <v>-0.53824077714173968</v>
      </c>
    </row>
    <row r="127" spans="1:3" x14ac:dyDescent="0.35">
      <c r="A127">
        <f t="shared" si="5"/>
        <v>124</v>
      </c>
      <c r="B127">
        <v>0.1484634817449306</v>
      </c>
      <c r="C127" s="72">
        <f t="shared" si="6"/>
        <v>0.19974976450474607</v>
      </c>
    </row>
    <row r="128" spans="1:3" x14ac:dyDescent="0.35">
      <c r="A128">
        <f t="shared" si="5"/>
        <v>125</v>
      </c>
      <c r="B128">
        <v>0.79443782802329266</v>
      </c>
      <c r="C128" s="72">
        <f t="shared" si="6"/>
        <v>0.73505243532532039</v>
      </c>
    </row>
    <row r="129" spans="1:3" x14ac:dyDescent="0.35">
      <c r="A129">
        <f t="shared" si="5"/>
        <v>126</v>
      </c>
      <c r="B129">
        <v>-0.38803213955391319</v>
      </c>
      <c r="C129" s="72">
        <f t="shared" si="6"/>
        <v>-0.70580727076323035</v>
      </c>
    </row>
    <row r="130" spans="1:3" x14ac:dyDescent="0.35">
      <c r="A130">
        <f t="shared" si="5"/>
        <v>127</v>
      </c>
      <c r="B130">
        <v>-1.3998932143015734</v>
      </c>
      <c r="C130" s="72">
        <f t="shared" si="6"/>
        <v>-1.2446803584800081</v>
      </c>
    </row>
    <row r="131" spans="1:3" x14ac:dyDescent="0.35">
      <c r="A131">
        <f t="shared" si="5"/>
        <v>128</v>
      </c>
      <c r="B131">
        <v>-0.20867478752123325</v>
      </c>
      <c r="C131" s="72">
        <f t="shared" si="6"/>
        <v>0.35128249819939616</v>
      </c>
    </row>
    <row r="132" spans="1:3" x14ac:dyDescent="0.35">
      <c r="A132">
        <f t="shared" si="5"/>
        <v>129</v>
      </c>
      <c r="B132">
        <v>-5.158736597134353E-2</v>
      </c>
      <c r="C132" s="72">
        <f t="shared" si="6"/>
        <v>3.1882549037149779E-2</v>
      </c>
    </row>
    <row r="133" spans="1:3" x14ac:dyDescent="0.35">
      <c r="A133">
        <f t="shared" si="5"/>
        <v>130</v>
      </c>
      <c r="B133">
        <v>-2.8380451480331949E-2</v>
      </c>
      <c r="C133" s="72">
        <f t="shared" si="6"/>
        <v>-7.745505091794537E-3</v>
      </c>
    </row>
    <row r="134" spans="1:3" x14ac:dyDescent="0.35">
      <c r="A134">
        <f t="shared" ref="A134:A197" si="7">A133+1</f>
        <v>131</v>
      </c>
      <c r="B134">
        <v>-5.0483662879211119E-2</v>
      </c>
      <c r="C134" s="72">
        <f t="shared" ref="C134:C197" si="8">B134-0.4*B133</f>
        <v>-3.9131482287078342E-2</v>
      </c>
    </row>
    <row r="135" spans="1:3" x14ac:dyDescent="0.35">
      <c r="A135">
        <f t="shared" si="7"/>
        <v>132</v>
      </c>
      <c r="B135">
        <v>0.40466650426540052</v>
      </c>
      <c r="C135" s="72">
        <f t="shared" si="8"/>
        <v>0.42485996941708498</v>
      </c>
    </row>
    <row r="136" spans="1:3" x14ac:dyDescent="0.35">
      <c r="A136">
        <f t="shared" si="7"/>
        <v>133</v>
      </c>
      <c r="B136">
        <v>0.52315476793853843</v>
      </c>
      <c r="C136" s="72">
        <f t="shared" si="8"/>
        <v>0.36128816623237825</v>
      </c>
    </row>
    <row r="137" spans="1:3" x14ac:dyDescent="0.35">
      <c r="A137">
        <f t="shared" si="7"/>
        <v>134</v>
      </c>
      <c r="B137">
        <v>0.46996811860365112</v>
      </c>
      <c r="C137" s="72">
        <f t="shared" si="8"/>
        <v>0.26070621142823575</v>
      </c>
    </row>
    <row r="138" spans="1:3" x14ac:dyDescent="0.35">
      <c r="A138">
        <f t="shared" si="7"/>
        <v>135</v>
      </c>
      <c r="B138">
        <v>-0.3959891061252318</v>
      </c>
      <c r="C138" s="72">
        <f t="shared" si="8"/>
        <v>-0.5839763535666922</v>
      </c>
    </row>
    <row r="139" spans="1:3" x14ac:dyDescent="0.35">
      <c r="A139">
        <f t="shared" si="7"/>
        <v>136</v>
      </c>
      <c r="B139">
        <v>-0.17505628644392887</v>
      </c>
      <c r="C139" s="72">
        <f t="shared" si="8"/>
        <v>-1.6660643993836127E-2</v>
      </c>
    </row>
    <row r="140" spans="1:3" x14ac:dyDescent="0.35">
      <c r="A140">
        <f t="shared" si="7"/>
        <v>137</v>
      </c>
      <c r="B140">
        <v>-0.14587797149207959</v>
      </c>
      <c r="C140" s="72">
        <f t="shared" si="8"/>
        <v>-7.585545691450804E-2</v>
      </c>
    </row>
    <row r="141" spans="1:3" x14ac:dyDescent="0.35">
      <c r="A141">
        <f t="shared" si="7"/>
        <v>138</v>
      </c>
      <c r="B141">
        <v>7.4800791128076916E-2</v>
      </c>
      <c r="C141" s="72">
        <f t="shared" si="8"/>
        <v>0.13315197972490875</v>
      </c>
    </row>
    <row r="142" spans="1:3" x14ac:dyDescent="0.35">
      <c r="A142">
        <f t="shared" si="7"/>
        <v>139</v>
      </c>
      <c r="B142">
        <v>-4.2638486055452611E-2</v>
      </c>
      <c r="C142" s="72">
        <f t="shared" si="8"/>
        <v>-7.2558802506683381E-2</v>
      </c>
    </row>
    <row r="143" spans="1:3" x14ac:dyDescent="0.35">
      <c r="A143">
        <f t="shared" si="7"/>
        <v>140</v>
      </c>
      <c r="B143">
        <v>-0.71818931431281108</v>
      </c>
      <c r="C143" s="72">
        <f t="shared" si="8"/>
        <v>-0.70113391989063001</v>
      </c>
    </row>
    <row r="144" spans="1:3" x14ac:dyDescent="0.35">
      <c r="A144">
        <f t="shared" si="7"/>
        <v>141</v>
      </c>
      <c r="B144">
        <v>0.24957308195370337</v>
      </c>
      <c r="C144" s="72">
        <f t="shared" si="8"/>
        <v>0.53684880767882781</v>
      </c>
    </row>
    <row r="145" spans="1:3" x14ac:dyDescent="0.35">
      <c r="A145">
        <f t="shared" si="7"/>
        <v>142</v>
      </c>
      <c r="B145">
        <v>-0.91751252484688361</v>
      </c>
      <c r="C145" s="72">
        <f t="shared" si="8"/>
        <v>-1.017341757628365</v>
      </c>
    </row>
    <row r="146" spans="1:3" x14ac:dyDescent="0.35">
      <c r="A146">
        <f t="shared" si="7"/>
        <v>143</v>
      </c>
      <c r="B146">
        <v>2.5075431761081166E-2</v>
      </c>
      <c r="C146" s="72">
        <f t="shared" si="8"/>
        <v>0.39208044169983464</v>
      </c>
    </row>
    <row r="147" spans="1:3" x14ac:dyDescent="0.35">
      <c r="A147">
        <f t="shared" si="7"/>
        <v>144</v>
      </c>
      <c r="B147">
        <v>0.25095282799290247</v>
      </c>
      <c r="C147" s="72">
        <f t="shared" si="8"/>
        <v>0.24092265528847001</v>
      </c>
    </row>
    <row r="148" spans="1:3" x14ac:dyDescent="0.35">
      <c r="A148">
        <f t="shared" si="7"/>
        <v>145</v>
      </c>
      <c r="B148">
        <v>-0.13079037606187624</v>
      </c>
      <c r="C148" s="72">
        <f t="shared" si="8"/>
        <v>-0.23117150725903723</v>
      </c>
    </row>
    <row r="149" spans="1:3" x14ac:dyDescent="0.35">
      <c r="A149">
        <f t="shared" si="7"/>
        <v>146</v>
      </c>
      <c r="B149">
        <v>3.9347252655179736E-2</v>
      </c>
      <c r="C149" s="72">
        <f t="shared" si="8"/>
        <v>9.1663403079930234E-2</v>
      </c>
    </row>
    <row r="150" spans="1:3" x14ac:dyDescent="0.35">
      <c r="A150">
        <f t="shared" si="7"/>
        <v>147</v>
      </c>
      <c r="B150">
        <v>-0.24956702482861567</v>
      </c>
      <c r="C150" s="72">
        <f t="shared" si="8"/>
        <v>-0.26530592589068758</v>
      </c>
    </row>
    <row r="151" spans="1:3" x14ac:dyDescent="0.35">
      <c r="A151">
        <f t="shared" si="7"/>
        <v>148</v>
      </c>
      <c r="B151">
        <v>-4.3466069434543744E-2</v>
      </c>
      <c r="C151" s="72">
        <f t="shared" si="8"/>
        <v>5.6360740496902526E-2</v>
      </c>
    </row>
    <row r="152" spans="1:3" x14ac:dyDescent="0.35">
      <c r="A152">
        <f t="shared" si="7"/>
        <v>149</v>
      </c>
      <c r="B152">
        <v>-9.4167699304106664E-2</v>
      </c>
      <c r="C152" s="72">
        <f t="shared" si="8"/>
        <v>-7.6781271530289158E-2</v>
      </c>
    </row>
    <row r="153" spans="1:3" x14ac:dyDescent="0.35">
      <c r="A153">
        <f t="shared" si="7"/>
        <v>150</v>
      </c>
      <c r="B153">
        <v>1.0789945199254356</v>
      </c>
      <c r="C153" s="72">
        <f t="shared" si="8"/>
        <v>1.1166615996470783</v>
      </c>
    </row>
    <row r="154" spans="1:3" x14ac:dyDescent="0.35">
      <c r="A154">
        <f t="shared" si="7"/>
        <v>151</v>
      </c>
      <c r="B154">
        <v>0.19457012465328444</v>
      </c>
      <c r="C154" s="72">
        <f t="shared" si="8"/>
        <v>-0.23702768331688984</v>
      </c>
    </row>
    <row r="155" spans="1:3" x14ac:dyDescent="0.35">
      <c r="A155">
        <f t="shared" si="7"/>
        <v>152</v>
      </c>
      <c r="B155">
        <v>-0.93304167847339614</v>
      </c>
      <c r="C155" s="72">
        <f t="shared" si="8"/>
        <v>-1.0108697283347099</v>
      </c>
    </row>
    <row r="156" spans="1:3" x14ac:dyDescent="0.35">
      <c r="A156">
        <f t="shared" si="7"/>
        <v>153</v>
      </c>
      <c r="B156">
        <v>-0.16706237349180128</v>
      </c>
      <c r="C156" s="72">
        <f t="shared" si="8"/>
        <v>0.20615429789755721</v>
      </c>
    </row>
    <row r="157" spans="1:3" x14ac:dyDescent="0.35">
      <c r="A157">
        <f t="shared" si="7"/>
        <v>154</v>
      </c>
      <c r="B157">
        <v>0.25997599923618075</v>
      </c>
      <c r="C157" s="72">
        <f t="shared" si="8"/>
        <v>0.32680094863290127</v>
      </c>
    </row>
    <row r="158" spans="1:3" x14ac:dyDescent="0.35">
      <c r="A158">
        <f t="shared" si="7"/>
        <v>155</v>
      </c>
      <c r="B158">
        <v>-0.66600962106369432</v>
      </c>
      <c r="C158" s="72">
        <f t="shared" si="8"/>
        <v>-0.77000002075816665</v>
      </c>
    </row>
    <row r="159" spans="1:3" x14ac:dyDescent="0.35">
      <c r="A159">
        <f t="shared" si="7"/>
        <v>156</v>
      </c>
      <c r="B159">
        <v>0.11797693608631241</v>
      </c>
      <c r="C159" s="72">
        <f t="shared" si="8"/>
        <v>0.38438078451179014</v>
      </c>
    </row>
    <row r="160" spans="1:3" x14ac:dyDescent="0.35">
      <c r="A160">
        <f t="shared" si="7"/>
        <v>157</v>
      </c>
      <c r="B160">
        <v>-0.38200653711381494</v>
      </c>
      <c r="C160" s="72">
        <f t="shared" si="8"/>
        <v>-0.4291973115483399</v>
      </c>
    </row>
    <row r="161" spans="1:3" x14ac:dyDescent="0.35">
      <c r="A161">
        <f t="shared" si="7"/>
        <v>158</v>
      </c>
      <c r="B161">
        <v>0.65451858323512313</v>
      </c>
      <c r="C161" s="72">
        <f t="shared" si="8"/>
        <v>0.80732119808064917</v>
      </c>
    </row>
    <row r="162" spans="1:3" x14ac:dyDescent="0.35">
      <c r="A162">
        <f t="shared" si="7"/>
        <v>159</v>
      </c>
      <c r="B162">
        <v>0.31230951248154232</v>
      </c>
      <c r="C162" s="72">
        <f t="shared" si="8"/>
        <v>5.0502079187493054E-2</v>
      </c>
    </row>
    <row r="163" spans="1:3" x14ac:dyDescent="0.35">
      <c r="A163">
        <f t="shared" si="7"/>
        <v>160</v>
      </c>
      <c r="B163">
        <v>-0.11414619211828736</v>
      </c>
      <c r="C163" s="72">
        <f t="shared" si="8"/>
        <v>-0.23906999711090429</v>
      </c>
    </row>
    <row r="164" spans="1:3" x14ac:dyDescent="0.35">
      <c r="A164">
        <f t="shared" si="7"/>
        <v>161</v>
      </c>
      <c r="B164">
        <v>-0.45830678053502522</v>
      </c>
      <c r="C164" s="72">
        <f t="shared" si="8"/>
        <v>-0.41264830368771027</v>
      </c>
    </row>
    <row r="165" spans="1:3" x14ac:dyDescent="0.35">
      <c r="A165">
        <f t="shared" si="7"/>
        <v>162</v>
      </c>
      <c r="B165">
        <v>6.3411234207975328E-2</v>
      </c>
      <c r="C165" s="72">
        <f t="shared" si="8"/>
        <v>0.24673394642198543</v>
      </c>
    </row>
    <row r="166" spans="1:3" x14ac:dyDescent="0.35">
      <c r="A166">
        <f t="shared" si="7"/>
        <v>163</v>
      </c>
      <c r="B166">
        <v>0.50173549649751492</v>
      </c>
      <c r="C166" s="72">
        <f t="shared" si="8"/>
        <v>0.47637100281432476</v>
      </c>
    </row>
    <row r="167" spans="1:3" x14ac:dyDescent="0.35">
      <c r="A167">
        <f t="shared" si="7"/>
        <v>164</v>
      </c>
      <c r="B167">
        <v>-4.7878140516434735E-2</v>
      </c>
      <c r="C167" s="72">
        <f t="shared" si="8"/>
        <v>-0.24857233911544072</v>
      </c>
    </row>
    <row r="168" spans="1:3" x14ac:dyDescent="0.35">
      <c r="A168">
        <f t="shared" si="7"/>
        <v>165</v>
      </c>
      <c r="B168">
        <v>0.14014491224633679</v>
      </c>
      <c r="C168" s="72">
        <f t="shared" si="8"/>
        <v>0.1592961684529107</v>
      </c>
    </row>
    <row r="169" spans="1:3" x14ac:dyDescent="0.35">
      <c r="A169">
        <f t="shared" si="7"/>
        <v>166</v>
      </c>
      <c r="B169">
        <v>-0.22094875069833905</v>
      </c>
      <c r="C169" s="72">
        <f t="shared" si="8"/>
        <v>-0.27700671559687379</v>
      </c>
    </row>
    <row r="170" spans="1:3" x14ac:dyDescent="0.35">
      <c r="A170">
        <f t="shared" si="7"/>
        <v>167</v>
      </c>
      <c r="B170">
        <v>0.60190831699301106</v>
      </c>
      <c r="C170" s="72">
        <f t="shared" si="8"/>
        <v>0.69028781727234667</v>
      </c>
    </row>
    <row r="171" spans="1:3" x14ac:dyDescent="0.35">
      <c r="A171">
        <f t="shared" si="7"/>
        <v>168</v>
      </c>
      <c r="B171">
        <v>0.57112113782875606</v>
      </c>
      <c r="C171" s="72">
        <f t="shared" si="8"/>
        <v>0.3303578110315516</v>
      </c>
    </row>
    <row r="172" spans="1:3" x14ac:dyDescent="0.35">
      <c r="A172">
        <f t="shared" si="7"/>
        <v>169</v>
      </c>
      <c r="B172">
        <v>0.42935318255318633</v>
      </c>
      <c r="C172" s="72">
        <f t="shared" si="8"/>
        <v>0.20090472742168389</v>
      </c>
    </row>
    <row r="173" spans="1:3" x14ac:dyDescent="0.35">
      <c r="A173">
        <f t="shared" si="7"/>
        <v>170</v>
      </c>
      <c r="B173">
        <v>3.2284282684139576E-2</v>
      </c>
      <c r="C173" s="72">
        <f t="shared" si="8"/>
        <v>-0.13945699033713496</v>
      </c>
    </row>
    <row r="174" spans="1:3" x14ac:dyDescent="0.35">
      <c r="A174">
        <f t="shared" si="7"/>
        <v>171</v>
      </c>
      <c r="B174">
        <v>0.13032847091512376</v>
      </c>
      <c r="C174" s="72">
        <f t="shared" si="8"/>
        <v>0.11741475784146793</v>
      </c>
    </row>
    <row r="175" spans="1:3" x14ac:dyDescent="0.35">
      <c r="A175">
        <f t="shared" si="7"/>
        <v>172</v>
      </c>
      <c r="B175">
        <v>0.55577904583932602</v>
      </c>
      <c r="C175" s="72">
        <f t="shared" si="8"/>
        <v>0.50364765747327656</v>
      </c>
    </row>
    <row r="176" spans="1:3" x14ac:dyDescent="0.35">
      <c r="A176">
        <f t="shared" si="7"/>
        <v>173</v>
      </c>
      <c r="B176">
        <v>-0.25846732041896892</v>
      </c>
      <c r="C176" s="72">
        <f t="shared" si="8"/>
        <v>-0.48077893875469935</v>
      </c>
    </row>
    <row r="177" spans="1:3" x14ac:dyDescent="0.35">
      <c r="A177">
        <f t="shared" si="7"/>
        <v>174</v>
      </c>
      <c r="B177">
        <v>0.27306064744471714</v>
      </c>
      <c r="C177" s="72">
        <f t="shared" si="8"/>
        <v>0.37644757561230469</v>
      </c>
    </row>
    <row r="178" spans="1:3" x14ac:dyDescent="0.35">
      <c r="A178">
        <f t="shared" si="7"/>
        <v>175</v>
      </c>
      <c r="B178">
        <v>-0.8071299863914666</v>
      </c>
      <c r="C178" s="72">
        <f t="shared" si="8"/>
        <v>-0.9163542453693535</v>
      </c>
    </row>
    <row r="179" spans="1:3" x14ac:dyDescent="0.35">
      <c r="A179">
        <f t="shared" si="7"/>
        <v>176</v>
      </c>
      <c r="B179">
        <v>-9.080471442227743E-2</v>
      </c>
      <c r="C179" s="72">
        <f t="shared" si="8"/>
        <v>0.2320472801343092</v>
      </c>
    </row>
    <row r="180" spans="1:3" x14ac:dyDescent="0.35">
      <c r="A180">
        <f t="shared" si="7"/>
        <v>177</v>
      </c>
      <c r="B180">
        <v>0.78479208772105447</v>
      </c>
      <c r="C180" s="72">
        <f t="shared" si="8"/>
        <v>0.8211139734899654</v>
      </c>
    </row>
    <row r="181" spans="1:3" x14ac:dyDescent="0.35">
      <c r="A181">
        <f t="shared" si="7"/>
        <v>178</v>
      </c>
      <c r="B181">
        <v>-0.13451947923937232</v>
      </c>
      <c r="C181" s="72">
        <f t="shared" si="8"/>
        <v>-0.44843631432779418</v>
      </c>
    </row>
    <row r="182" spans="1:3" x14ac:dyDescent="0.35">
      <c r="A182">
        <f t="shared" si="7"/>
        <v>179</v>
      </c>
      <c r="B182">
        <v>0.12925003906509253</v>
      </c>
      <c r="C182" s="72">
        <f t="shared" si="8"/>
        <v>0.18305783076084145</v>
      </c>
    </row>
    <row r="183" spans="1:3" x14ac:dyDescent="0.35">
      <c r="A183">
        <f t="shared" si="7"/>
        <v>180</v>
      </c>
      <c r="B183">
        <v>-0.39138319355115314</v>
      </c>
      <c r="C183" s="72">
        <f t="shared" si="8"/>
        <v>-0.44308320917719013</v>
      </c>
    </row>
    <row r="184" spans="1:3" x14ac:dyDescent="0.35">
      <c r="A184">
        <f t="shared" si="7"/>
        <v>181</v>
      </c>
      <c r="B184">
        <v>0.99268646809453487</v>
      </c>
      <c r="C184" s="72">
        <f t="shared" si="8"/>
        <v>1.1492397455149961</v>
      </c>
    </row>
    <row r="185" spans="1:3" x14ac:dyDescent="0.35">
      <c r="A185">
        <f t="shared" si="7"/>
        <v>182</v>
      </c>
      <c r="B185">
        <v>1.1045485291507553</v>
      </c>
      <c r="C185" s="72">
        <f t="shared" si="8"/>
        <v>0.70747394191294133</v>
      </c>
    </row>
    <row r="186" spans="1:3" x14ac:dyDescent="0.35">
      <c r="A186">
        <f t="shared" si="7"/>
        <v>183</v>
      </c>
      <c r="B186">
        <v>-0.34636077127091497</v>
      </c>
      <c r="C186" s="72">
        <f t="shared" si="8"/>
        <v>-0.78818018293121717</v>
      </c>
    </row>
    <row r="187" spans="1:3" x14ac:dyDescent="0.35">
      <c r="A187">
        <f t="shared" si="7"/>
        <v>184</v>
      </c>
      <c r="B187">
        <v>-4.2853859404839843E-2</v>
      </c>
      <c r="C187" s="72">
        <f t="shared" si="8"/>
        <v>9.5690449103526143E-2</v>
      </c>
    </row>
    <row r="188" spans="1:3" x14ac:dyDescent="0.35">
      <c r="A188">
        <f t="shared" si="7"/>
        <v>185</v>
      </c>
      <c r="B188">
        <v>0.82486687850577067</v>
      </c>
      <c r="C188" s="72">
        <f t="shared" si="8"/>
        <v>0.84200842226770656</v>
      </c>
    </row>
    <row r="189" spans="1:3" x14ac:dyDescent="0.35">
      <c r="A189">
        <f t="shared" si="7"/>
        <v>186</v>
      </c>
      <c r="B189">
        <v>0.26146176427923473</v>
      </c>
      <c r="C189" s="72">
        <f t="shared" si="8"/>
        <v>-6.8484987123073549E-2</v>
      </c>
    </row>
    <row r="190" spans="1:3" x14ac:dyDescent="0.35">
      <c r="A190">
        <f t="shared" si="7"/>
        <v>187</v>
      </c>
      <c r="B190">
        <v>-0.35460608851308539</v>
      </c>
      <c r="C190" s="72">
        <f t="shared" si="8"/>
        <v>-0.45919079422477926</v>
      </c>
    </row>
    <row r="191" spans="1:3" x14ac:dyDescent="0.35">
      <c r="A191">
        <f t="shared" si="7"/>
        <v>188</v>
      </c>
      <c r="B191">
        <v>-0.26876158315295717</v>
      </c>
      <c r="C191" s="72">
        <f t="shared" si="8"/>
        <v>-0.126919147747723</v>
      </c>
    </row>
    <row r="192" spans="1:3" x14ac:dyDescent="0.35">
      <c r="A192">
        <f t="shared" si="7"/>
        <v>189</v>
      </c>
      <c r="B192">
        <v>0.25166944374552108</v>
      </c>
      <c r="C192" s="72">
        <f t="shared" si="8"/>
        <v>0.35917407700670395</v>
      </c>
    </row>
    <row r="193" spans="1:3" x14ac:dyDescent="0.35">
      <c r="A193">
        <f t="shared" si="7"/>
        <v>190</v>
      </c>
      <c r="B193">
        <v>0.43286071337948057</v>
      </c>
      <c r="C193" s="72">
        <f t="shared" si="8"/>
        <v>0.33219293588127213</v>
      </c>
    </row>
    <row r="194" spans="1:3" x14ac:dyDescent="0.35">
      <c r="A194">
        <f t="shared" si="7"/>
        <v>191</v>
      </c>
      <c r="B194">
        <v>0.45413848023264791</v>
      </c>
      <c r="C194" s="72">
        <f t="shared" si="8"/>
        <v>0.28099419488085564</v>
      </c>
    </row>
    <row r="195" spans="1:3" x14ac:dyDescent="0.35">
      <c r="A195">
        <f t="shared" si="7"/>
        <v>192</v>
      </c>
      <c r="B195">
        <v>-1.3324825042722805E-2</v>
      </c>
      <c r="C195" s="72">
        <f t="shared" si="8"/>
        <v>-0.19498021713578198</v>
      </c>
    </row>
    <row r="196" spans="1:3" x14ac:dyDescent="0.35">
      <c r="A196">
        <f t="shared" si="7"/>
        <v>193</v>
      </c>
      <c r="B196">
        <v>-0.24539323159004911</v>
      </c>
      <c r="C196" s="72">
        <f t="shared" si="8"/>
        <v>-0.24006330157295999</v>
      </c>
    </row>
    <row r="197" spans="1:3" x14ac:dyDescent="0.35">
      <c r="A197">
        <f t="shared" si="7"/>
        <v>194</v>
      </c>
      <c r="B197">
        <v>3.6119098172010637E-2</v>
      </c>
      <c r="C197" s="72">
        <f t="shared" si="8"/>
        <v>0.13427639080803028</v>
      </c>
    </row>
    <row r="198" spans="1:3" x14ac:dyDescent="0.35">
      <c r="A198">
        <f t="shared" ref="A198:A203" si="9">A197+1</f>
        <v>195</v>
      </c>
      <c r="B198">
        <v>0.30217869836325728</v>
      </c>
      <c r="C198" s="72">
        <f t="shared" ref="C198:C203" si="10">B198-0.4*B197</f>
        <v>0.28773105909445301</v>
      </c>
    </row>
    <row r="199" spans="1:3" x14ac:dyDescent="0.35">
      <c r="A199">
        <f t="shared" si="9"/>
        <v>196</v>
      </c>
      <c r="B199">
        <v>0.2364922796416036</v>
      </c>
      <c r="C199" s="72">
        <f t="shared" si="10"/>
        <v>0.11562080029630069</v>
      </c>
    </row>
    <row r="200" spans="1:3" x14ac:dyDescent="0.35">
      <c r="A200">
        <f t="shared" si="9"/>
        <v>197</v>
      </c>
      <c r="B200">
        <v>-0.70478339276739954</v>
      </c>
      <c r="C200" s="72">
        <f t="shared" si="10"/>
        <v>-0.79938030462404097</v>
      </c>
    </row>
    <row r="201" spans="1:3" x14ac:dyDescent="0.35">
      <c r="A201">
        <f t="shared" si="9"/>
        <v>198</v>
      </c>
      <c r="B201">
        <v>-0.30303035315709964</v>
      </c>
      <c r="C201" s="72">
        <f t="shared" si="10"/>
        <v>-2.1116996050139836E-2</v>
      </c>
    </row>
    <row r="202" spans="1:3" x14ac:dyDescent="0.35">
      <c r="A202">
        <f t="shared" si="9"/>
        <v>199</v>
      </c>
      <c r="B202">
        <v>4.980264955195015E-2</v>
      </c>
      <c r="C202" s="72">
        <f t="shared" si="10"/>
        <v>0.17101479081479001</v>
      </c>
    </row>
    <row r="203" spans="1:3" x14ac:dyDescent="0.35">
      <c r="A203">
        <f t="shared" si="9"/>
        <v>200</v>
      </c>
      <c r="B203" s="4">
        <v>-1.0568000762886942</v>
      </c>
      <c r="C203" s="76">
        <f t="shared" si="10"/>
        <v>-1.0767211361094742</v>
      </c>
    </row>
    <row r="205" spans="1:3" x14ac:dyDescent="0.35">
      <c r="B205" s="20" t="s">
        <v>230</v>
      </c>
    </row>
    <row r="206" spans="1:3" x14ac:dyDescent="0.35">
      <c r="B206" t="e" cm="1">
        <f t="array" aca="1" ref="B206" ca="1">FTEXT(C5)</f>
        <v>#NAME?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5"/>
  <dimension ref="A1:L207"/>
  <sheetViews>
    <sheetView workbookViewId="0"/>
  </sheetViews>
  <sheetFormatPr defaultRowHeight="14.5" x14ac:dyDescent="0.35"/>
  <cols>
    <col min="1" max="1" width="4.7265625" customWidth="1"/>
    <col min="5" max="5" width="4" style="71" customWidth="1"/>
    <col min="6" max="6" width="7.81640625" customWidth="1"/>
    <col min="8" max="8" width="2.26953125" customWidth="1"/>
    <col min="9" max="9" width="24.26953125" customWidth="1"/>
    <col min="10" max="10" width="4.81640625" customWidth="1"/>
  </cols>
  <sheetData>
    <row r="1" spans="1:12" x14ac:dyDescent="0.35">
      <c r="A1" s="7" t="s">
        <v>259</v>
      </c>
    </row>
    <row r="2" spans="1:12" x14ac:dyDescent="0.35">
      <c r="A2" s="7"/>
    </row>
    <row r="3" spans="1:12" s="72" customFormat="1" ht="15" customHeight="1" x14ac:dyDescent="0.35">
      <c r="B3" s="82" t="s">
        <v>107</v>
      </c>
      <c r="C3" s="82" t="s">
        <v>110</v>
      </c>
      <c r="D3" s="82" t="s">
        <v>107</v>
      </c>
      <c r="E3" s="73"/>
      <c r="F3" s="90" t="s">
        <v>253</v>
      </c>
      <c r="G3" s="79">
        <v>-0.3564674572211422</v>
      </c>
      <c r="K3" s="82" t="s">
        <v>78</v>
      </c>
      <c r="L3" s="82" t="s">
        <v>77</v>
      </c>
    </row>
    <row r="4" spans="1:12" s="72" customFormat="1" ht="15" customHeight="1" x14ac:dyDescent="0.35">
      <c r="A4" s="72">
        <v>0</v>
      </c>
      <c r="D4" s="72">
        <v>0</v>
      </c>
      <c r="F4" s="98" t="s">
        <v>254</v>
      </c>
      <c r="G4" s="80">
        <f>VARP(C5:C204)/(1+G3^2)</f>
        <v>0.19133801343100668</v>
      </c>
      <c r="I4" s="72" t="e" cm="1">
        <f t="array" aca="1" ref="I4" ca="1">FTEXT(G4)</f>
        <v>#NAME?</v>
      </c>
      <c r="K4" s="73">
        <v>1</v>
      </c>
      <c r="L4" s="72" t="e" cm="1">
        <f t="array" aca="1" ref="L4" ca="1">ACF($D$5:$D$204,K4)</f>
        <v>#NAME?</v>
      </c>
    </row>
    <row r="5" spans="1:12" s="72" customFormat="1" ht="15" customHeight="1" x14ac:dyDescent="0.35">
      <c r="A5" s="72">
        <v>1</v>
      </c>
      <c r="B5" s="72">
        <v>-0.51207912635870179</v>
      </c>
      <c r="C5" s="72">
        <f>B5</f>
        <v>-0.51207912635870179</v>
      </c>
      <c r="D5" s="72">
        <f>C5-$G$3*D4</f>
        <v>-0.51207912635870179</v>
      </c>
      <c r="E5" s="73"/>
      <c r="F5"/>
      <c r="G5"/>
      <c r="H5"/>
      <c r="I5" t="e" cm="1">
        <f t="array" aca="1" ref="I5" ca="1">FTEXT(G5)</f>
        <v>#NAME?</v>
      </c>
      <c r="J5"/>
      <c r="K5" s="71">
        <v>2</v>
      </c>
      <c r="L5" s="72" t="e" cm="1">
        <f t="array" aca="1" ref="L5" ca="1">ACF($D$5:$D$204,K5)</f>
        <v>#NAME?</v>
      </c>
    </row>
    <row r="6" spans="1:12" s="72" customFormat="1" ht="15" customHeight="1" x14ac:dyDescent="0.35">
      <c r="A6" s="72">
        <f>A5+1</f>
        <v>2</v>
      </c>
      <c r="B6" s="72">
        <v>-0.36334374693531363</v>
      </c>
      <c r="C6" s="72">
        <f>B6-0.4*B5</f>
        <v>-0.15851209639183289</v>
      </c>
      <c r="D6" s="72">
        <f>C6-$G$3*D5</f>
        <v>-0.34105164046094327</v>
      </c>
      <c r="E6" s="71"/>
      <c r="F6" s="71" t="s">
        <v>121</v>
      </c>
      <c r="G6" s="19">
        <f>SUMSQ(D5:D204)</f>
        <v>39.128145625031607</v>
      </c>
      <c r="H6"/>
      <c r="I6" t="e" cm="1">
        <f t="array" aca="1" ref="I6" ca="1">FTEXT(G6)</f>
        <v>#NAME?</v>
      </c>
      <c r="J6"/>
      <c r="K6" s="71">
        <v>3</v>
      </c>
      <c r="L6" s="72" t="e" cm="1">
        <f t="array" aca="1" ref="L6" ca="1">ACF($D$5:$D$204,K6)</f>
        <v>#NAME?</v>
      </c>
    </row>
    <row r="7" spans="1:12" s="72" customFormat="1" ht="15" customHeight="1" x14ac:dyDescent="0.35">
      <c r="A7" s="72">
        <f t="shared" ref="A7:A70" si="0">A6+1</f>
        <v>3</v>
      </c>
      <c r="B7" s="72">
        <v>0.11192767204794295</v>
      </c>
      <c r="C7" s="72">
        <f t="shared" ref="C7:C70" si="1">B7-0.4*B6</f>
        <v>0.2572651708220684</v>
      </c>
      <c r="D7" s="72">
        <f t="shared" ref="D7:D70" si="2">C7-$G$3*D6</f>
        <v>0.13569135976585672</v>
      </c>
      <c r="E7" s="71"/>
      <c r="F7"/>
      <c r="G7"/>
      <c r="H7"/>
      <c r="I7"/>
      <c r="J7"/>
      <c r="K7" s="71">
        <v>4</v>
      </c>
      <c r="L7" s="72" t="e" cm="1">
        <f t="array" aca="1" ref="L7" ca="1">ACF($D$5:$D$204,K7)</f>
        <v>#NAME?</v>
      </c>
    </row>
    <row r="8" spans="1:12" s="72" customFormat="1" ht="15" customHeight="1" x14ac:dyDescent="0.35">
      <c r="A8" s="72">
        <f t="shared" si="0"/>
        <v>4</v>
      </c>
      <c r="B8" s="72">
        <v>2.6947470072676356E-2</v>
      </c>
      <c r="C8" s="72">
        <f t="shared" si="1"/>
        <v>-1.7823598746500826E-2</v>
      </c>
      <c r="D8" s="72">
        <f t="shared" si="2"/>
        <v>3.054595523611332E-2</v>
      </c>
      <c r="E8" s="71"/>
      <c r="F8"/>
      <c r="G8"/>
      <c r="H8"/>
      <c r="I8"/>
      <c r="J8"/>
      <c r="K8" s="71">
        <v>5</v>
      </c>
      <c r="L8" s="72" t="e" cm="1">
        <f t="array" aca="1" ref="L8" ca="1">ACF($D$5:$D$204,K8)</f>
        <v>#NAME?</v>
      </c>
    </row>
    <row r="9" spans="1:12" s="72" customFormat="1" ht="15" customHeight="1" x14ac:dyDescent="0.35">
      <c r="A9" s="72">
        <f t="shared" si="0"/>
        <v>5</v>
      </c>
      <c r="B9" s="72">
        <v>-1.6753415454899445E-2</v>
      </c>
      <c r="C9" s="72">
        <f t="shared" si="1"/>
        <v>-2.7532403483969986E-2</v>
      </c>
      <c r="D9" s="72">
        <f t="shared" si="2"/>
        <v>-1.6643764492561837E-2</v>
      </c>
      <c r="E9" s="71"/>
      <c r="F9"/>
      <c r="G9"/>
      <c r="H9"/>
      <c r="I9"/>
      <c r="J9"/>
      <c r="K9" s="71">
        <v>6</v>
      </c>
      <c r="L9" s="72" t="e" cm="1">
        <f t="array" aca="1" ref="L9" ca="1">ACF($D$5:$D$204,K9)</f>
        <v>#NAME?</v>
      </c>
    </row>
    <row r="10" spans="1:12" s="72" customFormat="1" ht="15" customHeight="1" x14ac:dyDescent="0.35">
      <c r="A10" s="72">
        <f t="shared" si="0"/>
        <v>6</v>
      </c>
      <c r="B10" s="72">
        <v>8.1914358993839212E-2</v>
      </c>
      <c r="C10" s="72">
        <f t="shared" si="1"/>
        <v>8.8615725175798993E-2</v>
      </c>
      <c r="D10" s="72">
        <f t="shared" si="2"/>
        <v>8.2682764768547939E-2</v>
      </c>
      <c r="E10" s="71"/>
      <c r="F10"/>
      <c r="G10"/>
      <c r="H10"/>
      <c r="I10"/>
      <c r="J10"/>
      <c r="K10" s="17">
        <v>7</v>
      </c>
      <c r="L10" s="77" t="e" cm="1">
        <f t="array" aca="1" ref="L10" ca="1">ACF($D$5:$D$204,K10)</f>
        <v>#NAME?</v>
      </c>
    </row>
    <row r="11" spans="1:12" s="72" customFormat="1" ht="15" customHeight="1" x14ac:dyDescent="0.35">
      <c r="A11" s="72">
        <f t="shared" si="0"/>
        <v>7</v>
      </c>
      <c r="B11" s="72">
        <v>0.63820678984685353</v>
      </c>
      <c r="C11" s="72">
        <f t="shared" si="1"/>
        <v>0.60544104624931783</v>
      </c>
      <c r="D11" s="72">
        <f t="shared" si="2"/>
        <v>0.634914761162376</v>
      </c>
      <c r="E11" s="71"/>
      <c r="F11"/>
      <c r="G11"/>
      <c r="H11"/>
      <c r="I11"/>
      <c r="J11"/>
      <c r="K11" s="17">
        <v>8</v>
      </c>
      <c r="L11" s="77" t="e" cm="1">
        <f t="array" aca="1" ref="L11" ca="1">ACF($D$5:$D$204,K11)</f>
        <v>#NAME?</v>
      </c>
    </row>
    <row r="12" spans="1:12" s="72" customFormat="1" ht="15" customHeight="1" x14ac:dyDescent="0.35">
      <c r="A12" s="72">
        <f t="shared" si="0"/>
        <v>8</v>
      </c>
      <c r="B12" s="72">
        <v>0.13169322212412099</v>
      </c>
      <c r="C12" s="72">
        <f t="shared" si="1"/>
        <v>-0.12358949381462042</v>
      </c>
      <c r="D12" s="72">
        <f t="shared" si="2"/>
        <v>0.10273695664910057</v>
      </c>
      <c r="E12" s="71"/>
      <c r="F12"/>
      <c r="G12"/>
      <c r="H12"/>
      <c r="I12"/>
      <c r="J12"/>
      <c r="K12" s="17">
        <v>9</v>
      </c>
      <c r="L12" s="77" t="e" cm="1">
        <f t="array" aca="1" ref="L12" ca="1">ACF($D$5:$D$204,K12)</f>
        <v>#NAME?</v>
      </c>
    </row>
    <row r="13" spans="1:12" s="72" customFormat="1" ht="15" customHeight="1" x14ac:dyDescent="0.35">
      <c r="A13" s="72">
        <f t="shared" si="0"/>
        <v>9</v>
      </c>
      <c r="B13" s="72">
        <v>-5.7137285520943479E-2</v>
      </c>
      <c r="C13" s="72">
        <f t="shared" si="1"/>
        <v>-0.10981457437059187</v>
      </c>
      <c r="D13" s="72">
        <f t="shared" si="2"/>
        <v>-7.3192192671248268E-2</v>
      </c>
      <c r="E13" s="71"/>
      <c r="F13"/>
      <c r="G13"/>
      <c r="H13"/>
      <c r="I13"/>
      <c r="J13"/>
      <c r="K13" s="17">
        <v>10</v>
      </c>
      <c r="L13" s="77" t="e" cm="1">
        <f t="array" aca="1" ref="L13" ca="1">ACF($D$5:$D$204,K13)</f>
        <v>#NAME?</v>
      </c>
    </row>
    <row r="14" spans="1:12" s="72" customFormat="1" ht="15" customHeight="1" x14ac:dyDescent="0.35">
      <c r="A14" s="72">
        <f t="shared" si="0"/>
        <v>10</v>
      </c>
      <c r="B14" s="72">
        <v>0.54124755369311517</v>
      </c>
      <c r="C14" s="72">
        <f t="shared" si="1"/>
        <v>0.56410246790149254</v>
      </c>
      <c r="D14" s="72">
        <f t="shared" si="2"/>
        <v>0.53801183309153278</v>
      </c>
      <c r="E14" s="71"/>
      <c r="F14"/>
      <c r="G14"/>
      <c r="H14"/>
      <c r="I14"/>
      <c r="J14"/>
      <c r="K14" s="17">
        <v>11</v>
      </c>
      <c r="L14" s="77" t="e" cm="1">
        <f t="array" aca="1" ref="L14" ca="1">ACF($D$5:$D$204,K14)</f>
        <v>#NAME?</v>
      </c>
    </row>
    <row r="15" spans="1:12" x14ac:dyDescent="0.35">
      <c r="A15" s="72">
        <f t="shared" si="0"/>
        <v>11</v>
      </c>
      <c r="B15" s="72">
        <v>0.43912452837972638</v>
      </c>
      <c r="C15" s="72">
        <f t="shared" si="1"/>
        <v>0.22262550690248029</v>
      </c>
      <c r="D15" s="72">
        <f t="shared" si="2"/>
        <v>0.4144092169995045</v>
      </c>
      <c r="K15" s="17">
        <v>12</v>
      </c>
      <c r="L15" s="77" t="e" cm="1">
        <f t="array" aca="1" ref="L15" ca="1">ACF($D$5:$D$204,K15)</f>
        <v>#NAME?</v>
      </c>
    </row>
    <row r="16" spans="1:12" x14ac:dyDescent="0.35">
      <c r="A16">
        <f t="shared" si="0"/>
        <v>12</v>
      </c>
      <c r="B16">
        <v>0.54883288339069092</v>
      </c>
      <c r="C16" s="72">
        <f t="shared" si="1"/>
        <v>0.37318307203880036</v>
      </c>
      <c r="D16" s="72">
        <f t="shared" si="2"/>
        <v>0.52090647187161832</v>
      </c>
      <c r="K16" s="17">
        <v>13</v>
      </c>
      <c r="L16" s="77" t="e" cm="1">
        <f t="array" aca="1" ref="L16" ca="1">ACF($D$5:$D$204,K16)</f>
        <v>#NAME?</v>
      </c>
    </row>
    <row r="17" spans="1:12" x14ac:dyDescent="0.35">
      <c r="A17">
        <f t="shared" si="0"/>
        <v>13</v>
      </c>
      <c r="B17">
        <v>0.85693829196286697</v>
      </c>
      <c r="C17" s="72">
        <f t="shared" si="1"/>
        <v>0.63740513860659065</v>
      </c>
      <c r="D17" s="72">
        <f t="shared" si="2"/>
        <v>0.82309134408470286</v>
      </c>
      <c r="K17" s="17">
        <v>14</v>
      </c>
      <c r="L17" s="77" t="e" cm="1">
        <f t="array" aca="1" ref="L17" ca="1">ACF($D$5:$D$204,K17)</f>
        <v>#NAME?</v>
      </c>
    </row>
    <row r="18" spans="1:12" x14ac:dyDescent="0.35">
      <c r="A18">
        <f t="shared" si="0"/>
        <v>14</v>
      </c>
      <c r="B18">
        <v>0.43225906999569413</v>
      </c>
      <c r="C18" s="72">
        <f t="shared" si="1"/>
        <v>8.9483753210547301E-2</v>
      </c>
      <c r="D18" s="72">
        <f t="shared" si="2"/>
        <v>0.38288903169715355</v>
      </c>
      <c r="K18" s="10">
        <v>15</v>
      </c>
      <c r="L18" s="76" t="e" cm="1">
        <f t="array" aca="1" ref="L18" ca="1">ACF($D$5:$D$204,K18)</f>
        <v>#NAME?</v>
      </c>
    </row>
    <row r="19" spans="1:12" x14ac:dyDescent="0.35">
      <c r="A19">
        <f t="shared" si="0"/>
        <v>15</v>
      </c>
      <c r="B19">
        <v>-6.4599939622106764E-2</v>
      </c>
      <c r="C19" s="72">
        <f t="shared" si="1"/>
        <v>-0.23750356762038444</v>
      </c>
      <c r="D19" s="72">
        <f t="shared" si="2"/>
        <v>-0.10101608809343479</v>
      </c>
    </row>
    <row r="20" spans="1:12" x14ac:dyDescent="0.35">
      <c r="A20">
        <f t="shared" si="0"/>
        <v>16</v>
      </c>
      <c r="B20">
        <v>-0.20365610579624818</v>
      </c>
      <c r="C20" s="72">
        <f t="shared" si="1"/>
        <v>-0.17781612994740548</v>
      </c>
      <c r="D20" s="72">
        <f t="shared" si="2"/>
        <v>-0.21382507800849909</v>
      </c>
      <c r="K20" s="71" t="s">
        <v>92</v>
      </c>
      <c r="L20" s="19" t="e" cm="1">
        <f t="array" aca="1" ref="L20" ca="1">LBTEST(D5:D204,,15)</f>
        <v>#NAME?</v>
      </c>
    </row>
    <row r="21" spans="1:12" x14ac:dyDescent="0.35">
      <c r="A21">
        <f t="shared" si="0"/>
        <v>17</v>
      </c>
      <c r="B21">
        <v>-0.11232162753376856</v>
      </c>
      <c r="C21" s="72">
        <f t="shared" si="1"/>
        <v>-3.0859185215269286E-2</v>
      </c>
      <c r="D21" s="72">
        <f t="shared" si="2"/>
        <v>-0.10708086706307134</v>
      </c>
    </row>
    <row r="22" spans="1:12" x14ac:dyDescent="0.35">
      <c r="A22">
        <f t="shared" si="0"/>
        <v>18</v>
      </c>
      <c r="B22">
        <v>-0.12263390545953902</v>
      </c>
      <c r="C22" s="72">
        <f t="shared" si="1"/>
        <v>-7.7705254446031588E-2</v>
      </c>
      <c r="D22" s="72">
        <f t="shared" si="2"/>
        <v>-0.11587609884503978</v>
      </c>
    </row>
    <row r="23" spans="1:12" x14ac:dyDescent="0.35">
      <c r="A23">
        <f t="shared" si="0"/>
        <v>19</v>
      </c>
      <c r="B23">
        <v>0.4997230636303775</v>
      </c>
      <c r="C23" s="72">
        <f t="shared" si="1"/>
        <v>0.54877662581419306</v>
      </c>
      <c r="D23" s="72">
        <f t="shared" si="2"/>
        <v>0.50747056750619601</v>
      </c>
    </row>
    <row r="24" spans="1:12" x14ac:dyDescent="0.35">
      <c r="A24">
        <f t="shared" si="0"/>
        <v>20</v>
      </c>
      <c r="B24">
        <v>-7.107510966411526E-2</v>
      </c>
      <c r="C24" s="72">
        <f t="shared" si="1"/>
        <v>-0.27096433511626627</v>
      </c>
      <c r="D24" s="72">
        <f t="shared" si="2"/>
        <v>-9.0067592302762595E-2</v>
      </c>
    </row>
    <row r="25" spans="1:12" x14ac:dyDescent="0.35">
      <c r="A25">
        <f t="shared" si="0"/>
        <v>21</v>
      </c>
      <c r="B25">
        <v>0.9239136154717118</v>
      </c>
      <c r="C25" s="72">
        <f t="shared" si="1"/>
        <v>0.95234365933735787</v>
      </c>
      <c r="D25" s="72">
        <f t="shared" si="2"/>
        <v>0.92023749373116159</v>
      </c>
    </row>
    <row r="26" spans="1:12" x14ac:dyDescent="0.35">
      <c r="A26">
        <f t="shared" si="0"/>
        <v>22</v>
      </c>
      <c r="B26">
        <v>0.15295754626692404</v>
      </c>
      <c r="C26" s="72">
        <f t="shared" si="1"/>
        <v>-0.21660789992176072</v>
      </c>
      <c r="D26" s="72">
        <f t="shared" si="2"/>
        <v>0.11142681950814326</v>
      </c>
    </row>
    <row r="27" spans="1:12" x14ac:dyDescent="0.35">
      <c r="A27">
        <f t="shared" si="0"/>
        <v>23</v>
      </c>
      <c r="B27">
        <v>0.33328421180909701</v>
      </c>
      <c r="C27" s="72">
        <f t="shared" si="1"/>
        <v>0.2721011933023274</v>
      </c>
      <c r="D27" s="72">
        <f t="shared" si="2"/>
        <v>0.3118212283186344</v>
      </c>
    </row>
    <row r="28" spans="1:12" x14ac:dyDescent="0.35">
      <c r="A28">
        <f t="shared" si="0"/>
        <v>24</v>
      </c>
      <c r="B28">
        <v>0.18774221804470156</v>
      </c>
      <c r="C28" s="72">
        <f t="shared" si="1"/>
        <v>5.4428533321062761E-2</v>
      </c>
      <c r="D28" s="72">
        <f t="shared" si="2"/>
        <v>0.16558265368737957</v>
      </c>
    </row>
    <row r="29" spans="1:12" x14ac:dyDescent="0.35">
      <c r="A29">
        <f t="shared" si="0"/>
        <v>25</v>
      </c>
      <c r="B29">
        <v>0.22501409955220572</v>
      </c>
      <c r="C29" s="72">
        <f t="shared" si="1"/>
        <v>0.14991721233432509</v>
      </c>
      <c r="D29" s="72">
        <f t="shared" si="2"/>
        <v>0.20894203985419427</v>
      </c>
    </row>
    <row r="30" spans="1:12" x14ac:dyDescent="0.35">
      <c r="A30">
        <f t="shared" si="0"/>
        <v>26</v>
      </c>
      <c r="B30">
        <v>0.1013872161540149</v>
      </c>
      <c r="C30" s="72">
        <f t="shared" si="1"/>
        <v>1.1381576333132609E-2</v>
      </c>
      <c r="D30" s="72">
        <f t="shared" si="2"/>
        <v>8.58626139865558E-2</v>
      </c>
    </row>
    <row r="31" spans="1:12" x14ac:dyDescent="0.35">
      <c r="A31">
        <f t="shared" si="0"/>
        <v>27</v>
      </c>
      <c r="B31">
        <v>0.16772638439529058</v>
      </c>
      <c r="C31" s="72">
        <f t="shared" si="1"/>
        <v>0.12717149793368462</v>
      </c>
      <c r="D31" s="72">
        <f t="shared" si="2"/>
        <v>0.15777872561183265</v>
      </c>
    </row>
    <row r="32" spans="1:12" x14ac:dyDescent="0.35">
      <c r="A32">
        <f t="shared" si="0"/>
        <v>28</v>
      </c>
      <c r="B32">
        <v>-0.31651644142481467</v>
      </c>
      <c r="C32" s="72">
        <f t="shared" si="1"/>
        <v>-0.3836069951829309</v>
      </c>
      <c r="D32" s="72">
        <f t="shared" si="2"/>
        <v>-0.3273640140604886</v>
      </c>
    </row>
    <row r="33" spans="1:4" x14ac:dyDescent="0.35">
      <c r="A33">
        <f t="shared" si="0"/>
        <v>29</v>
      </c>
      <c r="B33">
        <v>-0.59068997433252501</v>
      </c>
      <c r="C33" s="72">
        <f t="shared" si="1"/>
        <v>-0.4640833977625991</v>
      </c>
      <c r="D33" s="72">
        <f t="shared" si="2"/>
        <v>-0.58077801544044771</v>
      </c>
    </row>
    <row r="34" spans="1:4" x14ac:dyDescent="0.35">
      <c r="A34">
        <f t="shared" si="0"/>
        <v>30</v>
      </c>
      <c r="B34">
        <v>0.3060210831404202</v>
      </c>
      <c r="C34" s="72">
        <f t="shared" si="1"/>
        <v>0.54229707287343021</v>
      </c>
      <c r="D34" s="72">
        <f t="shared" si="2"/>
        <v>0.33526861049943257</v>
      </c>
    </row>
    <row r="35" spans="1:4" x14ac:dyDescent="0.35">
      <c r="A35">
        <f t="shared" si="0"/>
        <v>31</v>
      </c>
      <c r="B35">
        <v>-0.62752248082675643</v>
      </c>
      <c r="C35" s="72">
        <f t="shared" si="1"/>
        <v>-0.74993091408292456</v>
      </c>
      <c r="D35" s="72">
        <f t="shared" si="2"/>
        <v>-0.63041856501212634</v>
      </c>
    </row>
    <row r="36" spans="1:4" x14ac:dyDescent="0.35">
      <c r="A36">
        <f t="shared" si="0"/>
        <v>32</v>
      </c>
      <c r="B36">
        <v>0.23702118556121191</v>
      </c>
      <c r="C36" s="72">
        <f t="shared" si="1"/>
        <v>0.4880301778919145</v>
      </c>
      <c r="D36" s="72">
        <f t="shared" si="2"/>
        <v>0.26330647503704052</v>
      </c>
    </row>
    <row r="37" spans="1:4" x14ac:dyDescent="0.35">
      <c r="A37">
        <f t="shared" si="0"/>
        <v>33</v>
      </c>
      <c r="B37">
        <v>-9.8704944770256597E-2</v>
      </c>
      <c r="C37" s="72">
        <f t="shared" si="1"/>
        <v>-0.19351341899474137</v>
      </c>
      <c r="D37" s="72">
        <f t="shared" si="2"/>
        <v>-9.9653229368425369E-2</v>
      </c>
    </row>
    <row r="38" spans="1:4" x14ac:dyDescent="0.35">
      <c r="A38">
        <f t="shared" si="0"/>
        <v>34</v>
      </c>
      <c r="B38">
        <v>0.33462467270222157</v>
      </c>
      <c r="C38" s="72">
        <f t="shared" si="1"/>
        <v>0.37410665061032422</v>
      </c>
      <c r="D38" s="72">
        <f t="shared" si="2"/>
        <v>0.33858351733348635</v>
      </c>
    </row>
    <row r="39" spans="1:4" x14ac:dyDescent="0.35">
      <c r="A39">
        <f t="shared" si="0"/>
        <v>35</v>
      </c>
      <c r="B39">
        <v>7.6903283588442367E-2</v>
      </c>
      <c r="C39" s="72">
        <f t="shared" si="1"/>
        <v>-5.6946585492446272E-2</v>
      </c>
      <c r="D39" s="72">
        <f t="shared" si="2"/>
        <v>6.374741998841213E-2</v>
      </c>
    </row>
    <row r="40" spans="1:4" x14ac:dyDescent="0.35">
      <c r="A40">
        <f t="shared" si="0"/>
        <v>36</v>
      </c>
      <c r="B40">
        <v>-0.31754085082588029</v>
      </c>
      <c r="C40" s="72">
        <f t="shared" si="1"/>
        <v>-0.34830216426125726</v>
      </c>
      <c r="D40" s="72">
        <f t="shared" si="2"/>
        <v>-0.32557828355357976</v>
      </c>
    </row>
    <row r="41" spans="1:4" x14ac:dyDescent="0.35">
      <c r="A41">
        <f t="shared" si="0"/>
        <v>37</v>
      </c>
      <c r="B41">
        <v>-0.25419372210868713</v>
      </c>
      <c r="C41" s="72">
        <f t="shared" si="1"/>
        <v>-0.12717738177833501</v>
      </c>
      <c r="D41" s="72">
        <f t="shared" si="2"/>
        <v>-0.24323544464310359</v>
      </c>
    </row>
    <row r="42" spans="1:4" x14ac:dyDescent="0.35">
      <c r="A42">
        <f t="shared" si="0"/>
        <v>38</v>
      </c>
      <c r="B42">
        <v>0.62604102360566283</v>
      </c>
      <c r="C42" s="72">
        <f t="shared" si="1"/>
        <v>0.72771851244913766</v>
      </c>
      <c r="D42" s="72">
        <f t="shared" si="2"/>
        <v>0.64101299199115658</v>
      </c>
    </row>
    <row r="43" spans="1:4" x14ac:dyDescent="0.35">
      <c r="A43">
        <f t="shared" si="0"/>
        <v>39</v>
      </c>
      <c r="B43">
        <v>0.65942009251344469</v>
      </c>
      <c r="C43" s="72">
        <f t="shared" si="1"/>
        <v>0.40900368307117957</v>
      </c>
      <c r="D43" s="72">
        <f t="shared" si="2"/>
        <v>0.63750395437198359</v>
      </c>
    </row>
    <row r="44" spans="1:4" x14ac:dyDescent="0.35">
      <c r="A44">
        <f t="shared" si="0"/>
        <v>40</v>
      </c>
      <c r="B44">
        <v>3.9187187377916315E-2</v>
      </c>
      <c r="C44" s="72">
        <f t="shared" si="1"/>
        <v>-0.22458084962746155</v>
      </c>
      <c r="D44" s="72">
        <f t="shared" si="2"/>
        <v>2.6685639559425045E-3</v>
      </c>
    </row>
    <row r="45" spans="1:4" x14ac:dyDescent="0.35">
      <c r="A45">
        <f t="shared" si="0"/>
        <v>41</v>
      </c>
      <c r="B45">
        <v>0.17389833870797153</v>
      </c>
      <c r="C45" s="72">
        <f t="shared" si="1"/>
        <v>0.15822346375680502</v>
      </c>
      <c r="D45" s="72">
        <f t="shared" si="2"/>
        <v>0.15917471996461183</v>
      </c>
    </row>
    <row r="46" spans="1:4" x14ac:dyDescent="0.35">
      <c r="A46">
        <f t="shared" si="0"/>
        <v>42</v>
      </c>
      <c r="B46">
        <v>-0.11526190497676622</v>
      </c>
      <c r="C46" s="72">
        <f t="shared" si="1"/>
        <v>-0.18482124045995485</v>
      </c>
      <c r="D46" s="72">
        <f t="shared" si="2"/>
        <v>-0.12808063278028228</v>
      </c>
    </row>
    <row r="47" spans="1:4" x14ac:dyDescent="0.35">
      <c r="A47">
        <f t="shared" si="0"/>
        <v>43</v>
      </c>
      <c r="B47">
        <v>-0.30619159093863518</v>
      </c>
      <c r="C47" s="72">
        <f t="shared" si="1"/>
        <v>-0.26008682894792867</v>
      </c>
      <c r="D47" s="72">
        <f t="shared" si="2"/>
        <v>-0.3057434064343908</v>
      </c>
    </row>
    <row r="48" spans="1:4" x14ac:dyDescent="0.35">
      <c r="A48">
        <f t="shared" si="0"/>
        <v>44</v>
      </c>
      <c r="B48">
        <v>0.1324161057881085</v>
      </c>
      <c r="C48" s="72">
        <f t="shared" si="1"/>
        <v>0.25489274216356261</v>
      </c>
      <c r="D48" s="72">
        <f t="shared" si="2"/>
        <v>0.14590516750976512</v>
      </c>
    </row>
    <row r="49" spans="1:4" x14ac:dyDescent="0.35">
      <c r="A49">
        <f t="shared" si="0"/>
        <v>45</v>
      </c>
      <c r="B49">
        <v>-0.54694148767811068</v>
      </c>
      <c r="C49" s="72">
        <f t="shared" si="1"/>
        <v>-0.59990792999335407</v>
      </c>
      <c r="D49" s="72">
        <f t="shared" si="2"/>
        <v>-0.54789748593572329</v>
      </c>
    </row>
    <row r="50" spans="1:4" x14ac:dyDescent="0.35">
      <c r="A50">
        <f t="shared" si="0"/>
        <v>46</v>
      </c>
      <c r="B50">
        <v>7.5804716770691866E-2</v>
      </c>
      <c r="C50" s="72">
        <f t="shared" si="1"/>
        <v>0.29458131184193614</v>
      </c>
      <c r="D50" s="72">
        <f t="shared" si="2"/>
        <v>9.9273688212572347E-2</v>
      </c>
    </row>
    <row r="51" spans="1:4" x14ac:dyDescent="0.35">
      <c r="A51">
        <f t="shared" si="0"/>
        <v>47</v>
      </c>
      <c r="B51">
        <v>-1.3805346031133389E-2</v>
      </c>
      <c r="C51" s="72">
        <f t="shared" si="1"/>
        <v>-4.412723273941014E-2</v>
      </c>
      <c r="D51" s="72">
        <f t="shared" si="2"/>
        <v>-8.7393935333099984E-3</v>
      </c>
    </row>
    <row r="52" spans="1:4" x14ac:dyDescent="0.35">
      <c r="A52">
        <f t="shared" si="0"/>
        <v>48</v>
      </c>
      <c r="B52">
        <v>0.33052630065869121</v>
      </c>
      <c r="C52" s="72">
        <f t="shared" si="1"/>
        <v>0.33604843907114457</v>
      </c>
      <c r="D52" s="72">
        <f t="shared" si="2"/>
        <v>0.33293312968067068</v>
      </c>
    </row>
    <row r="53" spans="1:4" x14ac:dyDescent="0.35">
      <c r="A53">
        <f t="shared" si="0"/>
        <v>49</v>
      </c>
      <c r="B53">
        <v>6.3089327347226012E-2</v>
      </c>
      <c r="C53" s="72">
        <f t="shared" si="1"/>
        <v>-6.9121192916250476E-2</v>
      </c>
      <c r="D53" s="72">
        <f t="shared" si="2"/>
        <v>4.9558633245694983E-2</v>
      </c>
    </row>
    <row r="54" spans="1:4" x14ac:dyDescent="0.35">
      <c r="A54">
        <f t="shared" si="0"/>
        <v>50</v>
      </c>
      <c r="B54">
        <v>-0.26048714702548137</v>
      </c>
      <c r="C54" s="72">
        <f t="shared" si="1"/>
        <v>-0.28572287796437179</v>
      </c>
      <c r="D54" s="72">
        <f t="shared" si="2"/>
        <v>-0.26805683798792374</v>
      </c>
    </row>
    <row r="55" spans="1:4" x14ac:dyDescent="0.35">
      <c r="A55">
        <f t="shared" si="0"/>
        <v>51</v>
      </c>
      <c r="B55">
        <v>0.64674810862294951</v>
      </c>
      <c r="C55" s="72">
        <f t="shared" si="1"/>
        <v>0.75094296743314204</v>
      </c>
      <c r="D55" s="72">
        <f t="shared" si="2"/>
        <v>0.65538942800484723</v>
      </c>
    </row>
    <row r="56" spans="1:4" x14ac:dyDescent="0.35">
      <c r="A56">
        <f t="shared" si="0"/>
        <v>52</v>
      </c>
      <c r="B56">
        <v>0.70366243241228765</v>
      </c>
      <c r="C56" s="72">
        <f t="shared" si="1"/>
        <v>0.44496318896310783</v>
      </c>
      <c r="D56" s="72">
        <f t="shared" si="2"/>
        <v>0.67858819185361452</v>
      </c>
    </row>
    <row r="57" spans="1:4" x14ac:dyDescent="0.35">
      <c r="A57">
        <f t="shared" si="0"/>
        <v>53</v>
      </c>
      <c r="B57">
        <v>4.8029876219132531E-2</v>
      </c>
      <c r="C57" s="72">
        <f t="shared" si="1"/>
        <v>-0.23343509674578256</v>
      </c>
      <c r="D57" s="72">
        <f t="shared" si="2"/>
        <v>8.4595105045680297E-3</v>
      </c>
    </row>
    <row r="58" spans="1:4" x14ac:dyDescent="0.35">
      <c r="A58">
        <f t="shared" si="0"/>
        <v>54</v>
      </c>
      <c r="B58">
        <v>0.51735363915428434</v>
      </c>
      <c r="C58" s="72">
        <f t="shared" si="1"/>
        <v>0.49814168866663133</v>
      </c>
      <c r="D58" s="72">
        <f t="shared" si="2"/>
        <v>0.50115722886553027</v>
      </c>
    </row>
    <row r="59" spans="1:4" x14ac:dyDescent="0.35">
      <c r="A59">
        <f t="shared" si="0"/>
        <v>55</v>
      </c>
      <c r="B59">
        <v>0.16904804283569394</v>
      </c>
      <c r="C59" s="72">
        <f t="shared" si="1"/>
        <v>-3.7893412826019796E-2</v>
      </c>
      <c r="D59" s="72">
        <f t="shared" si="2"/>
        <v>0.14075283021566978</v>
      </c>
    </row>
    <row r="60" spans="1:4" x14ac:dyDescent="0.35">
      <c r="A60">
        <f t="shared" si="0"/>
        <v>56</v>
      </c>
      <c r="B60">
        <v>0.87765490133672586</v>
      </c>
      <c r="C60" s="72">
        <f t="shared" si="1"/>
        <v>0.81003568420244831</v>
      </c>
      <c r="D60" s="72">
        <f t="shared" si="2"/>
        <v>0.86020948768610728</v>
      </c>
    </row>
    <row r="61" spans="1:4" x14ac:dyDescent="0.35">
      <c r="A61">
        <f t="shared" si="0"/>
        <v>57</v>
      </c>
      <c r="B61">
        <v>0.13484802117187894</v>
      </c>
      <c r="C61" s="72">
        <f t="shared" si="1"/>
        <v>-0.21621393936281141</v>
      </c>
      <c r="D61" s="72">
        <f t="shared" si="2"/>
        <v>9.0422749390156709E-2</v>
      </c>
    </row>
    <row r="62" spans="1:4" x14ac:dyDescent="0.35">
      <c r="A62">
        <f t="shared" si="0"/>
        <v>58</v>
      </c>
      <c r="B62">
        <v>0.27471421248229116</v>
      </c>
      <c r="C62" s="72">
        <f t="shared" si="1"/>
        <v>0.22077500401353958</v>
      </c>
      <c r="D62" s="72">
        <f t="shared" si="2"/>
        <v>0.25300777156359333</v>
      </c>
    </row>
    <row r="63" spans="1:4" x14ac:dyDescent="0.35">
      <c r="A63">
        <f t="shared" si="0"/>
        <v>59</v>
      </c>
      <c r="B63">
        <v>0.75044548677266099</v>
      </c>
      <c r="C63" s="72">
        <f t="shared" si="1"/>
        <v>0.64055980177974448</v>
      </c>
      <c r="D63" s="72">
        <f t="shared" si="2"/>
        <v>0.73074883876620622</v>
      </c>
    </row>
    <row r="64" spans="1:4" x14ac:dyDescent="0.35">
      <c r="A64">
        <f t="shared" si="0"/>
        <v>60</v>
      </c>
      <c r="B64">
        <v>0.43224327377155569</v>
      </c>
      <c r="C64" s="72">
        <f t="shared" si="1"/>
        <v>0.13206507906249126</v>
      </c>
      <c r="D64" s="72">
        <f t="shared" si="2"/>
        <v>0.3925532594847832</v>
      </c>
    </row>
    <row r="65" spans="1:4" x14ac:dyDescent="0.35">
      <c r="A65">
        <f t="shared" si="0"/>
        <v>61</v>
      </c>
      <c r="B65">
        <v>-3.9059421132505837E-2</v>
      </c>
      <c r="C65" s="72">
        <f t="shared" si="1"/>
        <v>-0.21195673064112813</v>
      </c>
      <c r="D65" s="72">
        <f t="shared" si="2"/>
        <v>-7.202426840871623E-2</v>
      </c>
    </row>
    <row r="66" spans="1:4" x14ac:dyDescent="0.35">
      <c r="A66">
        <f t="shared" si="0"/>
        <v>62</v>
      </c>
      <c r="B66">
        <v>-0.50717404197370719</v>
      </c>
      <c r="C66" s="72">
        <f t="shared" si="1"/>
        <v>-0.49155027352070485</v>
      </c>
      <c r="D66" s="72">
        <f t="shared" si="2"/>
        <v>-0.51722458133857296</v>
      </c>
    </row>
    <row r="67" spans="1:4" x14ac:dyDescent="0.35">
      <c r="A67">
        <f t="shared" si="0"/>
        <v>63</v>
      </c>
      <c r="B67">
        <v>0.51960944946831655</v>
      </c>
      <c r="C67" s="72">
        <f t="shared" si="1"/>
        <v>0.72247906625779945</v>
      </c>
      <c r="D67" s="72">
        <f t="shared" si="2"/>
        <v>0.53810533493576851</v>
      </c>
    </row>
    <row r="68" spans="1:4" x14ac:dyDescent="0.35">
      <c r="A68">
        <f t="shared" si="0"/>
        <v>64</v>
      </c>
      <c r="B68">
        <v>-0.26181646538481168</v>
      </c>
      <c r="C68" s="72">
        <f t="shared" si="1"/>
        <v>-0.46966024517213834</v>
      </c>
      <c r="D68" s="72">
        <f t="shared" si="2"/>
        <v>-0.27784320471045387</v>
      </c>
    </row>
    <row r="69" spans="1:4" x14ac:dyDescent="0.35">
      <c r="A69">
        <f t="shared" si="0"/>
        <v>65</v>
      </c>
      <c r="B69">
        <v>-0.13816887905714118</v>
      </c>
      <c r="C69" s="72">
        <f t="shared" si="1"/>
        <v>-3.34422929032165E-2</v>
      </c>
      <c r="D69" s="72">
        <f t="shared" si="2"/>
        <v>-0.13248435359252528</v>
      </c>
    </row>
    <row r="70" spans="1:4" x14ac:dyDescent="0.35">
      <c r="A70">
        <f t="shared" si="0"/>
        <v>66</v>
      </c>
      <c r="B70">
        <v>-9.6577054658605041E-2</v>
      </c>
      <c r="C70" s="72">
        <f t="shared" si="1"/>
        <v>-4.1309503035748568E-2</v>
      </c>
      <c r="D70" s="72">
        <f t="shared" si="2"/>
        <v>-8.8535863682462745E-2</v>
      </c>
    </row>
    <row r="71" spans="1:4" x14ac:dyDescent="0.35">
      <c r="A71">
        <f t="shared" ref="A71:A134" si="3">A70+1</f>
        <v>67</v>
      </c>
      <c r="B71">
        <v>5.7370588729134829E-2</v>
      </c>
      <c r="C71" s="72">
        <f t="shared" ref="C71:C134" si="4">B71-0.4*B70</f>
        <v>9.6001410592576858E-2</v>
      </c>
      <c r="D71" s="72">
        <f t="shared" ref="D71:D134" si="5">C71-$G$3*D70</f>
        <v>6.4441256392811688E-2</v>
      </c>
    </row>
    <row r="72" spans="1:4" x14ac:dyDescent="0.35">
      <c r="A72">
        <f t="shared" si="3"/>
        <v>68</v>
      </c>
      <c r="B72">
        <v>-0.17149698873547628</v>
      </c>
      <c r="C72" s="72">
        <f t="shared" si="4"/>
        <v>-0.1944452242271302</v>
      </c>
      <c r="D72" s="72">
        <f t="shared" si="5"/>
        <v>-0.17147401342064894</v>
      </c>
    </row>
    <row r="73" spans="1:4" x14ac:dyDescent="0.35">
      <c r="A73">
        <f t="shared" si="3"/>
        <v>69</v>
      </c>
      <c r="B73">
        <v>-0.26611226014777867</v>
      </c>
      <c r="C73" s="72">
        <f t="shared" si="4"/>
        <v>-0.19751346465358816</v>
      </c>
      <c r="D73" s="72">
        <f t="shared" si="5"/>
        <v>-0.25863837019715091</v>
      </c>
    </row>
    <row r="74" spans="1:4" x14ac:dyDescent="0.35">
      <c r="A74">
        <f t="shared" si="3"/>
        <v>70</v>
      </c>
      <c r="B74">
        <v>0.18782245949059648</v>
      </c>
      <c r="C74" s="72">
        <f t="shared" si="4"/>
        <v>0.29426736354970795</v>
      </c>
      <c r="D74" s="72">
        <f t="shared" si="5"/>
        <v>0.20207120138570911</v>
      </c>
    </row>
    <row r="75" spans="1:4" x14ac:dyDescent="0.35">
      <c r="A75">
        <f t="shared" si="3"/>
        <v>71</v>
      </c>
      <c r="B75">
        <v>0.41543305078380388</v>
      </c>
      <c r="C75" s="72">
        <f t="shared" si="4"/>
        <v>0.34030406698756527</v>
      </c>
      <c r="D75" s="72">
        <f t="shared" si="5"/>
        <v>0.41233587432315033</v>
      </c>
    </row>
    <row r="76" spans="1:4" x14ac:dyDescent="0.35">
      <c r="A76">
        <f t="shared" si="3"/>
        <v>72</v>
      </c>
      <c r="B76">
        <v>0.70353176573511123</v>
      </c>
      <c r="C76" s="72">
        <f t="shared" si="4"/>
        <v>0.53735854542158967</v>
      </c>
      <c r="D76" s="72">
        <f t="shared" si="5"/>
        <v>0.68434286606261951</v>
      </c>
    </row>
    <row r="77" spans="1:4" x14ac:dyDescent="0.35">
      <c r="A77">
        <f t="shared" si="3"/>
        <v>73</v>
      </c>
      <c r="B77">
        <v>-0.3952458411406039</v>
      </c>
      <c r="C77" s="72">
        <f t="shared" si="4"/>
        <v>-0.67665854743464848</v>
      </c>
      <c r="D77" s="72">
        <f t="shared" si="5"/>
        <v>-0.43271258610187779</v>
      </c>
    </row>
    <row r="78" spans="1:4" x14ac:dyDescent="0.35">
      <c r="A78">
        <f t="shared" si="3"/>
        <v>74</v>
      </c>
      <c r="B78">
        <v>-0.51964111108785283</v>
      </c>
      <c r="C78" s="72">
        <f t="shared" si="4"/>
        <v>-0.36154277463161122</v>
      </c>
      <c r="D78" s="72">
        <f t="shared" si="5"/>
        <v>-0.5157907299069322</v>
      </c>
    </row>
    <row r="79" spans="1:4" x14ac:dyDescent="0.35">
      <c r="A79">
        <f t="shared" si="3"/>
        <v>75</v>
      </c>
      <c r="B79">
        <v>0.14942689895794989</v>
      </c>
      <c r="C79" s="72">
        <f t="shared" si="4"/>
        <v>0.35728334339309104</v>
      </c>
      <c r="D79" s="72">
        <f t="shared" si="5"/>
        <v>0.17342073344492998</v>
      </c>
    </row>
    <row r="80" spans="1:4" x14ac:dyDescent="0.35">
      <c r="A80">
        <f t="shared" si="3"/>
        <v>76</v>
      </c>
      <c r="B80">
        <v>0.46561919595619389</v>
      </c>
      <c r="C80" s="72">
        <f t="shared" si="4"/>
        <v>0.40584843637301393</v>
      </c>
      <c r="D80" s="72">
        <f t="shared" si="5"/>
        <v>0.46766728425355364</v>
      </c>
    </row>
    <row r="81" spans="1:4" x14ac:dyDescent="0.35">
      <c r="A81">
        <f t="shared" si="3"/>
        <v>77</v>
      </c>
      <c r="B81">
        <v>0.28518260718846278</v>
      </c>
      <c r="C81" s="72">
        <f t="shared" si="4"/>
        <v>9.8934928805985201E-2</v>
      </c>
      <c r="D81" s="72">
        <f t="shared" si="5"/>
        <v>0.26564309644936657</v>
      </c>
    </row>
    <row r="82" spans="1:4" x14ac:dyDescent="0.35">
      <c r="A82">
        <f t="shared" si="3"/>
        <v>78</v>
      </c>
      <c r="B82">
        <v>-0.79657845002233552</v>
      </c>
      <c r="C82" s="72">
        <f t="shared" si="4"/>
        <v>-0.91065149289772063</v>
      </c>
      <c r="D82" s="72">
        <f t="shared" si="5"/>
        <v>-0.81595837377806424</v>
      </c>
    </row>
    <row r="83" spans="1:4" x14ac:dyDescent="0.35">
      <c r="A83">
        <f t="shared" si="3"/>
        <v>79</v>
      </c>
      <c r="B83">
        <v>0.29482782543320696</v>
      </c>
      <c r="C83" s="72">
        <f t="shared" si="4"/>
        <v>0.61345920544214116</v>
      </c>
      <c r="D83" s="72">
        <f t="shared" si="5"/>
        <v>0.32259659874317631</v>
      </c>
    </row>
    <row r="84" spans="1:4" x14ac:dyDescent="0.35">
      <c r="A84">
        <f t="shared" si="3"/>
        <v>80</v>
      </c>
      <c r="B84">
        <v>-0.45924627456910311</v>
      </c>
      <c r="C84" s="72">
        <f t="shared" si="4"/>
        <v>-0.57717740474238588</v>
      </c>
      <c r="D84" s="72">
        <f t="shared" si="5"/>
        <v>-0.46218221548021671</v>
      </c>
    </row>
    <row r="85" spans="1:4" x14ac:dyDescent="0.35">
      <c r="A85">
        <f t="shared" si="3"/>
        <v>81</v>
      </c>
      <c r="B85">
        <v>-6.2314962980168344E-2</v>
      </c>
      <c r="C85" s="72">
        <f t="shared" si="4"/>
        <v>0.12138354684747291</v>
      </c>
      <c r="D85" s="72">
        <f t="shared" si="5"/>
        <v>-4.3369372277593965E-2</v>
      </c>
    </row>
    <row r="86" spans="1:4" x14ac:dyDescent="0.35">
      <c r="A86">
        <f t="shared" si="3"/>
        <v>82</v>
      </c>
      <c r="B86">
        <v>-0.67254194699176517</v>
      </c>
      <c r="C86" s="72">
        <f t="shared" si="4"/>
        <v>-0.64761596179969783</v>
      </c>
      <c r="D86" s="72">
        <f t="shared" si="5"/>
        <v>-0.66307573165676881</v>
      </c>
    </row>
    <row r="87" spans="1:4" x14ac:dyDescent="0.35">
      <c r="A87">
        <f t="shared" si="3"/>
        <v>83</v>
      </c>
      <c r="B87">
        <v>-0.36329102577914368</v>
      </c>
      <c r="C87" s="72">
        <f t="shared" si="4"/>
        <v>-9.4274246982437582E-2</v>
      </c>
      <c r="D87" s="72">
        <f t="shared" si="5"/>
        <v>-0.33063916699117435</v>
      </c>
    </row>
    <row r="88" spans="1:4" x14ac:dyDescent="0.35">
      <c r="A88">
        <f t="shared" si="3"/>
        <v>84</v>
      </c>
      <c r="B88">
        <v>0.24488281260528305</v>
      </c>
      <c r="C88" s="72">
        <f t="shared" si="4"/>
        <v>0.39019922291694054</v>
      </c>
      <c r="D88" s="72">
        <f t="shared" si="5"/>
        <v>0.27233711980188002</v>
      </c>
    </row>
    <row r="89" spans="1:4" x14ac:dyDescent="0.35">
      <c r="A89">
        <f t="shared" si="3"/>
        <v>85</v>
      </c>
      <c r="B89">
        <v>0.34561225352951408</v>
      </c>
      <c r="C89" s="72">
        <f t="shared" si="4"/>
        <v>0.24765912848740085</v>
      </c>
      <c r="D89" s="72">
        <f t="shared" si="5"/>
        <v>0.34473844909010659</v>
      </c>
    </row>
    <row r="90" spans="1:4" x14ac:dyDescent="0.35">
      <c r="A90">
        <f t="shared" si="3"/>
        <v>86</v>
      </c>
      <c r="B90">
        <v>0.40011886698200072</v>
      </c>
      <c r="C90" s="72">
        <f t="shared" si="4"/>
        <v>0.26187396557019504</v>
      </c>
      <c r="D90" s="72">
        <f t="shared" si="5"/>
        <v>0.38476200392370552</v>
      </c>
    </row>
    <row r="91" spans="1:4" x14ac:dyDescent="0.35">
      <c r="A91">
        <f t="shared" si="3"/>
        <v>87</v>
      </c>
      <c r="B91">
        <v>-0.10067849717756344</v>
      </c>
      <c r="C91" s="72">
        <f t="shared" si="4"/>
        <v>-0.26072604397036375</v>
      </c>
      <c r="D91" s="72">
        <f t="shared" si="5"/>
        <v>-0.12357091079636931</v>
      </c>
    </row>
    <row r="92" spans="1:4" x14ac:dyDescent="0.35">
      <c r="A92">
        <f t="shared" si="3"/>
        <v>88</v>
      </c>
      <c r="B92">
        <v>0.24606536316588329</v>
      </c>
      <c r="C92" s="72">
        <f t="shared" si="4"/>
        <v>0.28633676203690867</v>
      </c>
      <c r="D92" s="72">
        <f t="shared" si="5"/>
        <v>0.24228775367882632</v>
      </c>
    </row>
    <row r="93" spans="1:4" x14ac:dyDescent="0.35">
      <c r="A93">
        <f t="shared" si="3"/>
        <v>89</v>
      </c>
      <c r="B93">
        <v>0.12154161546185811</v>
      </c>
      <c r="C93" s="72">
        <f t="shared" si="4"/>
        <v>2.3115470195504792E-2</v>
      </c>
      <c r="D93" s="72">
        <f t="shared" si="5"/>
        <v>0.10948316966521845</v>
      </c>
    </row>
    <row r="94" spans="1:4" x14ac:dyDescent="0.35">
      <c r="A94">
        <f t="shared" si="3"/>
        <v>90</v>
      </c>
      <c r="B94">
        <v>-0.64956989756150918</v>
      </c>
      <c r="C94" s="72">
        <f t="shared" si="4"/>
        <v>-0.69818654374625244</v>
      </c>
      <c r="D94" s="72">
        <f t="shared" si="5"/>
        <v>-0.65915935664718117</v>
      </c>
    </row>
    <row r="95" spans="1:4" x14ac:dyDescent="0.35">
      <c r="A95">
        <f t="shared" si="3"/>
        <v>91</v>
      </c>
      <c r="B95">
        <v>0.6011857555182194</v>
      </c>
      <c r="C95" s="72">
        <f t="shared" si="4"/>
        <v>0.86101371454282316</v>
      </c>
      <c r="D95" s="72">
        <f t="shared" si="5"/>
        <v>0.62604485477527849</v>
      </c>
    </row>
    <row r="96" spans="1:4" x14ac:dyDescent="0.35">
      <c r="A96">
        <f t="shared" si="3"/>
        <v>92</v>
      </c>
      <c r="B96">
        <v>0.44718607623193701</v>
      </c>
      <c r="C96" s="72">
        <f t="shared" si="4"/>
        <v>0.20671177402464924</v>
      </c>
      <c r="D96" s="72">
        <f t="shared" si="5"/>
        <v>0.42987639151277202</v>
      </c>
    </row>
    <row r="97" spans="1:4" x14ac:dyDescent="0.35">
      <c r="A97">
        <f t="shared" si="3"/>
        <v>93</v>
      </c>
      <c r="B97">
        <v>-7.9606486546142483E-2</v>
      </c>
      <c r="C97" s="72">
        <f t="shared" si="4"/>
        <v>-0.25848091703891729</v>
      </c>
      <c r="D97" s="72">
        <f t="shared" si="5"/>
        <v>-0.10524397283695924</v>
      </c>
    </row>
    <row r="98" spans="1:4" x14ac:dyDescent="0.35">
      <c r="A98">
        <f t="shared" si="3"/>
        <v>94</v>
      </c>
      <c r="B98">
        <v>0.14220353155740251</v>
      </c>
      <c r="C98" s="72">
        <f t="shared" si="4"/>
        <v>0.17404612617585952</v>
      </c>
      <c r="D98" s="72">
        <f t="shared" si="5"/>
        <v>0.13653007479081769</v>
      </c>
    </row>
    <row r="99" spans="1:4" x14ac:dyDescent="0.35">
      <c r="A99">
        <f t="shared" si="3"/>
        <v>95</v>
      </c>
      <c r="B99">
        <v>0.77169994942716358</v>
      </c>
      <c r="C99" s="72">
        <f t="shared" si="4"/>
        <v>0.7148185368042026</v>
      </c>
      <c r="D99" s="72">
        <f t="shared" si="5"/>
        <v>0.76348706539909772</v>
      </c>
    </row>
    <row r="100" spans="1:4" x14ac:dyDescent="0.35">
      <c r="A100">
        <f t="shared" si="3"/>
        <v>96</v>
      </c>
      <c r="B100">
        <v>-0.12293261993415876</v>
      </c>
      <c r="C100" s="72">
        <f t="shared" si="4"/>
        <v>-0.43161259970502425</v>
      </c>
      <c r="D100" s="72">
        <f t="shared" si="5"/>
        <v>-0.159454306880976</v>
      </c>
    </row>
    <row r="101" spans="1:4" x14ac:dyDescent="0.35">
      <c r="A101">
        <f t="shared" si="3"/>
        <v>97</v>
      </c>
      <c r="B101">
        <v>0.46496436932208723</v>
      </c>
      <c r="C101" s="72">
        <f t="shared" si="4"/>
        <v>0.51413741729575069</v>
      </c>
      <c r="D101" s="72">
        <f t="shared" si="5"/>
        <v>0.45729714597892951</v>
      </c>
    </row>
    <row r="102" spans="1:4" x14ac:dyDescent="0.35">
      <c r="A102">
        <f t="shared" si="3"/>
        <v>98</v>
      </c>
      <c r="B102">
        <v>0.31875260921576248</v>
      </c>
      <c r="C102" s="72">
        <f t="shared" si="4"/>
        <v>0.13276686148692757</v>
      </c>
      <c r="D102" s="72">
        <f t="shared" si="5"/>
        <v>0.29577841230852203</v>
      </c>
    </row>
    <row r="103" spans="1:4" x14ac:dyDescent="0.35">
      <c r="A103">
        <f t="shared" si="3"/>
        <v>99</v>
      </c>
      <c r="B103">
        <v>-0.48810125234772345</v>
      </c>
      <c r="C103" s="72">
        <f t="shared" si="4"/>
        <v>-0.61560229603402838</v>
      </c>
      <c r="D103" s="72">
        <f t="shared" si="5"/>
        <v>-0.51016691749750298</v>
      </c>
    </row>
    <row r="104" spans="1:4" x14ac:dyDescent="0.35">
      <c r="A104">
        <f t="shared" si="3"/>
        <v>100</v>
      </c>
      <c r="B104">
        <v>-0.25274879361122082</v>
      </c>
      <c r="C104" s="72">
        <f t="shared" si="4"/>
        <v>-5.7508292672131422E-2</v>
      </c>
      <c r="D104" s="72">
        <f t="shared" si="5"/>
        <v>-0.23936619651081456</v>
      </c>
    </row>
    <row r="105" spans="1:4" x14ac:dyDescent="0.35">
      <c r="A105">
        <f t="shared" si="3"/>
        <v>101</v>
      </c>
      <c r="B105">
        <v>0.54117532652533107</v>
      </c>
      <c r="C105" s="72">
        <f t="shared" si="4"/>
        <v>0.64227484396981938</v>
      </c>
      <c r="D105" s="72">
        <f t="shared" si="5"/>
        <v>0.55694858455491303</v>
      </c>
    </row>
    <row r="106" spans="1:4" x14ac:dyDescent="0.35">
      <c r="A106">
        <f t="shared" si="3"/>
        <v>102</v>
      </c>
      <c r="B106">
        <v>0.41588929488972975</v>
      </c>
      <c r="C106" s="72">
        <f t="shared" si="4"/>
        <v>0.19941916427959733</v>
      </c>
      <c r="D106" s="72">
        <f t="shared" si="5"/>
        <v>0.39795321001880146</v>
      </c>
    </row>
    <row r="107" spans="1:4" x14ac:dyDescent="0.35">
      <c r="A107">
        <f t="shared" si="3"/>
        <v>103</v>
      </c>
      <c r="B107">
        <v>0.16041617374482156</v>
      </c>
      <c r="C107" s="72">
        <f t="shared" si="4"/>
        <v>-5.9395442110703467E-3</v>
      </c>
      <c r="D107" s="72">
        <f t="shared" si="5"/>
        <v>0.13591782465732299</v>
      </c>
    </row>
    <row r="108" spans="1:4" x14ac:dyDescent="0.35">
      <c r="A108">
        <f t="shared" si="3"/>
        <v>104</v>
      </c>
      <c r="B108">
        <v>-1.3475817579209382</v>
      </c>
      <c r="C108" s="72">
        <f t="shared" si="4"/>
        <v>-1.4117482274188669</v>
      </c>
      <c r="D108" s="72">
        <f t="shared" si="5"/>
        <v>-1.3632979460722419</v>
      </c>
    </row>
    <row r="109" spans="1:4" x14ac:dyDescent="0.35">
      <c r="A109">
        <f t="shared" si="3"/>
        <v>105</v>
      </c>
      <c r="B109">
        <v>0.27028380803135105</v>
      </c>
      <c r="C109" s="72">
        <f t="shared" si="4"/>
        <v>0.80931651119972625</v>
      </c>
      <c r="D109" s="72">
        <f t="shared" si="5"/>
        <v>0.32334515892854837</v>
      </c>
    </row>
    <row r="110" spans="1:4" x14ac:dyDescent="0.35">
      <c r="A110">
        <f t="shared" si="3"/>
        <v>106</v>
      </c>
      <c r="B110">
        <v>-0.36664722071372097</v>
      </c>
      <c r="C110" s="72">
        <f t="shared" si="4"/>
        <v>-0.47476074392626139</v>
      </c>
      <c r="D110" s="72">
        <f t="shared" si="5"/>
        <v>-0.35949871731823563</v>
      </c>
    </row>
    <row r="111" spans="1:4" x14ac:dyDescent="0.35">
      <c r="A111">
        <f t="shared" si="3"/>
        <v>107</v>
      </c>
      <c r="B111">
        <v>0.3629695180051602</v>
      </c>
      <c r="C111" s="72">
        <f t="shared" si="4"/>
        <v>0.50962840629064865</v>
      </c>
      <c r="D111" s="72">
        <f t="shared" si="5"/>
        <v>0.381478812653955</v>
      </c>
    </row>
    <row r="112" spans="1:4" x14ac:dyDescent="0.35">
      <c r="A112">
        <f t="shared" si="3"/>
        <v>108</v>
      </c>
      <c r="B112">
        <v>3.405456366832614E-2</v>
      </c>
      <c r="C112" s="72">
        <f t="shared" si="4"/>
        <v>-0.11113324353373795</v>
      </c>
      <c r="D112" s="72">
        <f t="shared" si="5"/>
        <v>2.4851538796757874E-2</v>
      </c>
    </row>
    <row r="113" spans="1:4" x14ac:dyDescent="0.35">
      <c r="A113">
        <f t="shared" si="3"/>
        <v>109</v>
      </c>
      <c r="B113">
        <v>0.22472251974334059</v>
      </c>
      <c r="C113" s="72">
        <f t="shared" si="4"/>
        <v>0.21110069427601014</v>
      </c>
      <c r="D113" s="72">
        <f t="shared" si="5"/>
        <v>0.21995945911892298</v>
      </c>
    </row>
    <row r="114" spans="1:4" x14ac:dyDescent="0.35">
      <c r="A114">
        <f t="shared" si="3"/>
        <v>110</v>
      </c>
      <c r="B114">
        <v>0.2383581719603089</v>
      </c>
      <c r="C114" s="72">
        <f t="shared" si="4"/>
        <v>0.14846916406297267</v>
      </c>
      <c r="D114" s="72">
        <f t="shared" si="5"/>
        <v>0.22687755314683294</v>
      </c>
    </row>
    <row r="115" spans="1:4" x14ac:dyDescent="0.35">
      <c r="A115">
        <f t="shared" si="3"/>
        <v>111</v>
      </c>
      <c r="B115">
        <v>2.9018813129743858E-3</v>
      </c>
      <c r="C115" s="72">
        <f t="shared" si="4"/>
        <v>-9.2441387471149175E-2</v>
      </c>
      <c r="D115" s="72">
        <f t="shared" si="5"/>
        <v>-1.156692300034308E-2</v>
      </c>
    </row>
    <row r="116" spans="1:4" x14ac:dyDescent="0.35">
      <c r="A116">
        <f t="shared" si="3"/>
        <v>112</v>
      </c>
      <c r="B116">
        <v>-7.0164403849902052E-2</v>
      </c>
      <c r="C116" s="72">
        <f t="shared" si="4"/>
        <v>-7.1325156375091806E-2</v>
      </c>
      <c r="D116" s="72">
        <f t="shared" si="5"/>
        <v>-7.5448388004896852E-2</v>
      </c>
    </row>
    <row r="117" spans="1:4" x14ac:dyDescent="0.35">
      <c r="A117">
        <f t="shared" si="3"/>
        <v>113</v>
      </c>
      <c r="B117">
        <v>-0.21069309060190561</v>
      </c>
      <c r="C117" s="72">
        <f t="shared" si="4"/>
        <v>-0.18262732906194479</v>
      </c>
      <c r="D117" s="72">
        <f t="shared" si="5"/>
        <v>-0.20952222408548449</v>
      </c>
    </row>
    <row r="118" spans="1:4" x14ac:dyDescent="0.35">
      <c r="A118">
        <f t="shared" si="3"/>
        <v>114</v>
      </c>
      <c r="B118">
        <v>-0.47693066897558539</v>
      </c>
      <c r="C118" s="72">
        <f t="shared" si="4"/>
        <v>-0.39265343273482312</v>
      </c>
      <c r="D118" s="72">
        <f t="shared" si="5"/>
        <v>-0.46734128718589413</v>
      </c>
    </row>
    <row r="119" spans="1:4" x14ac:dyDescent="0.35">
      <c r="A119">
        <f t="shared" si="3"/>
        <v>115</v>
      </c>
      <c r="B119">
        <v>-1.0820146542971813E-2</v>
      </c>
      <c r="C119" s="72">
        <f t="shared" si="4"/>
        <v>0.17995212104726235</v>
      </c>
      <c r="D119" s="72">
        <f t="shared" si="5"/>
        <v>1.3360160749651101E-2</v>
      </c>
    </row>
    <row r="120" spans="1:4" x14ac:dyDescent="0.35">
      <c r="A120">
        <f t="shared" si="3"/>
        <v>116</v>
      </c>
      <c r="B120">
        <v>-0.53806306600499088</v>
      </c>
      <c r="C120" s="72">
        <f t="shared" si="4"/>
        <v>-0.53373500738780211</v>
      </c>
      <c r="D120" s="72">
        <f t="shared" si="5"/>
        <v>-0.52897254485730827</v>
      </c>
    </row>
    <row r="121" spans="1:4" x14ac:dyDescent="0.35">
      <c r="A121">
        <f t="shared" si="3"/>
        <v>117</v>
      </c>
      <c r="B121">
        <v>-0.37680201240903044</v>
      </c>
      <c r="C121" s="72">
        <f t="shared" si="4"/>
        <v>-0.16157678600703407</v>
      </c>
      <c r="D121" s="72">
        <f t="shared" si="5"/>
        <v>-0.35013828401211533</v>
      </c>
    </row>
    <row r="122" spans="1:4" x14ac:dyDescent="0.35">
      <c r="A122">
        <f t="shared" si="3"/>
        <v>118</v>
      </c>
      <c r="B122">
        <v>6.051836334584762E-2</v>
      </c>
      <c r="C122" s="72">
        <f t="shared" si="4"/>
        <v>0.2112391683094598</v>
      </c>
      <c r="D122" s="72">
        <f t="shared" si="5"/>
        <v>8.642626453188694E-2</v>
      </c>
    </row>
    <row r="123" spans="1:4" x14ac:dyDescent="0.35">
      <c r="A123">
        <f t="shared" si="3"/>
        <v>119</v>
      </c>
      <c r="B123">
        <v>0.908568246574603</v>
      </c>
      <c r="C123" s="72">
        <f t="shared" si="4"/>
        <v>0.88436090123626399</v>
      </c>
      <c r="D123" s="72">
        <f t="shared" si="5"/>
        <v>0.91516905199106746</v>
      </c>
    </row>
    <row r="124" spans="1:4" x14ac:dyDescent="0.35">
      <c r="A124">
        <f t="shared" si="3"/>
        <v>120</v>
      </c>
      <c r="B124">
        <v>-0.36496444622151897</v>
      </c>
      <c r="C124" s="72">
        <f t="shared" si="4"/>
        <v>-0.72839174485136016</v>
      </c>
      <c r="D124" s="72">
        <f t="shared" si="5"/>
        <v>-0.40216375996062104</v>
      </c>
    </row>
    <row r="125" spans="1:4" x14ac:dyDescent="0.35">
      <c r="A125">
        <f t="shared" si="3"/>
        <v>121</v>
      </c>
      <c r="B125">
        <v>-0.46851595528866929</v>
      </c>
      <c r="C125" s="72">
        <f t="shared" si="4"/>
        <v>-0.32253017680006169</v>
      </c>
      <c r="D125" s="72">
        <f t="shared" si="5"/>
        <v>-0.46588846969971809</v>
      </c>
    </row>
    <row r="126" spans="1:4" x14ac:dyDescent="0.35">
      <c r="A126">
        <f t="shared" si="3"/>
        <v>122</v>
      </c>
      <c r="B126">
        <v>1.0250626756055023</v>
      </c>
      <c r="C126" s="72">
        <f t="shared" si="4"/>
        <v>1.21246905772097</v>
      </c>
      <c r="D126" s="72">
        <f t="shared" si="5"/>
        <v>1.0463949795784624</v>
      </c>
    </row>
    <row r="127" spans="1:4" x14ac:dyDescent="0.35">
      <c r="A127">
        <f t="shared" si="3"/>
        <v>123</v>
      </c>
      <c r="B127">
        <v>-0.12821570689953871</v>
      </c>
      <c r="C127" s="72">
        <f t="shared" si="4"/>
        <v>-0.53824077714173968</v>
      </c>
      <c r="D127" s="72">
        <f t="shared" si="5"/>
        <v>-0.16523501952243619</v>
      </c>
    </row>
    <row r="128" spans="1:4" x14ac:dyDescent="0.35">
      <c r="A128">
        <f t="shared" si="3"/>
        <v>124</v>
      </c>
      <c r="B128">
        <v>0.1484634817449306</v>
      </c>
      <c r="C128" s="72">
        <f t="shared" si="4"/>
        <v>0.19974976450474607</v>
      </c>
      <c r="D128" s="72">
        <f t="shared" si="5"/>
        <v>0.14084885725169746</v>
      </c>
    </row>
    <row r="129" spans="1:4" x14ac:dyDescent="0.35">
      <c r="A129">
        <f t="shared" si="3"/>
        <v>125</v>
      </c>
      <c r="B129">
        <v>0.79443782802329266</v>
      </c>
      <c r="C129" s="72">
        <f t="shared" si="4"/>
        <v>0.73505243532532039</v>
      </c>
      <c r="D129" s="72">
        <f t="shared" si="5"/>
        <v>0.78526046932233662</v>
      </c>
    </row>
    <row r="130" spans="1:4" x14ac:dyDescent="0.35">
      <c r="A130">
        <f t="shared" si="3"/>
        <v>126</v>
      </c>
      <c r="B130">
        <v>-0.38803213955391319</v>
      </c>
      <c r="C130" s="72">
        <f t="shared" si="4"/>
        <v>-0.70580727076323035</v>
      </c>
      <c r="D130" s="72">
        <f t="shared" si="5"/>
        <v>-0.42588746800761629</v>
      </c>
    </row>
    <row r="131" spans="1:4" x14ac:dyDescent="0.35">
      <c r="A131">
        <f t="shared" si="3"/>
        <v>127</v>
      </c>
      <c r="B131">
        <v>-1.3998932143015734</v>
      </c>
      <c r="C131" s="72">
        <f t="shared" si="4"/>
        <v>-1.2446803584800081</v>
      </c>
      <c r="D131" s="72">
        <f t="shared" si="5"/>
        <v>-1.3964953812630336</v>
      </c>
    </row>
    <row r="132" spans="1:4" x14ac:dyDescent="0.35">
      <c r="A132">
        <f t="shared" si="3"/>
        <v>128</v>
      </c>
      <c r="B132">
        <v>-0.20867478752123325</v>
      </c>
      <c r="C132" s="72">
        <f t="shared" si="4"/>
        <v>0.35128249819939616</v>
      </c>
      <c r="D132" s="72">
        <f t="shared" si="5"/>
        <v>-0.14652265938050696</v>
      </c>
    </row>
    <row r="133" spans="1:4" x14ac:dyDescent="0.35">
      <c r="A133">
        <f t="shared" si="3"/>
        <v>129</v>
      </c>
      <c r="B133">
        <v>-5.158736597134353E-2</v>
      </c>
      <c r="C133" s="72">
        <f t="shared" si="4"/>
        <v>3.1882549037149779E-2</v>
      </c>
      <c r="D133" s="72">
        <f t="shared" si="5"/>
        <v>-2.0348010777499079E-2</v>
      </c>
    </row>
    <row r="134" spans="1:4" x14ac:dyDescent="0.35">
      <c r="A134">
        <f t="shared" si="3"/>
        <v>130</v>
      </c>
      <c r="B134">
        <v>-2.8380451480331949E-2</v>
      </c>
      <c r="C134" s="72">
        <f t="shared" si="4"/>
        <v>-7.745505091794537E-3</v>
      </c>
      <c r="D134" s="72">
        <f t="shared" si="5"/>
        <v>-1.4998908753158031E-2</v>
      </c>
    </row>
    <row r="135" spans="1:4" x14ac:dyDescent="0.35">
      <c r="A135">
        <f t="shared" ref="A135:A198" si="6">A134+1</f>
        <v>131</v>
      </c>
      <c r="B135">
        <v>-5.0483662879211119E-2</v>
      </c>
      <c r="C135" s="72">
        <f t="shared" ref="C135:C198" si="7">B135-0.4*B134</f>
        <v>-3.9131482287078342E-2</v>
      </c>
      <c r="D135" s="72">
        <f t="shared" ref="D135:D198" si="8">C135-$G$3*D134</f>
        <v>-4.4478105151408515E-2</v>
      </c>
    </row>
    <row r="136" spans="1:4" x14ac:dyDescent="0.35">
      <c r="A136">
        <f t="shared" si="6"/>
        <v>132</v>
      </c>
      <c r="B136">
        <v>0.40466650426540052</v>
      </c>
      <c r="C136" s="72">
        <f t="shared" si="7"/>
        <v>0.42485996941708498</v>
      </c>
      <c r="D136" s="72">
        <f t="shared" si="8"/>
        <v>0.40900497237174782</v>
      </c>
    </row>
    <row r="137" spans="1:4" x14ac:dyDescent="0.35">
      <c r="A137">
        <f t="shared" si="6"/>
        <v>133</v>
      </c>
      <c r="B137">
        <v>0.52315476793853843</v>
      </c>
      <c r="C137" s="72">
        <f t="shared" si="7"/>
        <v>0.36128816623237825</v>
      </c>
      <c r="D137" s="72">
        <f t="shared" si="8"/>
        <v>0.5070851287245387</v>
      </c>
    </row>
    <row r="138" spans="1:4" x14ac:dyDescent="0.35">
      <c r="A138">
        <f t="shared" si="6"/>
        <v>134</v>
      </c>
      <c r="B138">
        <v>0.46996811860365112</v>
      </c>
      <c r="C138" s="72">
        <f t="shared" si="7"/>
        <v>0.26070621142823575</v>
      </c>
      <c r="D138" s="72">
        <f t="shared" si="8"/>
        <v>0.44146555785932762</v>
      </c>
    </row>
    <row r="139" spans="1:4" x14ac:dyDescent="0.35">
      <c r="A139">
        <f t="shared" si="6"/>
        <v>135</v>
      </c>
      <c r="B139">
        <v>-0.3959891061252318</v>
      </c>
      <c r="C139" s="72">
        <f t="shared" si="7"/>
        <v>-0.5839763535666922</v>
      </c>
      <c r="D139" s="72">
        <f t="shared" si="8"/>
        <v>-0.42660824870586467</v>
      </c>
    </row>
    <row r="140" spans="1:4" x14ac:dyDescent="0.35">
      <c r="A140">
        <f t="shared" si="6"/>
        <v>136</v>
      </c>
      <c r="B140">
        <v>-0.17505628644392887</v>
      </c>
      <c r="C140" s="72">
        <f t="shared" si="7"/>
        <v>-1.6660643993836127E-2</v>
      </c>
      <c r="D140" s="72">
        <f t="shared" si="8"/>
        <v>-0.16873260163958034</v>
      </c>
    </row>
    <row r="141" spans="1:4" x14ac:dyDescent="0.35">
      <c r="A141">
        <f t="shared" si="6"/>
        <v>137</v>
      </c>
      <c r="B141">
        <v>-0.14587797149207959</v>
      </c>
      <c r="C141" s="72">
        <f t="shared" si="7"/>
        <v>-7.585545691450804E-2</v>
      </c>
      <c r="D141" s="72">
        <f t="shared" si="8"/>
        <v>-0.13600313837127717</v>
      </c>
    </row>
    <row r="142" spans="1:4" x14ac:dyDescent="0.35">
      <c r="A142">
        <f t="shared" si="6"/>
        <v>138</v>
      </c>
      <c r="B142">
        <v>7.4800791128076916E-2</v>
      </c>
      <c r="C142" s="72">
        <f t="shared" si="7"/>
        <v>0.13315197972490875</v>
      </c>
      <c r="D142" s="72">
        <f t="shared" si="8"/>
        <v>8.4671286815604416E-2</v>
      </c>
    </row>
    <row r="143" spans="1:4" x14ac:dyDescent="0.35">
      <c r="A143">
        <f t="shared" si="6"/>
        <v>139</v>
      </c>
      <c r="B143">
        <v>-4.2638486055452611E-2</v>
      </c>
      <c r="C143" s="72">
        <f t="shared" si="7"/>
        <v>-7.2558802506683381E-2</v>
      </c>
      <c r="D143" s="72">
        <f t="shared" si="8"/>
        <v>-4.2376244195882852E-2</v>
      </c>
    </row>
    <row r="144" spans="1:4" x14ac:dyDescent="0.35">
      <c r="A144">
        <f t="shared" si="6"/>
        <v>140</v>
      </c>
      <c r="B144">
        <v>-0.71818931431281108</v>
      </c>
      <c r="C144" s="72">
        <f t="shared" si="7"/>
        <v>-0.70113391989063001</v>
      </c>
      <c r="D144" s="72">
        <f t="shared" si="8"/>
        <v>-0.71623967190571858</v>
      </c>
    </row>
    <row r="145" spans="1:4" x14ac:dyDescent="0.35">
      <c r="A145">
        <f t="shared" si="6"/>
        <v>141</v>
      </c>
      <c r="B145">
        <v>0.24957308195370337</v>
      </c>
      <c r="C145" s="72">
        <f t="shared" si="7"/>
        <v>0.53684880767882781</v>
      </c>
      <c r="D145" s="72">
        <f t="shared" si="8"/>
        <v>0.28153267307369112</v>
      </c>
    </row>
    <row r="146" spans="1:4" x14ac:dyDescent="0.35">
      <c r="A146">
        <f t="shared" si="6"/>
        <v>142</v>
      </c>
      <c r="B146">
        <v>-0.91751252484688361</v>
      </c>
      <c r="C146" s="72">
        <f t="shared" si="7"/>
        <v>-1.017341757628365</v>
      </c>
      <c r="D146" s="72">
        <f t="shared" si="8"/>
        <v>-0.91698452153311516</v>
      </c>
    </row>
    <row r="147" spans="1:4" x14ac:dyDescent="0.35">
      <c r="A147">
        <f t="shared" si="6"/>
        <v>143</v>
      </c>
      <c r="B147">
        <v>2.5075431761081166E-2</v>
      </c>
      <c r="C147" s="72">
        <f t="shared" si="7"/>
        <v>0.39208044169983464</v>
      </c>
      <c r="D147" s="72">
        <f t="shared" si="8"/>
        <v>6.5205300997779381E-2</v>
      </c>
    </row>
    <row r="148" spans="1:4" x14ac:dyDescent="0.35">
      <c r="A148">
        <f t="shared" si="6"/>
        <v>144</v>
      </c>
      <c r="B148">
        <v>0.25095282799290247</v>
      </c>
      <c r="C148" s="72">
        <f t="shared" si="7"/>
        <v>0.24092265528847001</v>
      </c>
      <c r="D148" s="72">
        <f t="shared" si="8"/>
        <v>0.26416622313248761</v>
      </c>
    </row>
    <row r="149" spans="1:4" x14ac:dyDescent="0.35">
      <c r="A149">
        <f t="shared" si="6"/>
        <v>145</v>
      </c>
      <c r="B149">
        <v>-0.13079037606187624</v>
      </c>
      <c r="C149" s="72">
        <f t="shared" si="7"/>
        <v>-0.23117150725903723</v>
      </c>
      <c r="D149" s="72">
        <f t="shared" si="8"/>
        <v>-0.13700484541528651</v>
      </c>
    </row>
    <row r="150" spans="1:4" x14ac:dyDescent="0.35">
      <c r="A150">
        <f t="shared" si="6"/>
        <v>146</v>
      </c>
      <c r="B150">
        <v>3.9347252655179736E-2</v>
      </c>
      <c r="C150" s="72">
        <f t="shared" si="7"/>
        <v>9.1663403079930234E-2</v>
      </c>
      <c r="D150" s="72">
        <f t="shared" si="8"/>
        <v>4.2825634207767388E-2</v>
      </c>
    </row>
    <row r="151" spans="1:4" x14ac:dyDescent="0.35">
      <c r="A151">
        <f t="shared" si="6"/>
        <v>147</v>
      </c>
      <c r="B151">
        <v>-0.24956702482861567</v>
      </c>
      <c r="C151" s="72">
        <f t="shared" si="7"/>
        <v>-0.26530592589068758</v>
      </c>
      <c r="D151" s="72">
        <f t="shared" si="8"/>
        <v>-0.25003998096076197</v>
      </c>
    </row>
    <row r="152" spans="1:4" x14ac:dyDescent="0.35">
      <c r="A152">
        <f t="shared" si="6"/>
        <v>148</v>
      </c>
      <c r="B152">
        <v>-4.3466069434543744E-2</v>
      </c>
      <c r="C152" s="72">
        <f t="shared" si="7"/>
        <v>5.6360740496902526E-2</v>
      </c>
      <c r="D152" s="72">
        <f t="shared" si="8"/>
        <v>-3.2770375719803096E-2</v>
      </c>
    </row>
    <row r="153" spans="1:4" x14ac:dyDescent="0.35">
      <c r="A153">
        <f t="shared" si="6"/>
        <v>149</v>
      </c>
      <c r="B153">
        <v>-9.4167699304106664E-2</v>
      </c>
      <c r="C153" s="72">
        <f t="shared" si="7"/>
        <v>-7.6781271530289158E-2</v>
      </c>
      <c r="D153" s="72">
        <f t="shared" si="8"/>
        <v>-8.8462844035308824E-2</v>
      </c>
    </row>
    <row r="154" spans="1:4" x14ac:dyDescent="0.35">
      <c r="A154">
        <f t="shared" si="6"/>
        <v>150</v>
      </c>
      <c r="B154">
        <v>1.0789945199254356</v>
      </c>
      <c r="C154" s="72">
        <f t="shared" si="7"/>
        <v>1.1166615996470783</v>
      </c>
      <c r="D154" s="72">
        <f t="shared" si="8"/>
        <v>1.0851274745752613</v>
      </c>
    </row>
    <row r="155" spans="1:4" x14ac:dyDescent="0.35">
      <c r="A155">
        <f t="shared" si="6"/>
        <v>151</v>
      </c>
      <c r="B155">
        <v>0.19457012465328444</v>
      </c>
      <c r="C155" s="72">
        <f t="shared" si="7"/>
        <v>-0.23702768331688984</v>
      </c>
      <c r="D155" s="72">
        <f t="shared" si="8"/>
        <v>0.14978494830575317</v>
      </c>
    </row>
    <row r="156" spans="1:4" x14ac:dyDescent="0.35">
      <c r="A156">
        <f t="shared" si="6"/>
        <v>152</v>
      </c>
      <c r="B156">
        <v>-0.93304167847339614</v>
      </c>
      <c r="C156" s="72">
        <f t="shared" si="7"/>
        <v>-1.0108697283347099</v>
      </c>
      <c r="D156" s="72">
        <f t="shared" si="8"/>
        <v>-0.95747626868215785</v>
      </c>
    </row>
    <row r="157" spans="1:4" x14ac:dyDescent="0.35">
      <c r="A157">
        <f t="shared" si="6"/>
        <v>153</v>
      </c>
      <c r="B157">
        <v>-0.16706237349180128</v>
      </c>
      <c r="C157" s="72">
        <f t="shared" si="7"/>
        <v>0.20615429789755721</v>
      </c>
      <c r="D157" s="72">
        <f t="shared" si="8"/>
        <v>-0.13515483294915873</v>
      </c>
    </row>
    <row r="158" spans="1:4" x14ac:dyDescent="0.35">
      <c r="A158">
        <f t="shared" si="6"/>
        <v>154</v>
      </c>
      <c r="B158">
        <v>0.25997599923618075</v>
      </c>
      <c r="C158" s="72">
        <f t="shared" si="7"/>
        <v>0.32680094863290127</v>
      </c>
      <c r="D158" s="72">
        <f t="shared" si="8"/>
        <v>0.27862264900036643</v>
      </c>
    </row>
    <row r="159" spans="1:4" x14ac:dyDescent="0.35">
      <c r="A159">
        <f t="shared" si="6"/>
        <v>155</v>
      </c>
      <c r="B159">
        <v>-0.66600962106369432</v>
      </c>
      <c r="C159" s="72">
        <f t="shared" si="7"/>
        <v>-0.77000002075816665</v>
      </c>
      <c r="D159" s="72">
        <f t="shared" si="8"/>
        <v>-0.67068011354478718</v>
      </c>
    </row>
    <row r="160" spans="1:4" x14ac:dyDescent="0.35">
      <c r="A160">
        <f t="shared" si="6"/>
        <v>156</v>
      </c>
      <c r="B160">
        <v>0.11797693608631241</v>
      </c>
      <c r="C160" s="72">
        <f t="shared" si="7"/>
        <v>0.38438078451179014</v>
      </c>
      <c r="D160" s="72">
        <f t="shared" si="8"/>
        <v>0.14530514982769291</v>
      </c>
    </row>
    <row r="161" spans="1:4" x14ac:dyDescent="0.35">
      <c r="A161">
        <f t="shared" si="6"/>
        <v>157</v>
      </c>
      <c r="B161">
        <v>-0.38200653711381494</v>
      </c>
      <c r="C161" s="72">
        <f t="shared" si="7"/>
        <v>-0.4291973115483399</v>
      </c>
      <c r="D161" s="72">
        <f t="shared" si="8"/>
        <v>-0.37740075426812514</v>
      </c>
    </row>
    <row r="162" spans="1:4" x14ac:dyDescent="0.35">
      <c r="A162">
        <f t="shared" si="6"/>
        <v>158</v>
      </c>
      <c r="B162">
        <v>0.65451858323512313</v>
      </c>
      <c r="C162" s="72">
        <f t="shared" si="7"/>
        <v>0.80732119808064917</v>
      </c>
      <c r="D162" s="72">
        <f t="shared" si="8"/>
        <v>0.6727901108533495</v>
      </c>
    </row>
    <row r="163" spans="1:4" x14ac:dyDescent="0.35">
      <c r="A163">
        <f t="shared" si="6"/>
        <v>159</v>
      </c>
      <c r="B163">
        <v>0.31230951248154232</v>
      </c>
      <c r="C163" s="72">
        <f t="shared" si="7"/>
        <v>5.0502079187493054E-2</v>
      </c>
      <c r="D163" s="72">
        <f t="shared" si="8"/>
        <v>0.2903298592469169</v>
      </c>
    </row>
    <row r="164" spans="1:4" x14ac:dyDescent="0.35">
      <c r="A164">
        <f t="shared" si="6"/>
        <v>160</v>
      </c>
      <c r="B164">
        <v>-0.11414619211828736</v>
      </c>
      <c r="C164" s="72">
        <f t="shared" si="7"/>
        <v>-0.23906999711090429</v>
      </c>
      <c r="D164" s="72">
        <f t="shared" si="8"/>
        <v>-0.13557685042978371</v>
      </c>
    </row>
    <row r="165" spans="1:4" x14ac:dyDescent="0.35">
      <c r="A165">
        <f t="shared" si="6"/>
        <v>161</v>
      </c>
      <c r="B165">
        <v>-0.45830678053502522</v>
      </c>
      <c r="C165" s="72">
        <f t="shared" si="7"/>
        <v>-0.41264830368771027</v>
      </c>
      <c r="D165" s="72">
        <f t="shared" si="8"/>
        <v>-0.46097703881846641</v>
      </c>
    </row>
    <row r="166" spans="1:4" x14ac:dyDescent="0.35">
      <c r="A166">
        <f t="shared" si="6"/>
        <v>162</v>
      </c>
      <c r="B166">
        <v>6.3411234207975328E-2</v>
      </c>
      <c r="C166" s="72">
        <f t="shared" si="7"/>
        <v>0.24673394642198543</v>
      </c>
      <c r="D166" s="72">
        <f t="shared" si="8"/>
        <v>8.2410633557034957E-2</v>
      </c>
    </row>
    <row r="167" spans="1:4" x14ac:dyDescent="0.35">
      <c r="A167">
        <f t="shared" si="6"/>
        <v>163</v>
      </c>
      <c r="B167">
        <v>0.50173549649751492</v>
      </c>
      <c r="C167" s="72">
        <f t="shared" si="7"/>
        <v>0.47637100281432476</v>
      </c>
      <c r="D167" s="72">
        <f t="shared" si="8"/>
        <v>0.50574771180638434</v>
      </c>
    </row>
    <row r="168" spans="1:4" x14ac:dyDescent="0.35">
      <c r="A168">
        <f t="shared" si="6"/>
        <v>164</v>
      </c>
      <c r="B168">
        <v>-4.7878140516434735E-2</v>
      </c>
      <c r="C168" s="72">
        <f t="shared" si="7"/>
        <v>-0.24857233911544072</v>
      </c>
      <c r="D168" s="72">
        <f t="shared" si="8"/>
        <v>-6.8289738292407864E-2</v>
      </c>
    </row>
    <row r="169" spans="1:4" x14ac:dyDescent="0.35">
      <c r="A169">
        <f t="shared" si="6"/>
        <v>165</v>
      </c>
      <c r="B169">
        <v>0.14014491224633679</v>
      </c>
      <c r="C169" s="72">
        <f t="shared" si="7"/>
        <v>0.1592961684529107</v>
      </c>
      <c r="D169" s="72">
        <f t="shared" si="8"/>
        <v>0.1349530990895188</v>
      </c>
    </row>
    <row r="170" spans="1:4" x14ac:dyDescent="0.35">
      <c r="A170">
        <f t="shared" si="6"/>
        <v>166</v>
      </c>
      <c r="B170">
        <v>-0.22094875069833905</v>
      </c>
      <c r="C170" s="72">
        <f t="shared" si="7"/>
        <v>-0.27700671559687379</v>
      </c>
      <c r="D170" s="72">
        <f t="shared" si="8"/>
        <v>-0.22890032752032019</v>
      </c>
    </row>
    <row r="171" spans="1:4" x14ac:dyDescent="0.35">
      <c r="A171">
        <f t="shared" si="6"/>
        <v>167</v>
      </c>
      <c r="B171">
        <v>0.60190831699301106</v>
      </c>
      <c r="C171" s="72">
        <f t="shared" si="7"/>
        <v>0.69028781727234667</v>
      </c>
      <c r="D171" s="72">
        <f t="shared" si="8"/>
        <v>0.60869229956409154</v>
      </c>
    </row>
    <row r="172" spans="1:4" x14ac:dyDescent="0.35">
      <c r="A172">
        <f t="shared" si="6"/>
        <v>168</v>
      </c>
      <c r="B172">
        <v>0.57112113782875606</v>
      </c>
      <c r="C172" s="72">
        <f t="shared" si="7"/>
        <v>0.3303578110315516</v>
      </c>
      <c r="D172" s="72">
        <f t="shared" si="8"/>
        <v>0.54733680728725309</v>
      </c>
    </row>
    <row r="173" spans="1:4" x14ac:dyDescent="0.35">
      <c r="A173">
        <f t="shared" si="6"/>
        <v>169</v>
      </c>
      <c r="B173">
        <v>0.42935318255318633</v>
      </c>
      <c r="C173" s="72">
        <f t="shared" si="7"/>
        <v>0.20090472742168389</v>
      </c>
      <c r="D173" s="72">
        <f t="shared" si="8"/>
        <v>0.39601248735890937</v>
      </c>
    </row>
    <row r="174" spans="1:4" x14ac:dyDescent="0.35">
      <c r="A174">
        <f t="shared" si="6"/>
        <v>170</v>
      </c>
      <c r="B174">
        <v>3.2284282684139576E-2</v>
      </c>
      <c r="C174" s="72">
        <f t="shared" si="7"/>
        <v>-0.13945699033713496</v>
      </c>
      <c r="D174" s="72">
        <f t="shared" si="8"/>
        <v>1.7085740595151888E-3</v>
      </c>
    </row>
    <row r="175" spans="1:4" x14ac:dyDescent="0.35">
      <c r="A175">
        <f t="shared" si="6"/>
        <v>171</v>
      </c>
      <c r="B175">
        <v>0.13032847091512376</v>
      </c>
      <c r="C175" s="72">
        <f t="shared" si="7"/>
        <v>0.11741475784146793</v>
      </c>
      <c r="D175" s="72">
        <f t="shared" si="8"/>
        <v>0.11802380889193731</v>
      </c>
    </row>
    <row r="176" spans="1:4" x14ac:dyDescent="0.35">
      <c r="A176">
        <f t="shared" si="6"/>
        <v>172</v>
      </c>
      <c r="B176">
        <v>0.55577904583932602</v>
      </c>
      <c r="C176" s="72">
        <f t="shared" si="7"/>
        <v>0.50364765747327656</v>
      </c>
      <c r="D176" s="72">
        <f t="shared" si="8"/>
        <v>0.54571930452053952</v>
      </c>
    </row>
    <row r="177" spans="1:4" x14ac:dyDescent="0.35">
      <c r="A177">
        <f t="shared" si="6"/>
        <v>173</v>
      </c>
      <c r="B177">
        <v>-0.25846732041896892</v>
      </c>
      <c r="C177" s="72">
        <f t="shared" si="7"/>
        <v>-0.48077893875469935</v>
      </c>
      <c r="D177" s="72">
        <f t="shared" si="8"/>
        <v>-0.28624776591577245</v>
      </c>
    </row>
    <row r="178" spans="1:4" x14ac:dyDescent="0.35">
      <c r="A178">
        <f t="shared" si="6"/>
        <v>174</v>
      </c>
      <c r="B178">
        <v>0.27306064744471714</v>
      </c>
      <c r="C178" s="72">
        <f t="shared" si="7"/>
        <v>0.37644757561230469</v>
      </c>
      <c r="D178" s="72">
        <f t="shared" si="8"/>
        <v>0.27440956236107655</v>
      </c>
    </row>
    <row r="179" spans="1:4" x14ac:dyDescent="0.35">
      <c r="A179">
        <f t="shared" si="6"/>
        <v>175</v>
      </c>
      <c r="B179">
        <v>-0.8071299863914666</v>
      </c>
      <c r="C179" s="72">
        <f t="shared" si="7"/>
        <v>-0.9163542453693535</v>
      </c>
      <c r="D179" s="72">
        <f t="shared" si="8"/>
        <v>-0.81853616643733407</v>
      </c>
    </row>
    <row r="180" spans="1:4" x14ac:dyDescent="0.35">
      <c r="A180">
        <f t="shared" si="6"/>
        <v>176</v>
      </c>
      <c r="B180">
        <v>-9.080471442227743E-2</v>
      </c>
      <c r="C180" s="72">
        <f t="shared" si="7"/>
        <v>0.2320472801343092</v>
      </c>
      <c r="D180" s="72">
        <f t="shared" si="8"/>
        <v>-5.973422575914894E-2</v>
      </c>
    </row>
    <row r="181" spans="1:4" x14ac:dyDescent="0.35">
      <c r="A181">
        <f t="shared" si="6"/>
        <v>177</v>
      </c>
      <c r="B181">
        <v>0.78479208772105447</v>
      </c>
      <c r="C181" s="72">
        <f t="shared" si="7"/>
        <v>0.8211139734899654</v>
      </c>
      <c r="D181" s="72">
        <f t="shared" si="8"/>
        <v>0.79982066592452794</v>
      </c>
    </row>
    <row r="182" spans="1:4" x14ac:dyDescent="0.35">
      <c r="A182">
        <f t="shared" si="6"/>
        <v>178</v>
      </c>
      <c r="B182">
        <v>-0.13451947923937232</v>
      </c>
      <c r="C182" s="72">
        <f t="shared" si="7"/>
        <v>-0.44843631432779418</v>
      </c>
      <c r="D182" s="72">
        <f t="shared" si="8"/>
        <v>-0.16332627531275706</v>
      </c>
    </row>
    <row r="183" spans="1:4" x14ac:dyDescent="0.35">
      <c r="A183">
        <f t="shared" si="6"/>
        <v>179</v>
      </c>
      <c r="B183">
        <v>0.12925003906509253</v>
      </c>
      <c r="C183" s="72">
        <f t="shared" si="7"/>
        <v>0.18305783076084145</v>
      </c>
      <c r="D183" s="72">
        <f t="shared" si="8"/>
        <v>0.12483732870270273</v>
      </c>
    </row>
    <row r="184" spans="1:4" x14ac:dyDescent="0.35">
      <c r="A184">
        <f t="shared" si="6"/>
        <v>180</v>
      </c>
      <c r="B184">
        <v>-0.39138319355115314</v>
      </c>
      <c r="C184" s="72">
        <f t="shared" si="7"/>
        <v>-0.44308320917719013</v>
      </c>
      <c r="D184" s="72">
        <f t="shared" si="8"/>
        <v>-0.39858276404825776</v>
      </c>
    </row>
    <row r="185" spans="1:4" x14ac:dyDescent="0.35">
      <c r="A185">
        <f t="shared" si="6"/>
        <v>181</v>
      </c>
      <c r="B185">
        <v>0.99268646809453487</v>
      </c>
      <c r="C185" s="72">
        <f t="shared" si="7"/>
        <v>1.1492397455149961</v>
      </c>
      <c r="D185" s="72">
        <f t="shared" si="8"/>
        <v>1.0071579611225392</v>
      </c>
    </row>
    <row r="186" spans="1:4" x14ac:dyDescent="0.35">
      <c r="A186">
        <f t="shared" si="6"/>
        <v>182</v>
      </c>
      <c r="B186">
        <v>1.1045485291507553</v>
      </c>
      <c r="C186" s="72">
        <f t="shared" si="7"/>
        <v>0.70747394191294133</v>
      </c>
      <c r="D186" s="72">
        <f t="shared" si="8"/>
        <v>1.0664929793343227</v>
      </c>
    </row>
    <row r="187" spans="1:4" x14ac:dyDescent="0.35">
      <c r="A187">
        <f t="shared" si="6"/>
        <v>183</v>
      </c>
      <c r="B187">
        <v>-0.34636077127091497</v>
      </c>
      <c r="C187" s="72">
        <f t="shared" si="7"/>
        <v>-0.78818018293121717</v>
      </c>
      <c r="D187" s="72">
        <f t="shared" si="8"/>
        <v>-0.40801014244371098</v>
      </c>
    </row>
    <row r="188" spans="1:4" x14ac:dyDescent="0.35">
      <c r="A188">
        <f t="shared" si="6"/>
        <v>184</v>
      </c>
      <c r="B188">
        <v>-4.2853859404839843E-2</v>
      </c>
      <c r="C188" s="72">
        <f t="shared" si="7"/>
        <v>9.5690449103526143E-2</v>
      </c>
      <c r="D188" s="72">
        <f t="shared" si="8"/>
        <v>-4.975188889381954E-2</v>
      </c>
    </row>
    <row r="189" spans="1:4" x14ac:dyDescent="0.35">
      <c r="A189">
        <f t="shared" si="6"/>
        <v>185</v>
      </c>
      <c r="B189">
        <v>0.82486687850577067</v>
      </c>
      <c r="C189" s="72">
        <f t="shared" si="7"/>
        <v>0.84200842226770656</v>
      </c>
      <c r="D189" s="72">
        <f t="shared" si="8"/>
        <v>0.82427349294177787</v>
      </c>
    </row>
    <row r="190" spans="1:4" x14ac:dyDescent="0.35">
      <c r="A190">
        <f t="shared" si="6"/>
        <v>186</v>
      </c>
      <c r="B190">
        <v>0.26146176427923473</v>
      </c>
      <c r="C190" s="72">
        <f t="shared" si="7"/>
        <v>-6.8484987123073549E-2</v>
      </c>
      <c r="D190" s="72">
        <f t="shared" si="8"/>
        <v>0.22534168896067114</v>
      </c>
    </row>
    <row r="191" spans="1:4" x14ac:dyDescent="0.35">
      <c r="A191">
        <f t="shared" si="6"/>
        <v>187</v>
      </c>
      <c r="B191">
        <v>-0.35460608851308539</v>
      </c>
      <c r="C191" s="72">
        <f t="shared" si="7"/>
        <v>-0.45919079422477926</v>
      </c>
      <c r="D191" s="72">
        <f t="shared" si="8"/>
        <v>-0.37886381535505131</v>
      </c>
    </row>
    <row r="192" spans="1:4" x14ac:dyDescent="0.35">
      <c r="A192">
        <f t="shared" si="6"/>
        <v>188</v>
      </c>
      <c r="B192">
        <v>-0.26876158315295717</v>
      </c>
      <c r="C192" s="72">
        <f t="shared" si="7"/>
        <v>-0.126919147747723</v>
      </c>
      <c r="D192" s="72">
        <f t="shared" si="8"/>
        <v>-0.26197176864043847</v>
      </c>
    </row>
    <row r="193" spans="1:4" x14ac:dyDescent="0.35">
      <c r="A193">
        <f t="shared" si="6"/>
        <v>189</v>
      </c>
      <c r="B193">
        <v>0.25166944374552108</v>
      </c>
      <c r="C193" s="72">
        <f t="shared" si="7"/>
        <v>0.35917407700670395</v>
      </c>
      <c r="D193" s="72">
        <f t="shared" si="8"/>
        <v>0.26578966677572147</v>
      </c>
    </row>
    <row r="194" spans="1:4" x14ac:dyDescent="0.35">
      <c r="A194">
        <f t="shared" si="6"/>
        <v>190</v>
      </c>
      <c r="B194">
        <v>0.43286071337948057</v>
      </c>
      <c r="C194" s="72">
        <f t="shared" si="7"/>
        <v>0.33219293588127213</v>
      </c>
      <c r="D194" s="72">
        <f t="shared" si="8"/>
        <v>0.42693830255246829</v>
      </c>
    </row>
    <row r="195" spans="1:4" x14ac:dyDescent="0.35">
      <c r="A195">
        <f t="shared" si="6"/>
        <v>191</v>
      </c>
      <c r="B195">
        <v>0.45413848023264791</v>
      </c>
      <c r="C195" s="72">
        <f t="shared" si="7"/>
        <v>0.28099419488085564</v>
      </c>
      <c r="D195" s="72">
        <f t="shared" si="8"/>
        <v>0.4331838059820447</v>
      </c>
    </row>
    <row r="196" spans="1:4" x14ac:dyDescent="0.35">
      <c r="A196">
        <f t="shared" si="6"/>
        <v>192</v>
      </c>
      <c r="B196">
        <v>-1.3324825042722805E-2</v>
      </c>
      <c r="C196" s="72">
        <f t="shared" si="7"/>
        <v>-0.19498021713578198</v>
      </c>
      <c r="D196" s="72">
        <f t="shared" si="8"/>
        <v>-4.0564287307985891E-2</v>
      </c>
    </row>
    <row r="197" spans="1:4" x14ac:dyDescent="0.35">
      <c r="A197">
        <f t="shared" si="6"/>
        <v>193</v>
      </c>
      <c r="B197">
        <v>-0.24539323159004911</v>
      </c>
      <c r="C197" s="72">
        <f t="shared" si="7"/>
        <v>-0.24006330157295999</v>
      </c>
      <c r="D197" s="72">
        <f t="shared" si="8"/>
        <v>-0.25452314992362557</v>
      </c>
    </row>
    <row r="198" spans="1:4" x14ac:dyDescent="0.35">
      <c r="A198">
        <f t="shared" si="6"/>
        <v>194</v>
      </c>
      <c r="B198">
        <v>3.6119098172010637E-2</v>
      </c>
      <c r="C198" s="72">
        <f t="shared" si="7"/>
        <v>0.13427639080803028</v>
      </c>
      <c r="D198" s="72">
        <f t="shared" si="8"/>
        <v>4.3547170750839914E-2</v>
      </c>
    </row>
    <row r="199" spans="1:4" x14ac:dyDescent="0.35">
      <c r="A199">
        <f t="shared" ref="A199:A204" si="9">A198+1</f>
        <v>195</v>
      </c>
      <c r="B199">
        <v>0.30217869836325728</v>
      </c>
      <c r="C199" s="72">
        <f t="shared" ref="C199:C204" si="10">B199-0.4*B198</f>
        <v>0.28773105909445301</v>
      </c>
      <c r="D199" s="72">
        <f t="shared" ref="D199:D204" si="11">C199-$G$3*D198</f>
        <v>0.30325420832117983</v>
      </c>
    </row>
    <row r="200" spans="1:4" x14ac:dyDescent="0.35">
      <c r="A200">
        <f t="shared" si="9"/>
        <v>196</v>
      </c>
      <c r="B200">
        <v>0.2364922796416036</v>
      </c>
      <c r="C200" s="72">
        <f t="shared" si="10"/>
        <v>0.11562080029630069</v>
      </c>
      <c r="D200" s="72">
        <f t="shared" si="11"/>
        <v>0.22372105682816221</v>
      </c>
    </row>
    <row r="201" spans="1:4" x14ac:dyDescent="0.35">
      <c r="A201">
        <f t="shared" si="9"/>
        <v>197</v>
      </c>
      <c r="B201">
        <v>-0.70478339276739954</v>
      </c>
      <c r="C201" s="72">
        <f t="shared" si="10"/>
        <v>-0.79938030462404097</v>
      </c>
      <c r="D201" s="72">
        <f t="shared" si="11"/>
        <v>-0.71963102836967929</v>
      </c>
    </row>
    <row r="202" spans="1:4" x14ac:dyDescent="0.35">
      <c r="A202">
        <f t="shared" si="9"/>
        <v>198</v>
      </c>
      <c r="B202">
        <v>-0.30303035315709964</v>
      </c>
      <c r="C202" s="72">
        <f t="shared" si="10"/>
        <v>-2.1116996050139836E-2</v>
      </c>
      <c r="D202" s="72">
        <f t="shared" si="11"/>
        <v>-0.27764203887051508</v>
      </c>
    </row>
    <row r="203" spans="1:4" x14ac:dyDescent="0.35">
      <c r="A203">
        <f t="shared" si="9"/>
        <v>199</v>
      </c>
      <c r="B203">
        <v>4.980264955195015E-2</v>
      </c>
      <c r="C203" s="72">
        <f t="shared" si="10"/>
        <v>0.17101479081479001</v>
      </c>
      <c r="D203" s="72">
        <f t="shared" si="11"/>
        <v>7.2044439200923974E-2</v>
      </c>
    </row>
    <row r="204" spans="1:4" x14ac:dyDescent="0.35">
      <c r="A204">
        <f t="shared" si="9"/>
        <v>200</v>
      </c>
      <c r="B204" s="4">
        <v>-1.0568000762886942</v>
      </c>
      <c r="C204" s="76">
        <f t="shared" si="10"/>
        <v>-1.0767211361094742</v>
      </c>
      <c r="D204" s="76">
        <f t="shared" si="11"/>
        <v>-1.0510396380605975</v>
      </c>
    </row>
    <row r="206" spans="1:4" x14ac:dyDescent="0.35">
      <c r="B206" s="20" t="s">
        <v>230</v>
      </c>
    </row>
    <row r="207" spans="1:4" x14ac:dyDescent="0.35">
      <c r="B207" t="e" cm="1">
        <f t="array" aca="1" ref="B207" ca="1">FTEXT(C6)</f>
        <v>#NAME?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86"/>
  <dimension ref="A1:L208"/>
  <sheetViews>
    <sheetView workbookViewId="0"/>
  </sheetViews>
  <sheetFormatPr defaultRowHeight="14.5" x14ac:dyDescent="0.35"/>
  <cols>
    <col min="1" max="1" width="4.7265625" customWidth="1"/>
    <col min="5" max="5" width="4" style="71" customWidth="1"/>
    <col min="6" max="6" width="7.81640625" customWidth="1"/>
    <col min="8" max="8" width="2.26953125" customWidth="1"/>
    <col min="9" max="9" width="28.54296875" customWidth="1"/>
    <col min="10" max="10" width="4.81640625" customWidth="1"/>
  </cols>
  <sheetData>
    <row r="1" spans="1:12" x14ac:dyDescent="0.35">
      <c r="A1" s="7" t="s">
        <v>261</v>
      </c>
    </row>
    <row r="2" spans="1:12" x14ac:dyDescent="0.35">
      <c r="A2" s="7"/>
    </row>
    <row r="3" spans="1:12" s="72" customFormat="1" ht="15" customHeight="1" x14ac:dyDescent="0.35">
      <c r="B3" s="82" t="s">
        <v>107</v>
      </c>
      <c r="C3" s="82" t="s">
        <v>110</v>
      </c>
      <c r="D3" s="82" t="s">
        <v>107</v>
      </c>
      <c r="E3" s="73"/>
      <c r="F3" s="90" t="s">
        <v>253</v>
      </c>
      <c r="G3" s="79">
        <v>-0.31991017151129597</v>
      </c>
      <c r="K3" s="82" t="s">
        <v>78</v>
      </c>
      <c r="L3" s="82" t="s">
        <v>77</v>
      </c>
    </row>
    <row r="4" spans="1:12" s="72" customFormat="1" ht="15" customHeight="1" x14ac:dyDescent="0.35">
      <c r="A4" s="72">
        <v>-1</v>
      </c>
      <c r="D4" s="72">
        <v>0</v>
      </c>
      <c r="F4" s="90" t="s">
        <v>260</v>
      </c>
      <c r="G4" s="96">
        <v>-6.5957065622871444E-2</v>
      </c>
      <c r="K4" s="73">
        <v>1</v>
      </c>
      <c r="L4" s="72" t="e" cm="1">
        <f t="array" aca="1" ref="L4" ca="1">ACF($D$6:$D$205,K4)</f>
        <v>#NAME?</v>
      </c>
    </row>
    <row r="5" spans="1:12" s="72" customFormat="1" ht="15" customHeight="1" x14ac:dyDescent="0.35">
      <c r="A5" s="72">
        <v>0</v>
      </c>
      <c r="D5" s="72">
        <v>0</v>
      </c>
      <c r="F5" s="98" t="s">
        <v>254</v>
      </c>
      <c r="G5" s="80">
        <f>VARP(C6:C205)/(1+G3^2+G4^2)</f>
        <v>0.19486088863642675</v>
      </c>
      <c r="I5" s="72" t="e" cm="1">
        <f t="array" aca="1" ref="I5" ca="1">FTEXT(G5)</f>
        <v>#NAME?</v>
      </c>
      <c r="J5"/>
      <c r="K5" s="71">
        <v>2</v>
      </c>
      <c r="L5" s="72" t="e" cm="1">
        <f t="array" aca="1" ref="L5" ca="1">ACF($D$6:$D$205,K5)</f>
        <v>#NAME?</v>
      </c>
    </row>
    <row r="6" spans="1:12" s="72" customFormat="1" ht="15" customHeight="1" x14ac:dyDescent="0.35">
      <c r="A6" s="72">
        <v>1</v>
      </c>
      <c r="B6" s="72">
        <v>-0.51207912635870179</v>
      </c>
      <c r="C6" s="72">
        <f>B6</f>
        <v>-0.51207912635870179</v>
      </c>
      <c r="D6" s="72">
        <f>C6-$G$3*D5-G$4*D4</f>
        <v>-0.51207912635870179</v>
      </c>
      <c r="E6" s="73"/>
      <c r="F6"/>
      <c r="G6"/>
      <c r="H6"/>
      <c r="I6" t="e" cm="1">
        <f t="array" aca="1" ref="I6" ca="1">FTEXT(G6)</f>
        <v>#NAME?</v>
      </c>
      <c r="J6"/>
      <c r="K6" s="71">
        <v>3</v>
      </c>
      <c r="L6" s="72" t="e" cm="1">
        <f t="array" aca="1" ref="L6" ca="1">ACF($D$6:$D$205,K6)</f>
        <v>#NAME?</v>
      </c>
    </row>
    <row r="7" spans="1:12" s="72" customFormat="1" ht="15" customHeight="1" x14ac:dyDescent="0.35">
      <c r="A7" s="72">
        <f>A6+1</f>
        <v>2</v>
      </c>
      <c r="B7" s="72">
        <v>-0.36334374693531363</v>
      </c>
      <c r="C7" s="72">
        <f>B7-0.4*B6</f>
        <v>-0.15851209639183289</v>
      </c>
      <c r="D7" s="72">
        <f t="shared" ref="D7:D70" si="0">C7-$G$3*D6-G$4*D5</f>
        <v>-0.32233141753259975</v>
      </c>
      <c r="E7" s="71"/>
      <c r="F7" s="71" t="s">
        <v>121</v>
      </c>
      <c r="G7" s="19">
        <f>SUMSQ(D6:D205)</f>
        <v>38.96533223726265</v>
      </c>
      <c r="H7"/>
      <c r="I7" t="e" cm="1">
        <f t="array" aca="1" ref="I7" ca="1">FTEXT(G7)</f>
        <v>#NAME?</v>
      </c>
      <c r="J7"/>
      <c r="K7" s="71">
        <v>4</v>
      </c>
      <c r="L7" s="72" t="e" cm="1">
        <f t="array" aca="1" ref="L7" ca="1">ACF($D$6:$D$205,K7)</f>
        <v>#NAME?</v>
      </c>
    </row>
    <row r="8" spans="1:12" s="72" customFormat="1" ht="15" customHeight="1" x14ac:dyDescent="0.35">
      <c r="A8" s="72">
        <f t="shared" ref="A8:A71" si="1">A7+1</f>
        <v>3</v>
      </c>
      <c r="B8" s="72">
        <v>0.11192767204794295</v>
      </c>
      <c r="C8" s="72">
        <f t="shared" ref="C8:C71" si="2">B8-0.4*B7</f>
        <v>0.2572651708220684</v>
      </c>
      <c r="D8" s="72">
        <f t="shared" si="0"/>
        <v>0.12037283521439168</v>
      </c>
      <c r="E8" s="71"/>
      <c r="F8"/>
      <c r="G8"/>
      <c r="H8"/>
      <c r="I8"/>
      <c r="J8"/>
      <c r="K8" s="71">
        <v>5</v>
      </c>
      <c r="L8" s="72" t="e" cm="1">
        <f t="array" aca="1" ref="L8" ca="1">ACF($D$6:$D$205,K8)</f>
        <v>#NAME?</v>
      </c>
    </row>
    <row r="9" spans="1:12" s="72" customFormat="1" ht="15" customHeight="1" x14ac:dyDescent="0.35">
      <c r="A9" s="72">
        <f t="shared" si="1"/>
        <v>4</v>
      </c>
      <c r="B9" s="72">
        <v>2.6947470072676356E-2</v>
      </c>
      <c r="C9" s="72">
        <f t="shared" si="2"/>
        <v>-1.7823598746500826E-2</v>
      </c>
      <c r="D9" s="72">
        <f t="shared" si="0"/>
        <v>-5.7513884627467468E-4</v>
      </c>
      <c r="E9" s="71"/>
      <c r="F9"/>
      <c r="G9"/>
      <c r="H9"/>
      <c r="I9"/>
      <c r="J9"/>
      <c r="K9" s="71">
        <v>6</v>
      </c>
      <c r="L9" s="72" t="e" cm="1">
        <f t="array" aca="1" ref="L9" ca="1">ACF($D$6:$D$205,K9)</f>
        <v>#NAME?</v>
      </c>
    </row>
    <row r="10" spans="1:12" s="72" customFormat="1" ht="15" customHeight="1" x14ac:dyDescent="0.35">
      <c r="A10" s="72">
        <f t="shared" si="1"/>
        <v>5</v>
      </c>
      <c r="B10" s="72">
        <v>-1.6753415454899445E-2</v>
      </c>
      <c r="C10" s="72">
        <f t="shared" si="2"/>
        <v>-2.7532403483969986E-2</v>
      </c>
      <c r="D10" s="72">
        <f t="shared" si="0"/>
        <v>-1.9776957259477802E-2</v>
      </c>
      <c r="E10" s="71"/>
      <c r="F10"/>
      <c r="G10"/>
      <c r="H10"/>
      <c r="I10"/>
      <c r="J10"/>
      <c r="K10" s="17">
        <v>7</v>
      </c>
      <c r="L10" s="77" t="e" cm="1">
        <f t="array" aca="1" ref="L10" ca="1">ACF($D$6:$D$205,K10)</f>
        <v>#NAME?</v>
      </c>
    </row>
    <row r="11" spans="1:12" s="72" customFormat="1" ht="15" customHeight="1" x14ac:dyDescent="0.35">
      <c r="A11" s="72">
        <f t="shared" si="1"/>
        <v>6</v>
      </c>
      <c r="B11" s="72">
        <v>8.1914358993839212E-2</v>
      </c>
      <c r="C11" s="72">
        <f t="shared" si="2"/>
        <v>8.8615725175798993E-2</v>
      </c>
      <c r="D11" s="72">
        <f t="shared" si="0"/>
        <v>8.2250940916321874E-2</v>
      </c>
      <c r="E11" s="71"/>
      <c r="F11"/>
      <c r="G11"/>
      <c r="H11"/>
      <c r="I11"/>
      <c r="J11"/>
      <c r="K11" s="17">
        <v>8</v>
      </c>
      <c r="L11" s="77" t="e" cm="1">
        <f t="array" aca="1" ref="L11" ca="1">ACF($D$6:$D$205,K11)</f>
        <v>#NAME?</v>
      </c>
    </row>
    <row r="12" spans="1:12" s="72" customFormat="1" ht="15" customHeight="1" x14ac:dyDescent="0.35">
      <c r="A12" s="72">
        <f t="shared" si="1"/>
        <v>7</v>
      </c>
      <c r="B12" s="72">
        <v>0.63820678984685353</v>
      </c>
      <c r="C12" s="72">
        <f t="shared" si="2"/>
        <v>0.60544104624931783</v>
      </c>
      <c r="D12" s="72">
        <f t="shared" si="0"/>
        <v>0.63044952879703964</v>
      </c>
      <c r="E12" s="71"/>
      <c r="F12"/>
      <c r="G12"/>
      <c r="H12"/>
      <c r="I12"/>
      <c r="J12"/>
      <c r="K12" s="17">
        <v>9</v>
      </c>
      <c r="L12" s="77" t="e" cm="1">
        <f t="array" aca="1" ref="L12" ca="1">ACF($D$6:$D$205,K12)</f>
        <v>#NAME?</v>
      </c>
    </row>
    <row r="13" spans="1:12" s="72" customFormat="1" ht="15" customHeight="1" x14ac:dyDescent="0.35">
      <c r="A13" s="72">
        <f t="shared" si="1"/>
        <v>8</v>
      </c>
      <c r="B13" s="72">
        <v>0.13169322212412099</v>
      </c>
      <c r="C13" s="72">
        <f t="shared" si="2"/>
        <v>-0.12358949381462042</v>
      </c>
      <c r="D13" s="72">
        <f t="shared" si="0"/>
        <v>8.3522753779617015E-2</v>
      </c>
      <c r="E13" s="71"/>
      <c r="F13"/>
      <c r="G13"/>
      <c r="H13"/>
      <c r="I13"/>
      <c r="J13"/>
      <c r="K13" s="17">
        <v>10</v>
      </c>
      <c r="L13" s="77" t="e" cm="1">
        <f t="array" aca="1" ref="L13" ca="1">ACF($D$6:$D$205,K13)</f>
        <v>#NAME?</v>
      </c>
    </row>
    <row r="14" spans="1:12" s="72" customFormat="1" ht="15" customHeight="1" x14ac:dyDescent="0.35">
      <c r="A14" s="72">
        <f t="shared" si="1"/>
        <v>9</v>
      </c>
      <c r="B14" s="72">
        <v>-5.7137285520943479E-2</v>
      </c>
      <c r="C14" s="72">
        <f t="shared" si="2"/>
        <v>-0.10981457437059187</v>
      </c>
      <c r="D14" s="72">
        <f t="shared" si="0"/>
        <v>-4.1512194941084123E-2</v>
      </c>
      <c r="E14" s="71"/>
      <c r="F14"/>
      <c r="G14"/>
      <c r="H14"/>
      <c r="I14"/>
      <c r="J14"/>
      <c r="K14" s="17">
        <v>11</v>
      </c>
      <c r="L14" s="77" t="e" cm="1">
        <f t="array" aca="1" ref="L14" ca="1">ACF($D$6:$D$205,K14)</f>
        <v>#NAME?</v>
      </c>
    </row>
    <row r="15" spans="1:12" x14ac:dyDescent="0.35">
      <c r="A15" s="72">
        <f t="shared" si="1"/>
        <v>10</v>
      </c>
      <c r="B15" s="72">
        <v>0.54124755369311517</v>
      </c>
      <c r="C15" s="72">
        <f t="shared" si="2"/>
        <v>0.56410246790149254</v>
      </c>
      <c r="D15" s="72">
        <f t="shared" si="0"/>
        <v>0.55633121025012511</v>
      </c>
      <c r="K15" s="17">
        <v>12</v>
      </c>
      <c r="L15" s="77" t="e" cm="1">
        <f t="array" aca="1" ref="L15" ca="1">ACF($D$6:$D$205,K15)</f>
        <v>#NAME?</v>
      </c>
    </row>
    <row r="16" spans="1:12" x14ac:dyDescent="0.35">
      <c r="A16" s="72">
        <f t="shared" si="1"/>
        <v>11</v>
      </c>
      <c r="B16" s="72">
        <v>0.43912452837972638</v>
      </c>
      <c r="C16" s="72">
        <f t="shared" si="2"/>
        <v>0.22262550690248029</v>
      </c>
      <c r="D16" s="72">
        <f t="shared" si="0"/>
        <v>0.39786349722480618</v>
      </c>
      <c r="K16" s="17">
        <v>13</v>
      </c>
      <c r="L16" s="77" t="e" cm="1">
        <f t="array" aca="1" ref="L16" ca="1">ACF($D$6:$D$205,K16)</f>
        <v>#NAME?</v>
      </c>
    </row>
    <row r="17" spans="1:12" x14ac:dyDescent="0.35">
      <c r="A17">
        <f t="shared" si="1"/>
        <v>12</v>
      </c>
      <c r="B17">
        <v>0.54883288339069092</v>
      </c>
      <c r="C17" s="72">
        <f t="shared" si="2"/>
        <v>0.37318307203880036</v>
      </c>
      <c r="D17" s="72">
        <f t="shared" si="0"/>
        <v>0.5371576258165911</v>
      </c>
      <c r="K17" s="17">
        <v>14</v>
      </c>
      <c r="L17" s="77" t="e" cm="1">
        <f t="array" aca="1" ref="L17" ca="1">ACF($D$6:$D$205,K17)</f>
        <v>#NAME?</v>
      </c>
    </row>
    <row r="18" spans="1:12" x14ac:dyDescent="0.35">
      <c r="A18">
        <f t="shared" si="1"/>
        <v>13</v>
      </c>
      <c r="B18">
        <v>0.85693829196286697</v>
      </c>
      <c r="C18" s="72">
        <f t="shared" si="2"/>
        <v>0.63740513860659065</v>
      </c>
      <c r="D18" s="72">
        <f t="shared" si="0"/>
        <v>0.83548923560557853</v>
      </c>
      <c r="K18" s="10">
        <v>15</v>
      </c>
      <c r="L18" s="76" t="e" cm="1">
        <f t="array" aca="1" ref="L18" ca="1">ACF($D$6:$D$205,K18)</f>
        <v>#NAME?</v>
      </c>
    </row>
    <row r="19" spans="1:12" x14ac:dyDescent="0.35">
      <c r="A19">
        <f t="shared" si="1"/>
        <v>14</v>
      </c>
      <c r="B19">
        <v>0.43225906999569413</v>
      </c>
      <c r="C19" s="72">
        <f t="shared" si="2"/>
        <v>8.9483753210547301E-2</v>
      </c>
      <c r="D19" s="72">
        <f t="shared" si="0"/>
        <v>0.39219459864478023</v>
      </c>
    </row>
    <row r="20" spans="1:12" x14ac:dyDescent="0.35">
      <c r="A20">
        <f t="shared" si="1"/>
        <v>15</v>
      </c>
      <c r="B20">
        <v>-6.4599939622106764E-2</v>
      </c>
      <c r="C20" s="72">
        <f t="shared" si="2"/>
        <v>-0.23750356762038444</v>
      </c>
      <c r="D20" s="72">
        <f t="shared" si="0"/>
        <v>-5.6930107962089062E-2</v>
      </c>
      <c r="K20" s="71" t="s">
        <v>92</v>
      </c>
      <c r="L20" s="19" t="e" cm="1">
        <f t="array" aca="1" ref="L20" ca="1">LBTEST(D6:D205,,15)</f>
        <v>#NAME?</v>
      </c>
    </row>
    <row r="21" spans="1:12" x14ac:dyDescent="0.35">
      <c r="A21">
        <f t="shared" si="1"/>
        <v>16</v>
      </c>
      <c r="B21">
        <v>-0.20365610579624818</v>
      </c>
      <c r="C21" s="72">
        <f t="shared" si="2"/>
        <v>-0.17781612994740548</v>
      </c>
      <c r="D21" s="72">
        <f t="shared" si="0"/>
        <v>-0.1701606456699645</v>
      </c>
    </row>
    <row r="22" spans="1:12" x14ac:dyDescent="0.35">
      <c r="A22">
        <f t="shared" si="1"/>
        <v>17</v>
      </c>
      <c r="B22">
        <v>-0.11232162753376856</v>
      </c>
      <c r="C22" s="72">
        <f t="shared" si="2"/>
        <v>-3.0859185215269286E-2</v>
      </c>
      <c r="D22" s="72">
        <f t="shared" si="0"/>
        <v>-8.905024942279316E-2</v>
      </c>
    </row>
    <row r="23" spans="1:12" x14ac:dyDescent="0.35">
      <c r="A23">
        <f t="shared" si="1"/>
        <v>18</v>
      </c>
      <c r="B23">
        <v>-0.12263390545953902</v>
      </c>
      <c r="C23" s="72">
        <f t="shared" si="2"/>
        <v>-7.7705254446031588E-2</v>
      </c>
      <c r="D23" s="72">
        <f t="shared" si="0"/>
        <v>-0.11741663188488506</v>
      </c>
    </row>
    <row r="24" spans="1:12" x14ac:dyDescent="0.35">
      <c r="A24">
        <f t="shared" si="1"/>
        <v>19</v>
      </c>
      <c r="B24">
        <v>0.4997230636303775</v>
      </c>
      <c r="C24" s="72">
        <f t="shared" si="2"/>
        <v>0.54877662581419306</v>
      </c>
      <c r="D24" s="72">
        <f t="shared" si="0"/>
        <v>0.50534035782470854</v>
      </c>
    </row>
    <row r="25" spans="1:12" x14ac:dyDescent="0.35">
      <c r="A25">
        <f t="shared" si="1"/>
        <v>20</v>
      </c>
      <c r="B25">
        <v>-7.107510966411526E-2</v>
      </c>
      <c r="C25" s="72">
        <f t="shared" si="2"/>
        <v>-0.27096433511626627</v>
      </c>
      <c r="D25" s="72">
        <f t="shared" si="0"/>
        <v>-0.11704527106743201</v>
      </c>
    </row>
    <row r="26" spans="1:12" x14ac:dyDescent="0.35">
      <c r="A26">
        <f t="shared" si="1"/>
        <v>21</v>
      </c>
      <c r="B26">
        <v>0.9239136154717118</v>
      </c>
      <c r="C26" s="72">
        <f t="shared" si="2"/>
        <v>0.95234365933735787</v>
      </c>
      <c r="D26" s="72">
        <f t="shared" si="0"/>
        <v>0.94823045373851922</v>
      </c>
    </row>
    <row r="27" spans="1:12" x14ac:dyDescent="0.35">
      <c r="A27">
        <f t="shared" si="1"/>
        <v>22</v>
      </c>
      <c r="B27">
        <v>0.15295754626692404</v>
      </c>
      <c r="C27" s="72">
        <f t="shared" si="2"/>
        <v>-0.21660789992176072</v>
      </c>
      <c r="D27" s="72">
        <f t="shared" si="0"/>
        <v>7.9020704541321568E-2</v>
      </c>
    </row>
    <row r="28" spans="1:12" x14ac:dyDescent="0.35">
      <c r="A28">
        <f t="shared" si="1"/>
        <v>23</v>
      </c>
      <c r="B28">
        <v>0.33328421180909701</v>
      </c>
      <c r="C28" s="72">
        <f t="shared" si="2"/>
        <v>0.2721011933023274</v>
      </c>
      <c r="D28" s="72">
        <f t="shared" si="0"/>
        <v>0.35992321870792165</v>
      </c>
    </row>
    <row r="29" spans="1:12" x14ac:dyDescent="0.35">
      <c r="A29">
        <f t="shared" si="1"/>
        <v>24</v>
      </c>
      <c r="B29">
        <v>0.18774221804470156</v>
      </c>
      <c r="C29" s="72">
        <f t="shared" si="2"/>
        <v>5.4428533321062761E-2</v>
      </c>
      <c r="D29" s="72">
        <f t="shared" si="0"/>
        <v>0.17478360574380916</v>
      </c>
    </row>
    <row r="30" spans="1:12" x14ac:dyDescent="0.35">
      <c r="A30">
        <f t="shared" si="1"/>
        <v>25</v>
      </c>
      <c r="B30">
        <v>0.22501409955220572</v>
      </c>
      <c r="C30" s="72">
        <f t="shared" si="2"/>
        <v>0.14991721233432509</v>
      </c>
      <c r="D30" s="72">
        <f t="shared" si="0"/>
        <v>0.22957174498070329</v>
      </c>
    </row>
    <row r="31" spans="1:12" x14ac:dyDescent="0.35">
      <c r="A31">
        <f t="shared" si="1"/>
        <v>26</v>
      </c>
      <c r="B31">
        <v>0.1013872161540149</v>
      </c>
      <c r="C31" s="72">
        <f t="shared" si="2"/>
        <v>1.1381576333132609E-2</v>
      </c>
      <c r="D31" s="72">
        <f t="shared" si="0"/>
        <v>9.6352126397903401E-2</v>
      </c>
    </row>
    <row r="32" spans="1:12" x14ac:dyDescent="0.35">
      <c r="A32">
        <f t="shared" si="1"/>
        <v>27</v>
      </c>
      <c r="B32">
        <v>0.16772638439529058</v>
      </c>
      <c r="C32" s="72">
        <f t="shared" si="2"/>
        <v>0.12717149793368462</v>
      </c>
      <c r="D32" s="72">
        <f t="shared" si="0"/>
        <v>0.17313740186396534</v>
      </c>
    </row>
    <row r="33" spans="1:4" x14ac:dyDescent="0.35">
      <c r="A33">
        <f t="shared" si="1"/>
        <v>28</v>
      </c>
      <c r="B33">
        <v>-0.31651644142481467</v>
      </c>
      <c r="C33" s="72">
        <f t="shared" si="2"/>
        <v>-0.3836069951829309</v>
      </c>
      <c r="D33" s="72">
        <f t="shared" si="0"/>
        <v>-0.32186347573387986</v>
      </c>
    </row>
    <row r="34" spans="1:4" x14ac:dyDescent="0.35">
      <c r="A34">
        <f t="shared" si="1"/>
        <v>29</v>
      </c>
      <c r="B34">
        <v>-0.59068997433252501</v>
      </c>
      <c r="C34" s="72">
        <f t="shared" si="2"/>
        <v>-0.4640833977625991</v>
      </c>
      <c r="D34" s="72">
        <f t="shared" si="0"/>
        <v>-0.55563116251133149</v>
      </c>
    </row>
    <row r="35" spans="1:4" x14ac:dyDescent="0.35">
      <c r="A35">
        <f t="shared" si="1"/>
        <v>30</v>
      </c>
      <c r="B35">
        <v>0.3060210831404202</v>
      </c>
      <c r="C35" s="72">
        <f t="shared" si="2"/>
        <v>0.54229707287343021</v>
      </c>
      <c r="D35" s="72">
        <f t="shared" si="0"/>
        <v>0.34331584198682435</v>
      </c>
    </row>
    <row r="36" spans="1:4" x14ac:dyDescent="0.35">
      <c r="A36">
        <f t="shared" si="1"/>
        <v>31</v>
      </c>
      <c r="B36">
        <v>-0.62752248082675643</v>
      </c>
      <c r="C36" s="72">
        <f t="shared" si="2"/>
        <v>-0.74993091408292456</v>
      </c>
      <c r="D36" s="72">
        <f t="shared" si="0"/>
        <v>-0.67674848523824682</v>
      </c>
    </row>
    <row r="37" spans="1:4" x14ac:dyDescent="0.35">
      <c r="A37">
        <f t="shared" si="1"/>
        <v>32</v>
      </c>
      <c r="B37">
        <v>0.23702118556121191</v>
      </c>
      <c r="C37" s="72">
        <f t="shared" si="2"/>
        <v>0.4880301778919145</v>
      </c>
      <c r="D37" s="72">
        <f t="shared" si="0"/>
        <v>0.29417555942863355</v>
      </c>
    </row>
    <row r="38" spans="1:4" x14ac:dyDescent="0.35">
      <c r="A38">
        <f t="shared" si="1"/>
        <v>33</v>
      </c>
      <c r="B38">
        <v>-9.8704944770256597E-2</v>
      </c>
      <c r="C38" s="72">
        <f t="shared" si="2"/>
        <v>-0.19351341899474137</v>
      </c>
      <c r="D38" s="72">
        <f t="shared" si="0"/>
        <v>-0.14404000957453367</v>
      </c>
    </row>
    <row r="39" spans="1:4" x14ac:dyDescent="0.35">
      <c r="A39">
        <f t="shared" si="1"/>
        <v>34</v>
      </c>
      <c r="B39">
        <v>0.33462467270222157</v>
      </c>
      <c r="C39" s="72">
        <f t="shared" si="2"/>
        <v>0.37410665061032422</v>
      </c>
      <c r="D39" s="72">
        <f t="shared" si="0"/>
        <v>0.34742974312072572</v>
      </c>
    </row>
    <row r="40" spans="1:4" x14ac:dyDescent="0.35">
      <c r="A40">
        <f t="shared" si="1"/>
        <v>35</v>
      </c>
      <c r="B40">
        <v>7.6903283588442367E-2</v>
      </c>
      <c r="C40" s="72">
        <f t="shared" si="2"/>
        <v>-5.6946585492446272E-2</v>
      </c>
      <c r="D40" s="72">
        <f t="shared" si="0"/>
        <v>4.4699266853604043E-2</v>
      </c>
    </row>
    <row r="41" spans="1:4" x14ac:dyDescent="0.35">
      <c r="A41">
        <f t="shared" si="1"/>
        <v>36</v>
      </c>
      <c r="B41">
        <v>-0.31754085082588029</v>
      </c>
      <c r="C41" s="72">
        <f t="shared" si="2"/>
        <v>-0.34830216426125726</v>
      </c>
      <c r="D41" s="72">
        <f t="shared" si="0"/>
        <v>-0.31108696776934053</v>
      </c>
    </row>
    <row r="42" spans="1:4" x14ac:dyDescent="0.35">
      <c r="A42">
        <f t="shared" si="1"/>
        <v>37</v>
      </c>
      <c r="B42">
        <v>-0.25419372210868713</v>
      </c>
      <c r="C42" s="72">
        <f t="shared" si="2"/>
        <v>-0.12717738177833501</v>
      </c>
      <c r="D42" s="72">
        <f t="shared" si="0"/>
        <v>-0.22374903451519637</v>
      </c>
    </row>
    <row r="43" spans="1:4" x14ac:dyDescent="0.35">
      <c r="A43">
        <f t="shared" si="1"/>
        <v>38</v>
      </c>
      <c r="B43">
        <v>0.62604102360566283</v>
      </c>
      <c r="C43" s="72">
        <f t="shared" si="2"/>
        <v>0.72771851244913766</v>
      </c>
      <c r="D43" s="72">
        <f t="shared" si="0"/>
        <v>0.63562053689431175</v>
      </c>
    </row>
    <row r="44" spans="1:4" x14ac:dyDescent="0.35">
      <c r="A44">
        <f t="shared" si="1"/>
        <v>39</v>
      </c>
      <c r="B44">
        <v>0.65942009251344469</v>
      </c>
      <c r="C44" s="72">
        <f t="shared" si="2"/>
        <v>0.40900368307117957</v>
      </c>
      <c r="D44" s="72">
        <f t="shared" si="0"/>
        <v>0.597587328292568</v>
      </c>
    </row>
    <row r="45" spans="1:4" x14ac:dyDescent="0.35">
      <c r="A45">
        <f t="shared" si="1"/>
        <v>40</v>
      </c>
      <c r="B45">
        <v>3.9187187377916315E-2</v>
      </c>
      <c r="C45" s="72">
        <f t="shared" si="2"/>
        <v>-0.22458084962746155</v>
      </c>
      <c r="D45" s="72">
        <f t="shared" si="0"/>
        <v>8.5170805227739108E-3</v>
      </c>
    </row>
    <row r="46" spans="1:4" x14ac:dyDescent="0.35">
      <c r="A46">
        <f t="shared" si="1"/>
        <v>41</v>
      </c>
      <c r="B46">
        <v>0.17389833870797153</v>
      </c>
      <c r="C46" s="72">
        <f t="shared" si="2"/>
        <v>0.15822346375680502</v>
      </c>
      <c r="D46" s="72">
        <f t="shared" si="0"/>
        <v>0.20036327107521046</v>
      </c>
    </row>
    <row r="47" spans="1:4" x14ac:dyDescent="0.35">
      <c r="A47">
        <f t="shared" si="1"/>
        <v>42</v>
      </c>
      <c r="B47">
        <v>-0.11526190497676622</v>
      </c>
      <c r="C47" s="72">
        <f t="shared" si="2"/>
        <v>-0.18482124045995485</v>
      </c>
      <c r="D47" s="72">
        <f t="shared" si="0"/>
        <v>-0.1201612304067641</v>
      </c>
    </row>
    <row r="48" spans="1:4" x14ac:dyDescent="0.35">
      <c r="A48">
        <f t="shared" si="1"/>
        <v>43</v>
      </c>
      <c r="B48">
        <v>-0.30619159093863518</v>
      </c>
      <c r="C48" s="72">
        <f t="shared" si="2"/>
        <v>-0.26008682894792867</v>
      </c>
      <c r="D48" s="72">
        <f t="shared" si="0"/>
        <v>-0.2853122553576441</v>
      </c>
    </row>
    <row r="49" spans="1:4" x14ac:dyDescent="0.35">
      <c r="A49">
        <f t="shared" si="1"/>
        <v>44</v>
      </c>
      <c r="B49">
        <v>0.1324161057881085</v>
      </c>
      <c r="C49" s="72">
        <f t="shared" si="2"/>
        <v>0.25489274216356261</v>
      </c>
      <c r="D49" s="72">
        <f t="shared" si="0"/>
        <v>0.15569296745856009</v>
      </c>
    </row>
    <row r="50" spans="1:4" x14ac:dyDescent="0.35">
      <c r="A50">
        <f t="shared" si="1"/>
        <v>45</v>
      </c>
      <c r="B50">
        <v>-0.54694148767811068</v>
      </c>
      <c r="C50" s="72">
        <f t="shared" si="2"/>
        <v>-0.59990792999335407</v>
      </c>
      <c r="D50" s="72">
        <f t="shared" si="0"/>
        <v>-0.56891852522021713</v>
      </c>
    </row>
    <row r="51" spans="1:4" x14ac:dyDescent="0.35">
      <c r="A51">
        <f t="shared" si="1"/>
        <v>46</v>
      </c>
      <c r="B51">
        <v>7.5804716770691866E-2</v>
      </c>
      <c r="C51" s="72">
        <f t="shared" si="2"/>
        <v>0.29458131184193614</v>
      </c>
      <c r="D51" s="72">
        <f t="shared" si="0"/>
        <v>0.12284754013446678</v>
      </c>
    </row>
    <row r="52" spans="1:4" x14ac:dyDescent="0.35">
      <c r="A52">
        <f t="shared" si="1"/>
        <v>47</v>
      </c>
      <c r="B52">
        <v>-1.3805346031133389E-2</v>
      </c>
      <c r="C52" s="72">
        <f t="shared" si="2"/>
        <v>-4.412723273941014E-2</v>
      </c>
      <c r="D52" s="72">
        <f t="shared" si="0"/>
        <v>-4.2351251607269165E-2</v>
      </c>
    </row>
    <row r="53" spans="1:4" x14ac:dyDescent="0.35">
      <c r="A53">
        <f t="shared" si="1"/>
        <v>48</v>
      </c>
      <c r="B53">
        <v>0.33052630065869121</v>
      </c>
      <c r="C53" s="72">
        <f t="shared" si="2"/>
        <v>0.33604843907114457</v>
      </c>
      <c r="D53" s="72">
        <f t="shared" si="0"/>
        <v>0.33060250617200237</v>
      </c>
    </row>
    <row r="54" spans="1:4" x14ac:dyDescent="0.35">
      <c r="A54">
        <f t="shared" si="1"/>
        <v>49</v>
      </c>
      <c r="B54">
        <v>6.3089327347226012E-2</v>
      </c>
      <c r="C54" s="72">
        <f t="shared" si="2"/>
        <v>-6.9121192916250476E-2</v>
      </c>
      <c r="D54" s="72">
        <f t="shared" si="0"/>
        <v>3.3848547253827688E-2</v>
      </c>
    </row>
    <row r="55" spans="1:4" x14ac:dyDescent="0.35">
      <c r="A55">
        <f t="shared" si="1"/>
        <v>50</v>
      </c>
      <c r="B55">
        <v>-0.26048714702548137</v>
      </c>
      <c r="C55" s="72">
        <f t="shared" si="2"/>
        <v>-0.28572287796437179</v>
      </c>
      <c r="D55" s="72">
        <f t="shared" si="0"/>
        <v>-0.25308881221231905</v>
      </c>
    </row>
    <row r="56" spans="1:4" x14ac:dyDescent="0.35">
      <c r="A56">
        <f t="shared" si="1"/>
        <v>51</v>
      </c>
      <c r="B56">
        <v>0.64674810862294951</v>
      </c>
      <c r="C56" s="72">
        <f t="shared" si="2"/>
        <v>0.75094296743314204</v>
      </c>
      <c r="D56" s="72">
        <f t="shared" si="0"/>
        <v>0.67220983296316839</v>
      </c>
    </row>
    <row r="57" spans="1:4" x14ac:dyDescent="0.35">
      <c r="A57">
        <f t="shared" si="1"/>
        <v>52</v>
      </c>
      <c r="B57">
        <v>0.70366243241228765</v>
      </c>
      <c r="C57" s="72">
        <f t="shared" si="2"/>
        <v>0.44496318896310783</v>
      </c>
      <c r="D57" s="72">
        <f t="shared" si="0"/>
        <v>0.64331695652243215</v>
      </c>
    </row>
    <row r="58" spans="1:4" x14ac:dyDescent="0.35">
      <c r="A58">
        <f t="shared" si="1"/>
        <v>53</v>
      </c>
      <c r="B58">
        <v>4.8029876219132531E-2</v>
      </c>
      <c r="C58" s="72">
        <f t="shared" si="2"/>
        <v>-0.23343509674578256</v>
      </c>
      <c r="D58" s="72">
        <f t="shared" si="0"/>
        <v>1.6705529216524795E-2</v>
      </c>
    </row>
    <row r="59" spans="1:4" x14ac:dyDescent="0.35">
      <c r="A59">
        <f t="shared" si="1"/>
        <v>54</v>
      </c>
      <c r="B59">
        <v>0.51735363915428434</v>
      </c>
      <c r="C59" s="72">
        <f t="shared" si="2"/>
        <v>0.49814168866663133</v>
      </c>
      <c r="D59" s="72">
        <f t="shared" si="0"/>
        <v>0.54591725610113273</v>
      </c>
    </row>
    <row r="60" spans="1:4" x14ac:dyDescent="0.35">
      <c r="A60">
        <f t="shared" si="1"/>
        <v>55</v>
      </c>
      <c r="B60">
        <v>0.16904804283569394</v>
      </c>
      <c r="C60" s="72">
        <f t="shared" si="2"/>
        <v>-3.7893412826019796E-2</v>
      </c>
      <c r="D60" s="72">
        <f t="shared" si="0"/>
        <v>0.13785291789106879</v>
      </c>
    </row>
    <row r="61" spans="1:4" x14ac:dyDescent="0.35">
      <c r="A61">
        <f t="shared" si="1"/>
        <v>56</v>
      </c>
      <c r="B61">
        <v>0.87765490133672586</v>
      </c>
      <c r="C61" s="72">
        <f t="shared" si="2"/>
        <v>0.81003568420244831</v>
      </c>
      <c r="D61" s="72">
        <f t="shared" si="0"/>
        <v>0.89014333509363297</v>
      </c>
    </row>
    <row r="62" spans="1:4" x14ac:dyDescent="0.35">
      <c r="A62">
        <f t="shared" si="1"/>
        <v>57</v>
      </c>
      <c r="B62">
        <v>0.13484802117187894</v>
      </c>
      <c r="C62" s="72">
        <f t="shared" si="2"/>
        <v>-0.21621393936281141</v>
      </c>
      <c r="D62" s="72">
        <f t="shared" si="0"/>
        <v>7.7644341588275212E-2</v>
      </c>
    </row>
    <row r="63" spans="1:4" x14ac:dyDescent="0.35">
      <c r="A63">
        <f t="shared" si="1"/>
        <v>58</v>
      </c>
      <c r="B63">
        <v>0.27471421248229116</v>
      </c>
      <c r="C63" s="72">
        <f t="shared" si="2"/>
        <v>0.22077500401353958</v>
      </c>
      <c r="D63" s="72">
        <f t="shared" si="0"/>
        <v>0.30432546101445873</v>
      </c>
    </row>
    <row r="64" spans="1:4" x14ac:dyDescent="0.35">
      <c r="A64">
        <f t="shared" si="1"/>
        <v>59</v>
      </c>
      <c r="B64">
        <v>0.75044548677266099</v>
      </c>
      <c r="C64" s="72">
        <f t="shared" si="2"/>
        <v>0.64055980177974448</v>
      </c>
      <c r="D64" s="72">
        <f t="shared" si="0"/>
        <v>0.74303780514151674</v>
      </c>
    </row>
    <row r="65" spans="1:4" x14ac:dyDescent="0.35">
      <c r="A65">
        <f t="shared" si="1"/>
        <v>60</v>
      </c>
      <c r="B65">
        <v>0.43224327377155569</v>
      </c>
      <c r="C65" s="72">
        <f t="shared" si="2"/>
        <v>0.13206507906249126</v>
      </c>
      <c r="D65" s="72">
        <f t="shared" si="0"/>
        <v>0.38984284514753204</v>
      </c>
    </row>
    <row r="66" spans="1:4" x14ac:dyDescent="0.35">
      <c r="A66">
        <f t="shared" si="1"/>
        <v>61</v>
      </c>
      <c r="B66">
        <v>-3.9059421132505837E-2</v>
      </c>
      <c r="C66" s="72">
        <f t="shared" si="2"/>
        <v>-0.21195673064112813</v>
      </c>
      <c r="D66" s="72">
        <f t="shared" si="0"/>
        <v>-3.8233445913536182E-2</v>
      </c>
    </row>
    <row r="67" spans="1:4" x14ac:dyDescent="0.35">
      <c r="A67">
        <f t="shared" si="1"/>
        <v>62</v>
      </c>
      <c r="B67">
        <v>-0.50717404197370719</v>
      </c>
      <c r="C67" s="72">
        <f t="shared" si="2"/>
        <v>-0.49155027352070485</v>
      </c>
      <c r="D67" s="72">
        <f t="shared" si="0"/>
        <v>-0.47806865164036938</v>
      </c>
    </row>
    <row r="68" spans="1:4" x14ac:dyDescent="0.35">
      <c r="A68">
        <f t="shared" si="1"/>
        <v>63</v>
      </c>
      <c r="B68">
        <v>0.51960944946831655</v>
      </c>
      <c r="C68" s="72">
        <f t="shared" si="2"/>
        <v>0.72247906625779945</v>
      </c>
      <c r="D68" s="72">
        <f t="shared" si="0"/>
        <v>0.56701827601624721</v>
      </c>
    </row>
    <row r="69" spans="1:4" x14ac:dyDescent="0.35">
      <c r="A69">
        <f t="shared" si="1"/>
        <v>64</v>
      </c>
      <c r="B69">
        <v>-0.26181646538481168</v>
      </c>
      <c r="C69" s="72">
        <f t="shared" si="2"/>
        <v>-0.46966024517213834</v>
      </c>
      <c r="D69" s="72">
        <f t="shared" si="0"/>
        <v>-0.31979733667022286</v>
      </c>
    </row>
    <row r="70" spans="1:4" x14ac:dyDescent="0.35">
      <c r="A70">
        <f t="shared" si="1"/>
        <v>65</v>
      </c>
      <c r="B70">
        <v>-0.13816887905714118</v>
      </c>
      <c r="C70" s="72">
        <f t="shared" si="2"/>
        <v>-3.34422929032165E-2</v>
      </c>
      <c r="D70" s="72">
        <f t="shared" si="0"/>
        <v>-9.8349852085672096E-2</v>
      </c>
    </row>
    <row r="71" spans="1:4" x14ac:dyDescent="0.35">
      <c r="A71">
        <f t="shared" si="1"/>
        <v>66</v>
      </c>
      <c r="B71">
        <v>-9.6577054658605041E-2</v>
      </c>
      <c r="C71" s="72">
        <f t="shared" si="2"/>
        <v>-4.1309503035748568E-2</v>
      </c>
      <c r="D71" s="72">
        <f t="shared" ref="D71:D134" si="3">C71-$G$3*D70-G$4*D69</f>
        <v>-9.3865515005363914E-2</v>
      </c>
    </row>
    <row r="72" spans="1:4" x14ac:dyDescent="0.35">
      <c r="A72">
        <f t="shared" ref="A72:A135" si="4">A71+1</f>
        <v>67</v>
      </c>
      <c r="B72">
        <v>5.7370588729134829E-2</v>
      </c>
      <c r="C72" s="72">
        <f t="shared" ref="C72:C135" si="5">B72-0.4*B71</f>
        <v>9.6001410592576858E-2</v>
      </c>
      <c r="D72" s="72">
        <f t="shared" si="3"/>
        <v>5.9486009940200396E-2</v>
      </c>
    </row>
    <row r="73" spans="1:4" x14ac:dyDescent="0.35">
      <c r="A73">
        <f t="shared" si="4"/>
        <v>68</v>
      </c>
      <c r="B73">
        <v>-0.17149698873547628</v>
      </c>
      <c r="C73" s="72">
        <f t="shared" si="5"/>
        <v>-0.1944452242271302</v>
      </c>
      <c r="D73" s="72">
        <f t="shared" si="3"/>
        <v>-0.18160613851757143</v>
      </c>
    </row>
    <row r="74" spans="1:4" x14ac:dyDescent="0.35">
      <c r="A74">
        <f t="shared" si="4"/>
        <v>69</v>
      </c>
      <c r="B74">
        <v>-0.26611226014777867</v>
      </c>
      <c r="C74" s="72">
        <f t="shared" si="5"/>
        <v>-0.19751346465358816</v>
      </c>
      <c r="D74" s="72">
        <f t="shared" si="3"/>
        <v>-0.25168759291298004</v>
      </c>
    </row>
    <row r="75" spans="1:4" x14ac:dyDescent="0.35">
      <c r="A75">
        <f t="shared" si="4"/>
        <v>70</v>
      </c>
      <c r="B75">
        <v>0.18782245949059648</v>
      </c>
      <c r="C75" s="72">
        <f t="shared" si="5"/>
        <v>0.29426736354970795</v>
      </c>
      <c r="D75" s="72">
        <f t="shared" si="3"/>
        <v>0.20177173453793151</v>
      </c>
    </row>
    <row r="76" spans="1:4" x14ac:dyDescent="0.35">
      <c r="A76">
        <f t="shared" si="4"/>
        <v>71</v>
      </c>
      <c r="B76">
        <v>0.41543305078380388</v>
      </c>
      <c r="C76" s="72">
        <f t="shared" si="5"/>
        <v>0.34030406698756527</v>
      </c>
      <c r="D76" s="72">
        <f t="shared" si="3"/>
        <v>0.38825232210750266</v>
      </c>
    </row>
    <row r="77" spans="1:4" x14ac:dyDescent="0.35">
      <c r="A77">
        <f t="shared" si="4"/>
        <v>72</v>
      </c>
      <c r="B77">
        <v>0.70353176573511123</v>
      </c>
      <c r="C77" s="72">
        <f t="shared" si="5"/>
        <v>0.53735854542158967</v>
      </c>
      <c r="D77" s="72">
        <f t="shared" si="3"/>
        <v>0.67487268391241872</v>
      </c>
    </row>
    <row r="78" spans="1:4" x14ac:dyDescent="0.35">
      <c r="A78">
        <f t="shared" si="4"/>
        <v>73</v>
      </c>
      <c r="B78">
        <v>-0.3952458411406039</v>
      </c>
      <c r="C78" s="72">
        <f t="shared" si="5"/>
        <v>-0.67665854743464848</v>
      </c>
      <c r="D78" s="72">
        <f t="shared" si="3"/>
        <v>-0.43515192748846121</v>
      </c>
    </row>
    <row r="79" spans="1:4" x14ac:dyDescent="0.35">
      <c r="A79">
        <f t="shared" si="4"/>
        <v>74</v>
      </c>
      <c r="B79">
        <v>-0.51964111108785283</v>
      </c>
      <c r="C79" s="72">
        <f t="shared" si="5"/>
        <v>-0.36154277463161122</v>
      </c>
      <c r="D79" s="72">
        <f t="shared" si="3"/>
        <v>-0.4562396804880211</v>
      </c>
    </row>
    <row r="80" spans="1:4" x14ac:dyDescent="0.35">
      <c r="A80">
        <f t="shared" si="4"/>
        <v>75</v>
      </c>
      <c r="B80">
        <v>0.14942689895794989</v>
      </c>
      <c r="C80" s="72">
        <f t="shared" si="5"/>
        <v>0.35728334339309104</v>
      </c>
      <c r="D80" s="72">
        <f t="shared" si="3"/>
        <v>0.18262628472063389</v>
      </c>
    </row>
    <row r="81" spans="1:4" x14ac:dyDescent="0.35">
      <c r="A81">
        <f t="shared" si="4"/>
        <v>76</v>
      </c>
      <c r="B81">
        <v>0.46561919595619389</v>
      </c>
      <c r="C81" s="72">
        <f t="shared" si="5"/>
        <v>0.40584843637301393</v>
      </c>
      <c r="D81" s="72">
        <f t="shared" si="3"/>
        <v>0.43418021189475636</v>
      </c>
    </row>
    <row r="82" spans="1:4" x14ac:dyDescent="0.35">
      <c r="A82">
        <f t="shared" si="4"/>
        <v>77</v>
      </c>
      <c r="B82">
        <v>0.28518260718846278</v>
      </c>
      <c r="C82" s="72">
        <f t="shared" si="5"/>
        <v>9.8934928805985201E-2</v>
      </c>
      <c r="D82" s="72">
        <f t="shared" si="3"/>
        <v>0.24987908870582759</v>
      </c>
    </row>
    <row r="83" spans="1:4" x14ac:dyDescent="0.35">
      <c r="A83">
        <f t="shared" si="4"/>
        <v>78</v>
      </c>
      <c r="B83">
        <v>-0.79657845002233552</v>
      </c>
      <c r="C83" s="72">
        <f t="shared" si="5"/>
        <v>-0.91065149289772063</v>
      </c>
      <c r="D83" s="72">
        <f t="shared" si="3"/>
        <v>-0.80207537804465834</v>
      </c>
    </row>
    <row r="84" spans="1:4" x14ac:dyDescent="0.35">
      <c r="A84">
        <f t="shared" si="4"/>
        <v>79</v>
      </c>
      <c r="B84">
        <v>0.29482782543320696</v>
      </c>
      <c r="C84" s="72">
        <f t="shared" si="5"/>
        <v>0.61345920544214116</v>
      </c>
      <c r="D84" s="72">
        <f t="shared" si="3"/>
        <v>0.37334842513844052</v>
      </c>
    </row>
    <row r="85" spans="1:4" x14ac:dyDescent="0.35">
      <c r="A85">
        <f t="shared" si="4"/>
        <v>80</v>
      </c>
      <c r="B85">
        <v>-0.45924627456910311</v>
      </c>
      <c r="C85" s="72">
        <f t="shared" si="5"/>
        <v>-0.57717740474238588</v>
      </c>
      <c r="D85" s="72">
        <f t="shared" si="3"/>
        <v>-0.5106419843670561</v>
      </c>
    </row>
    <row r="86" spans="1:4" x14ac:dyDescent="0.35">
      <c r="A86">
        <f t="shared" si="4"/>
        <v>81</v>
      </c>
      <c r="B86">
        <v>-6.2314962980168344E-2</v>
      </c>
      <c r="C86" s="72">
        <f t="shared" si="5"/>
        <v>0.12138354684747291</v>
      </c>
      <c r="D86" s="72">
        <f t="shared" si="3"/>
        <v>-1.7351051375208697E-2</v>
      </c>
    </row>
    <row r="87" spans="1:4" x14ac:dyDescent="0.35">
      <c r="A87">
        <f t="shared" si="4"/>
        <v>82</v>
      </c>
      <c r="B87">
        <v>-0.67254194699176517</v>
      </c>
      <c r="C87" s="72">
        <f t="shared" si="5"/>
        <v>-0.64761596179969783</v>
      </c>
      <c r="D87" s="72">
        <f t="shared" si="3"/>
        <v>-0.68684718649373333</v>
      </c>
    </row>
    <row r="88" spans="1:4" x14ac:dyDescent="0.35">
      <c r="A88">
        <f t="shared" si="4"/>
        <v>83</v>
      </c>
      <c r="B88">
        <v>-0.36329102577914368</v>
      </c>
      <c r="C88" s="72">
        <f t="shared" si="5"/>
        <v>-9.4274246982437582E-2</v>
      </c>
      <c r="D88" s="72">
        <f t="shared" si="3"/>
        <v>-0.31514807264987937</v>
      </c>
    </row>
    <row r="89" spans="1:4" x14ac:dyDescent="0.35">
      <c r="A89">
        <f t="shared" si="4"/>
        <v>84</v>
      </c>
      <c r="B89">
        <v>0.24488281260528305</v>
      </c>
      <c r="C89" s="72">
        <f t="shared" si="5"/>
        <v>0.39019922291694054</v>
      </c>
      <c r="D89" s="72">
        <f t="shared" si="3"/>
        <v>0.24407772399161148</v>
      </c>
    </row>
    <row r="90" spans="1:4" x14ac:dyDescent="0.35">
      <c r="A90">
        <f t="shared" si="4"/>
        <v>85</v>
      </c>
      <c r="B90">
        <v>0.34561225352951408</v>
      </c>
      <c r="C90" s="72">
        <f t="shared" si="5"/>
        <v>0.24765912848740085</v>
      </c>
      <c r="D90" s="72">
        <f t="shared" si="3"/>
        <v>0.30495583292295447</v>
      </c>
    </row>
    <row r="91" spans="1:4" x14ac:dyDescent="0.35">
      <c r="A91">
        <f t="shared" si="4"/>
        <v>86</v>
      </c>
      <c r="B91">
        <v>0.40011886698200072</v>
      </c>
      <c r="C91" s="72">
        <f t="shared" si="5"/>
        <v>0.26187396557019504</v>
      </c>
      <c r="D91" s="72">
        <f t="shared" si="3"/>
        <v>0.37553108884234337</v>
      </c>
    </row>
    <row r="92" spans="1:4" x14ac:dyDescent="0.35">
      <c r="A92">
        <f t="shared" si="4"/>
        <v>87</v>
      </c>
      <c r="B92">
        <v>-0.10067849717756344</v>
      </c>
      <c r="C92" s="72">
        <f t="shared" si="5"/>
        <v>-0.26072604397036375</v>
      </c>
      <c r="D92" s="72">
        <f t="shared" si="3"/>
        <v>-0.12047583704680923</v>
      </c>
    </row>
    <row r="93" spans="1:4" x14ac:dyDescent="0.35">
      <c r="A93">
        <f t="shared" si="4"/>
        <v>88</v>
      </c>
      <c r="B93">
        <v>0.24606536316588329</v>
      </c>
      <c r="C93" s="72">
        <f t="shared" si="5"/>
        <v>0.28633676203690867</v>
      </c>
      <c r="D93" s="72">
        <f t="shared" si="3"/>
        <v>0.27256424501449977</v>
      </c>
    </row>
    <row r="94" spans="1:4" x14ac:dyDescent="0.35">
      <c r="A94">
        <f t="shared" si="4"/>
        <v>89</v>
      </c>
      <c r="B94">
        <v>0.12154161546185811</v>
      </c>
      <c r="C94" s="72">
        <f t="shared" si="5"/>
        <v>2.3115470195504792E-2</v>
      </c>
      <c r="D94" s="72">
        <f t="shared" si="3"/>
        <v>0.10236531187587354</v>
      </c>
    </row>
    <row r="95" spans="1:4" x14ac:dyDescent="0.35">
      <c r="A95">
        <f t="shared" si="4"/>
        <v>90</v>
      </c>
      <c r="B95">
        <v>-0.64956989756150918</v>
      </c>
      <c r="C95" s="72">
        <f t="shared" si="5"/>
        <v>-0.69818654374625244</v>
      </c>
      <c r="D95" s="72">
        <f t="shared" si="3"/>
        <v>-0.64746130147236469</v>
      </c>
    </row>
    <row r="96" spans="1:4" x14ac:dyDescent="0.35">
      <c r="A96">
        <f t="shared" si="4"/>
        <v>91</v>
      </c>
      <c r="B96">
        <v>0.6011857555182194</v>
      </c>
      <c r="C96" s="72">
        <f t="shared" si="5"/>
        <v>0.86101371454282316</v>
      </c>
      <c r="D96" s="72">
        <f t="shared" si="3"/>
        <v>0.66063597413477471</v>
      </c>
    </row>
    <row r="97" spans="1:4" x14ac:dyDescent="0.35">
      <c r="A97">
        <f t="shared" si="4"/>
        <v>92</v>
      </c>
      <c r="B97">
        <v>0.44718607623193701</v>
      </c>
      <c r="C97" s="72">
        <f t="shared" si="5"/>
        <v>0.20671177402464924</v>
      </c>
      <c r="D97" s="72">
        <f t="shared" si="3"/>
        <v>0.37535129426715458</v>
      </c>
    </row>
    <row r="98" spans="1:4" x14ac:dyDescent="0.35">
      <c r="A98">
        <f t="shared" si="4"/>
        <v>93</v>
      </c>
      <c r="B98">
        <v>-7.9606486546142483E-2</v>
      </c>
      <c r="C98" s="72">
        <f t="shared" si="5"/>
        <v>-0.25848091703891729</v>
      </c>
      <c r="D98" s="72">
        <f t="shared" si="3"/>
        <v>-9.4828609814088E-2</v>
      </c>
    </row>
    <row r="99" spans="1:4" x14ac:dyDescent="0.35">
      <c r="A99">
        <f t="shared" si="4"/>
        <v>94</v>
      </c>
      <c r="B99">
        <v>0.14220353155740251</v>
      </c>
      <c r="C99" s="72">
        <f t="shared" si="5"/>
        <v>0.17404612617585952</v>
      </c>
      <c r="D99" s="72">
        <f t="shared" si="3"/>
        <v>0.16846655929366533</v>
      </c>
    </row>
    <row r="100" spans="1:4" x14ac:dyDescent="0.35">
      <c r="A100">
        <f t="shared" si="4"/>
        <v>95</v>
      </c>
      <c r="B100">
        <v>0.77169994942716358</v>
      </c>
      <c r="C100" s="72">
        <f t="shared" si="5"/>
        <v>0.7148185368042026</v>
      </c>
      <c r="D100" s="72">
        <f t="shared" si="3"/>
        <v>0.76245808584132346</v>
      </c>
    </row>
    <row r="101" spans="1:4" x14ac:dyDescent="0.35">
      <c r="A101">
        <f t="shared" si="4"/>
        <v>96</v>
      </c>
      <c r="B101">
        <v>-0.12293261993415876</v>
      </c>
      <c r="C101" s="72">
        <f t="shared" si="5"/>
        <v>-0.43161259970502425</v>
      </c>
      <c r="D101" s="72">
        <f t="shared" si="3"/>
        <v>-0.17658294278676037</v>
      </c>
    </row>
    <row r="102" spans="1:4" x14ac:dyDescent="0.35">
      <c r="A102">
        <f t="shared" si="4"/>
        <v>97</v>
      </c>
      <c r="B102">
        <v>0.46496436932208723</v>
      </c>
      <c r="C102" s="72">
        <f t="shared" si="5"/>
        <v>0.51413741729575069</v>
      </c>
      <c r="D102" s="72">
        <f t="shared" si="3"/>
        <v>0.50793623578539393</v>
      </c>
    </row>
    <row r="103" spans="1:4" x14ac:dyDescent="0.35">
      <c r="A103">
        <f t="shared" si="4"/>
        <v>98</v>
      </c>
      <c r="B103">
        <v>0.31875260921576248</v>
      </c>
      <c r="C103" s="72">
        <f t="shared" si="5"/>
        <v>0.13276686148692757</v>
      </c>
      <c r="D103" s="72">
        <f t="shared" si="3"/>
        <v>0.28361393704856891</v>
      </c>
    </row>
    <row r="104" spans="1:4" x14ac:dyDescent="0.35">
      <c r="A104">
        <f t="shared" si="4"/>
        <v>99</v>
      </c>
      <c r="B104">
        <v>-0.48810125234772345</v>
      </c>
      <c r="C104" s="72">
        <f t="shared" si="5"/>
        <v>-0.61560229603402838</v>
      </c>
      <c r="D104" s="72">
        <f t="shared" si="3"/>
        <v>-0.49136932915389525</v>
      </c>
    </row>
    <row r="105" spans="1:4" x14ac:dyDescent="0.35">
      <c r="A105">
        <f t="shared" si="4"/>
        <v>100</v>
      </c>
      <c r="B105">
        <v>-0.25274879361122082</v>
      </c>
      <c r="C105" s="72">
        <f t="shared" si="5"/>
        <v>-5.7508292672131422E-2</v>
      </c>
      <c r="D105" s="72">
        <f t="shared" si="3"/>
        <v>-0.1959959959796711</v>
      </c>
    </row>
    <row r="106" spans="1:4" x14ac:dyDescent="0.35">
      <c r="A106">
        <f t="shared" si="4"/>
        <v>101</v>
      </c>
      <c r="B106">
        <v>0.54117532652533107</v>
      </c>
      <c r="C106" s="72">
        <f t="shared" si="5"/>
        <v>0.64227484396981938</v>
      </c>
      <c r="D106" s="72">
        <f t="shared" si="3"/>
        <v>0.54716445219236576</v>
      </c>
    </row>
    <row r="107" spans="1:4" x14ac:dyDescent="0.35">
      <c r="A107">
        <f t="shared" si="4"/>
        <v>102</v>
      </c>
      <c r="B107">
        <v>0.41588929488972975</v>
      </c>
      <c r="C107" s="72">
        <f t="shared" si="5"/>
        <v>0.19941916427959733</v>
      </c>
      <c r="D107" s="72">
        <f t="shared" si="3"/>
        <v>0.36153531725669014</v>
      </c>
    </row>
    <row r="108" spans="1:4" x14ac:dyDescent="0.35">
      <c r="A108">
        <f t="shared" si="4"/>
        <v>103</v>
      </c>
      <c r="B108">
        <v>0.16041617374482156</v>
      </c>
      <c r="C108" s="72">
        <f t="shared" si="5"/>
        <v>-5.9395442110703467E-3</v>
      </c>
      <c r="D108" s="72">
        <f t="shared" si="3"/>
        <v>0.14580864281966258</v>
      </c>
    </row>
    <row r="109" spans="1:4" x14ac:dyDescent="0.35">
      <c r="A109">
        <f t="shared" si="4"/>
        <v>104</v>
      </c>
      <c r="B109">
        <v>-1.3475817579209382</v>
      </c>
      <c r="C109" s="72">
        <f t="shared" si="5"/>
        <v>-1.4117482274188669</v>
      </c>
      <c r="D109" s="72">
        <f t="shared" si="3"/>
        <v>-1.3412567508413142</v>
      </c>
    </row>
    <row r="110" spans="1:4" x14ac:dyDescent="0.35">
      <c r="A110">
        <f t="shared" si="4"/>
        <v>105</v>
      </c>
      <c r="B110">
        <v>0.27028380803135105</v>
      </c>
      <c r="C110" s="72">
        <f t="shared" si="5"/>
        <v>0.80931651119972625</v>
      </c>
      <c r="D110" s="72">
        <f t="shared" si="3"/>
        <v>0.38985194422023611</v>
      </c>
    </row>
    <row r="111" spans="1:4" x14ac:dyDescent="0.35">
      <c r="A111">
        <f t="shared" si="4"/>
        <v>106</v>
      </c>
      <c r="B111">
        <v>-0.36664722071372097</v>
      </c>
      <c r="C111" s="72">
        <f t="shared" si="5"/>
        <v>-0.47476074392626139</v>
      </c>
      <c r="D111" s="72">
        <f t="shared" si="3"/>
        <v>-0.43850850111911338</v>
      </c>
    </row>
    <row r="112" spans="1:4" x14ac:dyDescent="0.35">
      <c r="A112">
        <f t="shared" si="4"/>
        <v>107</v>
      </c>
      <c r="B112">
        <v>0.3629695180051602</v>
      </c>
      <c r="C112" s="72">
        <f t="shared" si="5"/>
        <v>0.50962840629064865</v>
      </c>
      <c r="D112" s="72">
        <f t="shared" si="3"/>
        <v>0.39505856675660989</v>
      </c>
    </row>
    <row r="113" spans="1:4" x14ac:dyDescent="0.35">
      <c r="A113">
        <f t="shared" si="4"/>
        <v>108</v>
      </c>
      <c r="B113">
        <v>3.405456366832614E-2</v>
      </c>
      <c r="C113" s="72">
        <f t="shared" si="5"/>
        <v>-0.11113324353373795</v>
      </c>
      <c r="D113" s="72">
        <f t="shared" si="3"/>
        <v>-1.3672723670124478E-2</v>
      </c>
    </row>
    <row r="114" spans="1:4" x14ac:dyDescent="0.35">
      <c r="A114">
        <f t="shared" si="4"/>
        <v>109</v>
      </c>
      <c r="B114">
        <v>0.22472251974334059</v>
      </c>
      <c r="C114" s="72">
        <f t="shared" si="5"/>
        <v>0.21110069427601014</v>
      </c>
      <c r="D114" s="72">
        <f t="shared" si="3"/>
        <v>0.23278355471411732</v>
      </c>
    </row>
    <row r="115" spans="1:4" x14ac:dyDescent="0.35">
      <c r="A115">
        <f t="shared" si="4"/>
        <v>110</v>
      </c>
      <c r="B115">
        <v>0.2383581719603089</v>
      </c>
      <c r="C115" s="72">
        <f t="shared" si="5"/>
        <v>0.14846916406297267</v>
      </c>
      <c r="D115" s="72">
        <f t="shared" si="3"/>
        <v>0.22203717824422131</v>
      </c>
    </row>
    <row r="116" spans="1:4" x14ac:dyDescent="0.35">
      <c r="A116">
        <f t="shared" si="4"/>
        <v>111</v>
      </c>
      <c r="B116">
        <v>2.9018813129743858E-3</v>
      </c>
      <c r="C116" s="72">
        <f t="shared" si="5"/>
        <v>-9.2441387471149175E-2</v>
      </c>
      <c r="D116" s="72">
        <f t="shared" si="3"/>
        <v>-6.0557155029518205E-3</v>
      </c>
    </row>
    <row r="117" spans="1:4" x14ac:dyDescent="0.35">
      <c r="A117">
        <f t="shared" si="4"/>
        <v>112</v>
      </c>
      <c r="B117">
        <v>-7.0164403849902052E-2</v>
      </c>
      <c r="C117" s="72">
        <f t="shared" si="5"/>
        <v>-7.1325156375091806E-2</v>
      </c>
      <c r="D117" s="72">
        <f t="shared" si="3"/>
        <v>-5.8617520624093422E-2</v>
      </c>
    </row>
    <row r="118" spans="1:4" x14ac:dyDescent="0.35">
      <c r="A118">
        <f t="shared" si="4"/>
        <v>113</v>
      </c>
      <c r="B118">
        <v>-0.21069309060190561</v>
      </c>
      <c r="C118" s="72">
        <f t="shared" si="5"/>
        <v>-0.18262732906194479</v>
      </c>
      <c r="D118" s="72">
        <f t="shared" si="3"/>
        <v>-0.20177908736318709</v>
      </c>
    </row>
    <row r="119" spans="1:4" x14ac:dyDescent="0.35">
      <c r="A119">
        <f t="shared" si="4"/>
        <v>114</v>
      </c>
      <c r="B119">
        <v>-0.47693066897558539</v>
      </c>
      <c r="C119" s="72">
        <f t="shared" si="5"/>
        <v>-0.39265343273482312</v>
      </c>
      <c r="D119" s="72">
        <f t="shared" si="3"/>
        <v>-0.46107085483502647</v>
      </c>
    </row>
    <row r="120" spans="1:4" x14ac:dyDescent="0.35">
      <c r="A120">
        <f t="shared" si="4"/>
        <v>115</v>
      </c>
      <c r="B120">
        <v>-1.0820146542971813E-2</v>
      </c>
      <c r="C120" s="72">
        <f t="shared" si="5"/>
        <v>0.17995212104726235</v>
      </c>
      <c r="D120" s="72">
        <f t="shared" si="3"/>
        <v>1.9142108291592356E-2</v>
      </c>
    </row>
    <row r="121" spans="1:4" x14ac:dyDescent="0.35">
      <c r="A121">
        <f t="shared" si="4"/>
        <v>116</v>
      </c>
      <c r="B121">
        <v>-0.53806306600499088</v>
      </c>
      <c r="C121" s="72">
        <f t="shared" si="5"/>
        <v>-0.53373500738780211</v>
      </c>
      <c r="D121" s="72">
        <f t="shared" si="3"/>
        <v>-0.55802213287029834</v>
      </c>
    </row>
    <row r="122" spans="1:4" x14ac:dyDescent="0.35">
      <c r="A122">
        <f t="shared" si="4"/>
        <v>117</v>
      </c>
      <c r="B122">
        <v>-0.37680201240903044</v>
      </c>
      <c r="C122" s="72">
        <f t="shared" si="5"/>
        <v>-0.16157678600703407</v>
      </c>
      <c r="D122" s="72">
        <f t="shared" si="3"/>
        <v>-0.33883118494792175</v>
      </c>
    </row>
    <row r="123" spans="1:4" x14ac:dyDescent="0.35">
      <c r="A123">
        <f t="shared" si="4"/>
        <v>118</v>
      </c>
      <c r="B123">
        <v>6.051836334584762E-2</v>
      </c>
      <c r="C123" s="72">
        <f t="shared" si="5"/>
        <v>0.2112391683094598</v>
      </c>
      <c r="D123" s="72">
        <f t="shared" si="3"/>
        <v>6.6038123382653552E-2</v>
      </c>
    </row>
    <row r="124" spans="1:4" x14ac:dyDescent="0.35">
      <c r="A124">
        <f t="shared" si="4"/>
        <v>119</v>
      </c>
      <c r="B124">
        <v>0.908568246574603</v>
      </c>
      <c r="C124" s="72">
        <f t="shared" si="5"/>
        <v>0.88436090123626399</v>
      </c>
      <c r="D124" s="72">
        <f t="shared" si="3"/>
        <v>0.88313885791320745</v>
      </c>
    </row>
    <row r="125" spans="1:4" x14ac:dyDescent="0.35">
      <c r="A125">
        <f t="shared" si="4"/>
        <v>120</v>
      </c>
      <c r="B125">
        <v>-0.36496444622151897</v>
      </c>
      <c r="C125" s="72">
        <f t="shared" si="5"/>
        <v>-0.72839174485136016</v>
      </c>
      <c r="D125" s="72">
        <f t="shared" si="3"/>
        <v>-0.44151096051049499</v>
      </c>
    </row>
    <row r="126" spans="1:4" x14ac:dyDescent="0.35">
      <c r="A126">
        <f t="shared" si="4"/>
        <v>121</v>
      </c>
      <c r="B126">
        <v>-0.46851595528866929</v>
      </c>
      <c r="C126" s="72">
        <f t="shared" si="5"/>
        <v>-0.32253017680006169</v>
      </c>
      <c r="D126" s="72">
        <f t="shared" si="3"/>
        <v>-0.40552477629560196</v>
      </c>
    </row>
    <row r="127" spans="1:4" x14ac:dyDescent="0.35">
      <c r="A127">
        <f t="shared" si="4"/>
        <v>122</v>
      </c>
      <c r="B127">
        <v>1.0250626756055023</v>
      </c>
      <c r="C127" s="72">
        <f t="shared" si="5"/>
        <v>1.21246905772097</v>
      </c>
      <c r="D127" s="72">
        <f t="shared" si="3"/>
        <v>1.0536167895885562</v>
      </c>
    </row>
    <row r="128" spans="1:4" x14ac:dyDescent="0.35">
      <c r="A128">
        <f t="shared" si="4"/>
        <v>123</v>
      </c>
      <c r="B128">
        <v>-0.12821570689953871</v>
      </c>
      <c r="C128" s="72">
        <f t="shared" si="5"/>
        <v>-0.53824077714173968</v>
      </c>
      <c r="D128" s="72">
        <f t="shared" si="3"/>
        <v>-0.22792527355911291</v>
      </c>
    </row>
    <row r="129" spans="1:4" x14ac:dyDescent="0.35">
      <c r="A129">
        <f t="shared" si="4"/>
        <v>124</v>
      </c>
      <c r="B129">
        <v>0.1484634817449306</v>
      </c>
      <c r="C129" s="72">
        <f t="shared" si="5"/>
        <v>0.19974976450474607</v>
      </c>
      <c r="D129" s="72">
        <f t="shared" si="3"/>
        <v>0.19632762288094277</v>
      </c>
    </row>
    <row r="130" spans="1:4" x14ac:dyDescent="0.35">
      <c r="A130">
        <f t="shared" si="4"/>
        <v>125</v>
      </c>
      <c r="B130">
        <v>0.79443782802329266</v>
      </c>
      <c r="C130" s="72">
        <f t="shared" si="5"/>
        <v>0.73505243532532039</v>
      </c>
      <c r="D130" s="72">
        <f t="shared" si="3"/>
        <v>0.78282635660831845</v>
      </c>
    </row>
    <row r="131" spans="1:4" x14ac:dyDescent="0.35">
      <c r="A131">
        <f t="shared" si="4"/>
        <v>126</v>
      </c>
      <c r="B131">
        <v>-0.38803213955391319</v>
      </c>
      <c r="C131" s="72">
        <f t="shared" si="5"/>
        <v>-0.70580727076323035</v>
      </c>
      <c r="D131" s="72">
        <f t="shared" si="3"/>
        <v>-0.44242396285115959</v>
      </c>
    </row>
    <row r="132" spans="1:4" x14ac:dyDescent="0.35">
      <c r="A132">
        <f t="shared" si="4"/>
        <v>127</v>
      </c>
      <c r="B132">
        <v>-1.3998932143015734</v>
      </c>
      <c r="C132" s="72">
        <f t="shared" si="5"/>
        <v>-1.2446803584800081</v>
      </c>
      <c r="D132" s="72">
        <f t="shared" si="3"/>
        <v>-1.3345833549423016</v>
      </c>
    </row>
    <row r="133" spans="1:4" x14ac:dyDescent="0.35">
      <c r="A133">
        <f t="shared" si="4"/>
        <v>128</v>
      </c>
      <c r="B133">
        <v>-0.20867478752123325</v>
      </c>
      <c r="C133" s="72">
        <f t="shared" si="5"/>
        <v>0.35128249819939616</v>
      </c>
      <c r="D133" s="72">
        <f t="shared" si="3"/>
        <v>-0.10484527812722111</v>
      </c>
    </row>
    <row r="134" spans="1:4" x14ac:dyDescent="0.35">
      <c r="A134">
        <f t="shared" si="4"/>
        <v>129</v>
      </c>
      <c r="B134">
        <v>-5.158736597134353E-2</v>
      </c>
      <c r="C134" s="72">
        <f t="shared" si="5"/>
        <v>3.1882549037149779E-2</v>
      </c>
      <c r="D134" s="72">
        <f t="shared" si="3"/>
        <v>-8.9683723791800368E-2</v>
      </c>
    </row>
    <row r="135" spans="1:4" x14ac:dyDescent="0.35">
      <c r="A135">
        <f t="shared" si="4"/>
        <v>130</v>
      </c>
      <c r="B135">
        <v>-2.8380451480331949E-2</v>
      </c>
      <c r="C135" s="72">
        <f t="shared" si="5"/>
        <v>-7.745505091794537E-3</v>
      </c>
      <c r="D135" s="72">
        <f t="shared" ref="D135:D198" si="6">C135-$G$3*D134-G$4*D133</f>
        <v>-4.3351527441486418E-2</v>
      </c>
    </row>
    <row r="136" spans="1:4" x14ac:dyDescent="0.35">
      <c r="A136">
        <f t="shared" ref="A136:A199" si="7">A135+1</f>
        <v>131</v>
      </c>
      <c r="B136">
        <v>-5.0483662879211119E-2</v>
      </c>
      <c r="C136" s="72">
        <f t="shared" ref="C136:C199" si="8">B136-0.4*B135</f>
        <v>-3.9131482287078342E-2</v>
      </c>
      <c r="D136" s="72">
        <f t="shared" si="6"/>
        <v>-5.8915352121600165E-2</v>
      </c>
    </row>
    <row r="137" spans="1:4" x14ac:dyDescent="0.35">
      <c r="A137">
        <f t="shared" si="7"/>
        <v>132</v>
      </c>
      <c r="B137">
        <v>0.40466650426540052</v>
      </c>
      <c r="C137" s="72">
        <f t="shared" si="8"/>
        <v>0.42485996941708498</v>
      </c>
      <c r="D137" s="72">
        <f t="shared" si="6"/>
        <v>0.40315300947490568</v>
      </c>
    </row>
    <row r="138" spans="1:4" x14ac:dyDescent="0.35">
      <c r="A138">
        <f t="shared" si="7"/>
        <v>133</v>
      </c>
      <c r="B138">
        <v>0.52315476793853843</v>
      </c>
      <c r="C138" s="72">
        <f t="shared" si="8"/>
        <v>0.36128816623237825</v>
      </c>
      <c r="D138" s="72">
        <f t="shared" si="6"/>
        <v>0.4863750308927115</v>
      </c>
    </row>
    <row r="139" spans="1:4" x14ac:dyDescent="0.35">
      <c r="A139">
        <f t="shared" si="7"/>
        <v>134</v>
      </c>
      <c r="B139">
        <v>0.46996811860365112</v>
      </c>
      <c r="C139" s="72">
        <f t="shared" si="8"/>
        <v>0.26070621142823575</v>
      </c>
      <c r="D139" s="72">
        <f t="shared" si="6"/>
        <v>0.44289332048192942</v>
      </c>
    </row>
    <row r="140" spans="1:4" x14ac:dyDescent="0.35">
      <c r="A140">
        <f t="shared" si="7"/>
        <v>135</v>
      </c>
      <c r="B140">
        <v>-0.3959891061252318</v>
      </c>
      <c r="C140" s="72">
        <f t="shared" si="8"/>
        <v>-0.5839763535666922</v>
      </c>
      <c r="D140" s="72">
        <f t="shared" si="6"/>
        <v>-0.41021040562019406</v>
      </c>
    </row>
    <row r="141" spans="1:4" x14ac:dyDescent="0.35">
      <c r="A141">
        <f t="shared" si="7"/>
        <v>136</v>
      </c>
      <c r="B141">
        <v>-0.17505628644392887</v>
      </c>
      <c r="C141" s="72">
        <f t="shared" si="8"/>
        <v>-1.6660643993836127E-2</v>
      </c>
      <c r="D141" s="72">
        <f t="shared" si="6"/>
        <v>-0.11867918140855266</v>
      </c>
    </row>
    <row r="142" spans="1:4" x14ac:dyDescent="0.35">
      <c r="A142">
        <f t="shared" si="7"/>
        <v>137</v>
      </c>
      <c r="B142">
        <v>-0.14587797149207959</v>
      </c>
      <c r="C142" s="72">
        <f t="shared" si="8"/>
        <v>-7.585545691450804E-2</v>
      </c>
      <c r="D142" s="72">
        <f t="shared" si="6"/>
        <v>-0.14087840883641417</v>
      </c>
    </row>
    <row r="143" spans="1:4" x14ac:dyDescent="0.35">
      <c r="A143">
        <f t="shared" si="7"/>
        <v>138</v>
      </c>
      <c r="B143">
        <v>7.4800791128076916E-2</v>
      </c>
      <c r="C143" s="72">
        <f t="shared" si="8"/>
        <v>0.13315197972490875</v>
      </c>
      <c r="D143" s="72">
        <f t="shared" si="6"/>
        <v>8.0255813235580453E-2</v>
      </c>
    </row>
    <row r="144" spans="1:4" x14ac:dyDescent="0.35">
      <c r="A144">
        <f t="shared" si="7"/>
        <v>139</v>
      </c>
      <c r="B144">
        <v>-4.2638486055452611E-2</v>
      </c>
      <c r="C144" s="72">
        <f t="shared" si="8"/>
        <v>-7.2558802506683381E-2</v>
      </c>
      <c r="D144" s="72">
        <f t="shared" si="6"/>
        <v>-5.6176077986179386E-2</v>
      </c>
    </row>
    <row r="145" spans="1:4" x14ac:dyDescent="0.35">
      <c r="A145">
        <f t="shared" si="7"/>
        <v>140</v>
      </c>
      <c r="B145">
        <v>-0.71818931431281108</v>
      </c>
      <c r="C145" s="72">
        <f t="shared" si="8"/>
        <v>-0.70113391989063001</v>
      </c>
      <c r="D145" s="72">
        <f t="shared" si="6"/>
        <v>-0.71381178069382445</v>
      </c>
    </row>
    <row r="146" spans="1:4" x14ac:dyDescent="0.35">
      <c r="A146">
        <f t="shared" si="7"/>
        <v>141</v>
      </c>
      <c r="B146">
        <v>0.24957308195370337</v>
      </c>
      <c r="C146" s="72">
        <f t="shared" si="8"/>
        <v>0.53684880767882781</v>
      </c>
      <c r="D146" s="72">
        <f t="shared" si="6"/>
        <v>0.30478794922811281</v>
      </c>
    </row>
    <row r="147" spans="1:4" x14ac:dyDescent="0.35">
      <c r="A147">
        <f t="shared" si="7"/>
        <v>142</v>
      </c>
      <c r="B147">
        <v>-0.91751252484688361</v>
      </c>
      <c r="C147" s="72">
        <f t="shared" si="8"/>
        <v>-1.017341757628365</v>
      </c>
      <c r="D147" s="72">
        <f t="shared" si="6"/>
        <v>-0.96691792297782464</v>
      </c>
    </row>
    <row r="148" spans="1:4" x14ac:dyDescent="0.35">
      <c r="A148">
        <f t="shared" si="7"/>
        <v>143</v>
      </c>
      <c r="B148">
        <v>2.5075431761081166E-2</v>
      </c>
      <c r="C148" s="72">
        <f t="shared" si="8"/>
        <v>0.39208044169983464</v>
      </c>
      <c r="D148" s="72">
        <f t="shared" si="6"/>
        <v>0.10285648189095174</v>
      </c>
    </row>
    <row r="149" spans="1:4" x14ac:dyDescent="0.35">
      <c r="A149">
        <f t="shared" si="7"/>
        <v>144</v>
      </c>
      <c r="B149">
        <v>0.25095282799290247</v>
      </c>
      <c r="C149" s="72">
        <f t="shared" si="8"/>
        <v>0.24092265528847001</v>
      </c>
      <c r="D149" s="72">
        <f t="shared" si="6"/>
        <v>0.21005242115347394</v>
      </c>
    </row>
    <row r="150" spans="1:4" x14ac:dyDescent="0.35">
      <c r="A150">
        <f t="shared" si="7"/>
        <v>145</v>
      </c>
      <c r="B150">
        <v>-0.13079037606187624</v>
      </c>
      <c r="C150" s="72">
        <f t="shared" si="8"/>
        <v>-0.23117150725903723</v>
      </c>
      <c r="D150" s="72">
        <f t="shared" si="6"/>
        <v>-0.15718948945564723</v>
      </c>
    </row>
    <row r="151" spans="1:4" x14ac:dyDescent="0.35">
      <c r="A151">
        <f t="shared" si="7"/>
        <v>146</v>
      </c>
      <c r="B151">
        <v>3.9347252655179736E-2</v>
      </c>
      <c r="C151" s="72">
        <f t="shared" si="8"/>
        <v>9.1663403079930234E-2</v>
      </c>
      <c r="D151" s="72">
        <f t="shared" si="6"/>
        <v>5.523132787466379E-2</v>
      </c>
    </row>
    <row r="152" spans="1:4" x14ac:dyDescent="0.35">
      <c r="A152">
        <f t="shared" si="7"/>
        <v>147</v>
      </c>
      <c r="B152">
        <v>-0.24956702482861567</v>
      </c>
      <c r="C152" s="72">
        <f t="shared" si="8"/>
        <v>-0.26530592589068758</v>
      </c>
      <c r="D152" s="72">
        <f t="shared" si="6"/>
        <v>-0.25800461978875905</v>
      </c>
    </row>
    <row r="153" spans="1:4" x14ac:dyDescent="0.35">
      <c r="A153">
        <f t="shared" si="7"/>
        <v>148</v>
      </c>
      <c r="B153">
        <v>-4.3466069434543744E-2</v>
      </c>
      <c r="C153" s="72">
        <f t="shared" si="8"/>
        <v>5.6360740496902526E-2</v>
      </c>
      <c r="D153" s="72">
        <f t="shared" si="6"/>
        <v>-2.2534665353358563E-2</v>
      </c>
    </row>
    <row r="154" spans="1:4" x14ac:dyDescent="0.35">
      <c r="A154">
        <f t="shared" si="7"/>
        <v>149</v>
      </c>
      <c r="B154">
        <v>-9.4167699304106664E-2</v>
      </c>
      <c r="C154" s="72">
        <f t="shared" si="8"/>
        <v>-7.6781271530289158E-2</v>
      </c>
      <c r="D154" s="72">
        <f t="shared" si="6"/>
        <v>-0.10100756782684293</v>
      </c>
    </row>
    <row r="155" spans="1:4" x14ac:dyDescent="0.35">
      <c r="A155">
        <f t="shared" si="7"/>
        <v>150</v>
      </c>
      <c r="B155">
        <v>1.0789945199254356</v>
      </c>
      <c r="C155" s="72">
        <f t="shared" si="8"/>
        <v>1.1166615996470783</v>
      </c>
      <c r="D155" s="72">
        <f t="shared" si="6"/>
        <v>1.0828619308981531</v>
      </c>
    </row>
    <row r="156" spans="1:4" x14ac:dyDescent="0.35">
      <c r="A156">
        <f t="shared" si="7"/>
        <v>151</v>
      </c>
      <c r="B156">
        <v>0.19457012465328444</v>
      </c>
      <c r="C156" s="72">
        <f t="shared" si="8"/>
        <v>-0.23702768331688984</v>
      </c>
      <c r="D156" s="72">
        <f t="shared" si="6"/>
        <v>0.10272869994022971</v>
      </c>
    </row>
    <row r="157" spans="1:4" x14ac:dyDescent="0.35">
      <c r="A157">
        <f t="shared" si="7"/>
        <v>152</v>
      </c>
      <c r="B157">
        <v>-0.93304167847339614</v>
      </c>
      <c r="C157" s="72">
        <f t="shared" si="8"/>
        <v>-1.0108697283347099</v>
      </c>
      <c r="D157" s="72">
        <f t="shared" si="6"/>
        <v>-0.90658337688093982</v>
      </c>
    </row>
    <row r="158" spans="1:4" x14ac:dyDescent="0.35">
      <c r="A158">
        <f t="shared" si="7"/>
        <v>153</v>
      </c>
      <c r="B158">
        <v>-0.16706237349180128</v>
      </c>
      <c r="C158" s="72">
        <f t="shared" si="8"/>
        <v>0.20615429789755721</v>
      </c>
      <c r="D158" s="72">
        <f t="shared" si="6"/>
        <v>-7.7095262086404118E-2</v>
      </c>
    </row>
    <row r="159" spans="1:4" x14ac:dyDescent="0.35">
      <c r="A159">
        <f t="shared" si="7"/>
        <v>154</v>
      </c>
      <c r="B159">
        <v>0.25997599923618075</v>
      </c>
      <c r="C159" s="72">
        <f t="shared" si="8"/>
        <v>0.32680094863290127</v>
      </c>
      <c r="D159" s="72">
        <f t="shared" si="6"/>
        <v>0.24234181083459083</v>
      </c>
    </row>
    <row r="160" spans="1:4" x14ac:dyDescent="0.35">
      <c r="A160">
        <f t="shared" si="7"/>
        <v>155</v>
      </c>
      <c r="B160">
        <v>-0.66600962106369432</v>
      </c>
      <c r="C160" s="72">
        <f t="shared" si="8"/>
        <v>-0.77000002075816665</v>
      </c>
      <c r="D160" s="72">
        <f t="shared" si="6"/>
        <v>-0.69755738775036003</v>
      </c>
    </row>
    <row r="161" spans="1:4" x14ac:dyDescent="0.35">
      <c r="A161">
        <f t="shared" si="7"/>
        <v>156</v>
      </c>
      <c r="B161">
        <v>0.11797693608631241</v>
      </c>
      <c r="C161" s="72">
        <f t="shared" si="8"/>
        <v>0.38438078451179014</v>
      </c>
      <c r="D161" s="72">
        <f t="shared" si="6"/>
        <v>0.1772092356779835</v>
      </c>
    </row>
    <row r="162" spans="1:4" x14ac:dyDescent="0.35">
      <c r="A162">
        <f t="shared" si="7"/>
        <v>157</v>
      </c>
      <c r="B162">
        <v>-0.38200653711381494</v>
      </c>
      <c r="C162" s="72">
        <f t="shared" si="8"/>
        <v>-0.4291973115483399</v>
      </c>
      <c r="D162" s="72">
        <f t="shared" si="6"/>
        <v>-0.4185151129687798</v>
      </c>
    </row>
    <row r="163" spans="1:4" x14ac:dyDescent="0.35">
      <c r="A163">
        <f t="shared" si="7"/>
        <v>158</v>
      </c>
      <c r="B163">
        <v>0.65451858323512313</v>
      </c>
      <c r="C163" s="72">
        <f t="shared" si="8"/>
        <v>0.80732119808064917</v>
      </c>
      <c r="D163" s="72">
        <f t="shared" si="6"/>
        <v>0.68512215769732909</v>
      </c>
    </row>
    <row r="164" spans="1:4" x14ac:dyDescent="0.35">
      <c r="A164">
        <f t="shared" si="7"/>
        <v>159</v>
      </c>
      <c r="B164">
        <v>0.31230951248154232</v>
      </c>
      <c r="C164" s="72">
        <f t="shared" si="8"/>
        <v>5.0502079187493054E-2</v>
      </c>
      <c r="D164" s="72">
        <f t="shared" si="6"/>
        <v>0.24207559739238949</v>
      </c>
    </row>
    <row r="165" spans="1:4" x14ac:dyDescent="0.35">
      <c r="A165">
        <f t="shared" si="7"/>
        <v>160</v>
      </c>
      <c r="B165">
        <v>-0.11414619211828736</v>
      </c>
      <c r="C165" s="72">
        <f t="shared" si="8"/>
        <v>-0.23906999711090429</v>
      </c>
      <c r="D165" s="72">
        <f t="shared" si="6"/>
        <v>-0.11643890411547952</v>
      </c>
    </row>
    <row r="166" spans="1:4" x14ac:dyDescent="0.35">
      <c r="A166">
        <f t="shared" si="7"/>
        <v>161</v>
      </c>
      <c r="B166">
        <v>-0.45830678053502522</v>
      </c>
      <c r="C166" s="72">
        <f t="shared" si="8"/>
        <v>-0.41264830368771027</v>
      </c>
      <c r="D166" s="72">
        <f t="shared" si="6"/>
        <v>-0.43393169741097504</v>
      </c>
    </row>
    <row r="167" spans="1:4" x14ac:dyDescent="0.35">
      <c r="A167">
        <f t="shared" si="7"/>
        <v>162</v>
      </c>
      <c r="B167">
        <v>6.3411234207975328E-2</v>
      </c>
      <c r="C167" s="72">
        <f t="shared" si="8"/>
        <v>0.24673394642198543</v>
      </c>
      <c r="D167" s="72">
        <f t="shared" si="6"/>
        <v>0.10023481423925269</v>
      </c>
    </row>
    <row r="168" spans="1:4" x14ac:dyDescent="0.35">
      <c r="A168">
        <f t="shared" si="7"/>
        <v>163</v>
      </c>
      <c r="B168">
        <v>0.50173549649751492</v>
      </c>
      <c r="C168" s="72">
        <f t="shared" si="8"/>
        <v>0.47637100281432476</v>
      </c>
      <c r="D168" s="72">
        <f t="shared" si="6"/>
        <v>0.47981627798702736</v>
      </c>
    </row>
    <row r="169" spans="1:4" x14ac:dyDescent="0.35">
      <c r="A169">
        <f t="shared" si="7"/>
        <v>164</v>
      </c>
      <c r="B169">
        <v>-4.7878140516434735E-2</v>
      </c>
      <c r="C169" s="72">
        <f t="shared" si="8"/>
        <v>-0.24857233911544072</v>
      </c>
      <c r="D169" s="72">
        <f t="shared" si="6"/>
        <v>-8.8463037110224393E-2</v>
      </c>
    </row>
    <row r="170" spans="1:4" x14ac:dyDescent="0.35">
      <c r="A170">
        <f t="shared" si="7"/>
        <v>165</v>
      </c>
      <c r="B170">
        <v>0.14014491224633679</v>
      </c>
      <c r="C170" s="72">
        <f t="shared" si="8"/>
        <v>0.1592961684529107</v>
      </c>
      <c r="D170" s="72">
        <f t="shared" si="6"/>
        <v>0.16264321681268096</v>
      </c>
    </row>
    <row r="171" spans="1:4" x14ac:dyDescent="0.35">
      <c r="A171">
        <f t="shared" si="7"/>
        <v>166</v>
      </c>
      <c r="B171">
        <v>-0.22094875069833905</v>
      </c>
      <c r="C171" s="72">
        <f t="shared" si="8"/>
        <v>-0.27700671559687379</v>
      </c>
      <c r="D171" s="72">
        <f t="shared" si="6"/>
        <v>-0.23081025855505771</v>
      </c>
    </row>
    <row r="172" spans="1:4" x14ac:dyDescent="0.35">
      <c r="A172">
        <f t="shared" si="7"/>
        <v>167</v>
      </c>
      <c r="B172">
        <v>0.60190831699301106</v>
      </c>
      <c r="C172" s="72">
        <f t="shared" si="8"/>
        <v>0.69028781727234667</v>
      </c>
      <c r="D172" s="72">
        <f t="shared" si="6"/>
        <v>0.62717673719586053</v>
      </c>
    </row>
    <row r="173" spans="1:4" x14ac:dyDescent="0.35">
      <c r="A173">
        <f t="shared" si="7"/>
        <v>168</v>
      </c>
      <c r="B173">
        <v>0.57112113782875606</v>
      </c>
      <c r="C173" s="72">
        <f t="shared" si="8"/>
        <v>0.3303578110315516</v>
      </c>
      <c r="D173" s="72">
        <f t="shared" si="6"/>
        <v>0.51577446122582637</v>
      </c>
    </row>
    <row r="174" spans="1:4" x14ac:dyDescent="0.35">
      <c r="A174">
        <f t="shared" si="7"/>
        <v>169</v>
      </c>
      <c r="B174">
        <v>0.42935318255318633</v>
      </c>
      <c r="C174" s="72">
        <f t="shared" si="8"/>
        <v>0.20090472742168389</v>
      </c>
      <c r="D174" s="72">
        <f t="shared" si="6"/>
        <v>0.40727296098595006</v>
      </c>
    </row>
    <row r="175" spans="1:4" x14ac:dyDescent="0.35">
      <c r="A175">
        <f t="shared" si="7"/>
        <v>170</v>
      </c>
      <c r="B175">
        <v>3.2284282684139576E-2</v>
      </c>
      <c r="C175" s="72">
        <f t="shared" si="8"/>
        <v>-0.13945699033713496</v>
      </c>
      <c r="D175" s="72">
        <f t="shared" si="6"/>
        <v>2.4852742449466662E-2</v>
      </c>
    </row>
    <row r="176" spans="1:4" x14ac:dyDescent="0.35">
      <c r="A176">
        <f t="shared" si="7"/>
        <v>171</v>
      </c>
      <c r="B176">
        <v>0.13032847091512376</v>
      </c>
      <c r="C176" s="72">
        <f t="shared" si="8"/>
        <v>0.11741475784146793</v>
      </c>
      <c r="D176" s="72">
        <f t="shared" si="6"/>
        <v>0.15222793235517434</v>
      </c>
    </row>
    <row r="177" spans="1:4" x14ac:dyDescent="0.35">
      <c r="A177">
        <f t="shared" si="7"/>
        <v>172</v>
      </c>
      <c r="B177">
        <v>0.55577904583932602</v>
      </c>
      <c r="C177" s="72">
        <f t="shared" si="8"/>
        <v>0.50364765747327656</v>
      </c>
      <c r="D177" s="72">
        <f t="shared" si="6"/>
        <v>0.55398613538647823</v>
      </c>
    </row>
    <row r="178" spans="1:4" x14ac:dyDescent="0.35">
      <c r="A178">
        <f t="shared" si="7"/>
        <v>173</v>
      </c>
      <c r="B178">
        <v>-0.25846732041896892</v>
      </c>
      <c r="C178" s="72">
        <f t="shared" si="8"/>
        <v>-0.48077893875469935</v>
      </c>
      <c r="D178" s="72">
        <f t="shared" si="6"/>
        <v>-0.29351263144434675</v>
      </c>
    </row>
    <row r="179" spans="1:4" x14ac:dyDescent="0.35">
      <c r="A179">
        <f t="shared" si="7"/>
        <v>174</v>
      </c>
      <c r="B179">
        <v>0.27306064744471714</v>
      </c>
      <c r="C179" s="72">
        <f t="shared" si="8"/>
        <v>0.37644757561230469</v>
      </c>
      <c r="D179" s="72">
        <f t="shared" si="6"/>
        <v>0.31908919923205875</v>
      </c>
    </row>
    <row r="180" spans="1:4" x14ac:dyDescent="0.35">
      <c r="A180">
        <f t="shared" si="7"/>
        <v>175</v>
      </c>
      <c r="B180">
        <v>-0.8071299863914666</v>
      </c>
      <c r="C180" s="72">
        <f t="shared" si="8"/>
        <v>-0.9163542453693535</v>
      </c>
      <c r="D180" s="72">
        <f t="shared" si="6"/>
        <v>-0.83363359680893989</v>
      </c>
    </row>
    <row r="181" spans="1:4" x14ac:dyDescent="0.35">
      <c r="A181">
        <f t="shared" si="7"/>
        <v>176</v>
      </c>
      <c r="B181">
        <v>-9.080471442227743E-2</v>
      </c>
      <c r="C181" s="72">
        <f t="shared" si="8"/>
        <v>0.2320472801343092</v>
      </c>
      <c r="D181" s="72">
        <f t="shared" si="6"/>
        <v>-1.3594399545118905E-2</v>
      </c>
    </row>
    <row r="182" spans="1:4" x14ac:dyDescent="0.35">
      <c r="A182">
        <f t="shared" si="7"/>
        <v>177</v>
      </c>
      <c r="B182">
        <v>0.78479208772105447</v>
      </c>
      <c r="C182" s="72">
        <f t="shared" si="8"/>
        <v>0.8211139734899654</v>
      </c>
      <c r="D182" s="72">
        <f t="shared" si="6"/>
        <v>0.76178096094973569</v>
      </c>
    </row>
    <row r="183" spans="1:4" x14ac:dyDescent="0.35">
      <c r="A183">
        <f t="shared" si="7"/>
        <v>178</v>
      </c>
      <c r="B183">
        <v>-0.13451947923937232</v>
      </c>
      <c r="C183" s="72">
        <f t="shared" si="8"/>
        <v>-0.44843631432779418</v>
      </c>
      <c r="D183" s="72">
        <f t="shared" si="6"/>
        <v>-0.2056314831592253</v>
      </c>
    </row>
    <row r="184" spans="1:4" x14ac:dyDescent="0.35">
      <c r="A184">
        <f t="shared" si="7"/>
        <v>179</v>
      </c>
      <c r="B184">
        <v>0.12925003906509253</v>
      </c>
      <c r="C184" s="72">
        <f t="shared" si="8"/>
        <v>0.18305783076084145</v>
      </c>
      <c r="D184" s="72">
        <f t="shared" si="6"/>
        <v>0.1675190645468673</v>
      </c>
    </row>
    <row r="185" spans="1:4" x14ac:dyDescent="0.35">
      <c r="A185">
        <f t="shared" si="7"/>
        <v>180</v>
      </c>
      <c r="B185">
        <v>-0.39138319355115314</v>
      </c>
      <c r="C185" s="72">
        <f t="shared" si="8"/>
        <v>-0.44308320917719013</v>
      </c>
      <c r="D185" s="72">
        <f t="shared" si="6"/>
        <v>-0.40305500573545139</v>
      </c>
    </row>
    <row r="186" spans="1:4" x14ac:dyDescent="0.35">
      <c r="A186">
        <f t="shared" si="7"/>
        <v>181</v>
      </c>
      <c r="B186">
        <v>0.99268646809453487</v>
      </c>
      <c r="C186" s="72">
        <f t="shared" si="8"/>
        <v>1.1492397455149961</v>
      </c>
      <c r="D186" s="72">
        <f t="shared" si="6"/>
        <v>1.0313474154350812</v>
      </c>
    </row>
    <row r="187" spans="1:4" x14ac:dyDescent="0.35">
      <c r="A187">
        <f t="shared" si="7"/>
        <v>182</v>
      </c>
      <c r="B187">
        <v>1.1045485291507553</v>
      </c>
      <c r="C187" s="72">
        <f t="shared" si="8"/>
        <v>0.70747394191294133</v>
      </c>
      <c r="D187" s="72">
        <f t="shared" si="6"/>
        <v>1.0108281450095902</v>
      </c>
    </row>
    <row r="188" spans="1:4" x14ac:dyDescent="0.35">
      <c r="A188">
        <f t="shared" si="7"/>
        <v>183</v>
      </c>
      <c r="B188">
        <v>-0.34636077127091497</v>
      </c>
      <c r="C188" s="72">
        <f t="shared" si="8"/>
        <v>-0.78818018293121717</v>
      </c>
      <c r="D188" s="72">
        <f t="shared" si="6"/>
        <v>-0.39678132853292347</v>
      </c>
    </row>
    <row r="189" spans="1:4" x14ac:dyDescent="0.35">
      <c r="A189">
        <f t="shared" si="7"/>
        <v>184</v>
      </c>
      <c r="B189">
        <v>-4.2853859404839843E-2</v>
      </c>
      <c r="C189" s="72">
        <f t="shared" si="8"/>
        <v>9.5690449103526143E-2</v>
      </c>
      <c r="D189" s="72">
        <f t="shared" si="6"/>
        <v>3.5427324533921681E-2</v>
      </c>
    </row>
    <row r="190" spans="1:4" x14ac:dyDescent="0.35">
      <c r="A190">
        <f t="shared" si="7"/>
        <v>185</v>
      </c>
      <c r="B190">
        <v>0.82486687850577067</v>
      </c>
      <c r="C190" s="72">
        <f t="shared" si="8"/>
        <v>0.84200842226770656</v>
      </c>
      <c r="D190" s="72">
        <f t="shared" si="6"/>
        <v>0.82717145161156369</v>
      </c>
    </row>
    <row r="191" spans="1:4" x14ac:dyDescent="0.35">
      <c r="A191">
        <f t="shared" si="7"/>
        <v>186</v>
      </c>
      <c r="B191">
        <v>0.26146176427923473</v>
      </c>
      <c r="C191" s="72">
        <f t="shared" si="8"/>
        <v>-6.8484987123073549E-2</v>
      </c>
      <c r="D191" s="72">
        <f t="shared" si="6"/>
        <v>0.19847225620035605</v>
      </c>
    </row>
    <row r="192" spans="1:4" x14ac:dyDescent="0.35">
      <c r="A192">
        <f t="shared" si="7"/>
        <v>187</v>
      </c>
      <c r="B192">
        <v>-0.35460608851308539</v>
      </c>
      <c r="C192" s="72">
        <f t="shared" si="8"/>
        <v>-0.45919079422477926</v>
      </c>
      <c r="D192" s="72">
        <f t="shared" si="6"/>
        <v>-0.34113969898817975</v>
      </c>
    </row>
    <row r="193" spans="1:4" x14ac:dyDescent="0.35">
      <c r="A193">
        <f t="shared" si="7"/>
        <v>188</v>
      </c>
      <c r="B193">
        <v>-0.26876158315295717</v>
      </c>
      <c r="C193" s="72">
        <f t="shared" si="8"/>
        <v>-0.126919147747723</v>
      </c>
      <c r="D193" s="72">
        <f t="shared" si="6"/>
        <v>-0.22296255973381723</v>
      </c>
    </row>
    <row r="194" spans="1:4" x14ac:dyDescent="0.35">
      <c r="A194">
        <f t="shared" si="7"/>
        <v>189</v>
      </c>
      <c r="B194">
        <v>0.25166944374552108</v>
      </c>
      <c r="C194" s="72">
        <f t="shared" si="8"/>
        <v>0.35917407700670395</v>
      </c>
      <c r="D194" s="72">
        <f t="shared" si="6"/>
        <v>0.26534551276893092</v>
      </c>
    </row>
    <row r="195" spans="1:4" x14ac:dyDescent="0.35">
      <c r="A195">
        <f t="shared" si="7"/>
        <v>190</v>
      </c>
      <c r="B195">
        <v>0.43286071337948057</v>
      </c>
      <c r="C195" s="72">
        <f t="shared" si="8"/>
        <v>0.33219293588127213</v>
      </c>
      <c r="D195" s="72">
        <f t="shared" si="6"/>
        <v>0.40237370819712681</v>
      </c>
    </row>
    <row r="196" spans="1:4" x14ac:dyDescent="0.35">
      <c r="A196">
        <f t="shared" si="7"/>
        <v>191</v>
      </c>
      <c r="B196">
        <v>0.45413848023264791</v>
      </c>
      <c r="C196" s="72">
        <f t="shared" si="8"/>
        <v>0.28099419488085564</v>
      </c>
      <c r="D196" s="72">
        <f t="shared" si="6"/>
        <v>0.42721904828026946</v>
      </c>
    </row>
    <row r="197" spans="1:4" x14ac:dyDescent="0.35">
      <c r="A197">
        <f t="shared" si="7"/>
        <v>192</v>
      </c>
      <c r="B197">
        <v>-1.3324825042722805E-2</v>
      </c>
      <c r="C197" s="72">
        <f t="shared" si="8"/>
        <v>-0.19498021713578198</v>
      </c>
      <c r="D197" s="72">
        <f t="shared" si="6"/>
        <v>-3.1769109051072331E-2</v>
      </c>
    </row>
    <row r="198" spans="1:4" x14ac:dyDescent="0.35">
      <c r="A198">
        <f t="shared" si="7"/>
        <v>193</v>
      </c>
      <c r="B198">
        <v>-0.24539323159004911</v>
      </c>
      <c r="C198" s="72">
        <f t="shared" si="8"/>
        <v>-0.24006330157295999</v>
      </c>
      <c r="D198" s="72">
        <f t="shared" si="6"/>
        <v>-0.22204844789548719</v>
      </c>
    </row>
    <row r="199" spans="1:4" x14ac:dyDescent="0.35">
      <c r="A199">
        <f t="shared" si="7"/>
        <v>194</v>
      </c>
      <c r="B199">
        <v>3.6119098172010637E-2</v>
      </c>
      <c r="C199" s="72">
        <f t="shared" si="8"/>
        <v>0.13427639080803028</v>
      </c>
      <c r="D199" s="72">
        <f t="shared" ref="D199:D205" si="9">C199-$G$3*D198-G$4*D197</f>
        <v>6.114543654750617E-2</v>
      </c>
    </row>
    <row r="200" spans="1:4" x14ac:dyDescent="0.35">
      <c r="A200">
        <f t="shared" ref="A200:A205" si="10">A199+1</f>
        <v>195</v>
      </c>
      <c r="B200">
        <v>0.30217869836325728</v>
      </c>
      <c r="C200" s="72">
        <f t="shared" ref="C200:C205" si="11">B200-0.4*B199</f>
        <v>0.28773105909445301</v>
      </c>
      <c r="D200" s="72">
        <f t="shared" si="9"/>
        <v>0.2926464421381994</v>
      </c>
    </row>
    <row r="201" spans="1:4" x14ac:dyDescent="0.35">
      <c r="A201">
        <f t="shared" si="10"/>
        <v>196</v>
      </c>
      <c r="B201">
        <v>0.2364922796416036</v>
      </c>
      <c r="C201" s="72">
        <f t="shared" si="11"/>
        <v>0.11562080029630069</v>
      </c>
      <c r="D201" s="72">
        <f t="shared" si="9"/>
        <v>0.2132743473638056</v>
      </c>
    </row>
    <row r="202" spans="1:4" x14ac:dyDescent="0.35">
      <c r="A202">
        <f t="shared" si="10"/>
        <v>197</v>
      </c>
      <c r="B202">
        <v>-0.70478339276739954</v>
      </c>
      <c r="C202" s="72">
        <f t="shared" si="11"/>
        <v>-0.79938030462404097</v>
      </c>
      <c r="D202" s="72">
        <f t="shared" si="9"/>
        <v>-0.71184957099151713</v>
      </c>
    </row>
    <row r="203" spans="1:4" x14ac:dyDescent="0.35">
      <c r="A203">
        <f t="shared" si="10"/>
        <v>198</v>
      </c>
      <c r="B203">
        <v>-0.30303035315709964</v>
      </c>
      <c r="C203" s="72">
        <f t="shared" si="11"/>
        <v>-2.1116996050139836E-2</v>
      </c>
      <c r="D203" s="72">
        <f t="shared" si="9"/>
        <v>-0.23477796427152894</v>
      </c>
    </row>
    <row r="204" spans="1:4" x14ac:dyDescent="0.35">
      <c r="A204">
        <f t="shared" si="10"/>
        <v>199</v>
      </c>
      <c r="B204">
        <v>4.980264955195015E-2</v>
      </c>
      <c r="C204" s="72">
        <f t="shared" si="11"/>
        <v>0.17101479081479001</v>
      </c>
      <c r="D204" s="72">
        <f t="shared" si="9"/>
        <v>4.8955423130111891E-2</v>
      </c>
    </row>
    <row r="205" spans="1:4" x14ac:dyDescent="0.35">
      <c r="A205">
        <f t="shared" si="10"/>
        <v>200</v>
      </c>
      <c r="B205" s="4">
        <v>-1.0568000762886942</v>
      </c>
      <c r="C205" s="76">
        <f t="shared" si="11"/>
        <v>-1.0767211361094742</v>
      </c>
      <c r="D205" s="76">
        <f t="shared" si="9"/>
        <v>-1.0765450638957734</v>
      </c>
    </row>
    <row r="207" spans="1:4" x14ac:dyDescent="0.35">
      <c r="B207" s="20" t="s">
        <v>230</v>
      </c>
    </row>
    <row r="208" spans="1:4" x14ac:dyDescent="0.35">
      <c r="B208" t="e" cm="1">
        <f t="array" aca="1" ref="B208" ca="1">FTEXT(C7)</f>
        <v>#NAME?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88"/>
  <dimension ref="A1:K209"/>
  <sheetViews>
    <sheetView workbookViewId="0"/>
  </sheetViews>
  <sheetFormatPr defaultRowHeight="14.5" x14ac:dyDescent="0.35"/>
  <cols>
    <col min="1" max="1" width="4.7265625" customWidth="1"/>
    <col min="5" max="5" width="4" style="71" customWidth="1"/>
    <col min="6" max="6" width="7.81640625" customWidth="1"/>
    <col min="8" max="8" width="5.54296875" customWidth="1"/>
    <col min="10" max="10" width="12" bestFit="1" customWidth="1"/>
  </cols>
  <sheetData>
    <row r="1" spans="1:11" x14ac:dyDescent="0.35">
      <c r="A1" s="7" t="s">
        <v>266</v>
      </c>
    </row>
    <row r="2" spans="1:11" x14ac:dyDescent="0.35">
      <c r="A2" s="7"/>
    </row>
    <row r="3" spans="1:11" ht="15" customHeight="1" x14ac:dyDescent="0.35">
      <c r="A3" s="72"/>
      <c r="B3" s="82" t="s">
        <v>107</v>
      </c>
      <c r="C3" s="82" t="s">
        <v>110</v>
      </c>
      <c r="D3" s="82" t="s">
        <v>107</v>
      </c>
      <c r="E3" s="73"/>
      <c r="F3" s="90" t="s">
        <v>263</v>
      </c>
      <c r="G3" s="79">
        <v>0.12461049050933881</v>
      </c>
      <c r="I3" s="90" t="s">
        <v>264</v>
      </c>
      <c r="J3" s="23">
        <f>ABS(G3)</f>
        <v>0.12461049050933881</v>
      </c>
      <c r="K3" t="s">
        <v>125</v>
      </c>
    </row>
    <row r="4" spans="1:11" ht="15" customHeight="1" x14ac:dyDescent="0.35">
      <c r="A4" s="72">
        <v>-2</v>
      </c>
      <c r="B4" s="72"/>
      <c r="C4" s="72"/>
      <c r="D4" s="72">
        <v>0</v>
      </c>
      <c r="E4" s="72"/>
      <c r="F4" s="90" t="s">
        <v>260</v>
      </c>
      <c r="G4" s="96">
        <v>-8.5953415454546267E-2</v>
      </c>
      <c r="I4" s="90" t="s">
        <v>262</v>
      </c>
      <c r="J4" s="24">
        <f>ABS(G4)</f>
        <v>8.5953415454546267E-2</v>
      </c>
      <c r="K4" t="s">
        <v>125</v>
      </c>
    </row>
    <row r="5" spans="1:11" ht="15" customHeight="1" x14ac:dyDescent="0.35">
      <c r="A5" s="72">
        <v>-1</v>
      </c>
      <c r="B5" s="72"/>
      <c r="C5" s="72"/>
      <c r="D5" s="72">
        <v>0</v>
      </c>
      <c r="E5" s="72"/>
      <c r="F5" s="90" t="s">
        <v>253</v>
      </c>
      <c r="G5" s="96">
        <v>-0.3429618242996173</v>
      </c>
      <c r="I5" s="90" t="s">
        <v>265</v>
      </c>
      <c r="J5" s="34">
        <f>ABS(G5)</f>
        <v>0.3429618242996173</v>
      </c>
      <c r="K5" t="s">
        <v>125</v>
      </c>
    </row>
    <row r="6" spans="1:11" ht="15" customHeight="1" x14ac:dyDescent="0.35">
      <c r="A6" s="72">
        <v>0</v>
      </c>
      <c r="B6" s="72"/>
      <c r="C6" s="72"/>
      <c r="D6" s="72">
        <v>0</v>
      </c>
      <c r="E6" s="72"/>
      <c r="F6" s="98" t="s">
        <v>254</v>
      </c>
      <c r="G6" s="80">
        <f>VARP(C8:C207)/(1+SUMSQ(G3:G5))</f>
        <v>0.18871762457599939</v>
      </c>
    </row>
    <row r="7" spans="1:11" ht="15" customHeight="1" x14ac:dyDescent="0.35">
      <c r="A7" s="72">
        <v>1</v>
      </c>
      <c r="B7" s="72">
        <v>-0.51207912635870179</v>
      </c>
      <c r="C7" s="72">
        <f>B7</f>
        <v>-0.51207912635870179</v>
      </c>
      <c r="D7" s="72">
        <f>C7-SUMPRODUCT(D4:D6,G$3:G$5)</f>
        <v>-0.51207912635870179</v>
      </c>
      <c r="E7" s="73"/>
    </row>
    <row r="8" spans="1:11" ht="15" customHeight="1" x14ac:dyDescent="0.35">
      <c r="A8" s="72">
        <f>A7+1</f>
        <v>2</v>
      </c>
      <c r="B8" s="72">
        <v>-0.36334374693531363</v>
      </c>
      <c r="C8" s="72">
        <f>B8-0.4*B7</f>
        <v>-0.15851209639183289</v>
      </c>
      <c r="D8" s="72">
        <f t="shared" ref="D8:D71" si="0">C8-SUMPRODUCT(D5:D7,G$3:G$5)</f>
        <v>-0.3341356877535675</v>
      </c>
      <c r="F8" s="71" t="s">
        <v>121</v>
      </c>
      <c r="G8" s="19">
        <f>SUMSQ(D7:D206)</f>
        <v>38.512205604205469</v>
      </c>
    </row>
    <row r="9" spans="1:11" ht="15" customHeight="1" x14ac:dyDescent="0.35">
      <c r="A9" s="72">
        <f t="shared" ref="A9:A72" si="1">A8+1</f>
        <v>3</v>
      </c>
      <c r="B9" s="72">
        <v>0.11192767204794295</v>
      </c>
      <c r="C9" s="72">
        <f t="shared" ref="C9:C72" si="2">B9-0.4*B8</f>
        <v>0.2572651708220684</v>
      </c>
      <c r="D9" s="72">
        <f t="shared" si="0"/>
        <v>9.8654435892987002E-2</v>
      </c>
    </row>
    <row r="10" spans="1:11" ht="15" customHeight="1" x14ac:dyDescent="0.35">
      <c r="A10" s="72">
        <f t="shared" si="1"/>
        <v>4</v>
      </c>
      <c r="B10" s="72">
        <v>2.6947470072676356E-2</v>
      </c>
      <c r="C10" s="72">
        <f t="shared" si="2"/>
        <v>-1.7823598746500826E-2</v>
      </c>
      <c r="D10" s="72">
        <f t="shared" si="0"/>
        <v>5.1101434090086217E-2</v>
      </c>
    </row>
    <row r="11" spans="1:11" ht="15" customHeight="1" x14ac:dyDescent="0.35">
      <c r="A11" s="72">
        <f t="shared" si="1"/>
        <v>5</v>
      </c>
      <c r="B11" s="72">
        <v>-1.6753415454899445E-2</v>
      </c>
      <c r="C11" s="72">
        <f t="shared" si="2"/>
        <v>-2.7532403483969986E-2</v>
      </c>
      <c r="D11" s="72">
        <f t="shared" si="0"/>
        <v>4.0109935238283767E-2</v>
      </c>
    </row>
    <row r="12" spans="1:11" x14ac:dyDescent="0.35">
      <c r="A12" s="72">
        <f t="shared" si="1"/>
        <v>6</v>
      </c>
      <c r="B12" s="72">
        <v>8.1914358993839212E-2</v>
      </c>
      <c r="C12" s="72">
        <f t="shared" si="2"/>
        <v>8.8615725175798993E-2</v>
      </c>
      <c r="D12" s="72">
        <f t="shared" si="0"/>
        <v>9.447086688478136E-2</v>
      </c>
    </row>
    <row r="13" spans="1:11" x14ac:dyDescent="0.35">
      <c r="A13" s="72">
        <f t="shared" si="1"/>
        <v>7</v>
      </c>
      <c r="B13" s="72">
        <v>0.63820678984685353</v>
      </c>
      <c r="C13" s="72">
        <f t="shared" si="2"/>
        <v>0.60544104624931783</v>
      </c>
      <c r="D13" s="72">
        <f t="shared" si="0"/>
        <v>0.63492075825898364</v>
      </c>
    </row>
    <row r="14" spans="1:11" x14ac:dyDescent="0.35">
      <c r="A14" s="72">
        <f t="shared" si="1"/>
        <v>8</v>
      </c>
      <c r="B14" s="72">
        <v>0.13169322212412099</v>
      </c>
      <c r="C14" s="72">
        <f t="shared" si="2"/>
        <v>-0.12358949381462042</v>
      </c>
      <c r="D14" s="72">
        <f t="shared" si="0"/>
        <v>9.7286062688935332E-2</v>
      </c>
    </row>
    <row r="15" spans="1:11" x14ac:dyDescent="0.35">
      <c r="A15" s="72">
        <f t="shared" si="1"/>
        <v>9</v>
      </c>
      <c r="B15" s="72">
        <v>-5.7137285520943479E-2</v>
      </c>
      <c r="C15" s="72">
        <f t="shared" si="2"/>
        <v>-0.10981457437059187</v>
      </c>
      <c r="D15" s="72">
        <f t="shared" si="0"/>
        <v>-3.3647622177872788E-2</v>
      </c>
    </row>
    <row r="16" spans="1:11" x14ac:dyDescent="0.35">
      <c r="A16" s="72">
        <f t="shared" si="1"/>
        <v>10</v>
      </c>
      <c r="B16" s="72">
        <v>0.54124755369311517</v>
      </c>
      <c r="C16" s="72">
        <f t="shared" si="2"/>
        <v>0.56410246790149254</v>
      </c>
      <c r="D16" s="72">
        <f t="shared" si="0"/>
        <v>0.48180690025905082</v>
      </c>
    </row>
    <row r="17" spans="1:4" x14ac:dyDescent="0.35">
      <c r="A17" s="72">
        <f t="shared" si="1"/>
        <v>11</v>
      </c>
      <c r="B17" s="72">
        <v>0.43912452837972638</v>
      </c>
      <c r="C17" s="72">
        <f t="shared" si="2"/>
        <v>0.22262550690248029</v>
      </c>
      <c r="D17" s="72">
        <f t="shared" si="0"/>
        <v>0.37285188833596528</v>
      </c>
    </row>
    <row r="18" spans="1:4" x14ac:dyDescent="0.35">
      <c r="A18">
        <f t="shared" si="1"/>
        <v>12</v>
      </c>
      <c r="B18">
        <v>0.54883288339069092</v>
      </c>
      <c r="C18" s="72">
        <f t="shared" si="2"/>
        <v>0.37318307203880036</v>
      </c>
      <c r="D18" s="72">
        <f t="shared" si="0"/>
        <v>0.54666283122695114</v>
      </c>
    </row>
    <row r="19" spans="1:4" x14ac:dyDescent="0.35">
      <c r="A19">
        <f t="shared" si="1"/>
        <v>13</v>
      </c>
      <c r="B19">
        <v>0.85693829196286697</v>
      </c>
      <c r="C19" s="72">
        <f t="shared" si="2"/>
        <v>0.63740513860659065</v>
      </c>
      <c r="D19" s="72">
        <f t="shared" si="0"/>
        <v>0.79689931957006854</v>
      </c>
    </row>
    <row r="20" spans="1:4" x14ac:dyDescent="0.35">
      <c r="A20">
        <f t="shared" si="1"/>
        <v>14</v>
      </c>
      <c r="B20">
        <v>0.43225906999569413</v>
      </c>
      <c r="C20" s="72">
        <f t="shared" si="2"/>
        <v>8.9483753210547301E-2</v>
      </c>
      <c r="D20" s="72">
        <f t="shared" si="0"/>
        <v>0.3633160783865525</v>
      </c>
    </row>
    <row r="21" spans="1:4" x14ac:dyDescent="0.35">
      <c r="A21">
        <f t="shared" si="1"/>
        <v>15</v>
      </c>
      <c r="B21">
        <v>-6.4599939622106764E-2</v>
      </c>
      <c r="C21" s="72">
        <f t="shared" si="2"/>
        <v>-0.23750356762038444</v>
      </c>
      <c r="D21" s="72">
        <f t="shared" si="0"/>
        <v>-0.11252372783151258</v>
      </c>
    </row>
    <row r="22" spans="1:4" x14ac:dyDescent="0.35">
      <c r="A22">
        <f t="shared" si="1"/>
        <v>16</v>
      </c>
      <c r="B22">
        <v>-0.20365610579624818</v>
      </c>
      <c r="C22" s="72">
        <f t="shared" si="2"/>
        <v>-0.17781612994740548</v>
      </c>
      <c r="D22" s="72">
        <f t="shared" si="0"/>
        <v>-0.28448123019280336</v>
      </c>
    </row>
    <row r="23" spans="1:4" x14ac:dyDescent="0.35">
      <c r="A23">
        <f t="shared" si="1"/>
        <v>17</v>
      </c>
      <c r="B23">
        <v>-0.11232162753376856</v>
      </c>
      <c r="C23" s="72">
        <f t="shared" si="2"/>
        <v>-3.0859185215269286E-2</v>
      </c>
      <c r="D23" s="72">
        <f t="shared" si="0"/>
        <v>-0.18337018036566649</v>
      </c>
    </row>
    <row r="24" spans="1:4" x14ac:dyDescent="0.35">
      <c r="A24">
        <f t="shared" si="1"/>
        <v>18</v>
      </c>
      <c r="B24">
        <v>-0.12263390545953902</v>
      </c>
      <c r="C24" s="72">
        <f t="shared" si="2"/>
        <v>-7.7705254446031588E-2</v>
      </c>
      <c r="D24" s="72">
        <f t="shared" si="0"/>
        <v>-0.15102472247514875</v>
      </c>
    </row>
    <row r="25" spans="1:4" x14ac:dyDescent="0.35">
      <c r="A25">
        <f t="shared" si="1"/>
        <v>19</v>
      </c>
      <c r="B25">
        <v>0.4997230636303775</v>
      </c>
      <c r="C25" s="72">
        <f t="shared" si="2"/>
        <v>0.54877662581419306</v>
      </c>
      <c r="D25" s="72">
        <f t="shared" si="0"/>
        <v>0.51666896381985272</v>
      </c>
    </row>
    <row r="26" spans="1:4" x14ac:dyDescent="0.35">
      <c r="A26">
        <f t="shared" si="1"/>
        <v>20</v>
      </c>
      <c r="B26">
        <v>-7.107510966411526E-2</v>
      </c>
      <c r="C26" s="72">
        <f t="shared" si="2"/>
        <v>-0.27096433511626627</v>
      </c>
      <c r="D26" s="72">
        <f t="shared" si="0"/>
        <v>-8.3897847320278995E-2</v>
      </c>
    </row>
    <row r="27" spans="1:4" x14ac:dyDescent="0.35">
      <c r="A27">
        <f t="shared" si="1"/>
        <v>21</v>
      </c>
      <c r="B27">
        <v>0.9239136154717118</v>
      </c>
      <c r="C27" s="72">
        <f t="shared" si="2"/>
        <v>0.95234365933735787</v>
      </c>
      <c r="D27" s="72">
        <f t="shared" si="0"/>
        <v>0.98679862741192703</v>
      </c>
    </row>
    <row r="28" spans="1:4" x14ac:dyDescent="0.35">
      <c r="A28">
        <f t="shared" si="1"/>
        <v>22</v>
      </c>
      <c r="B28">
        <v>0.15295754626692404</v>
      </c>
      <c r="C28" s="72">
        <f t="shared" si="2"/>
        <v>-0.21660789992176072</v>
      </c>
      <c r="D28" s="72">
        <f t="shared" si="0"/>
        <v>5.0232678012786414E-2</v>
      </c>
    </row>
    <row r="29" spans="1:4" x14ac:dyDescent="0.35">
      <c r="A29">
        <f t="shared" si="1"/>
        <v>23</v>
      </c>
      <c r="B29">
        <v>0.33328421180909701</v>
      </c>
      <c r="C29" s="72">
        <f t="shared" si="2"/>
        <v>0.2721011933023274</v>
      </c>
      <c r="D29" s="72">
        <f t="shared" si="0"/>
        <v>0.38460234849221886</v>
      </c>
    </row>
    <row r="30" spans="1:4" x14ac:dyDescent="0.35">
      <c r="A30">
        <f t="shared" si="1"/>
        <v>24</v>
      </c>
      <c r="B30">
        <v>0.18774221804470156</v>
      </c>
      <c r="C30" s="72">
        <f t="shared" si="2"/>
        <v>5.4428533321062761E-2</v>
      </c>
      <c r="D30" s="72">
        <f t="shared" si="0"/>
        <v>6.7684665636756292E-2</v>
      </c>
    </row>
    <row r="31" spans="1:4" x14ac:dyDescent="0.35">
      <c r="A31">
        <f t="shared" si="1"/>
        <v>25</v>
      </c>
      <c r="B31">
        <v>0.22501409955220572</v>
      </c>
      <c r="C31" s="72">
        <f t="shared" si="2"/>
        <v>0.14991721233432509</v>
      </c>
      <c r="D31" s="72">
        <f t="shared" si="0"/>
        <v>0.19992883553619153</v>
      </c>
    </row>
    <row r="32" spans="1:4" x14ac:dyDescent="0.35">
      <c r="A32">
        <f t="shared" si="1"/>
        <v>26</v>
      </c>
      <c r="B32">
        <v>0.1013872161540149</v>
      </c>
      <c r="C32" s="72">
        <f t="shared" si="2"/>
        <v>1.1381576333132609E-2</v>
      </c>
      <c r="D32" s="72">
        <f t="shared" si="0"/>
        <v>3.7841775387442121E-2</v>
      </c>
    </row>
    <row r="33" spans="1:4" x14ac:dyDescent="0.35">
      <c r="A33">
        <f t="shared" si="1"/>
        <v>27</v>
      </c>
      <c r="B33">
        <v>0.16772638439529058</v>
      </c>
      <c r="C33" s="72">
        <f t="shared" si="2"/>
        <v>0.12717149793368462</v>
      </c>
      <c r="D33" s="72">
        <f t="shared" si="0"/>
        <v>0.14890012913252726</v>
      </c>
    </row>
    <row r="34" spans="1:4" x14ac:dyDescent="0.35">
      <c r="A34">
        <f t="shared" si="1"/>
        <v>28</v>
      </c>
      <c r="B34">
        <v>-0.31651644142481467</v>
      </c>
      <c r="C34" s="72">
        <f t="shared" si="2"/>
        <v>-0.3836069951829309</v>
      </c>
      <c r="D34" s="72">
        <f t="shared" si="0"/>
        <v>-0.35420053567890208</v>
      </c>
    </row>
    <row r="35" spans="1:4" x14ac:dyDescent="0.35">
      <c r="A35">
        <f t="shared" si="1"/>
        <v>29</v>
      </c>
      <c r="B35">
        <v>-0.59068997433252501</v>
      </c>
      <c r="C35" s="72">
        <f t="shared" si="2"/>
        <v>-0.4640833977625991</v>
      </c>
      <c r="D35" s="72">
        <f t="shared" si="0"/>
        <v>-0.57747766717914673</v>
      </c>
    </row>
    <row r="36" spans="1:4" x14ac:dyDescent="0.35">
      <c r="A36">
        <f t="shared" si="1"/>
        <v>30</v>
      </c>
      <c r="B36">
        <v>0.3060210831404202</v>
      </c>
      <c r="C36" s="72">
        <f t="shared" si="2"/>
        <v>0.54229707287343021</v>
      </c>
      <c r="D36" s="72">
        <f t="shared" si="0"/>
        <v>0.29524501471984321</v>
      </c>
    </row>
    <row r="37" spans="1:4" x14ac:dyDescent="0.35">
      <c r="A37">
        <f t="shared" si="1"/>
        <v>31</v>
      </c>
      <c r="B37">
        <v>-0.62752248082675643</v>
      </c>
      <c r="C37" s="72">
        <f t="shared" si="2"/>
        <v>-0.74993091408292456</v>
      </c>
      <c r="D37" s="72">
        <f t="shared" si="0"/>
        <v>-0.65417222057239266</v>
      </c>
    </row>
    <row r="38" spans="1:4" x14ac:dyDescent="0.35">
      <c r="A38">
        <f t="shared" si="1"/>
        <v>32</v>
      </c>
      <c r="B38">
        <v>0.23702118556121191</v>
      </c>
      <c r="C38" s="72">
        <f t="shared" si="2"/>
        <v>0.4880301778919145</v>
      </c>
      <c r="D38" s="72">
        <f t="shared" si="0"/>
        <v>0.36101117249475556</v>
      </c>
    </row>
    <row r="39" spans="1:4" x14ac:dyDescent="0.35">
      <c r="A39">
        <f t="shared" si="1"/>
        <v>33</v>
      </c>
      <c r="B39">
        <v>-9.8704944770256597E-2</v>
      </c>
      <c r="C39" s="72">
        <f t="shared" si="2"/>
        <v>-0.19351341899474137</v>
      </c>
      <c r="D39" s="72">
        <f t="shared" si="0"/>
        <v>-0.16271933144175474</v>
      </c>
    </row>
    <row r="40" spans="1:4" x14ac:dyDescent="0.35">
      <c r="A40">
        <f t="shared" si="1"/>
        <v>34</v>
      </c>
      <c r="B40">
        <v>0.33462467270222157</v>
      </c>
      <c r="C40" s="72">
        <f t="shared" si="2"/>
        <v>0.37410665061032422</v>
      </c>
      <c r="D40" s="72">
        <f t="shared" si="0"/>
        <v>0.43084699642652974</v>
      </c>
    </row>
    <row r="41" spans="1:4" x14ac:dyDescent="0.35">
      <c r="A41">
        <f t="shared" si="1"/>
        <v>35</v>
      </c>
      <c r="B41">
        <v>7.6903283588442367E-2</v>
      </c>
      <c r="C41" s="72">
        <f t="shared" si="2"/>
        <v>-5.6946585492446272E-2</v>
      </c>
      <c r="D41" s="72">
        <f t="shared" si="0"/>
        <v>3.1845424814184897E-2</v>
      </c>
    </row>
    <row r="42" spans="1:4" x14ac:dyDescent="0.35">
      <c r="A42">
        <f t="shared" si="1"/>
        <v>36</v>
      </c>
      <c r="B42">
        <v>-0.31754085082588029</v>
      </c>
      <c r="C42" s="72">
        <f t="shared" si="2"/>
        <v>-0.34830216426125726</v>
      </c>
      <c r="D42" s="72">
        <f t="shared" si="0"/>
        <v>-0.28007109268388641</v>
      </c>
    </row>
    <row r="43" spans="1:4" x14ac:dyDescent="0.35">
      <c r="A43">
        <f t="shared" si="1"/>
        <v>37</v>
      </c>
      <c r="B43">
        <v>-0.25419372210868713</v>
      </c>
      <c r="C43" s="72">
        <f t="shared" si="2"/>
        <v>-0.12717738177833501</v>
      </c>
      <c r="D43" s="72">
        <f t="shared" si="0"/>
        <v>-0.27418190718859292</v>
      </c>
    </row>
    <row r="44" spans="1:4" x14ac:dyDescent="0.35">
      <c r="A44">
        <f t="shared" si="1"/>
        <v>38</v>
      </c>
      <c r="B44">
        <v>0.62604102360566283</v>
      </c>
      <c r="C44" s="72">
        <f t="shared" si="2"/>
        <v>0.72771851244913766</v>
      </c>
      <c r="D44" s="72">
        <f t="shared" si="0"/>
        <v>0.60564324437694883</v>
      </c>
    </row>
    <row r="45" spans="1:4" x14ac:dyDescent="0.35">
      <c r="A45">
        <f t="shared" si="1"/>
        <v>39</v>
      </c>
      <c r="B45">
        <v>0.65942009251344469</v>
      </c>
      <c r="C45" s="72">
        <f t="shared" si="2"/>
        <v>0.40900368307117957</v>
      </c>
      <c r="D45" s="72">
        <f t="shared" si="0"/>
        <v>0.62804911989556145</v>
      </c>
    </row>
    <row r="46" spans="1:4" x14ac:dyDescent="0.35">
      <c r="A46">
        <f t="shared" si="1"/>
        <v>40</v>
      </c>
      <c r="B46">
        <v>3.9187187377916315E-2</v>
      </c>
      <c r="C46" s="72">
        <f t="shared" si="2"/>
        <v>-0.22458084962746155</v>
      </c>
      <c r="D46" s="72">
        <f t="shared" si="0"/>
        <v>7.7039069626416989E-2</v>
      </c>
    </row>
    <row r="47" spans="1:4" x14ac:dyDescent="0.35">
      <c r="A47">
        <f t="shared" si="1"/>
        <v>41</v>
      </c>
      <c r="B47">
        <v>0.17389833870797153</v>
      </c>
      <c r="C47" s="72">
        <f t="shared" si="2"/>
        <v>0.15822346375680502</v>
      </c>
      <c r="D47" s="72">
        <f t="shared" si="0"/>
        <v>0.16315838879099259</v>
      </c>
    </row>
    <row r="48" spans="1:4" x14ac:dyDescent="0.35">
      <c r="A48">
        <f t="shared" si="1"/>
        <v>42</v>
      </c>
      <c r="B48">
        <v>-0.11526190497676622</v>
      </c>
      <c r="C48" s="72">
        <f t="shared" si="2"/>
        <v>-0.18482124045995485</v>
      </c>
      <c r="D48" s="72">
        <f t="shared" si="0"/>
        <v>-0.20050387952672311</v>
      </c>
    </row>
    <row r="49" spans="1:4" x14ac:dyDescent="0.35">
      <c r="A49">
        <f t="shared" si="1"/>
        <v>43</v>
      </c>
      <c r="B49">
        <v>-0.30619159093863518</v>
      </c>
      <c r="C49" s="72">
        <f t="shared" si="2"/>
        <v>-0.26008682894792867</v>
      </c>
      <c r="D49" s="72">
        <f t="shared" si="0"/>
        <v>-0.32442786072744867</v>
      </c>
    </row>
    <row r="50" spans="1:4" x14ac:dyDescent="0.35">
      <c r="A50">
        <f t="shared" si="1"/>
        <v>44</v>
      </c>
      <c r="B50">
        <v>0.1324161057881085</v>
      </c>
      <c r="C50" s="72">
        <f t="shared" si="2"/>
        <v>0.25489274216356261</v>
      </c>
      <c r="D50" s="72">
        <f t="shared" si="0"/>
        <v>0.10606113107968693</v>
      </c>
    </row>
    <row r="51" spans="1:4" x14ac:dyDescent="0.35">
      <c r="A51">
        <f t="shared" si="1"/>
        <v>45</v>
      </c>
      <c r="B51">
        <v>-0.54694148767811068</v>
      </c>
      <c r="C51" s="72">
        <f t="shared" si="2"/>
        <v>-0.59990792999335407</v>
      </c>
      <c r="D51" s="72">
        <f t="shared" si="0"/>
        <v>-0.56643380691226952</v>
      </c>
    </row>
    <row r="52" spans="1:4" x14ac:dyDescent="0.35">
      <c r="A52">
        <f t="shared" si="1"/>
        <v>46</v>
      </c>
      <c r="B52">
        <v>7.5804716770691866E-2</v>
      </c>
      <c r="C52" s="72">
        <f t="shared" si="2"/>
        <v>0.29458131184193614</v>
      </c>
      <c r="D52" s="72">
        <f t="shared" si="0"/>
        <v>0.14985957140174128</v>
      </c>
    </row>
    <row r="53" spans="1:4" x14ac:dyDescent="0.35">
      <c r="A53">
        <f t="shared" si="1"/>
        <v>47</v>
      </c>
      <c r="B53">
        <v>-1.3805346031133389E-2</v>
      </c>
      <c r="C53" s="72">
        <f t="shared" si="2"/>
        <v>-4.412723273941014E-2</v>
      </c>
      <c r="D53" s="72">
        <f t="shared" si="0"/>
        <v>-5.4634370643555807E-2</v>
      </c>
    </row>
    <row r="54" spans="1:4" x14ac:dyDescent="0.35">
      <c r="A54">
        <f t="shared" si="1"/>
        <v>48</v>
      </c>
      <c r="B54">
        <v>0.33052630065869121</v>
      </c>
      <c r="C54" s="72">
        <f t="shared" si="2"/>
        <v>0.33604843907114457</v>
      </c>
      <c r="D54" s="72">
        <f t="shared" si="0"/>
        <v>0.40077547216671333</v>
      </c>
    </row>
    <row r="55" spans="1:4" x14ac:dyDescent="0.35">
      <c r="A55">
        <f t="shared" si="1"/>
        <v>49</v>
      </c>
      <c r="B55">
        <v>6.3089327347226012E-2</v>
      </c>
      <c r="C55" s="72">
        <f t="shared" si="2"/>
        <v>-6.9121192916250476E-2</v>
      </c>
      <c r="D55" s="72">
        <f t="shared" si="0"/>
        <v>4.4959408694672548E-2</v>
      </c>
    </row>
    <row r="56" spans="1:4" x14ac:dyDescent="0.35">
      <c r="A56">
        <f t="shared" si="1"/>
        <v>50</v>
      </c>
      <c r="B56">
        <v>-0.26048714702548137</v>
      </c>
      <c r="C56" s="72">
        <f t="shared" si="2"/>
        <v>-0.28572287796437179</v>
      </c>
      <c r="D56" s="72">
        <f t="shared" si="0"/>
        <v>-0.22904748075131487</v>
      </c>
    </row>
    <row r="57" spans="1:4" x14ac:dyDescent="0.35">
      <c r="A57">
        <f t="shared" si="1"/>
        <v>51</v>
      </c>
      <c r="B57">
        <v>0.64674810862294951</v>
      </c>
      <c r="C57" s="72">
        <f t="shared" si="2"/>
        <v>0.75094296743314204</v>
      </c>
      <c r="D57" s="72">
        <f t="shared" si="0"/>
        <v>0.62631201214675758</v>
      </c>
    </row>
    <row r="58" spans="1:4" x14ac:dyDescent="0.35">
      <c r="A58">
        <f t="shared" si="1"/>
        <v>52</v>
      </c>
      <c r="B58">
        <v>0.70366243241228765</v>
      </c>
      <c r="C58" s="72">
        <f t="shared" si="2"/>
        <v>0.44496318896310783</v>
      </c>
      <c r="D58" s="72">
        <f t="shared" si="0"/>
        <v>0.63447447198743601</v>
      </c>
    </row>
    <row r="59" spans="1:4" x14ac:dyDescent="0.35">
      <c r="A59">
        <f t="shared" si="1"/>
        <v>53</v>
      </c>
      <c r="B59">
        <v>4.8029876219132531E-2</v>
      </c>
      <c r="C59" s="72">
        <f t="shared" si="2"/>
        <v>-0.23343509674578256</v>
      </c>
      <c r="D59" s="72">
        <f t="shared" si="0"/>
        <v>6.6540801149137685E-2</v>
      </c>
    </row>
    <row r="60" spans="1:4" x14ac:dyDescent="0.35">
      <c r="A60">
        <f t="shared" si="1"/>
        <v>54</v>
      </c>
      <c r="B60">
        <v>0.51735363915428434</v>
      </c>
      <c r="C60" s="72">
        <f t="shared" si="2"/>
        <v>0.49814168866663133</v>
      </c>
      <c r="D60" s="72">
        <f t="shared" si="0"/>
        <v>0.49745284405963919</v>
      </c>
    </row>
    <row r="61" spans="1:4" x14ac:dyDescent="0.35">
      <c r="A61">
        <f t="shared" si="1"/>
        <v>55</v>
      </c>
      <c r="B61">
        <v>0.16904804283569394</v>
      </c>
      <c r="C61" s="72">
        <f t="shared" si="2"/>
        <v>-3.7893412826019796E-2</v>
      </c>
      <c r="D61" s="72">
        <f t="shared" si="0"/>
        <v>5.9371156031549133E-2</v>
      </c>
    </row>
    <row r="62" spans="1:4" x14ac:dyDescent="0.35">
      <c r="A62">
        <f t="shared" si="1"/>
        <v>56</v>
      </c>
      <c r="B62">
        <v>0.87765490133672586</v>
      </c>
      <c r="C62" s="72">
        <f t="shared" si="2"/>
        <v>0.81003568420244831</v>
      </c>
      <c r="D62" s="72">
        <f t="shared" si="0"/>
        <v>0.86486381329023099</v>
      </c>
    </row>
    <row r="63" spans="1:4" x14ac:dyDescent="0.35">
      <c r="A63">
        <f t="shared" si="1"/>
        <v>57</v>
      </c>
      <c r="B63">
        <v>0.13484802117187894</v>
      </c>
      <c r="C63" s="72">
        <f t="shared" si="2"/>
        <v>-0.21621393936281141</v>
      </c>
      <c r="D63" s="72">
        <f t="shared" si="0"/>
        <v>2.3516642550789002E-2</v>
      </c>
    </row>
    <row r="64" spans="1:4" x14ac:dyDescent="0.35">
      <c r="A64">
        <f t="shared" si="1"/>
        <v>58</v>
      </c>
      <c r="B64">
        <v>0.27471421248229116</v>
      </c>
      <c r="C64" s="72">
        <f t="shared" si="2"/>
        <v>0.22077500401353958</v>
      </c>
      <c r="D64" s="72">
        <f t="shared" si="0"/>
        <v>0.29578004442430073</v>
      </c>
    </row>
    <row r="65" spans="1:4" x14ac:dyDescent="0.35">
      <c r="A65">
        <f t="shared" si="1"/>
        <v>59</v>
      </c>
      <c r="B65">
        <v>0.75044548677266099</v>
      </c>
      <c r="C65" s="72">
        <f t="shared" si="2"/>
        <v>0.64055980177974448</v>
      </c>
      <c r="D65" s="72">
        <f t="shared" si="0"/>
        <v>0.63625129715631568</v>
      </c>
    </row>
    <row r="66" spans="1:4" x14ac:dyDescent="0.35">
      <c r="A66">
        <f t="shared" si="1"/>
        <v>60</v>
      </c>
      <c r="B66">
        <v>0.43224327377155569</v>
      </c>
      <c r="C66" s="72">
        <f t="shared" si="2"/>
        <v>0.13206507906249126</v>
      </c>
      <c r="D66" s="72">
        <f t="shared" si="0"/>
        <v>0.37276786932639872</v>
      </c>
    </row>
    <row r="67" spans="1:4" x14ac:dyDescent="0.35">
      <c r="A67">
        <f t="shared" si="1"/>
        <v>61</v>
      </c>
      <c r="B67">
        <v>-3.9059421132505837E-2</v>
      </c>
      <c r="C67" s="72">
        <f t="shared" si="2"/>
        <v>-0.21195673064112813</v>
      </c>
      <c r="D67" s="72">
        <f t="shared" si="0"/>
        <v>-6.6280906477280466E-2</v>
      </c>
    </row>
    <row r="68" spans="1:4" x14ac:dyDescent="0.35">
      <c r="A68">
        <f t="shared" si="1"/>
        <v>62</v>
      </c>
      <c r="B68">
        <v>-0.50717404197370719</v>
      </c>
      <c r="C68" s="72">
        <f t="shared" si="2"/>
        <v>-0.49155027352070485</v>
      </c>
      <c r="D68" s="72">
        <f t="shared" si="0"/>
        <v>-0.56152500880791889</v>
      </c>
    </row>
    <row r="69" spans="1:4" x14ac:dyDescent="0.35">
      <c r="A69">
        <f t="shared" si="1"/>
        <v>63</v>
      </c>
      <c r="B69">
        <v>0.51960944946831655</v>
      </c>
      <c r="C69" s="72">
        <f t="shared" si="2"/>
        <v>0.72247906625779945</v>
      </c>
      <c r="D69" s="72">
        <f t="shared" si="0"/>
        <v>0.47774956751314768</v>
      </c>
    </row>
    <row r="70" spans="1:4" x14ac:dyDescent="0.35">
      <c r="A70">
        <f t="shared" si="1"/>
        <v>64</v>
      </c>
      <c r="B70">
        <v>-0.26181646538481168</v>
      </c>
      <c r="C70" s="72">
        <f t="shared" si="2"/>
        <v>-0.46966024517213834</v>
      </c>
      <c r="D70" s="72">
        <f t="shared" si="0"/>
        <v>-0.34581607804212328</v>
      </c>
    </row>
    <row r="71" spans="1:4" x14ac:dyDescent="0.35">
      <c r="A71">
        <f t="shared" si="1"/>
        <v>65</v>
      </c>
      <c r="B71">
        <v>-0.13816887905714118</v>
      </c>
      <c r="C71" s="72">
        <f t="shared" si="2"/>
        <v>-3.34422929032165E-2</v>
      </c>
      <c r="D71" s="72">
        <f t="shared" si="0"/>
        <v>-4.1007892060178977E-2</v>
      </c>
    </row>
    <row r="72" spans="1:4" x14ac:dyDescent="0.35">
      <c r="A72">
        <f t="shared" si="1"/>
        <v>66</v>
      </c>
      <c r="B72">
        <v>-9.6577054658605041E-2</v>
      </c>
      <c r="C72" s="72">
        <f t="shared" si="2"/>
        <v>-4.1309503035748568E-2</v>
      </c>
      <c r="D72" s="72">
        <f t="shared" ref="D72:D135" si="3">C72-SUMPRODUCT(D69:D71,G$3:G$5)</f>
        <v>-0.14463032548264357</v>
      </c>
    </row>
    <row r="73" spans="1:4" x14ac:dyDescent="0.35">
      <c r="A73">
        <f t="shared" ref="A73:A136" si="4">A72+1</f>
        <v>67</v>
      </c>
      <c r="B73">
        <v>5.7370588729134829E-2</v>
      </c>
      <c r="C73" s="72">
        <f t="shared" ref="C73:C136" si="5">B73-0.4*B72</f>
        <v>9.6001410592576858E-2</v>
      </c>
      <c r="D73" s="72">
        <f t="shared" si="3"/>
        <v>8.5966273043683011E-2</v>
      </c>
    </row>
    <row r="74" spans="1:4" x14ac:dyDescent="0.35">
      <c r="A74">
        <f t="shared" si="4"/>
        <v>68</v>
      </c>
      <c r="B74">
        <v>-0.17149698873547628</v>
      </c>
      <c r="C74" s="72">
        <f t="shared" si="5"/>
        <v>-0.1944452242271302</v>
      </c>
      <c r="D74" s="72">
        <f t="shared" si="3"/>
        <v>-0.17228353130499266</v>
      </c>
    </row>
    <row r="75" spans="1:4" x14ac:dyDescent="0.35">
      <c r="A75">
        <f t="shared" si="4"/>
        <v>69</v>
      </c>
      <c r="B75">
        <v>-0.26611226014777867</v>
      </c>
      <c r="C75" s="72">
        <f t="shared" si="5"/>
        <v>-0.19751346465358816</v>
      </c>
      <c r="D75" s="72">
        <f t="shared" si="3"/>
        <v>-0.23118858826380848</v>
      </c>
    </row>
    <row r="76" spans="1:4" x14ac:dyDescent="0.35">
      <c r="A76">
        <f t="shared" si="4"/>
        <v>70</v>
      </c>
      <c r="B76">
        <v>0.18782245949059648</v>
      </c>
      <c r="C76" s="72">
        <f t="shared" si="5"/>
        <v>0.29426736354970795</v>
      </c>
      <c r="D76" s="72">
        <f t="shared" si="3"/>
        <v>0.18945784616803163</v>
      </c>
    </row>
    <row r="77" spans="1:4" x14ac:dyDescent="0.35">
      <c r="A77">
        <f t="shared" si="4"/>
        <v>71</v>
      </c>
      <c r="B77">
        <v>0.41543305078380388</v>
      </c>
      <c r="C77" s="72">
        <f t="shared" si="5"/>
        <v>0.34030406698756527</v>
      </c>
      <c r="D77" s="72">
        <f t="shared" si="3"/>
        <v>0.40687776210443666</v>
      </c>
    </row>
    <row r="78" spans="1:4" x14ac:dyDescent="0.35">
      <c r="A78">
        <f t="shared" si="4"/>
        <v>72</v>
      </c>
      <c r="B78">
        <v>0.70353176573511123</v>
      </c>
      <c r="C78" s="72">
        <f t="shared" si="5"/>
        <v>0.53735854542158967</v>
      </c>
      <c r="D78" s="72">
        <f t="shared" si="3"/>
        <v>0.72199515732639208</v>
      </c>
    </row>
    <row r="79" spans="1:4" x14ac:dyDescent="0.35">
      <c r="A79">
        <f t="shared" si="4"/>
        <v>73</v>
      </c>
      <c r="B79">
        <v>-0.3952458411406039</v>
      </c>
      <c r="C79" s="72">
        <f t="shared" si="5"/>
        <v>-0.67665854743464848</v>
      </c>
      <c r="D79" s="72">
        <f t="shared" si="3"/>
        <v>-0.41767767295896246</v>
      </c>
    </row>
    <row r="80" spans="1:4" x14ac:dyDescent="0.35">
      <c r="A80">
        <f t="shared" si="4"/>
        <v>74</v>
      </c>
      <c r="B80">
        <v>-0.51964111108785283</v>
      </c>
      <c r="C80" s="72">
        <f t="shared" si="5"/>
        <v>-0.36154277463161122</v>
      </c>
      <c r="D80" s="72">
        <f t="shared" si="3"/>
        <v>-0.493433559118166</v>
      </c>
    </row>
    <row r="81" spans="1:4" x14ac:dyDescent="0.35">
      <c r="A81">
        <f t="shared" si="4"/>
        <v>75</v>
      </c>
      <c r="B81">
        <v>0.14942689895794989</v>
      </c>
      <c r="C81" s="72">
        <f t="shared" si="5"/>
        <v>0.35728334339309104</v>
      </c>
      <c r="D81" s="72">
        <f t="shared" si="3"/>
        <v>6.218547653753298E-2</v>
      </c>
    </row>
    <row r="82" spans="1:4" x14ac:dyDescent="0.35">
      <c r="A82">
        <f t="shared" si="4"/>
        <v>76</v>
      </c>
      <c r="B82">
        <v>0.46561919595619389</v>
      </c>
      <c r="C82" s="72">
        <f t="shared" si="5"/>
        <v>0.40584843637301393</v>
      </c>
      <c r="D82" s="72">
        <f t="shared" si="3"/>
        <v>0.43681040084738365</v>
      </c>
    </row>
    <row r="83" spans="1:4" x14ac:dyDescent="0.35">
      <c r="A83">
        <f t="shared" si="4"/>
        <v>77</v>
      </c>
      <c r="B83">
        <v>0.28518260718846278</v>
      </c>
      <c r="C83" s="72">
        <f t="shared" si="5"/>
        <v>9.8934928805985201E-2</v>
      </c>
      <c r="D83" s="72">
        <f t="shared" si="3"/>
        <v>0.31557627268920402</v>
      </c>
    </row>
    <row r="84" spans="1:4" x14ac:dyDescent="0.35">
      <c r="A84">
        <f t="shared" si="4"/>
        <v>78</v>
      </c>
      <c r="B84">
        <v>-0.79657845002233552</v>
      </c>
      <c r="C84" s="72">
        <f t="shared" si="5"/>
        <v>-0.91065149289772063</v>
      </c>
      <c r="D84" s="72">
        <f t="shared" si="3"/>
        <v>-0.77262449558555457</v>
      </c>
    </row>
    <row r="85" spans="1:4" x14ac:dyDescent="0.35">
      <c r="A85">
        <f t="shared" si="4"/>
        <v>79</v>
      </c>
      <c r="B85">
        <v>0.29482782543320696</v>
      </c>
      <c r="C85" s="72">
        <f t="shared" si="5"/>
        <v>0.61345920544214116</v>
      </c>
      <c r="D85" s="72">
        <f t="shared" si="3"/>
        <v>0.32117219910242667</v>
      </c>
    </row>
    <row r="86" spans="1:4" x14ac:dyDescent="0.35">
      <c r="A86">
        <f t="shared" si="4"/>
        <v>80</v>
      </c>
      <c r="B86">
        <v>-0.45924627456910311</v>
      </c>
      <c r="C86" s="72">
        <f t="shared" si="5"/>
        <v>-0.57717740474238588</v>
      </c>
      <c r="D86" s="72">
        <f t="shared" si="3"/>
        <v>-0.57276142981623268</v>
      </c>
    </row>
    <row r="87" spans="1:4" x14ac:dyDescent="0.35">
      <c r="A87">
        <f t="shared" si="4"/>
        <v>81</v>
      </c>
      <c r="B87">
        <v>-6.2314962980168344E-2</v>
      </c>
      <c r="C87" s="72">
        <f t="shared" si="5"/>
        <v>0.12138354684747291</v>
      </c>
      <c r="D87" s="72">
        <f t="shared" si="3"/>
        <v>4.8831206825588086E-2</v>
      </c>
    </row>
    <row r="88" spans="1:4" x14ac:dyDescent="0.35">
      <c r="A88">
        <f t="shared" si="4"/>
        <v>82</v>
      </c>
      <c r="B88">
        <v>-0.67254194699176517</v>
      </c>
      <c r="C88" s="72">
        <f t="shared" si="5"/>
        <v>-0.64761596179969783</v>
      </c>
      <c r="D88" s="72">
        <f t="shared" si="3"/>
        <v>-0.72012094842549323</v>
      </c>
    </row>
    <row r="89" spans="1:4" x14ac:dyDescent="0.35">
      <c r="A89">
        <f t="shared" si="4"/>
        <v>83</v>
      </c>
      <c r="B89">
        <v>-0.36329102577914368</v>
      </c>
      <c r="C89" s="72">
        <f t="shared" si="5"/>
        <v>-9.4274246982437582E-2</v>
      </c>
      <c r="D89" s="72">
        <f t="shared" si="3"/>
        <v>-0.26567894944915771</v>
      </c>
    </row>
    <row r="90" spans="1:4" x14ac:dyDescent="0.35">
      <c r="A90">
        <f t="shared" si="4"/>
        <v>84</v>
      </c>
      <c r="B90">
        <v>0.24488281260528305</v>
      </c>
      <c r="C90" s="72">
        <f t="shared" si="5"/>
        <v>0.39019922291694054</v>
      </c>
      <c r="D90" s="72">
        <f t="shared" si="3"/>
        <v>0.23109975004361377</v>
      </c>
    </row>
    <row r="91" spans="1:4" x14ac:dyDescent="0.35">
      <c r="A91">
        <f t="shared" si="4"/>
        <v>85</v>
      </c>
      <c r="B91">
        <v>0.34561225352951408</v>
      </c>
      <c r="C91" s="72">
        <f t="shared" si="5"/>
        <v>0.24765912848740085</v>
      </c>
      <c r="D91" s="72">
        <f t="shared" si="3"/>
        <v>0.3938161318473643</v>
      </c>
    </row>
    <row r="92" spans="1:4" x14ac:dyDescent="0.35">
      <c r="A92">
        <f t="shared" si="4"/>
        <v>86</v>
      </c>
      <c r="B92">
        <v>0.40011886698200072</v>
      </c>
      <c r="C92" s="72">
        <f t="shared" si="5"/>
        <v>0.26187396557019504</v>
      </c>
      <c r="D92" s="72">
        <f t="shared" si="3"/>
        <v>0.44990806162299163</v>
      </c>
    </row>
    <row r="93" spans="1:4" x14ac:dyDescent="0.35">
      <c r="A93">
        <f t="shared" si="4"/>
        <v>87</v>
      </c>
      <c r="B93">
        <v>-0.10067849717756344</v>
      </c>
      <c r="C93" s="72">
        <f t="shared" si="5"/>
        <v>-0.26072604397036375</v>
      </c>
      <c r="D93" s="72">
        <f t="shared" si="3"/>
        <v>-0.10137236600517932</v>
      </c>
    </row>
    <row r="94" spans="1:4" x14ac:dyDescent="0.35">
      <c r="A94">
        <f t="shared" si="4"/>
        <v>88</v>
      </c>
      <c r="B94">
        <v>0.24606536316588329</v>
      </c>
      <c r="C94" s="72">
        <f t="shared" si="5"/>
        <v>0.28633676203690867</v>
      </c>
      <c r="D94" s="72">
        <f t="shared" si="3"/>
        <v>0.24116742363524396</v>
      </c>
    </row>
    <row r="95" spans="1:4" x14ac:dyDescent="0.35">
      <c r="A95">
        <f t="shared" si="4"/>
        <v>89</v>
      </c>
      <c r="B95">
        <v>0.12154161546185811</v>
      </c>
      <c r="C95" s="72">
        <f t="shared" si="5"/>
        <v>2.3115470195504792E-2</v>
      </c>
      <c r="D95" s="72">
        <f t="shared" si="3"/>
        <v>4.1050124433286386E-2</v>
      </c>
    </row>
    <row r="96" spans="1:4" x14ac:dyDescent="0.35">
      <c r="A96">
        <f t="shared" si="4"/>
        <v>90</v>
      </c>
      <c r="B96">
        <v>-0.64956989756150918</v>
      </c>
      <c r="C96" s="72">
        <f t="shared" si="5"/>
        <v>-0.69818654374625244</v>
      </c>
      <c r="D96" s="72">
        <f t="shared" si="3"/>
        <v>-0.65074669417306596</v>
      </c>
    </row>
    <row r="97" spans="1:4" x14ac:dyDescent="0.35">
      <c r="A97">
        <f t="shared" si="4"/>
        <v>91</v>
      </c>
      <c r="B97">
        <v>0.6011857555182194</v>
      </c>
      <c r="C97" s="72">
        <f t="shared" si="5"/>
        <v>0.86101371454282316</v>
      </c>
      <c r="D97" s="72">
        <f t="shared" si="3"/>
        <v>0.61130884859809709</v>
      </c>
    </row>
    <row r="98" spans="1:4" x14ac:dyDescent="0.35">
      <c r="A98">
        <f t="shared" si="4"/>
        <v>92</v>
      </c>
      <c r="B98">
        <v>0.44718607623193701</v>
      </c>
      <c r="C98" s="72">
        <f t="shared" si="5"/>
        <v>0.20671177402464924</v>
      </c>
      <c r="D98" s="72">
        <f t="shared" si="3"/>
        <v>0.35531819484931987</v>
      </c>
    </row>
    <row r="99" spans="1:4" x14ac:dyDescent="0.35">
      <c r="A99">
        <f t="shared" si="4"/>
        <v>93</v>
      </c>
      <c r="B99">
        <v>-7.9606486546142483E-2</v>
      </c>
      <c r="C99" s="72">
        <f t="shared" si="5"/>
        <v>-0.25848091703891729</v>
      </c>
      <c r="D99" s="72">
        <f t="shared" si="3"/>
        <v>-2.9863925337186847E-3</v>
      </c>
    </row>
    <row r="100" spans="1:4" x14ac:dyDescent="0.35">
      <c r="A100">
        <f t="shared" si="4"/>
        <v>94</v>
      </c>
      <c r="B100">
        <v>0.14220353155740251</v>
      </c>
      <c r="C100" s="72">
        <f t="shared" si="5"/>
        <v>0.17404612617585952</v>
      </c>
      <c r="D100" s="72">
        <f t="shared" si="3"/>
        <v>0.1273872244883556</v>
      </c>
    </row>
    <row r="101" spans="1:4" x14ac:dyDescent="0.35">
      <c r="A101">
        <f t="shared" si="4"/>
        <v>95</v>
      </c>
      <c r="B101">
        <v>0.77169994942716358</v>
      </c>
      <c r="C101" s="72">
        <f t="shared" si="5"/>
        <v>0.7148185368042026</v>
      </c>
      <c r="D101" s="72">
        <f t="shared" si="3"/>
        <v>0.7139744265219663</v>
      </c>
    </row>
    <row r="102" spans="1:4" x14ac:dyDescent="0.35">
      <c r="A102">
        <f t="shared" si="4"/>
        <v>96</v>
      </c>
      <c r="B102">
        <v>-0.12293261993415876</v>
      </c>
      <c r="C102" s="72">
        <f t="shared" si="5"/>
        <v>-0.43161259970502425</v>
      </c>
      <c r="D102" s="72">
        <f t="shared" si="3"/>
        <v>-0.17542512501324831</v>
      </c>
    </row>
    <row r="103" spans="1:4" x14ac:dyDescent="0.35">
      <c r="A103">
        <f t="shared" si="4"/>
        <v>97</v>
      </c>
      <c r="B103">
        <v>0.46496436932208723</v>
      </c>
      <c r="C103" s="72">
        <f t="shared" si="5"/>
        <v>0.51413741729575069</v>
      </c>
      <c r="D103" s="72">
        <f t="shared" si="3"/>
        <v>0.49946805237186537</v>
      </c>
    </row>
    <row r="104" spans="1:4" x14ac:dyDescent="0.35">
      <c r="A104">
        <f t="shared" si="4"/>
        <v>98</v>
      </c>
      <c r="B104">
        <v>0.31875260921576248</v>
      </c>
      <c r="C104" s="72">
        <f t="shared" si="5"/>
        <v>0.13276686148692757</v>
      </c>
      <c r="D104" s="72">
        <f t="shared" si="3"/>
        <v>0.20001824375630375</v>
      </c>
    </row>
    <row r="105" spans="1:4" x14ac:dyDescent="0.35">
      <c r="A105">
        <f t="shared" si="4"/>
        <v>99</v>
      </c>
      <c r="B105">
        <v>-0.48810125234772345</v>
      </c>
      <c r="C105" s="72">
        <f t="shared" si="5"/>
        <v>-0.61560229603402838</v>
      </c>
      <c r="D105" s="72">
        <f t="shared" si="3"/>
        <v>-0.48221287837480598</v>
      </c>
    </row>
    <row r="106" spans="1:4" x14ac:dyDescent="0.35">
      <c r="A106">
        <f t="shared" si="4"/>
        <v>100</v>
      </c>
      <c r="B106">
        <v>-0.25274879361122082</v>
      </c>
      <c r="C106" s="72">
        <f t="shared" si="5"/>
        <v>-5.7508292672131422E-2</v>
      </c>
      <c r="D106" s="72">
        <f t="shared" si="3"/>
        <v>-0.26793560893605234</v>
      </c>
    </row>
    <row r="107" spans="1:4" x14ac:dyDescent="0.35">
      <c r="A107">
        <f t="shared" si="4"/>
        <v>101</v>
      </c>
      <c r="B107">
        <v>0.54117532652533107</v>
      </c>
      <c r="C107" s="72">
        <f t="shared" si="5"/>
        <v>0.64227484396981938</v>
      </c>
      <c r="D107" s="72">
        <f t="shared" si="3"/>
        <v>0.48401094339651024</v>
      </c>
    </row>
    <row r="108" spans="1:4" x14ac:dyDescent="0.35">
      <c r="A108">
        <f t="shared" si="4"/>
        <v>102</v>
      </c>
      <c r="B108">
        <v>0.41588929488972975</v>
      </c>
      <c r="C108" s="72">
        <f t="shared" si="5"/>
        <v>0.19941916427959733</v>
      </c>
      <c r="D108" s="72">
        <f t="shared" si="3"/>
        <v>0.40247524300210069</v>
      </c>
    </row>
    <row r="109" spans="1:4" x14ac:dyDescent="0.35">
      <c r="A109">
        <f t="shared" si="4"/>
        <v>103</v>
      </c>
      <c r="B109">
        <v>0.16041617374482156</v>
      </c>
      <c r="C109" s="72">
        <f t="shared" si="5"/>
        <v>-5.9395442110703467E-3</v>
      </c>
      <c r="D109" s="72">
        <f t="shared" si="3"/>
        <v>0.2070840807211089</v>
      </c>
    </row>
    <row r="110" spans="1:4" x14ac:dyDescent="0.35">
      <c r="A110">
        <f t="shared" si="4"/>
        <v>104</v>
      </c>
      <c r="B110">
        <v>-1.3475817579209382</v>
      </c>
      <c r="C110" s="72">
        <f t="shared" si="5"/>
        <v>-1.4117482274188669</v>
      </c>
      <c r="D110" s="72">
        <f t="shared" si="3"/>
        <v>-1.3664450126079442</v>
      </c>
    </row>
    <row r="111" spans="1:4" x14ac:dyDescent="0.35">
      <c r="A111">
        <f t="shared" si="4"/>
        <v>105</v>
      </c>
      <c r="B111">
        <v>0.27028380803135105</v>
      </c>
      <c r="C111" s="72">
        <f t="shared" si="5"/>
        <v>0.80931651119972625</v>
      </c>
      <c r="D111" s="72">
        <f t="shared" si="3"/>
        <v>0.30832498344647929</v>
      </c>
    </row>
    <row r="112" spans="1:4" x14ac:dyDescent="0.35">
      <c r="A112">
        <f t="shared" si="4"/>
        <v>106</v>
      </c>
      <c r="B112">
        <v>-0.36664722071372097</v>
      </c>
      <c r="C112" s="72">
        <f t="shared" si="5"/>
        <v>-0.47476074392626139</v>
      </c>
      <c r="D112" s="72">
        <f t="shared" si="3"/>
        <v>-0.51227250986612383</v>
      </c>
    </row>
    <row r="113" spans="1:4" x14ac:dyDescent="0.35">
      <c r="A113">
        <f t="shared" si="4"/>
        <v>107</v>
      </c>
      <c r="B113">
        <v>0.3629695180051602</v>
      </c>
      <c r="C113" s="72">
        <f t="shared" si="5"/>
        <v>0.50962840629064865</v>
      </c>
      <c r="D113" s="72">
        <f t="shared" si="3"/>
        <v>0.53071346044072598</v>
      </c>
    </row>
    <row r="114" spans="1:4" x14ac:dyDescent="0.35">
      <c r="A114">
        <f t="shared" si="4"/>
        <v>108</v>
      </c>
      <c r="B114">
        <v>3.405456366832614E-2</v>
      </c>
      <c r="C114" s="72">
        <f t="shared" si="5"/>
        <v>-0.11113324353373795</v>
      </c>
      <c r="D114" s="72">
        <f t="shared" si="3"/>
        <v>-1.1570886250639442E-2</v>
      </c>
    </row>
    <row r="115" spans="1:4" x14ac:dyDescent="0.35">
      <c r="A115">
        <f t="shared" si="4"/>
        <v>109</v>
      </c>
      <c r="B115">
        <v>0.22472251974334059</v>
      </c>
      <c r="C115" s="72">
        <f t="shared" si="5"/>
        <v>0.21110069427601014</v>
      </c>
      <c r="D115" s="72">
        <f t="shared" si="3"/>
        <v>0.31658348530017688</v>
      </c>
    </row>
    <row r="116" spans="1:4" x14ac:dyDescent="0.35">
      <c r="A116">
        <f t="shared" si="4"/>
        <v>110</v>
      </c>
      <c r="B116">
        <v>0.2383581719603089</v>
      </c>
      <c r="C116" s="72">
        <f t="shared" si="5"/>
        <v>0.14846916406297267</v>
      </c>
      <c r="D116" s="72">
        <f t="shared" si="3"/>
        <v>0.18991819190614645</v>
      </c>
    </row>
    <row r="117" spans="1:4" x14ac:dyDescent="0.35">
      <c r="A117">
        <f t="shared" si="4"/>
        <v>111</v>
      </c>
      <c r="B117">
        <v>2.9018813129743858E-3</v>
      </c>
      <c r="C117" s="72">
        <f t="shared" si="5"/>
        <v>-9.2441387471149175E-2</v>
      </c>
      <c r="D117" s="72">
        <f t="shared" si="3"/>
        <v>1.3465877420419103E-3</v>
      </c>
    </row>
    <row r="118" spans="1:4" x14ac:dyDescent="0.35">
      <c r="A118">
        <f t="shared" si="4"/>
        <v>112</v>
      </c>
      <c r="B118">
        <v>-7.0164403849902052E-2</v>
      </c>
      <c r="C118" s="72">
        <f t="shared" si="5"/>
        <v>-7.1325156375091806E-2</v>
      </c>
      <c r="D118" s="72">
        <f t="shared" si="3"/>
        <v>-9.3988834325627449E-2</v>
      </c>
    </row>
    <row r="119" spans="1:4" x14ac:dyDescent="0.35">
      <c r="A119">
        <f t="shared" si="4"/>
        <v>113</v>
      </c>
      <c r="B119">
        <v>-0.21069309060190561</v>
      </c>
      <c r="C119" s="72">
        <f t="shared" si="5"/>
        <v>-0.18262732906194479</v>
      </c>
      <c r="D119" s="72">
        <f t="shared" si="3"/>
        <v>-0.23841196638049039</v>
      </c>
    </row>
    <row r="120" spans="1:4" x14ac:dyDescent="0.35">
      <c r="A120">
        <f t="shared" si="4"/>
        <v>114</v>
      </c>
      <c r="B120">
        <v>-0.47693066897558539</v>
      </c>
      <c r="C120" s="72">
        <f t="shared" si="5"/>
        <v>-0.39265343273482312</v>
      </c>
      <c r="D120" s="72">
        <f t="shared" si="3"/>
        <v>-0.48266609594346399</v>
      </c>
    </row>
    <row r="121" spans="1:4" x14ac:dyDescent="0.35">
      <c r="A121">
        <f t="shared" si="4"/>
        <v>115</v>
      </c>
      <c r="B121">
        <v>-1.0820146542971813E-2</v>
      </c>
      <c r="C121" s="72">
        <f t="shared" si="5"/>
        <v>0.17995212104726235</v>
      </c>
      <c r="D121" s="72">
        <f t="shared" si="3"/>
        <v>5.6357482069976372E-3</v>
      </c>
    </row>
    <row r="122" spans="1:4" x14ac:dyDescent="0.35">
      <c r="A122">
        <f t="shared" si="4"/>
        <v>116</v>
      </c>
      <c r="B122">
        <v>-0.53806306600499088</v>
      </c>
      <c r="C122" s="72">
        <f t="shared" si="5"/>
        <v>-0.53373500738780211</v>
      </c>
      <c r="D122" s="72">
        <f t="shared" si="3"/>
        <v>-0.54358032829792047</v>
      </c>
    </row>
    <row r="123" spans="1:4" x14ac:dyDescent="0.35">
      <c r="A123">
        <f t="shared" si="4"/>
        <v>117</v>
      </c>
      <c r="B123">
        <v>-0.37680201240903044</v>
      </c>
      <c r="C123" s="72">
        <f t="shared" si="5"/>
        <v>-0.16157678600703407</v>
      </c>
      <c r="D123" s="72">
        <f t="shared" si="3"/>
        <v>-0.28737441627869786</v>
      </c>
    </row>
    <row r="124" spans="1:4" x14ac:dyDescent="0.35">
      <c r="A124">
        <f t="shared" si="4"/>
        <v>118</v>
      </c>
      <c r="B124">
        <v>6.051836334584762E-2</v>
      </c>
      <c r="C124" s="72">
        <f t="shared" si="5"/>
        <v>0.2112391683094598</v>
      </c>
      <c r="D124" s="72">
        <f t="shared" si="3"/>
        <v>6.5255855105909033E-2</v>
      </c>
    </row>
    <row r="125" spans="1:4" x14ac:dyDescent="0.35">
      <c r="A125">
        <f t="shared" si="4"/>
        <v>119</v>
      </c>
      <c r="B125">
        <v>0.908568246574603</v>
      </c>
      <c r="C125" s="72">
        <f t="shared" si="5"/>
        <v>0.88436090123626399</v>
      </c>
      <c r="D125" s="72">
        <f t="shared" si="3"/>
        <v>0.9497761670966387</v>
      </c>
    </row>
    <row r="126" spans="1:4" x14ac:dyDescent="0.35">
      <c r="A126">
        <f t="shared" si="4"/>
        <v>120</v>
      </c>
      <c r="B126">
        <v>-0.36496444622151897</v>
      </c>
      <c r="C126" s="72">
        <f t="shared" si="5"/>
        <v>-0.72839174485136016</v>
      </c>
      <c r="D126" s="72">
        <f t="shared" si="3"/>
        <v>-0.36123594731051545</v>
      </c>
    </row>
    <row r="127" spans="1:4" x14ac:dyDescent="0.35">
      <c r="A127">
        <f t="shared" si="4"/>
        <v>121</v>
      </c>
      <c r="B127">
        <v>-0.46851595528866929</v>
      </c>
      <c r="C127" s="72">
        <f t="shared" si="5"/>
        <v>-0.32253017680006169</v>
      </c>
      <c r="D127" s="72">
        <f t="shared" si="3"/>
        <v>-0.37291537492634619</v>
      </c>
    </row>
    <row r="128" spans="1:4" x14ac:dyDescent="0.35">
      <c r="A128">
        <f t="shared" si="4"/>
        <v>122</v>
      </c>
      <c r="B128">
        <v>1.0250626756055023</v>
      </c>
      <c r="C128" s="72">
        <f t="shared" si="5"/>
        <v>1.21246905772097</v>
      </c>
      <c r="D128" s="72">
        <f t="shared" si="3"/>
        <v>0.93517178291456537</v>
      </c>
    </row>
    <row r="129" spans="1:4" x14ac:dyDescent="0.35">
      <c r="A129">
        <f t="shared" si="4"/>
        <v>123</v>
      </c>
      <c r="B129">
        <v>-0.12821570689953871</v>
      </c>
      <c r="C129" s="72">
        <f t="shared" si="5"/>
        <v>-0.53824077714173968</v>
      </c>
      <c r="D129" s="72">
        <f t="shared" si="3"/>
        <v>-0.20455211800629775</v>
      </c>
    </row>
    <row r="130" spans="1:4" x14ac:dyDescent="0.35">
      <c r="A130">
        <f t="shared" si="4"/>
        <v>124</v>
      </c>
      <c r="B130">
        <v>0.1484634817449306</v>
      </c>
      <c r="C130" s="72">
        <f t="shared" si="5"/>
        <v>0.19974976450474607</v>
      </c>
      <c r="D130" s="72">
        <f t="shared" si="3"/>
        <v>0.25644657351522598</v>
      </c>
    </row>
    <row r="131" spans="1:4" x14ac:dyDescent="0.35">
      <c r="A131">
        <f t="shared" si="4"/>
        <v>125</v>
      </c>
      <c r="B131">
        <v>0.79443782802329266</v>
      </c>
      <c r="C131" s="72">
        <f t="shared" si="5"/>
        <v>0.73505243532532039</v>
      </c>
      <c r="D131" s="72">
        <f t="shared" si="3"/>
        <v>0.68888965225290866</v>
      </c>
    </row>
    <row r="132" spans="1:4" x14ac:dyDescent="0.35">
      <c r="A132">
        <f t="shared" si="4"/>
        <v>126</v>
      </c>
      <c r="B132">
        <v>-0.38803213955391319</v>
      </c>
      <c r="C132" s="72">
        <f t="shared" si="5"/>
        <v>-0.70580727076323035</v>
      </c>
      <c r="D132" s="72">
        <f t="shared" si="3"/>
        <v>-0.42201262025070585</v>
      </c>
    </row>
    <row r="133" spans="1:4" x14ac:dyDescent="0.35">
      <c r="A133">
        <f t="shared" si="4"/>
        <v>127</v>
      </c>
      <c r="B133">
        <v>-1.3998932143015734</v>
      </c>
      <c r="C133" s="72">
        <f t="shared" si="5"/>
        <v>-1.2446803584800081</v>
      </c>
      <c r="D133" s="72">
        <f t="shared" si="3"/>
        <v>-1.3621580914313911</v>
      </c>
    </row>
    <row r="134" spans="1:4" x14ac:dyDescent="0.35">
      <c r="A134">
        <f t="shared" si="4"/>
        <v>128</v>
      </c>
      <c r="B134">
        <v>-0.20867478752123325</v>
      </c>
      <c r="C134" s="72">
        <f t="shared" si="5"/>
        <v>0.35128249819939616</v>
      </c>
      <c r="D134" s="72">
        <f t="shared" si="3"/>
        <v>-0.23800202937191206</v>
      </c>
    </row>
    <row r="135" spans="1:4" x14ac:dyDescent="0.35">
      <c r="A135">
        <f t="shared" si="4"/>
        <v>129</v>
      </c>
      <c r="B135">
        <v>-5.158736597134353E-2</v>
      </c>
      <c r="C135" s="72">
        <f t="shared" si="5"/>
        <v>3.1882549037149779E-2</v>
      </c>
      <c r="D135" s="72">
        <f t="shared" si="3"/>
        <v>-0.11423800188025467</v>
      </c>
    </row>
    <row r="136" spans="1:4" x14ac:dyDescent="0.35">
      <c r="A136">
        <f t="shared" si="4"/>
        <v>130</v>
      </c>
      <c r="B136">
        <v>-2.8380451480331949E-2</v>
      </c>
      <c r="C136" s="72">
        <f t="shared" si="5"/>
        <v>-7.745505091794537E-3</v>
      </c>
      <c r="D136" s="72">
        <f t="shared" ref="D136:D199" si="6">C136-SUMPRODUCT(D133:D135,G$3:G$5)</f>
        <v>0.10235732199391157</v>
      </c>
    </row>
    <row r="137" spans="1:4" x14ac:dyDescent="0.35">
      <c r="A137">
        <f t="shared" ref="A137:A200" si="7">A136+1</f>
        <v>131</v>
      </c>
      <c r="B137">
        <v>-5.0483662879211119E-2</v>
      </c>
      <c r="C137" s="72">
        <f t="shared" ref="C137:C200" si="8">B137-0.4*B136</f>
        <v>-3.9131482287078342E-2</v>
      </c>
      <c r="D137" s="72">
        <f t="shared" si="6"/>
        <v>1.5811574780318166E-2</v>
      </c>
    </row>
    <row r="138" spans="1:4" x14ac:dyDescent="0.35">
      <c r="A138">
        <f t="shared" si="7"/>
        <v>132</v>
      </c>
      <c r="B138">
        <v>0.40466650426540052</v>
      </c>
      <c r="C138" s="72">
        <f t="shared" si="8"/>
        <v>0.42485996941708498</v>
      </c>
      <c r="D138" s="72">
        <f t="shared" si="6"/>
        <v>0.45331595082005549</v>
      </c>
    </row>
    <row r="139" spans="1:4" x14ac:dyDescent="0.35">
      <c r="A139">
        <f t="shared" si="7"/>
        <v>133</v>
      </c>
      <c r="B139">
        <v>0.52315476793853843</v>
      </c>
      <c r="C139" s="72">
        <f t="shared" si="8"/>
        <v>0.36128816623237825</v>
      </c>
      <c r="D139" s="72">
        <f t="shared" si="6"/>
        <v>0.50536249446493975</v>
      </c>
    </row>
    <row r="140" spans="1:4" x14ac:dyDescent="0.35">
      <c r="A140">
        <f t="shared" si="7"/>
        <v>134</v>
      </c>
      <c r="B140">
        <v>0.46996811860365112</v>
      </c>
      <c r="C140" s="72">
        <f t="shared" si="8"/>
        <v>0.26070621142823575</v>
      </c>
      <c r="D140" s="72">
        <f t="shared" si="6"/>
        <v>0.4710200206264451</v>
      </c>
    </row>
    <row r="141" spans="1:4" x14ac:dyDescent="0.35">
      <c r="A141">
        <f t="shared" si="7"/>
        <v>135</v>
      </c>
      <c r="B141">
        <v>-0.3959891061252318</v>
      </c>
      <c r="C141" s="72">
        <f t="shared" si="8"/>
        <v>-0.5839763535666922</v>
      </c>
      <c r="D141" s="72">
        <f t="shared" si="6"/>
        <v>-0.43548475855650681</v>
      </c>
    </row>
    <row r="142" spans="1:4" x14ac:dyDescent="0.35">
      <c r="A142">
        <f t="shared" si="7"/>
        <v>136</v>
      </c>
      <c r="B142">
        <v>-0.17505628644392887</v>
      </c>
      <c r="C142" s="72">
        <f t="shared" si="8"/>
        <v>-1.6660643993836127E-2</v>
      </c>
      <c r="D142" s="72">
        <f t="shared" si="6"/>
        <v>-0.18850298004303948</v>
      </c>
    </row>
    <row r="143" spans="1:4" x14ac:dyDescent="0.35">
      <c r="A143">
        <f t="shared" si="7"/>
        <v>137</v>
      </c>
      <c r="B143">
        <v>-0.14587797149207959</v>
      </c>
      <c r="C143" s="72">
        <f t="shared" si="8"/>
        <v>-7.585545691450804E-2</v>
      </c>
      <c r="D143" s="72">
        <f t="shared" si="6"/>
        <v>-0.23663022102229361</v>
      </c>
    </row>
    <row r="144" spans="1:4" x14ac:dyDescent="0.35">
      <c r="A144">
        <f t="shared" si="7"/>
        <v>138</v>
      </c>
      <c r="B144">
        <v>7.4800791128076916E-2</v>
      </c>
      <c r="C144" s="72">
        <f t="shared" si="8"/>
        <v>0.13315197972490875</v>
      </c>
      <c r="D144" s="72">
        <f t="shared" si="6"/>
        <v>9.0060341853689149E-2</v>
      </c>
    </row>
    <row r="145" spans="1:4" x14ac:dyDescent="0.35">
      <c r="A145">
        <f t="shared" si="7"/>
        <v>139</v>
      </c>
      <c r="B145">
        <v>-4.2638486055452611E-2</v>
      </c>
      <c r="C145" s="72">
        <f t="shared" si="8"/>
        <v>-7.2558802506683381E-2</v>
      </c>
      <c r="D145" s="72">
        <f t="shared" si="6"/>
        <v>-3.8521270258490031E-2</v>
      </c>
    </row>
    <row r="146" spans="1:4" x14ac:dyDescent="0.35">
      <c r="A146">
        <f t="shared" si="7"/>
        <v>140</v>
      </c>
      <c r="B146">
        <v>-0.71818931431281108</v>
      </c>
      <c r="C146" s="72">
        <f t="shared" si="8"/>
        <v>-0.70113391989063001</v>
      </c>
      <c r="D146" s="72">
        <f t="shared" si="6"/>
        <v>-0.6771176431225705</v>
      </c>
    </row>
    <row r="147" spans="1:4" x14ac:dyDescent="0.35">
      <c r="A147">
        <f t="shared" si="7"/>
        <v>141</v>
      </c>
      <c r="B147">
        <v>0.24957308195370337</v>
      </c>
      <c r="C147" s="72">
        <f t="shared" si="8"/>
        <v>0.53684880767882781</v>
      </c>
      <c r="D147" s="72">
        <f t="shared" si="6"/>
        <v>0.29008980740786205</v>
      </c>
    </row>
    <row r="148" spans="1:4" x14ac:dyDescent="0.35">
      <c r="A148">
        <f t="shared" si="7"/>
        <v>142</v>
      </c>
      <c r="B148">
        <v>-0.91751252484688361</v>
      </c>
      <c r="C148" s="72">
        <f t="shared" si="8"/>
        <v>-1.017341757628365</v>
      </c>
      <c r="D148" s="72">
        <f t="shared" si="6"/>
        <v>-0.97125244777800424</v>
      </c>
    </row>
    <row r="149" spans="1:4" x14ac:dyDescent="0.35">
      <c r="A149">
        <f t="shared" si="7"/>
        <v>143</v>
      </c>
      <c r="B149">
        <v>2.5075431761081166E-2</v>
      </c>
      <c r="C149" s="72">
        <f t="shared" si="8"/>
        <v>0.39208044169983464</v>
      </c>
      <c r="D149" s="72">
        <f t="shared" si="6"/>
        <v>0.16828810173170972</v>
      </c>
    </row>
    <row r="150" spans="1:4" x14ac:dyDescent="0.35">
      <c r="A150">
        <f t="shared" si="7"/>
        <v>144</v>
      </c>
      <c r="B150">
        <v>0.25095282799290247</v>
      </c>
      <c r="C150" s="72">
        <f t="shared" si="8"/>
        <v>0.24092265528847001</v>
      </c>
      <c r="D150" s="72">
        <f t="shared" si="6"/>
        <v>0.17900835131833565</v>
      </c>
    </row>
    <row r="151" spans="1:4" x14ac:dyDescent="0.35">
      <c r="A151">
        <f t="shared" si="7"/>
        <v>145</v>
      </c>
      <c r="B151">
        <v>-0.13079037606187624</v>
      </c>
      <c r="C151" s="72">
        <f t="shared" si="8"/>
        <v>-0.23117150725903723</v>
      </c>
      <c r="D151" s="72">
        <f t="shared" si="6"/>
        <v>-3.428529547581835E-2</v>
      </c>
    </row>
    <row r="152" spans="1:4" x14ac:dyDescent="0.35">
      <c r="A152">
        <f t="shared" si="7"/>
        <v>146</v>
      </c>
      <c r="B152">
        <v>3.9347252655179736E-2</v>
      </c>
      <c r="C152" s="72">
        <f t="shared" si="8"/>
        <v>9.1663403079930234E-2</v>
      </c>
      <c r="D152" s="72">
        <f t="shared" si="6"/>
        <v>7.4320771883916587E-2</v>
      </c>
    </row>
    <row r="153" spans="1:4" x14ac:dyDescent="0.35">
      <c r="A153">
        <f t="shared" si="7"/>
        <v>147</v>
      </c>
      <c r="B153">
        <v>-0.24956702482861567</v>
      </c>
      <c r="C153" s="72">
        <f t="shared" si="8"/>
        <v>-0.26530592589068758</v>
      </c>
      <c r="D153" s="72">
        <f t="shared" si="6"/>
        <v>-0.26506999509108459</v>
      </c>
    </row>
    <row r="154" spans="1:4" x14ac:dyDescent="0.35">
      <c r="A154">
        <f t="shared" si="7"/>
        <v>148</v>
      </c>
      <c r="B154">
        <v>-4.3466069434543744E-2</v>
      </c>
      <c r="C154" s="72">
        <f t="shared" si="8"/>
        <v>5.6360740496902526E-2</v>
      </c>
      <c r="D154" s="72">
        <f t="shared" si="6"/>
        <v>-2.3887716917486257E-2</v>
      </c>
    </row>
    <row r="155" spans="1:4" x14ac:dyDescent="0.35">
      <c r="A155">
        <f t="shared" si="7"/>
        <v>149</v>
      </c>
      <c r="B155">
        <v>-9.4167699304106664E-2</v>
      </c>
      <c r="C155" s="72">
        <f t="shared" si="8"/>
        <v>-7.6781271530289158E-2</v>
      </c>
      <c r="D155" s="72">
        <f t="shared" si="6"/>
        <v>-0.11701866575474913</v>
      </c>
    </row>
    <row r="156" spans="1:4" x14ac:dyDescent="0.35">
      <c r="A156">
        <f t="shared" si="7"/>
        <v>150</v>
      </c>
      <c r="B156">
        <v>1.0789945199254356</v>
      </c>
      <c r="C156" s="72">
        <f t="shared" si="8"/>
        <v>1.1166615996470783</v>
      </c>
      <c r="D156" s="72">
        <f t="shared" si="6"/>
        <v>1.1075059358138613</v>
      </c>
    </row>
    <row r="157" spans="1:4" x14ac:dyDescent="0.35">
      <c r="A157">
        <f t="shared" si="7"/>
        <v>151</v>
      </c>
      <c r="B157">
        <v>0.19457012465328444</v>
      </c>
      <c r="C157" s="72">
        <f t="shared" si="8"/>
        <v>-0.23702768331688984</v>
      </c>
      <c r="D157" s="72">
        <f t="shared" si="6"/>
        <v>0.13572307898116842</v>
      </c>
    </row>
    <row r="158" spans="1:4" x14ac:dyDescent="0.35">
      <c r="A158">
        <f t="shared" si="7"/>
        <v>152</v>
      </c>
      <c r="B158">
        <v>-0.93304167847339614</v>
      </c>
      <c r="C158" s="72">
        <f t="shared" si="8"/>
        <v>-1.0108697283347099</v>
      </c>
      <c r="D158" s="72">
        <f t="shared" si="6"/>
        <v>-0.85454622240993483</v>
      </c>
    </row>
    <row r="159" spans="1:4" x14ac:dyDescent="0.35">
      <c r="A159">
        <f t="shared" si="7"/>
        <v>153</v>
      </c>
      <c r="B159">
        <v>-0.16706237349180128</v>
      </c>
      <c r="C159" s="72">
        <f t="shared" si="8"/>
        <v>0.20615429789755721</v>
      </c>
      <c r="D159" s="72">
        <f t="shared" si="6"/>
        <v>-0.21326342919783156</v>
      </c>
    </row>
    <row r="160" spans="1:4" x14ac:dyDescent="0.35">
      <c r="A160">
        <f t="shared" si="7"/>
        <v>154</v>
      </c>
      <c r="B160">
        <v>0.25997599923618075</v>
      </c>
      <c r="C160" s="72">
        <f t="shared" si="8"/>
        <v>0.32680094863290127</v>
      </c>
      <c r="D160" s="72">
        <f t="shared" si="6"/>
        <v>0.16329604797362535</v>
      </c>
    </row>
    <row r="161" spans="1:4" x14ac:dyDescent="0.35">
      <c r="A161">
        <f t="shared" si="7"/>
        <v>155</v>
      </c>
      <c r="B161">
        <v>-0.66600962106369432</v>
      </c>
      <c r="C161" s="72">
        <f t="shared" si="8"/>
        <v>-0.77000002075816665</v>
      </c>
      <c r="D161" s="72">
        <f t="shared" si="6"/>
        <v>-0.62584100643791218</v>
      </c>
    </row>
    <row r="162" spans="1:4" x14ac:dyDescent="0.35">
      <c r="A162">
        <f t="shared" si="7"/>
        <v>156</v>
      </c>
      <c r="B162">
        <v>0.11797693608631241</v>
      </c>
      <c r="C162" s="72">
        <f t="shared" si="8"/>
        <v>0.38438078451179014</v>
      </c>
      <c r="D162" s="72">
        <f t="shared" si="6"/>
        <v>0.21035192479594322</v>
      </c>
    </row>
    <row r="163" spans="1:4" x14ac:dyDescent="0.35">
      <c r="A163">
        <f t="shared" si="7"/>
        <v>157</v>
      </c>
      <c r="B163">
        <v>-0.38200653711381494</v>
      </c>
      <c r="C163" s="72">
        <f t="shared" si="8"/>
        <v>-0.4291973115483399</v>
      </c>
      <c r="D163" s="72">
        <f t="shared" si="6"/>
        <v>-0.43119620434646655</v>
      </c>
    </row>
    <row r="164" spans="1:4" x14ac:dyDescent="0.35">
      <c r="A164">
        <f t="shared" si="7"/>
        <v>158</v>
      </c>
      <c r="B164">
        <v>0.65451858323512313</v>
      </c>
      <c r="C164" s="72">
        <f t="shared" si="8"/>
        <v>0.80732119808064917</v>
      </c>
      <c r="D164" s="72">
        <f t="shared" si="6"/>
        <v>0.75550418238365014</v>
      </c>
    </row>
    <row r="165" spans="1:4" x14ac:dyDescent="0.35">
      <c r="A165">
        <f t="shared" si="7"/>
        <v>159</v>
      </c>
      <c r="B165">
        <v>0.31230951248154232</v>
      </c>
      <c r="C165" s="72">
        <f t="shared" si="8"/>
        <v>5.0502079187493054E-2</v>
      </c>
      <c r="D165" s="72">
        <f t="shared" si="6"/>
        <v>0.2463363288207592</v>
      </c>
    </row>
    <row r="166" spans="1:4" x14ac:dyDescent="0.35">
      <c r="A166">
        <f t="shared" si="7"/>
        <v>160</v>
      </c>
      <c r="B166">
        <v>-0.11414619211828736</v>
      </c>
      <c r="C166" s="72">
        <f t="shared" si="8"/>
        <v>-0.23906999711090429</v>
      </c>
      <c r="D166" s="72">
        <f t="shared" si="6"/>
        <v>-3.5916304991818832E-2</v>
      </c>
    </row>
    <row r="167" spans="1:4" x14ac:dyDescent="0.35">
      <c r="A167">
        <f t="shared" si="7"/>
        <v>161</v>
      </c>
      <c r="B167">
        <v>-0.45830678053502522</v>
      </c>
      <c r="C167" s="72">
        <f t="shared" si="8"/>
        <v>-0.41264830368771027</v>
      </c>
      <c r="D167" s="72">
        <f t="shared" si="6"/>
        <v>-0.4979365231058111</v>
      </c>
    </row>
    <row r="168" spans="1:4" x14ac:dyDescent="0.35">
      <c r="A168">
        <f t="shared" si="7"/>
        <v>162</v>
      </c>
      <c r="B168">
        <v>6.3411234207975328E-2</v>
      </c>
      <c r="C168" s="72">
        <f t="shared" si="8"/>
        <v>0.24673394642198543</v>
      </c>
      <c r="D168" s="72">
        <f t="shared" si="6"/>
        <v>4.2177508223029347E-2</v>
      </c>
    </row>
    <row r="169" spans="1:4" x14ac:dyDescent="0.35">
      <c r="A169">
        <f t="shared" si="7"/>
        <v>163</v>
      </c>
      <c r="B169">
        <v>0.50173549649751492</v>
      </c>
      <c r="C169" s="72">
        <f t="shared" si="8"/>
        <v>0.47637100281432476</v>
      </c>
      <c r="D169" s="72">
        <f t="shared" si="6"/>
        <v>0.45251248152071455</v>
      </c>
    </row>
    <row r="170" spans="1:4" x14ac:dyDescent="0.35">
      <c r="A170">
        <f t="shared" si="7"/>
        <v>164</v>
      </c>
      <c r="B170">
        <v>-4.7878140516434735E-2</v>
      </c>
      <c r="C170" s="72">
        <f t="shared" si="8"/>
        <v>-0.24857233911544072</v>
      </c>
      <c r="D170" s="72">
        <f t="shared" si="6"/>
        <v>-2.7704417660888186E-2</v>
      </c>
    </row>
    <row r="171" spans="1:4" x14ac:dyDescent="0.35">
      <c r="A171">
        <f t="shared" si="7"/>
        <v>165</v>
      </c>
      <c r="B171">
        <v>0.14014491224633679</v>
      </c>
      <c r="C171" s="72">
        <f t="shared" si="8"/>
        <v>0.1592961684529107</v>
      </c>
      <c r="D171" s="72">
        <f t="shared" si="6"/>
        <v>0.18343384416515826</v>
      </c>
    </row>
    <row r="172" spans="1:4" x14ac:dyDescent="0.35">
      <c r="A172">
        <f t="shared" si="7"/>
        <v>166</v>
      </c>
      <c r="B172">
        <v>-0.22094875069833905</v>
      </c>
      <c r="C172" s="72">
        <f t="shared" si="8"/>
        <v>-0.27700671559687379</v>
      </c>
      <c r="D172" s="72">
        <f t="shared" si="6"/>
        <v>-0.27286500136872632</v>
      </c>
    </row>
    <row r="173" spans="1:4" x14ac:dyDescent="0.35">
      <c r="A173">
        <f t="shared" si="7"/>
        <v>167</v>
      </c>
      <c r="B173">
        <v>0.60190831699301106</v>
      </c>
      <c r="C173" s="72">
        <f t="shared" si="8"/>
        <v>0.69028781727234667</v>
      </c>
      <c r="D173" s="72">
        <f t="shared" si="6"/>
        <v>0.61592456510536198</v>
      </c>
    </row>
    <row r="174" spans="1:4" x14ac:dyDescent="0.35">
      <c r="A174">
        <f t="shared" si="7"/>
        <v>168</v>
      </c>
      <c r="B174">
        <v>0.57112113782875606</v>
      </c>
      <c r="C174" s="72">
        <f t="shared" si="8"/>
        <v>0.3303578110315516</v>
      </c>
      <c r="D174" s="72">
        <f t="shared" si="6"/>
        <v>0.49528496338794947</v>
      </c>
    </row>
    <row r="175" spans="1:4" x14ac:dyDescent="0.35">
      <c r="A175">
        <f t="shared" si="7"/>
        <v>169</v>
      </c>
      <c r="B175">
        <v>0.42935318255318633</v>
      </c>
      <c r="C175" s="72">
        <f t="shared" si="8"/>
        <v>0.20090472742168389</v>
      </c>
      <c r="D175" s="72">
        <f t="shared" si="6"/>
        <v>0.45771122370993444</v>
      </c>
    </row>
    <row r="176" spans="1:4" x14ac:dyDescent="0.35">
      <c r="A176">
        <f t="shared" si="7"/>
        <v>170</v>
      </c>
      <c r="B176">
        <v>3.2284282684139576E-2</v>
      </c>
      <c r="C176" s="72">
        <f t="shared" si="8"/>
        <v>-0.13945699033713496</v>
      </c>
      <c r="D176" s="72">
        <f t="shared" si="6"/>
        <v>-1.6658741999221793E-2</v>
      </c>
    </row>
    <row r="177" spans="1:4" x14ac:dyDescent="0.35">
      <c r="A177">
        <f t="shared" si="7"/>
        <v>171</v>
      </c>
      <c r="B177">
        <v>0.13032847091512376</v>
      </c>
      <c r="C177" s="72">
        <f t="shared" si="8"/>
        <v>0.11741475784146793</v>
      </c>
      <c r="D177" s="72">
        <f t="shared" si="6"/>
        <v>8.9325586034954635E-2</v>
      </c>
    </row>
    <row r="178" spans="1:4" x14ac:dyDescent="0.35">
      <c r="A178">
        <f t="shared" si="7"/>
        <v>172</v>
      </c>
      <c r="B178">
        <v>0.55577904583932602</v>
      </c>
      <c r="C178" s="72">
        <f t="shared" si="8"/>
        <v>0.50364765747327656</v>
      </c>
      <c r="D178" s="72">
        <f t="shared" si="6"/>
        <v>0.47581542754632317</v>
      </c>
    </row>
    <row r="179" spans="1:4" x14ac:dyDescent="0.35">
      <c r="A179">
        <f t="shared" si="7"/>
        <v>173</v>
      </c>
      <c r="B179">
        <v>-0.25846732041896892</v>
      </c>
      <c r="C179" s="72">
        <f t="shared" si="8"/>
        <v>-0.48077893875469935</v>
      </c>
      <c r="D179" s="72">
        <f t="shared" si="6"/>
        <v>-0.30783871847453514</v>
      </c>
    </row>
    <row r="180" spans="1:4" x14ac:dyDescent="0.35">
      <c r="A180">
        <f t="shared" si="7"/>
        <v>174</v>
      </c>
      <c r="B180">
        <v>0.27306064744471714</v>
      </c>
      <c r="C180" s="72">
        <f t="shared" si="8"/>
        <v>0.37644757561230469</v>
      </c>
      <c r="D180" s="72">
        <f t="shared" si="6"/>
        <v>0.3006377031669436</v>
      </c>
    </row>
    <row r="181" spans="1:4" x14ac:dyDescent="0.35">
      <c r="A181">
        <f t="shared" si="7"/>
        <v>175</v>
      </c>
      <c r="B181">
        <v>-0.8071299863914666</v>
      </c>
      <c r="C181" s="72">
        <f t="shared" si="8"/>
        <v>-0.9163542453693535</v>
      </c>
      <c r="D181" s="72">
        <f t="shared" si="6"/>
        <v>-0.89899837331846655</v>
      </c>
    </row>
    <row r="182" spans="1:4" x14ac:dyDescent="0.35">
      <c r="A182">
        <f t="shared" si="7"/>
        <v>176</v>
      </c>
      <c r="B182">
        <v>-9.080471442227743E-2</v>
      </c>
      <c r="C182" s="72">
        <f t="shared" si="8"/>
        <v>0.2320472801343092</v>
      </c>
      <c r="D182" s="72">
        <f t="shared" si="6"/>
        <v>-1.2074070912893531E-2</v>
      </c>
    </row>
    <row r="183" spans="1:4" x14ac:dyDescent="0.35">
      <c r="A183">
        <f t="shared" si="7"/>
        <v>177</v>
      </c>
      <c r="B183">
        <v>0.78479208772105447</v>
      </c>
      <c r="C183" s="72">
        <f t="shared" si="8"/>
        <v>0.8211139734899654</v>
      </c>
      <c r="D183" s="72">
        <f t="shared" si="6"/>
        <v>0.70223843577091927</v>
      </c>
    </row>
    <row r="184" spans="1:4" x14ac:dyDescent="0.35">
      <c r="A184">
        <f t="shared" si="7"/>
        <v>178</v>
      </c>
      <c r="B184">
        <v>-0.13451947923937232</v>
      </c>
      <c r="C184" s="72">
        <f t="shared" si="8"/>
        <v>-0.44843631432779418</v>
      </c>
      <c r="D184" s="72">
        <f t="shared" si="6"/>
        <v>-9.6608518669581867E-2</v>
      </c>
    </row>
    <row r="185" spans="1:4" x14ac:dyDescent="0.35">
      <c r="A185">
        <f t="shared" si="7"/>
        <v>179</v>
      </c>
      <c r="B185">
        <v>0.12925003906509253</v>
      </c>
      <c r="C185" s="72">
        <f t="shared" si="8"/>
        <v>0.18305783076084145</v>
      </c>
      <c r="D185" s="72">
        <f t="shared" si="6"/>
        <v>0.21178914487190675</v>
      </c>
    </row>
    <row r="186" spans="1:4" x14ac:dyDescent="0.35">
      <c r="A186">
        <f t="shared" si="7"/>
        <v>180</v>
      </c>
      <c r="B186">
        <v>-0.39138319355115314</v>
      </c>
      <c r="C186" s="72">
        <f t="shared" si="8"/>
        <v>-0.44308320917719013</v>
      </c>
      <c r="D186" s="72">
        <f t="shared" si="6"/>
        <v>-0.46625772576264501</v>
      </c>
    </row>
    <row r="187" spans="1:4" x14ac:dyDescent="0.35">
      <c r="A187">
        <f t="shared" si="7"/>
        <v>181</v>
      </c>
      <c r="B187">
        <v>0.99268646809453487</v>
      </c>
      <c r="C187" s="72">
        <f t="shared" si="8"/>
        <v>1.1492397455149961</v>
      </c>
      <c r="D187" s="72">
        <f t="shared" si="6"/>
        <v>1.0195735805503841</v>
      </c>
    </row>
    <row r="188" spans="1:4" x14ac:dyDescent="0.35">
      <c r="A188">
        <f t="shared" si="7"/>
        <v>182</v>
      </c>
      <c r="B188">
        <v>1.1045485291507553</v>
      </c>
      <c r="C188" s="72">
        <f t="shared" si="8"/>
        <v>0.70747394191294133</v>
      </c>
      <c r="D188" s="72">
        <f t="shared" si="6"/>
        <v>0.9906811638677836</v>
      </c>
    </row>
    <row r="189" spans="1:4" x14ac:dyDescent="0.35">
      <c r="A189">
        <f t="shared" si="7"/>
        <v>183</v>
      </c>
      <c r="B189">
        <v>-0.34636077127091497</v>
      </c>
      <c r="C189" s="72">
        <f t="shared" si="8"/>
        <v>-0.78818018293121717</v>
      </c>
      <c r="D189" s="72">
        <f t="shared" si="6"/>
        <v>-0.30267792820527556</v>
      </c>
    </row>
    <row r="190" spans="1:4" x14ac:dyDescent="0.35">
      <c r="A190">
        <f t="shared" si="7"/>
        <v>184</v>
      </c>
      <c r="B190">
        <v>-4.2853859404839843E-2</v>
      </c>
      <c r="C190" s="72">
        <f t="shared" si="8"/>
        <v>9.5690449103526143E-2</v>
      </c>
      <c r="D190" s="72">
        <f t="shared" si="6"/>
        <v>-5.001365965080895E-2</v>
      </c>
    </row>
    <row r="191" spans="1:4" x14ac:dyDescent="0.35">
      <c r="A191">
        <f t="shared" si="7"/>
        <v>185</v>
      </c>
      <c r="B191">
        <v>0.82486687850577067</v>
      </c>
      <c r="C191" s="72">
        <f t="shared" si="8"/>
        <v>0.84200842226770656</v>
      </c>
      <c r="D191" s="72">
        <f t="shared" si="6"/>
        <v>0.67539017883408836</v>
      </c>
    </row>
    <row r="192" spans="1:4" x14ac:dyDescent="0.35">
      <c r="A192">
        <f t="shared" si="7"/>
        <v>186</v>
      </c>
      <c r="B192">
        <v>0.26146176427923473</v>
      </c>
      <c r="C192" s="72">
        <f t="shared" si="8"/>
        <v>-6.8484987123073549E-2</v>
      </c>
      <c r="D192" s="72">
        <f t="shared" si="6"/>
        <v>0.19656606095755175</v>
      </c>
    </row>
    <row r="193" spans="1:4" x14ac:dyDescent="0.35">
      <c r="A193">
        <f t="shared" si="7"/>
        <v>187</v>
      </c>
      <c r="B193">
        <v>-0.35460608851308539</v>
      </c>
      <c r="C193" s="72">
        <f t="shared" si="8"/>
        <v>-0.45919079422477926</v>
      </c>
      <c r="D193" s="72">
        <f t="shared" si="6"/>
        <v>-0.32749182006688643</v>
      </c>
    </row>
    <row r="194" spans="1:4" x14ac:dyDescent="0.35">
      <c r="A194">
        <f t="shared" si="7"/>
        <v>188</v>
      </c>
      <c r="B194">
        <v>-0.26876158315295717</v>
      </c>
      <c r="C194" s="72">
        <f t="shared" si="8"/>
        <v>-0.126919147747723</v>
      </c>
      <c r="D194" s="72">
        <f t="shared" si="6"/>
        <v>-0.30650151696902206</v>
      </c>
    </row>
    <row r="195" spans="1:4" x14ac:dyDescent="0.35">
      <c r="A195">
        <f t="shared" si="7"/>
        <v>189</v>
      </c>
      <c r="B195">
        <v>0.25166944374552108</v>
      </c>
      <c r="C195" s="72">
        <f t="shared" si="8"/>
        <v>0.35917407700670395</v>
      </c>
      <c r="D195" s="72">
        <f t="shared" si="6"/>
        <v>0.20141252385482433</v>
      </c>
    </row>
    <row r="196" spans="1:4" x14ac:dyDescent="0.35">
      <c r="A196">
        <f t="shared" si="7"/>
        <v>190</v>
      </c>
      <c r="B196">
        <v>0.43286071337948057</v>
      </c>
      <c r="C196" s="72">
        <f t="shared" si="8"/>
        <v>0.33219293588127213</v>
      </c>
      <c r="D196" s="72">
        <f t="shared" si="6"/>
        <v>0.41573380661015669</v>
      </c>
    </row>
    <row r="197" spans="1:4" x14ac:dyDescent="0.35">
      <c r="A197">
        <f t="shared" si="7"/>
        <v>191</v>
      </c>
      <c r="B197">
        <v>0.45413848023264791</v>
      </c>
      <c r="C197" s="72">
        <f t="shared" si="8"/>
        <v>0.28099419488085564</v>
      </c>
      <c r="D197" s="72">
        <f t="shared" si="6"/>
        <v>0.47908041833090798</v>
      </c>
    </row>
    <row r="198" spans="1:4" x14ac:dyDescent="0.35">
      <c r="A198">
        <f t="shared" si="7"/>
        <v>192</v>
      </c>
      <c r="B198">
        <v>-1.3324825042722805E-2</v>
      </c>
      <c r="C198" s="72">
        <f t="shared" si="8"/>
        <v>-0.19498021713578198</v>
      </c>
      <c r="D198" s="72">
        <f t="shared" si="6"/>
        <v>-2.0038295673000722E-2</v>
      </c>
    </row>
    <row r="199" spans="1:4" x14ac:dyDescent="0.35">
      <c r="A199">
        <f t="shared" si="7"/>
        <v>193</v>
      </c>
      <c r="B199">
        <v>-0.24539323159004911</v>
      </c>
      <c r="C199" s="72">
        <f t="shared" si="8"/>
        <v>-0.24006330157295999</v>
      </c>
      <c r="D199" s="72">
        <f t="shared" si="6"/>
        <v>-0.25756186734289932</v>
      </c>
    </row>
    <row r="200" spans="1:4" x14ac:dyDescent="0.35">
      <c r="A200">
        <f t="shared" si="7"/>
        <v>194</v>
      </c>
      <c r="B200">
        <v>3.6119098172010637E-2</v>
      </c>
      <c r="C200" s="72">
        <f t="shared" si="8"/>
        <v>0.13427639080803028</v>
      </c>
      <c r="D200" s="72">
        <f t="shared" ref="D200:D206" si="9">C200-SUMPRODUCT(D197:D199,G$3:G$5)</f>
        <v>-1.5478302960522633E-2</v>
      </c>
    </row>
    <row r="201" spans="1:4" x14ac:dyDescent="0.35">
      <c r="A201">
        <f t="shared" ref="A201:A206" si="10">A200+1</f>
        <v>195</v>
      </c>
      <c r="B201">
        <v>0.30217869836325728</v>
      </c>
      <c r="C201" s="72">
        <f t="shared" ref="C201:C206" si="11">B201-0.4*B200</f>
        <v>0.28773105909445301</v>
      </c>
      <c r="D201" s="72">
        <f t="shared" si="9"/>
        <v>0.26278125173786082</v>
      </c>
    </row>
    <row r="202" spans="1:4" x14ac:dyDescent="0.35">
      <c r="A202">
        <f t="shared" si="10"/>
        <v>196</v>
      </c>
      <c r="B202">
        <v>0.2364922796416036</v>
      </c>
      <c r="C202" s="72">
        <f t="shared" si="11"/>
        <v>0.11562080029630069</v>
      </c>
      <c r="D202" s="72">
        <f t="shared" si="9"/>
        <v>0.2365092354052572</v>
      </c>
    </row>
    <row r="203" spans="1:4" x14ac:dyDescent="0.35">
      <c r="A203">
        <f t="shared" si="10"/>
        <v>197</v>
      </c>
      <c r="B203">
        <v>-0.70478339276739954</v>
      </c>
      <c r="C203" s="72">
        <f t="shared" si="11"/>
        <v>-0.79938030462404097</v>
      </c>
      <c r="D203" s="72">
        <f t="shared" si="9"/>
        <v>-0.69375096075729337</v>
      </c>
    </row>
    <row r="204" spans="1:4" x14ac:dyDescent="0.35">
      <c r="A204">
        <f t="shared" si="10"/>
        <v>198</v>
      </c>
      <c r="B204">
        <v>-0.30303035315709964</v>
      </c>
      <c r="C204" s="72">
        <f t="shared" si="11"/>
        <v>-2.1116996050139836E-2</v>
      </c>
      <c r="D204" s="72">
        <f t="shared" si="9"/>
        <v>-0.27146361526716112</v>
      </c>
    </row>
    <row r="205" spans="1:4" x14ac:dyDescent="0.35">
      <c r="A205">
        <f t="shared" si="10"/>
        <v>199</v>
      </c>
      <c r="B205">
        <v>4.980264955195015E-2</v>
      </c>
      <c r="C205" s="72">
        <f t="shared" si="11"/>
        <v>0.17101479081479001</v>
      </c>
      <c r="D205" s="72">
        <f t="shared" si="9"/>
        <v>-1.1188662294005031E-2</v>
      </c>
    </row>
    <row r="206" spans="1:4" x14ac:dyDescent="0.35">
      <c r="A206">
        <f t="shared" si="10"/>
        <v>200</v>
      </c>
      <c r="B206" s="4">
        <v>-1.0568000762886942</v>
      </c>
      <c r="C206" s="76">
        <f t="shared" si="11"/>
        <v>-1.0767211361094742</v>
      </c>
      <c r="D206" s="76">
        <f t="shared" si="9"/>
        <v>-1.0174429975338586</v>
      </c>
    </row>
    <row r="208" spans="1:4" x14ac:dyDescent="0.35">
      <c r="B208" s="20" t="s">
        <v>230</v>
      </c>
    </row>
    <row r="209" spans="2:2" x14ac:dyDescent="0.35">
      <c r="B209" t="e" cm="1">
        <f t="array" aca="1" ref="B209" ca="1">FTEXT(C8)</f>
        <v>#NAME?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/>
  <dimension ref="A1:E18"/>
  <sheetViews>
    <sheetView workbookViewId="0"/>
  </sheetViews>
  <sheetFormatPr defaultRowHeight="14.5" x14ac:dyDescent="0.35"/>
  <cols>
    <col min="3" max="3" width="5.7265625" customWidth="1"/>
  </cols>
  <sheetData>
    <row r="1" spans="1:5" x14ac:dyDescent="0.35">
      <c r="A1" s="7" t="s">
        <v>20</v>
      </c>
    </row>
    <row r="3" spans="1:5" x14ac:dyDescent="0.35">
      <c r="A3" s="8" t="s">
        <v>3</v>
      </c>
      <c r="B3" s="8" t="s">
        <v>1</v>
      </c>
    </row>
    <row r="4" spans="1:5" x14ac:dyDescent="0.35">
      <c r="A4" s="3">
        <v>1</v>
      </c>
      <c r="B4" s="3">
        <v>3</v>
      </c>
      <c r="D4" t="e">
        <v>#N/A</v>
      </c>
      <c r="E4" t="e">
        <v>#N/A</v>
      </c>
    </row>
    <row r="5" spans="1:5" x14ac:dyDescent="0.35">
      <c r="A5" s="3">
        <f>A4+1</f>
        <v>2</v>
      </c>
      <c r="B5" s="3">
        <v>5</v>
      </c>
      <c r="D5" t="e">
        <v>#N/A</v>
      </c>
      <c r="E5" t="e">
        <v>#N/A</v>
      </c>
    </row>
    <row r="6" spans="1:5" x14ac:dyDescent="0.35">
      <c r="A6" s="3">
        <f t="shared" ref="A6:A18" si="0">A5+1</f>
        <v>3</v>
      </c>
      <c r="B6" s="3">
        <v>9</v>
      </c>
      <c r="D6">
        <f t="shared" ref="D6:D18" si="1">AVERAGE(B4:B6)</f>
        <v>5.666666666666667</v>
      </c>
      <c r="E6" t="e">
        <v>#N/A</v>
      </c>
    </row>
    <row r="7" spans="1:5" x14ac:dyDescent="0.35">
      <c r="A7" s="3">
        <f t="shared" si="0"/>
        <v>4</v>
      </c>
      <c r="B7" s="3">
        <v>20</v>
      </c>
      <c r="D7">
        <f t="shared" si="1"/>
        <v>11.333333333333334</v>
      </c>
      <c r="E7" t="e">
        <v>#N/A</v>
      </c>
    </row>
    <row r="8" spans="1:5" x14ac:dyDescent="0.35">
      <c r="A8" s="3">
        <f t="shared" si="0"/>
        <v>5</v>
      </c>
      <c r="B8" s="3">
        <v>12</v>
      </c>
      <c r="D8">
        <f t="shared" si="1"/>
        <v>13.666666666666666</v>
      </c>
      <c r="E8">
        <f t="shared" ref="E8:E18" si="2">SQRT(SUMXMY2(B6:B8,D6:D8)/3)</f>
        <v>5.4467115461227298</v>
      </c>
    </row>
    <row r="9" spans="1:5" x14ac:dyDescent="0.35">
      <c r="A9" s="3">
        <f t="shared" si="0"/>
        <v>6</v>
      </c>
      <c r="B9" s="3">
        <v>17</v>
      </c>
      <c r="D9">
        <f t="shared" si="1"/>
        <v>16.333333333333332</v>
      </c>
      <c r="E9">
        <f t="shared" si="2"/>
        <v>5.1099032389186299</v>
      </c>
    </row>
    <row r="10" spans="1:5" x14ac:dyDescent="0.35">
      <c r="A10" s="3">
        <f t="shared" si="0"/>
        <v>7</v>
      </c>
      <c r="B10" s="3">
        <v>22</v>
      </c>
      <c r="D10">
        <f t="shared" si="1"/>
        <v>17</v>
      </c>
      <c r="E10">
        <f t="shared" si="2"/>
        <v>3.0671497204093914</v>
      </c>
    </row>
    <row r="11" spans="1:5" x14ac:dyDescent="0.35">
      <c r="A11" s="3">
        <f t="shared" si="0"/>
        <v>8</v>
      </c>
      <c r="B11" s="3">
        <v>23</v>
      </c>
      <c r="D11">
        <f t="shared" si="1"/>
        <v>20.666666666666668</v>
      </c>
      <c r="E11">
        <f t="shared" si="2"/>
        <v>3.208784239598589</v>
      </c>
    </row>
    <row r="12" spans="1:5" x14ac:dyDescent="0.35">
      <c r="A12" s="3">
        <f t="shared" si="0"/>
        <v>9</v>
      </c>
      <c r="B12" s="3">
        <v>51</v>
      </c>
      <c r="D12">
        <f t="shared" si="1"/>
        <v>32</v>
      </c>
      <c r="E12">
        <f t="shared" si="2"/>
        <v>11.422849096503091</v>
      </c>
    </row>
    <row r="13" spans="1:5" x14ac:dyDescent="0.35">
      <c r="A13" s="3">
        <f t="shared" si="0"/>
        <v>10</v>
      </c>
      <c r="B13" s="3">
        <v>41</v>
      </c>
      <c r="D13">
        <f t="shared" si="1"/>
        <v>38.333333333333336</v>
      </c>
      <c r="E13">
        <f t="shared" si="2"/>
        <v>11.158786606012256</v>
      </c>
    </row>
    <row r="14" spans="1:5" x14ac:dyDescent="0.35">
      <c r="A14" s="3">
        <f t="shared" si="0"/>
        <v>11</v>
      </c>
      <c r="B14" s="3">
        <v>56</v>
      </c>
      <c r="D14">
        <f t="shared" si="1"/>
        <v>49.333333333333336</v>
      </c>
      <c r="E14">
        <f t="shared" si="2"/>
        <v>11.726829005256217</v>
      </c>
    </row>
    <row r="15" spans="1:5" x14ac:dyDescent="0.35">
      <c r="A15" s="3">
        <f t="shared" si="0"/>
        <v>12</v>
      </c>
      <c r="B15" s="3">
        <v>75</v>
      </c>
      <c r="D15">
        <f t="shared" si="1"/>
        <v>57.333333333333336</v>
      </c>
      <c r="E15">
        <f t="shared" si="2"/>
        <v>11.010096376609161</v>
      </c>
    </row>
    <row r="16" spans="1:5" x14ac:dyDescent="0.35">
      <c r="A16" s="3">
        <f t="shared" si="0"/>
        <v>13</v>
      </c>
      <c r="B16" s="3">
        <v>60</v>
      </c>
      <c r="D16">
        <f t="shared" si="1"/>
        <v>63.666666666666664</v>
      </c>
      <c r="E16">
        <f t="shared" si="2"/>
        <v>11.105554165971785</v>
      </c>
    </row>
    <row r="17" spans="1:5" x14ac:dyDescent="0.35">
      <c r="A17" s="3">
        <f t="shared" si="0"/>
        <v>14</v>
      </c>
      <c r="B17" s="3">
        <v>75</v>
      </c>
      <c r="D17">
        <f t="shared" si="1"/>
        <v>70</v>
      </c>
      <c r="E17">
        <f t="shared" si="2"/>
        <v>10.809803506625446</v>
      </c>
    </row>
    <row r="18" spans="1:5" x14ac:dyDescent="0.35">
      <c r="A18" s="10">
        <f t="shared" si="0"/>
        <v>15</v>
      </c>
      <c r="B18" s="10">
        <v>88</v>
      </c>
      <c r="D18">
        <f t="shared" si="1"/>
        <v>74.333333333333329</v>
      </c>
      <c r="E18">
        <f t="shared" si="2"/>
        <v>8.6645296510586256</v>
      </c>
    </row>
  </sheetData>
  <pageMargins left="0.7" right="0.7" top="0.75" bottom="0.75" header="0.3" footer="0.3"/>
  <ignoredErrors>
    <ignoredError sqref="D6:E18" formulaRange="1"/>
  </ignoredErrors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7"/>
  <dimension ref="A1:F5"/>
  <sheetViews>
    <sheetView workbookViewId="0"/>
  </sheetViews>
  <sheetFormatPr defaultRowHeight="14.5" x14ac:dyDescent="0.35"/>
  <sheetData>
    <row r="1" spans="1:6" x14ac:dyDescent="0.35">
      <c r="A1" s="7" t="s">
        <v>395</v>
      </c>
    </row>
    <row r="2" spans="1:6" x14ac:dyDescent="0.35">
      <c r="D2" s="48" t="s">
        <v>173</v>
      </c>
      <c r="E2" s="48" t="s">
        <v>174</v>
      </c>
      <c r="F2" s="48" t="s">
        <v>267</v>
      </c>
    </row>
    <row r="3" spans="1:6" x14ac:dyDescent="0.35">
      <c r="A3" s="40" t="s">
        <v>396</v>
      </c>
      <c r="B3" s="118">
        <v>0.6</v>
      </c>
      <c r="D3" s="57" t="e">
        <f t="array" aca="1" ref="D3:F5" ca="1">MARoots(B3:B5)</f>
        <v>#NAME?</v>
      </c>
      <c r="E3" s="59" t="e">
        <f ca="1"/>
        <v>#NAME?</v>
      </c>
      <c r="F3" s="58" t="e">
        <f ca="1"/>
        <v>#NAME?</v>
      </c>
    </row>
    <row r="4" spans="1:6" x14ac:dyDescent="0.35">
      <c r="A4" s="40" t="s">
        <v>397</v>
      </c>
      <c r="B4" s="24">
        <v>-0.2</v>
      </c>
      <c r="D4" s="29" t="e">
        <f ca="1"/>
        <v>#NAME?</v>
      </c>
      <c r="E4" s="13" t="e">
        <f ca="1"/>
        <v>#NAME?</v>
      </c>
      <c r="F4" s="30" t="e">
        <f ca="1"/>
        <v>#NAME?</v>
      </c>
    </row>
    <row r="5" spans="1:6" x14ac:dyDescent="0.35">
      <c r="A5" s="40" t="s">
        <v>171</v>
      </c>
      <c r="B5" s="34">
        <v>0.5</v>
      </c>
      <c r="D5" s="31" t="e">
        <f ca="1"/>
        <v>#NAME?</v>
      </c>
      <c r="E5" s="4" t="e">
        <f ca="1"/>
        <v>#NAME?</v>
      </c>
      <c r="F5" s="32" t="e">
        <f ca="1"/>
        <v>#NAME?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39"/>
  <dimension ref="A1:Q113"/>
  <sheetViews>
    <sheetView workbookViewId="0"/>
  </sheetViews>
  <sheetFormatPr defaultRowHeight="14.5" x14ac:dyDescent="0.35"/>
  <cols>
    <col min="1" max="1" width="4.81640625" customWidth="1"/>
    <col min="12" max="12" width="7.81640625" customWidth="1"/>
    <col min="13" max="14" width="9.81640625" customWidth="1"/>
    <col min="15" max="15" width="6.7265625" customWidth="1"/>
    <col min="16" max="16" width="4.7265625" customWidth="1"/>
    <col min="17" max="17" width="5.26953125" customWidth="1"/>
  </cols>
  <sheetData>
    <row r="1" spans="1:17" x14ac:dyDescent="0.35">
      <c r="A1" s="7" t="s">
        <v>224</v>
      </c>
    </row>
    <row r="2" spans="1:17" s="72" customFormat="1" x14ac:dyDescent="0.35"/>
    <row r="3" spans="1:17" s="72" customFormat="1" ht="15" customHeight="1" x14ac:dyDescent="0.35">
      <c r="A3" s="72" t="s">
        <v>387</v>
      </c>
    </row>
    <row r="4" spans="1:17" s="72" customFormat="1" x14ac:dyDescent="0.35"/>
    <row r="5" spans="1:17" x14ac:dyDescent="0.35">
      <c r="B5" s="112" t="s">
        <v>107</v>
      </c>
      <c r="C5" s="112" t="s">
        <v>110</v>
      </c>
      <c r="L5" s="112" t="s">
        <v>78</v>
      </c>
      <c r="M5" s="112" t="s">
        <v>77</v>
      </c>
      <c r="N5" s="112" t="s">
        <v>116</v>
      </c>
      <c r="P5" s="40" t="s">
        <v>170</v>
      </c>
      <c r="Q5" s="23">
        <v>0.7</v>
      </c>
    </row>
    <row r="6" spans="1:17" x14ac:dyDescent="0.35">
      <c r="B6" s="113"/>
      <c r="C6" s="113"/>
      <c r="L6" s="113">
        <v>1</v>
      </c>
      <c r="M6" t="e" cm="1">
        <f t="array" aca="1" ref="M6" ca="1">ACF($C$7:$C$111,L6)</f>
        <v>#NAME?</v>
      </c>
      <c r="N6">
        <f>(Q5+Q6)*(1+Q5*Q6)/(1+2*Q5*Q6+Q5^2)</f>
        <v>0.35537190082644626</v>
      </c>
      <c r="P6" t="s">
        <v>171</v>
      </c>
      <c r="Q6" s="34">
        <v>-0.2</v>
      </c>
    </row>
    <row r="7" spans="1:17" x14ac:dyDescent="0.35">
      <c r="A7">
        <v>1</v>
      </c>
      <c r="B7">
        <v>0.11767564756553417</v>
      </c>
      <c r="C7">
        <f>0.7*C6+B7-0.2*B6</f>
        <v>0.11767564756553417</v>
      </c>
      <c r="L7" s="113">
        <v>2</v>
      </c>
      <c r="M7" t="e" cm="1">
        <f t="array" aca="1" ref="M7" ca="1">ACF($C$7:$C$111,L7)</f>
        <v>#NAME?</v>
      </c>
      <c r="N7">
        <f>N6*Q$5</f>
        <v>0.24876033057851238</v>
      </c>
    </row>
    <row r="8" spans="1:17" x14ac:dyDescent="0.35">
      <c r="A8">
        <f t="shared" ref="A8:A13" si="0">A7+1</f>
        <v>2</v>
      </c>
      <c r="B8">
        <v>0.64941326201616068</v>
      </c>
      <c r="C8">
        <f t="shared" ref="C8:C71" si="1">0.7*C7+B8-0.2*B7</f>
        <v>0.7082510857989277</v>
      </c>
      <c r="L8" s="113">
        <v>3</v>
      </c>
      <c r="M8" t="e" cm="1">
        <f t="array" aca="1" ref="M8" ca="1">ACF($C$7:$C$111,L8)</f>
        <v>#NAME?</v>
      </c>
      <c r="N8">
        <f t="shared" ref="N8:N20" si="2">N7*Q$5</f>
        <v>0.17413223140495865</v>
      </c>
    </row>
    <row r="9" spans="1:17" x14ac:dyDescent="0.35">
      <c r="A9">
        <f t="shared" si="0"/>
        <v>3</v>
      </c>
      <c r="B9">
        <v>-2.0291245092742414</v>
      </c>
      <c r="C9">
        <f t="shared" si="1"/>
        <v>-1.6632314016182241</v>
      </c>
      <c r="L9" s="113">
        <v>4</v>
      </c>
      <c r="M9" t="e" cm="1">
        <f t="array" aca="1" ref="M9" ca="1">ACF($C$7:$C$111,L9)</f>
        <v>#NAME?</v>
      </c>
      <c r="N9">
        <f t="shared" si="2"/>
        <v>0.12189256198347105</v>
      </c>
    </row>
    <row r="10" spans="1:17" x14ac:dyDescent="0.35">
      <c r="A10">
        <f t="shared" si="0"/>
        <v>4</v>
      </c>
      <c r="B10">
        <v>-0.72108843846184933</v>
      </c>
      <c r="C10">
        <f t="shared" si="1"/>
        <v>-1.4795255177397577</v>
      </c>
      <c r="L10" s="113">
        <v>5</v>
      </c>
      <c r="M10" t="e" cm="1">
        <f t="array" aca="1" ref="M10" ca="1">ACF($C$7:$C$111,L10)</f>
        <v>#NAME?</v>
      </c>
      <c r="N10">
        <f t="shared" si="2"/>
        <v>8.5324793388429729E-2</v>
      </c>
    </row>
    <row r="11" spans="1:17" x14ac:dyDescent="0.35">
      <c r="A11">
        <f t="shared" si="0"/>
        <v>5</v>
      </c>
      <c r="B11">
        <v>0.70747648649116823</v>
      </c>
      <c r="C11">
        <f t="shared" si="1"/>
        <v>-0.18397368823429228</v>
      </c>
      <c r="L11" s="113">
        <v>6</v>
      </c>
      <c r="M11" t="e" cm="1">
        <f t="array" aca="1" ref="M11" ca="1">ACF($C$7:$C$111,L11)</f>
        <v>#NAME?</v>
      </c>
      <c r="N11">
        <f t="shared" si="2"/>
        <v>5.9727355371900805E-2</v>
      </c>
    </row>
    <row r="12" spans="1:17" x14ac:dyDescent="0.35">
      <c r="A12">
        <f t="shared" si="0"/>
        <v>6</v>
      </c>
      <c r="B12">
        <v>0.79163430570821358</v>
      </c>
      <c r="C12">
        <f t="shared" si="1"/>
        <v>0.5213574266459754</v>
      </c>
      <c r="L12" s="113">
        <v>7</v>
      </c>
      <c r="M12" t="e" cm="1">
        <f t="array" aca="1" ref="M12" ca="1">ACF($C$7:$C$111,L12)</f>
        <v>#NAME?</v>
      </c>
      <c r="N12">
        <f t="shared" si="2"/>
        <v>4.180914876033056E-2</v>
      </c>
    </row>
    <row r="13" spans="1:17" x14ac:dyDescent="0.35">
      <c r="A13">
        <f t="shared" si="0"/>
        <v>7</v>
      </c>
      <c r="B13">
        <v>-0.23542965362337992</v>
      </c>
      <c r="C13">
        <f t="shared" si="1"/>
        <v>-2.8806316112839903E-2</v>
      </c>
      <c r="L13" s="113">
        <v>8</v>
      </c>
      <c r="M13" t="e" cm="1">
        <f t="array" aca="1" ref="M13" ca="1">ACF($C$7:$C$111,L13)</f>
        <v>#NAME?</v>
      </c>
      <c r="N13">
        <f t="shared" si="2"/>
        <v>2.9266404132231388E-2</v>
      </c>
    </row>
    <row r="14" spans="1:17" x14ac:dyDescent="0.35">
      <c r="A14">
        <f t="shared" ref="A14:A76" si="3">A13+1</f>
        <v>8</v>
      </c>
      <c r="B14">
        <v>-1.3489481281427076</v>
      </c>
      <c r="C14">
        <f t="shared" si="1"/>
        <v>-1.3220266186970195</v>
      </c>
      <c r="L14" s="113">
        <v>9</v>
      </c>
      <c r="M14" t="e" cm="1">
        <f t="array" aca="1" ref="M14" ca="1">ACF($C$7:$C$111,L14)</f>
        <v>#NAME?</v>
      </c>
      <c r="N14">
        <f t="shared" si="2"/>
        <v>2.0486482892561969E-2</v>
      </c>
    </row>
    <row r="15" spans="1:17" x14ac:dyDescent="0.35">
      <c r="A15">
        <f t="shared" si="3"/>
        <v>9</v>
      </c>
      <c r="B15">
        <v>1.2055841066323034</v>
      </c>
      <c r="C15">
        <f t="shared" si="1"/>
        <v>0.54995509917293139</v>
      </c>
      <c r="L15" s="113">
        <v>10</v>
      </c>
      <c r="M15" t="e" cm="1">
        <f t="array" aca="1" ref="M15" ca="1">ACF($C$7:$C$111,L15)</f>
        <v>#NAME?</v>
      </c>
      <c r="N15">
        <f t="shared" si="2"/>
        <v>1.4340538024793377E-2</v>
      </c>
    </row>
    <row r="16" spans="1:17" x14ac:dyDescent="0.35">
      <c r="A16">
        <f t="shared" si="3"/>
        <v>10</v>
      </c>
      <c r="B16">
        <v>1.1838198499095893</v>
      </c>
      <c r="C16">
        <f t="shared" si="1"/>
        <v>1.3276715980041807</v>
      </c>
      <c r="L16" s="113">
        <v>11</v>
      </c>
      <c r="M16" t="e" cm="1">
        <f t="array" aca="1" ref="M16" ca="1">ACF($C$7:$C$111,L16)</f>
        <v>#NAME?</v>
      </c>
      <c r="N16">
        <f t="shared" si="2"/>
        <v>1.0038376617355363E-2</v>
      </c>
    </row>
    <row r="17" spans="1:14" x14ac:dyDescent="0.35">
      <c r="A17">
        <f t="shared" si="3"/>
        <v>11</v>
      </c>
      <c r="B17">
        <v>-0.37229539413802176</v>
      </c>
      <c r="C17">
        <f t="shared" si="1"/>
        <v>0.32031075448298674</v>
      </c>
      <c r="L17" s="113">
        <v>12</v>
      </c>
      <c r="M17" t="e" cm="1">
        <f t="array" aca="1" ref="M17" ca="1">ACF($C$7:$C$111,L17)</f>
        <v>#NAME?</v>
      </c>
      <c r="N17">
        <f t="shared" si="2"/>
        <v>7.0268636321487539E-3</v>
      </c>
    </row>
    <row r="18" spans="1:14" x14ac:dyDescent="0.35">
      <c r="A18">
        <f t="shared" si="3"/>
        <v>12</v>
      </c>
      <c r="B18">
        <v>1.3338509496353779E-2</v>
      </c>
      <c r="C18">
        <f t="shared" si="1"/>
        <v>0.31201511646204882</v>
      </c>
      <c r="L18" s="113">
        <v>13</v>
      </c>
      <c r="M18" t="e" cm="1">
        <f t="array" aca="1" ref="M18" ca="1">ACF($C$7:$C$111,L18)</f>
        <v>#NAME?</v>
      </c>
      <c r="N18">
        <f t="shared" si="2"/>
        <v>4.9188045425041273E-3</v>
      </c>
    </row>
    <row r="19" spans="1:14" x14ac:dyDescent="0.35">
      <c r="A19">
        <f t="shared" si="3"/>
        <v>13</v>
      </c>
      <c r="B19">
        <v>0.70245593167564913</v>
      </c>
      <c r="C19">
        <f t="shared" si="1"/>
        <v>0.91819881129981251</v>
      </c>
      <c r="L19" s="113">
        <v>14</v>
      </c>
      <c r="M19" t="e" cm="1">
        <f t="array" aca="1" ref="M19" ca="1">ACF($C$7:$C$111,L19)</f>
        <v>#NAME?</v>
      </c>
      <c r="N19">
        <f t="shared" si="2"/>
        <v>3.4431631797528887E-3</v>
      </c>
    </row>
    <row r="20" spans="1:14" x14ac:dyDescent="0.35">
      <c r="A20">
        <f t="shared" si="3"/>
        <v>14</v>
      </c>
      <c r="B20">
        <v>-0.35036242471588258</v>
      </c>
      <c r="C20">
        <f t="shared" si="1"/>
        <v>0.15188555685885632</v>
      </c>
      <c r="L20" s="10">
        <v>15</v>
      </c>
      <c r="M20" s="4" t="e" cm="1">
        <f t="array" aca="1" ref="M20" ca="1">ACF($C$7:$C$111,L20)</f>
        <v>#NAME?</v>
      </c>
      <c r="N20" s="4">
        <f t="shared" si="2"/>
        <v>2.4102142258270219E-3</v>
      </c>
    </row>
    <row r="21" spans="1:14" x14ac:dyDescent="0.35">
      <c r="A21">
        <f t="shared" si="3"/>
        <v>15</v>
      </c>
      <c r="B21">
        <v>0.21713729591053152</v>
      </c>
      <c r="C21">
        <f t="shared" si="1"/>
        <v>0.39352967065490746</v>
      </c>
    </row>
    <row r="22" spans="1:14" x14ac:dyDescent="0.35">
      <c r="A22">
        <f t="shared" si="3"/>
        <v>16</v>
      </c>
      <c r="B22">
        <v>-0.50660744040413153</v>
      </c>
      <c r="C22">
        <f t="shared" si="1"/>
        <v>-0.27456413012780267</v>
      </c>
    </row>
    <row r="23" spans="1:14" x14ac:dyDescent="0.35">
      <c r="A23">
        <f t="shared" si="3"/>
        <v>17</v>
      </c>
      <c r="B23">
        <v>1.3197112250332261</v>
      </c>
      <c r="C23">
        <f t="shared" si="1"/>
        <v>1.2288378220245906</v>
      </c>
    </row>
    <row r="24" spans="1:14" x14ac:dyDescent="0.35">
      <c r="A24">
        <f t="shared" si="3"/>
        <v>18</v>
      </c>
      <c r="B24">
        <v>2.0721563220833827</v>
      </c>
      <c r="C24">
        <f t="shared" si="1"/>
        <v>2.6684005524939507</v>
      </c>
    </row>
    <row r="25" spans="1:14" x14ac:dyDescent="0.35">
      <c r="A25">
        <f t="shared" si="3"/>
        <v>19</v>
      </c>
      <c r="B25">
        <v>1.9642789414916844</v>
      </c>
      <c r="C25">
        <f t="shared" si="1"/>
        <v>3.417728063820773</v>
      </c>
    </row>
    <row r="26" spans="1:14" x14ac:dyDescent="0.35">
      <c r="A26">
        <f t="shared" si="3"/>
        <v>20</v>
      </c>
      <c r="B26">
        <v>0.23964330043753548</v>
      </c>
      <c r="C26">
        <f t="shared" si="1"/>
        <v>2.2391971568137397</v>
      </c>
    </row>
    <row r="27" spans="1:14" x14ac:dyDescent="0.35">
      <c r="A27">
        <f t="shared" si="3"/>
        <v>21</v>
      </c>
      <c r="B27">
        <v>0.60305056491796249</v>
      </c>
      <c r="C27">
        <f t="shared" si="1"/>
        <v>2.1225599146000729</v>
      </c>
    </row>
    <row r="28" spans="1:14" x14ac:dyDescent="0.35">
      <c r="A28">
        <f t="shared" si="3"/>
        <v>22</v>
      </c>
      <c r="B28">
        <v>-0.90138311182696351</v>
      </c>
      <c r="C28">
        <f t="shared" si="1"/>
        <v>0.46379871540949502</v>
      </c>
    </row>
    <row r="29" spans="1:14" x14ac:dyDescent="0.35">
      <c r="A29">
        <f t="shared" si="3"/>
        <v>23</v>
      </c>
      <c r="B29">
        <v>-1.0557411773368031</v>
      </c>
      <c r="C29">
        <f t="shared" si="1"/>
        <v>-0.55080545418476379</v>
      </c>
    </row>
    <row r="30" spans="1:14" x14ac:dyDescent="0.35">
      <c r="A30">
        <f t="shared" si="3"/>
        <v>24</v>
      </c>
      <c r="B30">
        <v>1.357361829570102</v>
      </c>
      <c r="C30">
        <f t="shared" si="1"/>
        <v>1.182946247108128</v>
      </c>
    </row>
    <row r="31" spans="1:14" x14ac:dyDescent="0.35">
      <c r="A31">
        <f t="shared" si="3"/>
        <v>25</v>
      </c>
      <c r="B31">
        <v>-2.969888722096329</v>
      </c>
      <c r="C31">
        <f t="shared" si="1"/>
        <v>-2.4132987150346601</v>
      </c>
    </row>
    <row r="32" spans="1:14" x14ac:dyDescent="0.35">
      <c r="A32">
        <f t="shared" si="3"/>
        <v>26</v>
      </c>
      <c r="B32">
        <v>2.0748019655504284</v>
      </c>
      <c r="C32">
        <f t="shared" si="1"/>
        <v>0.97947060944543229</v>
      </c>
    </row>
    <row r="33" spans="1:3" x14ac:dyDescent="0.35">
      <c r="A33">
        <f t="shared" si="3"/>
        <v>27</v>
      </c>
      <c r="B33">
        <v>0.28021329874765349</v>
      </c>
      <c r="C33">
        <f t="shared" si="1"/>
        <v>0.55088233224937044</v>
      </c>
    </row>
    <row r="34" spans="1:3" x14ac:dyDescent="0.35">
      <c r="A34">
        <f t="shared" si="3"/>
        <v>28</v>
      </c>
      <c r="B34">
        <v>0.89834644475651204</v>
      </c>
      <c r="C34">
        <f t="shared" si="1"/>
        <v>1.2279214175815407</v>
      </c>
    </row>
    <row r="35" spans="1:3" x14ac:dyDescent="0.35">
      <c r="A35">
        <f t="shared" si="3"/>
        <v>29</v>
      </c>
      <c r="B35">
        <v>-1.6033823872485062</v>
      </c>
      <c r="C35">
        <f t="shared" si="1"/>
        <v>-0.92350668389273016</v>
      </c>
    </row>
    <row r="36" spans="1:3" x14ac:dyDescent="0.35">
      <c r="A36">
        <f t="shared" si="3"/>
        <v>30</v>
      </c>
      <c r="B36">
        <v>0.23549924558665486</v>
      </c>
      <c r="C36">
        <f t="shared" si="1"/>
        <v>-9.0278955688554874E-2</v>
      </c>
    </row>
    <row r="37" spans="1:3" x14ac:dyDescent="0.35">
      <c r="A37">
        <f t="shared" si="3"/>
        <v>31</v>
      </c>
      <c r="B37">
        <v>1.7940884644624944</v>
      </c>
      <c r="C37">
        <f t="shared" si="1"/>
        <v>1.6837933463631751</v>
      </c>
    </row>
    <row r="38" spans="1:3" x14ac:dyDescent="0.35">
      <c r="A38">
        <f t="shared" si="3"/>
        <v>32</v>
      </c>
      <c r="B38">
        <v>-1.4306090977486423</v>
      </c>
      <c r="C38">
        <f t="shared" si="1"/>
        <v>-0.61077144818691864</v>
      </c>
    </row>
    <row r="39" spans="1:3" x14ac:dyDescent="0.35">
      <c r="A39">
        <f t="shared" si="3"/>
        <v>33</v>
      </c>
      <c r="B39">
        <v>1.422462857081874</v>
      </c>
      <c r="C39">
        <f t="shared" si="1"/>
        <v>1.2810446629007595</v>
      </c>
    </row>
    <row r="40" spans="1:3" x14ac:dyDescent="0.35">
      <c r="A40">
        <f t="shared" si="3"/>
        <v>34</v>
      </c>
      <c r="B40">
        <v>-1.5344845213207499</v>
      </c>
      <c r="C40">
        <f t="shared" si="1"/>
        <v>-0.92224582870659311</v>
      </c>
    </row>
    <row r="41" spans="1:3" x14ac:dyDescent="0.35">
      <c r="A41">
        <f t="shared" si="3"/>
        <v>35</v>
      </c>
      <c r="B41">
        <v>-0.23943486259011701</v>
      </c>
      <c r="C41">
        <f t="shared" si="1"/>
        <v>-0.57811003842058217</v>
      </c>
    </row>
    <row r="42" spans="1:3" x14ac:dyDescent="0.35">
      <c r="A42">
        <f t="shared" si="3"/>
        <v>36</v>
      </c>
      <c r="B42">
        <v>1.1254873384110666</v>
      </c>
      <c r="C42">
        <f t="shared" si="1"/>
        <v>0.76869728403468252</v>
      </c>
    </row>
    <row r="43" spans="1:3" x14ac:dyDescent="0.35">
      <c r="A43">
        <f t="shared" si="3"/>
        <v>37</v>
      </c>
      <c r="B43">
        <v>-0.26828564280553124</v>
      </c>
      <c r="C43">
        <f t="shared" si="1"/>
        <v>4.4704988336533191E-2</v>
      </c>
    </row>
    <row r="44" spans="1:3" x14ac:dyDescent="0.35">
      <c r="A44">
        <f t="shared" si="3"/>
        <v>38</v>
      </c>
      <c r="B44">
        <v>-0.5822900860434399</v>
      </c>
      <c r="C44">
        <f t="shared" si="1"/>
        <v>-0.49733946564676035</v>
      </c>
    </row>
    <row r="45" spans="1:3" x14ac:dyDescent="0.35">
      <c r="A45">
        <f t="shared" si="3"/>
        <v>39</v>
      </c>
      <c r="B45">
        <v>2.2483238493907369</v>
      </c>
      <c r="C45">
        <f t="shared" si="1"/>
        <v>2.0166442406466927</v>
      </c>
    </row>
    <row r="46" spans="1:3" x14ac:dyDescent="0.35">
      <c r="A46">
        <f t="shared" si="3"/>
        <v>40</v>
      </c>
      <c r="B46">
        <v>-1.3543974073052196</v>
      </c>
      <c r="C46">
        <f t="shared" si="1"/>
        <v>-0.39241120873068225</v>
      </c>
    </row>
    <row r="47" spans="1:3" x14ac:dyDescent="0.35">
      <c r="A47">
        <f t="shared" si="3"/>
        <v>41</v>
      </c>
      <c r="B47">
        <v>0.48261152802448637</v>
      </c>
      <c r="C47">
        <f t="shared" si="1"/>
        <v>0.47880316337405276</v>
      </c>
    </row>
    <row r="48" spans="1:3" x14ac:dyDescent="0.35">
      <c r="A48">
        <f t="shared" si="3"/>
        <v>42</v>
      </c>
      <c r="B48">
        <v>-0.10749079290397744</v>
      </c>
      <c r="C48">
        <f t="shared" si="1"/>
        <v>0.13114911585296218</v>
      </c>
    </row>
    <row r="49" spans="1:3" x14ac:dyDescent="0.35">
      <c r="A49">
        <f t="shared" si="3"/>
        <v>43</v>
      </c>
      <c r="B49">
        <v>-0.80304736276954691</v>
      </c>
      <c r="C49">
        <f t="shared" si="1"/>
        <v>-0.68974482309167784</v>
      </c>
    </row>
    <row r="50" spans="1:3" x14ac:dyDescent="0.35">
      <c r="A50">
        <f t="shared" si="3"/>
        <v>44</v>
      </c>
      <c r="B50">
        <v>0.2754508892602448</v>
      </c>
      <c r="C50">
        <f t="shared" si="1"/>
        <v>-4.676101435002028E-2</v>
      </c>
    </row>
    <row r="51" spans="1:3" x14ac:dyDescent="0.35">
      <c r="A51">
        <f t="shared" si="3"/>
        <v>45</v>
      </c>
      <c r="B51">
        <v>1.9906931995671073E-2</v>
      </c>
      <c r="C51">
        <f t="shared" si="1"/>
        <v>-6.7915955901392086E-2</v>
      </c>
    </row>
    <row r="52" spans="1:3" x14ac:dyDescent="0.35">
      <c r="A52">
        <f t="shared" si="3"/>
        <v>46</v>
      </c>
      <c r="B52">
        <v>1.686625284067059</v>
      </c>
      <c r="C52">
        <f t="shared" si="1"/>
        <v>1.6351027285369504</v>
      </c>
    </row>
    <row r="53" spans="1:3" x14ac:dyDescent="0.35">
      <c r="A53">
        <f t="shared" si="3"/>
        <v>47</v>
      </c>
      <c r="B53">
        <v>-0.37900350643042602</v>
      </c>
      <c r="C53">
        <f t="shared" si="1"/>
        <v>0.42824334673202724</v>
      </c>
    </row>
    <row r="54" spans="1:3" x14ac:dyDescent="0.35">
      <c r="A54">
        <f t="shared" si="3"/>
        <v>48</v>
      </c>
      <c r="B54">
        <v>-0.68133999121505795</v>
      </c>
      <c r="C54">
        <f t="shared" si="1"/>
        <v>-0.30576894721655368</v>
      </c>
    </row>
    <row r="55" spans="1:3" x14ac:dyDescent="0.35">
      <c r="A55">
        <f t="shared" si="3"/>
        <v>49</v>
      </c>
      <c r="B55">
        <v>0.24680727410891506</v>
      </c>
      <c r="C55">
        <f t="shared" si="1"/>
        <v>0.16903700930033908</v>
      </c>
    </row>
    <row r="56" spans="1:3" x14ac:dyDescent="0.35">
      <c r="A56">
        <f t="shared" si="3"/>
        <v>50</v>
      </c>
      <c r="B56">
        <v>0.4176914407480673</v>
      </c>
      <c r="C56">
        <f t="shared" si="1"/>
        <v>0.48665589243652163</v>
      </c>
    </row>
    <row r="57" spans="1:3" x14ac:dyDescent="0.35">
      <c r="A57">
        <f t="shared" si="3"/>
        <v>51</v>
      </c>
      <c r="B57">
        <v>0.39902892938942136</v>
      </c>
      <c r="C57">
        <f t="shared" si="1"/>
        <v>0.656149765945373</v>
      </c>
    </row>
    <row r="58" spans="1:3" x14ac:dyDescent="0.35">
      <c r="A58">
        <f t="shared" si="3"/>
        <v>52</v>
      </c>
      <c r="B58">
        <v>-0.25018139554307461</v>
      </c>
      <c r="C58">
        <f t="shared" si="1"/>
        <v>0.12931765474080215</v>
      </c>
    </row>
    <row r="59" spans="1:3" x14ac:dyDescent="0.35">
      <c r="A59">
        <f t="shared" si="3"/>
        <v>53</v>
      </c>
      <c r="B59">
        <v>-1.1742528233216154</v>
      </c>
      <c r="C59">
        <f t="shared" si="1"/>
        <v>-1.0336941858944391</v>
      </c>
    </row>
    <row r="60" spans="1:3" x14ac:dyDescent="0.35">
      <c r="A60">
        <f t="shared" si="3"/>
        <v>54</v>
      </c>
      <c r="B60">
        <v>-1.4045131523645842</v>
      </c>
      <c r="C60">
        <f t="shared" si="1"/>
        <v>-1.8932485178263683</v>
      </c>
    </row>
    <row r="61" spans="1:3" x14ac:dyDescent="0.35">
      <c r="A61">
        <f t="shared" si="3"/>
        <v>55</v>
      </c>
      <c r="B61">
        <v>-0.28172987991615117</v>
      </c>
      <c r="C61">
        <f t="shared" si="1"/>
        <v>-1.3261012119216922</v>
      </c>
    </row>
    <row r="62" spans="1:3" x14ac:dyDescent="0.35">
      <c r="A62">
        <f t="shared" si="3"/>
        <v>56</v>
      </c>
      <c r="B62">
        <v>-0.38821298272001864</v>
      </c>
      <c r="C62">
        <f t="shared" si="1"/>
        <v>-1.2601378550819728</v>
      </c>
    </row>
    <row r="63" spans="1:3" x14ac:dyDescent="0.35">
      <c r="A63">
        <f t="shared" si="3"/>
        <v>57</v>
      </c>
      <c r="B63">
        <v>-0.43156998564742921</v>
      </c>
      <c r="C63">
        <f t="shared" si="1"/>
        <v>-1.2360238876608063</v>
      </c>
    </row>
    <row r="64" spans="1:3" x14ac:dyDescent="0.35">
      <c r="A64">
        <f t="shared" si="3"/>
        <v>58</v>
      </c>
      <c r="B64">
        <v>1.386535004851783</v>
      </c>
      <c r="C64">
        <f t="shared" si="1"/>
        <v>0.60763228061870456</v>
      </c>
    </row>
    <row r="65" spans="1:3" x14ac:dyDescent="0.35">
      <c r="A65">
        <f t="shared" si="3"/>
        <v>59</v>
      </c>
      <c r="B65">
        <v>-1.3017512220934879</v>
      </c>
      <c r="C65">
        <f t="shared" si="1"/>
        <v>-1.1537156266307513</v>
      </c>
    </row>
    <row r="66" spans="1:3" x14ac:dyDescent="0.35">
      <c r="A66">
        <f t="shared" si="3"/>
        <v>60</v>
      </c>
      <c r="B66">
        <v>-1.2553188286181356</v>
      </c>
      <c r="C66">
        <f t="shared" si="1"/>
        <v>-1.8025695228409639</v>
      </c>
    </row>
    <row r="67" spans="1:3" x14ac:dyDescent="0.35">
      <c r="A67">
        <f t="shared" si="3"/>
        <v>61</v>
      </c>
      <c r="B67">
        <v>0.71120271461460161</v>
      </c>
      <c r="C67">
        <f t="shared" si="1"/>
        <v>-0.29953218565044587</v>
      </c>
    </row>
    <row r="68" spans="1:3" x14ac:dyDescent="0.35">
      <c r="A68">
        <f t="shared" si="3"/>
        <v>62</v>
      </c>
      <c r="B68">
        <v>-0.14927846160621394</v>
      </c>
      <c r="C68">
        <f t="shared" si="1"/>
        <v>-0.50119153448444642</v>
      </c>
    </row>
    <row r="69" spans="1:3" x14ac:dyDescent="0.35">
      <c r="A69">
        <f t="shared" si="3"/>
        <v>63</v>
      </c>
      <c r="B69">
        <v>2.1364162498976984E-2</v>
      </c>
      <c r="C69">
        <f t="shared" si="1"/>
        <v>-0.2996142193188927</v>
      </c>
    </row>
    <row r="70" spans="1:3" x14ac:dyDescent="0.35">
      <c r="A70">
        <f t="shared" si="3"/>
        <v>64</v>
      </c>
      <c r="B70">
        <v>3.3630781181214632E-2</v>
      </c>
      <c r="C70">
        <f t="shared" si="1"/>
        <v>-0.18037200484180566</v>
      </c>
    </row>
    <row r="71" spans="1:3" x14ac:dyDescent="0.35">
      <c r="A71">
        <f t="shared" si="3"/>
        <v>65</v>
      </c>
      <c r="B71">
        <v>2.4900321457140446</v>
      </c>
      <c r="C71">
        <f t="shared" si="1"/>
        <v>2.3570455860885375</v>
      </c>
    </row>
    <row r="72" spans="1:3" x14ac:dyDescent="0.35">
      <c r="A72">
        <f t="shared" si="3"/>
        <v>66</v>
      </c>
      <c r="B72">
        <v>-0.22832106642044353</v>
      </c>
      <c r="C72">
        <f t="shared" ref="C72:C111" si="4">0.7*C71+B72-0.2*B71</f>
        <v>0.92360441469872367</v>
      </c>
    </row>
    <row r="73" spans="1:3" x14ac:dyDescent="0.35">
      <c r="A73">
        <f t="shared" si="3"/>
        <v>67</v>
      </c>
      <c r="B73">
        <v>-0.99142145654823743</v>
      </c>
      <c r="C73">
        <f t="shared" si="4"/>
        <v>-0.29923415297504224</v>
      </c>
    </row>
    <row r="74" spans="1:3" x14ac:dyDescent="0.35">
      <c r="A74">
        <f t="shared" si="3"/>
        <v>68</v>
      </c>
      <c r="B74">
        <v>0.28534068077982988</v>
      </c>
      <c r="C74">
        <f t="shared" si="4"/>
        <v>0.27416106500694781</v>
      </c>
    </row>
    <row r="75" spans="1:3" x14ac:dyDescent="0.35">
      <c r="A75">
        <f t="shared" si="3"/>
        <v>69</v>
      </c>
      <c r="B75">
        <v>-0.37876373558789145</v>
      </c>
      <c r="C75">
        <f t="shared" si="4"/>
        <v>-0.24391912623899398</v>
      </c>
    </row>
    <row r="76" spans="1:3" x14ac:dyDescent="0.35">
      <c r="A76">
        <f t="shared" si="3"/>
        <v>70</v>
      </c>
      <c r="B76">
        <v>-0.61727751655520191</v>
      </c>
      <c r="C76">
        <f t="shared" si="4"/>
        <v>-0.71226815780491937</v>
      </c>
    </row>
    <row r="77" spans="1:3" x14ac:dyDescent="0.35">
      <c r="A77">
        <f t="shared" ref="A77:A111" si="5">A76+1</f>
        <v>71</v>
      </c>
      <c r="B77">
        <v>-0.83006009584137008</v>
      </c>
      <c r="C77">
        <f t="shared" si="4"/>
        <v>-1.2051923029937734</v>
      </c>
    </row>
    <row r="78" spans="1:3" x14ac:dyDescent="0.35">
      <c r="A78">
        <f t="shared" si="5"/>
        <v>72</v>
      </c>
      <c r="B78">
        <v>0.6297885382553351</v>
      </c>
      <c r="C78">
        <f t="shared" si="4"/>
        <v>-4.7834054672032278E-2</v>
      </c>
    </row>
    <row r="79" spans="1:3" x14ac:dyDescent="0.35">
      <c r="A79">
        <f t="shared" si="5"/>
        <v>73</v>
      </c>
      <c r="B79">
        <v>-0.694040660745746</v>
      </c>
      <c r="C79">
        <f t="shared" si="4"/>
        <v>-0.85348220666723562</v>
      </c>
    </row>
    <row r="80" spans="1:3" x14ac:dyDescent="0.35">
      <c r="A80">
        <f t="shared" si="5"/>
        <v>74</v>
      </c>
      <c r="B80">
        <v>-1.1292977646381548</v>
      </c>
      <c r="C80">
        <f t="shared" si="4"/>
        <v>-1.5879271771560706</v>
      </c>
    </row>
    <row r="81" spans="1:3" x14ac:dyDescent="0.35">
      <c r="A81">
        <f t="shared" si="5"/>
        <v>75</v>
      </c>
      <c r="B81">
        <v>0.6095368117304879</v>
      </c>
      <c r="C81">
        <f t="shared" si="4"/>
        <v>-0.27615265935113054</v>
      </c>
    </row>
    <row r="82" spans="1:3" x14ac:dyDescent="0.35">
      <c r="A82">
        <f t="shared" si="5"/>
        <v>76</v>
      </c>
      <c r="B82">
        <v>-1.2359970227306327</v>
      </c>
      <c r="C82">
        <f t="shared" si="4"/>
        <v>-1.5512112466225216</v>
      </c>
    </row>
    <row r="83" spans="1:3" x14ac:dyDescent="0.35">
      <c r="A83">
        <f t="shared" si="5"/>
        <v>77</v>
      </c>
      <c r="B83">
        <v>0.14781809608735161</v>
      </c>
      <c r="C83">
        <f t="shared" si="4"/>
        <v>-0.69083037200228681</v>
      </c>
    </row>
    <row r="84" spans="1:3" x14ac:dyDescent="0.35">
      <c r="A84">
        <f t="shared" si="5"/>
        <v>78</v>
      </c>
      <c r="B84">
        <v>0.14223995185972241</v>
      </c>
      <c r="C84">
        <f t="shared" si="4"/>
        <v>-0.37090492775934858</v>
      </c>
    </row>
    <row r="85" spans="1:3" x14ac:dyDescent="0.35">
      <c r="A85">
        <f t="shared" si="5"/>
        <v>79</v>
      </c>
      <c r="B85">
        <v>0.78683578193082926</v>
      </c>
      <c r="C85">
        <f t="shared" si="4"/>
        <v>0.49875434212734082</v>
      </c>
    </row>
    <row r="86" spans="1:3" x14ac:dyDescent="0.35">
      <c r="A86">
        <f t="shared" si="5"/>
        <v>80</v>
      </c>
      <c r="B86">
        <v>-2.0572048484731567</v>
      </c>
      <c r="C86">
        <f t="shared" si="4"/>
        <v>-1.865443965370184</v>
      </c>
    </row>
    <row r="87" spans="1:3" x14ac:dyDescent="0.35">
      <c r="A87">
        <f t="shared" si="5"/>
        <v>81</v>
      </c>
      <c r="B87">
        <v>4.9553368430570136E-2</v>
      </c>
      <c r="C87">
        <f t="shared" si="4"/>
        <v>-0.84481643763392711</v>
      </c>
    </row>
    <row r="88" spans="1:3" x14ac:dyDescent="0.35">
      <c r="A88">
        <f t="shared" si="5"/>
        <v>82</v>
      </c>
      <c r="B88">
        <v>-1.4066323798943021</v>
      </c>
      <c r="C88">
        <f t="shared" si="4"/>
        <v>-2.0079145599241652</v>
      </c>
    </row>
    <row r="89" spans="1:3" x14ac:dyDescent="0.35">
      <c r="A89">
        <f t="shared" si="5"/>
        <v>83</v>
      </c>
      <c r="B89">
        <v>1.5637407126388045</v>
      </c>
      <c r="C89">
        <f t="shared" si="4"/>
        <v>0.43952699667074951</v>
      </c>
    </row>
    <row r="90" spans="1:3" x14ac:dyDescent="0.35">
      <c r="A90">
        <f t="shared" si="5"/>
        <v>84</v>
      </c>
      <c r="B90">
        <v>1.1803319732811373</v>
      </c>
      <c r="C90">
        <f t="shared" si="4"/>
        <v>1.1752527284229008</v>
      </c>
    </row>
    <row r="91" spans="1:3" x14ac:dyDescent="0.35">
      <c r="A91">
        <f t="shared" si="5"/>
        <v>85</v>
      </c>
      <c r="B91">
        <v>-0.66510702617564998</v>
      </c>
      <c r="C91">
        <f t="shared" si="4"/>
        <v>-7.8496510935846864E-2</v>
      </c>
    </row>
    <row r="92" spans="1:3" x14ac:dyDescent="0.35">
      <c r="A92">
        <f t="shared" si="5"/>
        <v>86</v>
      </c>
      <c r="B92">
        <v>0.57494501634557904</v>
      </c>
      <c r="C92">
        <f t="shared" si="4"/>
        <v>0.65301886392561626</v>
      </c>
    </row>
    <row r="93" spans="1:3" x14ac:dyDescent="0.35">
      <c r="A93">
        <f t="shared" si="5"/>
        <v>87</v>
      </c>
      <c r="B93">
        <v>-4.1159165518735157E-2</v>
      </c>
      <c r="C93">
        <f t="shared" si="4"/>
        <v>0.30096503596008034</v>
      </c>
    </row>
    <row r="94" spans="1:3" x14ac:dyDescent="0.35">
      <c r="A94">
        <f t="shared" si="5"/>
        <v>88</v>
      </c>
      <c r="B94">
        <v>-0.89619571623511651</v>
      </c>
      <c r="C94">
        <f t="shared" si="4"/>
        <v>-0.6772883579593133</v>
      </c>
    </row>
    <row r="95" spans="1:3" x14ac:dyDescent="0.35">
      <c r="A95">
        <f t="shared" si="5"/>
        <v>89</v>
      </c>
      <c r="B95">
        <v>1.503359605306662</v>
      </c>
      <c r="C95">
        <f t="shared" si="4"/>
        <v>1.208496897982166</v>
      </c>
    </row>
    <row r="96" spans="1:3" x14ac:dyDescent="0.35">
      <c r="A96">
        <f t="shared" si="5"/>
        <v>90</v>
      </c>
      <c r="B96">
        <v>-0.71156365631100782</v>
      </c>
      <c r="C96">
        <f t="shared" si="4"/>
        <v>-0.16628774878482411</v>
      </c>
    </row>
    <row r="97" spans="1:3" x14ac:dyDescent="0.35">
      <c r="A97">
        <f t="shared" si="5"/>
        <v>91</v>
      </c>
      <c r="B97">
        <v>0.98331759725438295</v>
      </c>
      <c r="C97">
        <f t="shared" si="4"/>
        <v>1.0092289043672076</v>
      </c>
    </row>
    <row r="98" spans="1:3" x14ac:dyDescent="0.35">
      <c r="A98">
        <f t="shared" si="5"/>
        <v>92</v>
      </c>
      <c r="B98">
        <v>-0.83758504934694755</v>
      </c>
      <c r="C98">
        <f t="shared" si="4"/>
        <v>-0.32778833574077881</v>
      </c>
    </row>
    <row r="99" spans="1:3" x14ac:dyDescent="0.35">
      <c r="A99">
        <f t="shared" si="5"/>
        <v>93</v>
      </c>
      <c r="B99">
        <v>-1.9160100094245356</v>
      </c>
      <c r="C99">
        <f t="shared" si="4"/>
        <v>-1.9779448345736914</v>
      </c>
    </row>
    <row r="100" spans="1:3" x14ac:dyDescent="0.35">
      <c r="A100">
        <f t="shared" si="5"/>
        <v>94</v>
      </c>
      <c r="B100">
        <v>0.10151986902498664</v>
      </c>
      <c r="C100">
        <f t="shared" si="4"/>
        <v>-0.8998395132916901</v>
      </c>
    </row>
    <row r="101" spans="1:3" x14ac:dyDescent="0.35">
      <c r="A101">
        <f t="shared" si="5"/>
        <v>95</v>
      </c>
      <c r="B101">
        <v>0.94375520294114768</v>
      </c>
      <c r="C101">
        <f t="shared" si="4"/>
        <v>0.29356356983196735</v>
      </c>
    </row>
    <row r="102" spans="1:3" x14ac:dyDescent="0.35">
      <c r="A102">
        <f t="shared" si="5"/>
        <v>96</v>
      </c>
      <c r="B102">
        <v>0.85739443406232374</v>
      </c>
      <c r="C102">
        <f t="shared" si="4"/>
        <v>0.87413789235647132</v>
      </c>
    </row>
    <row r="103" spans="1:3" x14ac:dyDescent="0.35">
      <c r="A103">
        <f t="shared" si="5"/>
        <v>97</v>
      </c>
      <c r="B103">
        <v>0.60817129254501401</v>
      </c>
      <c r="C103">
        <f t="shared" si="4"/>
        <v>1.048588930382079</v>
      </c>
    </row>
    <row r="104" spans="1:3" x14ac:dyDescent="0.35">
      <c r="A104">
        <f t="shared" si="5"/>
        <v>98</v>
      </c>
      <c r="B104">
        <v>-0.23527438435259732</v>
      </c>
      <c r="C104">
        <f t="shared" si="4"/>
        <v>0.37710360840585522</v>
      </c>
    </row>
    <row r="105" spans="1:3" x14ac:dyDescent="0.35">
      <c r="A105">
        <f t="shared" si="5"/>
        <v>99</v>
      </c>
      <c r="B105">
        <v>0.78970600372079702</v>
      </c>
      <c r="C105">
        <f t="shared" si="4"/>
        <v>1.1007334064754151</v>
      </c>
    </row>
    <row r="106" spans="1:3" x14ac:dyDescent="0.35">
      <c r="A106">
        <f t="shared" si="5"/>
        <v>100</v>
      </c>
      <c r="B106">
        <v>-1.0561154940171853</v>
      </c>
      <c r="C106">
        <f t="shared" si="4"/>
        <v>-0.4435433102285542</v>
      </c>
    </row>
    <row r="107" spans="1:3" x14ac:dyDescent="0.35">
      <c r="A107">
        <f t="shared" si="5"/>
        <v>101</v>
      </c>
      <c r="B107">
        <v>0.22586923055446753</v>
      </c>
      <c r="C107">
        <f t="shared" si="4"/>
        <v>0.12661201219791668</v>
      </c>
    </row>
    <row r="108" spans="1:3" x14ac:dyDescent="0.35">
      <c r="A108">
        <f t="shared" si="5"/>
        <v>102</v>
      </c>
      <c r="B108">
        <v>0.57520223729110798</v>
      </c>
      <c r="C108">
        <f t="shared" si="4"/>
        <v>0.6186567997187562</v>
      </c>
    </row>
    <row r="109" spans="1:3" x14ac:dyDescent="0.35">
      <c r="A109">
        <f t="shared" si="5"/>
        <v>103</v>
      </c>
      <c r="B109">
        <v>1.051358335168767</v>
      </c>
      <c r="C109">
        <f t="shared" si="4"/>
        <v>1.3693776475136747</v>
      </c>
    </row>
    <row r="110" spans="1:3" x14ac:dyDescent="0.35">
      <c r="A110">
        <f t="shared" si="5"/>
        <v>104</v>
      </c>
      <c r="B110">
        <v>1.3149534009556497E-2</v>
      </c>
      <c r="C110">
        <f t="shared" si="4"/>
        <v>0.76144222023537533</v>
      </c>
    </row>
    <row r="111" spans="1:3" x14ac:dyDescent="0.35">
      <c r="A111">
        <f t="shared" si="5"/>
        <v>105</v>
      </c>
      <c r="B111" s="4">
        <v>1.4243854081201066</v>
      </c>
      <c r="C111" s="4">
        <f t="shared" si="4"/>
        <v>1.9547650554829581</v>
      </c>
    </row>
    <row r="113" spans="2:2" x14ac:dyDescent="0.35">
      <c r="B113" s="20" t="s">
        <v>226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42"/>
  <dimension ref="A1:Q113"/>
  <sheetViews>
    <sheetView workbookViewId="0"/>
  </sheetViews>
  <sheetFormatPr defaultRowHeight="14.5" x14ac:dyDescent="0.35"/>
  <cols>
    <col min="1" max="1" width="4.81640625" customWidth="1"/>
    <col min="12" max="12" width="7.81640625" customWidth="1"/>
    <col min="13" max="14" width="9.81640625" customWidth="1"/>
    <col min="15" max="15" width="6.7265625" customWidth="1"/>
    <col min="16" max="16" width="4.7265625" customWidth="1"/>
    <col min="17" max="17" width="5.26953125" customWidth="1"/>
  </cols>
  <sheetData>
    <row r="1" spans="1:17" x14ac:dyDescent="0.35">
      <c r="A1" s="7" t="s">
        <v>224</v>
      </c>
    </row>
    <row r="2" spans="1:17" s="72" customFormat="1" x14ac:dyDescent="0.35"/>
    <row r="3" spans="1:17" s="72" customFormat="1" ht="15" customHeight="1" x14ac:dyDescent="0.35">
      <c r="A3" s="72" t="s">
        <v>225</v>
      </c>
    </row>
    <row r="4" spans="1:17" s="72" customFormat="1" x14ac:dyDescent="0.35"/>
    <row r="5" spans="1:17" x14ac:dyDescent="0.35">
      <c r="B5" s="114" t="s">
        <v>107</v>
      </c>
      <c r="C5" s="114" t="s">
        <v>110</v>
      </c>
      <c r="L5" s="114" t="s">
        <v>78</v>
      </c>
      <c r="M5" s="114" t="s">
        <v>77</v>
      </c>
      <c r="N5" s="114" t="s">
        <v>116</v>
      </c>
      <c r="P5" s="40" t="s">
        <v>170</v>
      </c>
      <c r="Q5" s="23">
        <v>0.7</v>
      </c>
    </row>
    <row r="6" spans="1:17" x14ac:dyDescent="0.35">
      <c r="B6" s="115"/>
      <c r="C6" s="115"/>
      <c r="L6" s="115">
        <v>1</v>
      </c>
      <c r="M6" t="e" cm="1">
        <f t="array" aca="1" ref="M6" ca="1">ACF($C$7:$C$111,L6)</f>
        <v>#NAME?</v>
      </c>
      <c r="N6">
        <f>(Q5+Q6)*(1+Q5*Q6)/(1+2*Q5*Q6+Q5^2)</f>
        <v>0.35537190082644626</v>
      </c>
      <c r="P6" t="s">
        <v>171</v>
      </c>
      <c r="Q6" s="34">
        <v>-0.2</v>
      </c>
    </row>
    <row r="7" spans="1:17" x14ac:dyDescent="0.35">
      <c r="A7">
        <v>1</v>
      </c>
      <c r="B7">
        <v>0.11767564756553417</v>
      </c>
      <c r="C7">
        <f>3+0.7*C6+B7-0.2*B6</f>
        <v>3.1176756475655343</v>
      </c>
      <c r="L7" s="115">
        <v>2</v>
      </c>
      <c r="M7" t="e" cm="1">
        <f t="array" aca="1" ref="M7" ca="1">ACF($C$7:$C$111,L7)</f>
        <v>#NAME?</v>
      </c>
      <c r="N7">
        <f>N6*Q$5</f>
        <v>0.24876033057851238</v>
      </c>
    </row>
    <row r="8" spans="1:17" x14ac:dyDescent="0.35">
      <c r="A8">
        <f t="shared" ref="A8:A71" si="0">A7+1</f>
        <v>2</v>
      </c>
      <c r="B8">
        <v>0.64941326201616068</v>
      </c>
      <c r="C8">
        <f t="shared" ref="C8:C71" si="1">3+0.7*C7+B8-0.2*B7</f>
        <v>5.8082510857989273</v>
      </c>
      <c r="L8" s="115">
        <v>3</v>
      </c>
      <c r="M8" t="e" cm="1">
        <f t="array" aca="1" ref="M8" ca="1">ACF($C$7:$C$111,L8)</f>
        <v>#NAME?</v>
      </c>
      <c r="N8">
        <f t="shared" ref="N8:N20" si="2">N7*Q$5</f>
        <v>0.17413223140495865</v>
      </c>
    </row>
    <row r="9" spans="1:17" x14ac:dyDescent="0.35">
      <c r="A9">
        <f t="shared" si="0"/>
        <v>3</v>
      </c>
      <c r="B9">
        <v>-2.0291245092742414</v>
      </c>
      <c r="C9">
        <f t="shared" si="1"/>
        <v>4.9067685983817757</v>
      </c>
      <c r="L9" s="115">
        <v>4</v>
      </c>
      <c r="M9" t="e" cm="1">
        <f t="array" aca="1" ref="M9" ca="1">ACF($C$7:$C$111,L9)</f>
        <v>#NAME?</v>
      </c>
      <c r="N9">
        <f t="shared" si="2"/>
        <v>0.12189256198347105</v>
      </c>
    </row>
    <row r="10" spans="1:17" x14ac:dyDescent="0.35">
      <c r="A10">
        <f t="shared" si="0"/>
        <v>4</v>
      </c>
      <c r="B10">
        <v>-0.72108843846184933</v>
      </c>
      <c r="C10">
        <f t="shared" si="1"/>
        <v>6.1194744822602427</v>
      </c>
      <c r="L10" s="115">
        <v>5</v>
      </c>
      <c r="M10" t="e" cm="1">
        <f t="array" aca="1" ref="M10" ca="1">ACF($C$7:$C$111,L10)</f>
        <v>#NAME?</v>
      </c>
      <c r="N10">
        <f t="shared" si="2"/>
        <v>8.5324793388429729E-2</v>
      </c>
    </row>
    <row r="11" spans="1:17" x14ac:dyDescent="0.35">
      <c r="A11">
        <f t="shared" si="0"/>
        <v>5</v>
      </c>
      <c r="B11">
        <v>0.70747648649116823</v>
      </c>
      <c r="C11">
        <f t="shared" si="1"/>
        <v>8.1353263117657075</v>
      </c>
      <c r="L11" s="115">
        <v>6</v>
      </c>
      <c r="M11" t="e" cm="1">
        <f t="array" aca="1" ref="M11" ca="1">ACF($C$7:$C$111,L11)</f>
        <v>#NAME?</v>
      </c>
      <c r="N11">
        <f t="shared" si="2"/>
        <v>5.9727355371900805E-2</v>
      </c>
    </row>
    <row r="12" spans="1:17" x14ac:dyDescent="0.35">
      <c r="A12">
        <f t="shared" si="0"/>
        <v>6</v>
      </c>
      <c r="B12">
        <v>0.79163430570821358</v>
      </c>
      <c r="C12">
        <f t="shared" si="1"/>
        <v>9.3448674266459744</v>
      </c>
      <c r="L12" s="115">
        <v>7</v>
      </c>
      <c r="M12" t="e" cm="1">
        <f t="array" aca="1" ref="M12" ca="1">ACF($C$7:$C$111,L12)</f>
        <v>#NAME?</v>
      </c>
      <c r="N12">
        <f t="shared" si="2"/>
        <v>4.180914876033056E-2</v>
      </c>
    </row>
    <row r="13" spans="1:17" x14ac:dyDescent="0.35">
      <c r="A13">
        <f t="shared" si="0"/>
        <v>7</v>
      </c>
      <c r="B13">
        <v>-0.23542965362337992</v>
      </c>
      <c r="C13">
        <f t="shared" si="1"/>
        <v>9.147650683887159</v>
      </c>
      <c r="L13" s="115">
        <v>8</v>
      </c>
      <c r="M13" t="e" cm="1">
        <f t="array" aca="1" ref="M13" ca="1">ACF($C$7:$C$111,L13)</f>
        <v>#NAME?</v>
      </c>
      <c r="N13">
        <f t="shared" si="2"/>
        <v>2.9266404132231388E-2</v>
      </c>
    </row>
    <row r="14" spans="1:17" x14ac:dyDescent="0.35">
      <c r="A14">
        <f t="shared" si="0"/>
        <v>8</v>
      </c>
      <c r="B14">
        <v>-1.3489481281427076</v>
      </c>
      <c r="C14">
        <f t="shared" si="1"/>
        <v>8.1014932813029787</v>
      </c>
      <c r="L14" s="115">
        <v>9</v>
      </c>
      <c r="M14" t="e" cm="1">
        <f t="array" aca="1" ref="M14" ca="1">ACF($C$7:$C$111,L14)</f>
        <v>#NAME?</v>
      </c>
      <c r="N14">
        <f t="shared" si="2"/>
        <v>2.0486482892561969E-2</v>
      </c>
    </row>
    <row r="15" spans="1:17" x14ac:dyDescent="0.35">
      <c r="A15">
        <f t="shared" si="0"/>
        <v>9</v>
      </c>
      <c r="B15">
        <v>1.2055841066323034</v>
      </c>
      <c r="C15">
        <f t="shared" si="1"/>
        <v>10.146419029172929</v>
      </c>
      <c r="L15" s="115">
        <v>10</v>
      </c>
      <c r="M15" t="e" cm="1">
        <f t="array" aca="1" ref="M15" ca="1">ACF($C$7:$C$111,L15)</f>
        <v>#NAME?</v>
      </c>
      <c r="N15">
        <f t="shared" si="2"/>
        <v>1.4340538024793377E-2</v>
      </c>
    </row>
    <row r="16" spans="1:17" x14ac:dyDescent="0.35">
      <c r="A16">
        <f t="shared" si="0"/>
        <v>10</v>
      </c>
      <c r="B16">
        <v>1.1838198499095893</v>
      </c>
      <c r="C16">
        <f t="shared" si="1"/>
        <v>11.045196349004179</v>
      </c>
      <c r="L16" s="115">
        <v>11</v>
      </c>
      <c r="M16" t="e" cm="1">
        <f t="array" aca="1" ref="M16" ca="1">ACF($C$7:$C$111,L16)</f>
        <v>#NAME?</v>
      </c>
      <c r="N16">
        <f t="shared" si="2"/>
        <v>1.0038376617355363E-2</v>
      </c>
    </row>
    <row r="17" spans="1:14" x14ac:dyDescent="0.35">
      <c r="A17">
        <f t="shared" si="0"/>
        <v>11</v>
      </c>
      <c r="B17">
        <v>-0.37229539413802176</v>
      </c>
      <c r="C17">
        <f t="shared" si="1"/>
        <v>10.122578080182986</v>
      </c>
      <c r="L17" s="115">
        <v>12</v>
      </c>
      <c r="M17" t="e" cm="1">
        <f t="array" aca="1" ref="M17" ca="1">ACF($C$7:$C$111,L17)</f>
        <v>#NAME?</v>
      </c>
      <c r="N17">
        <f t="shared" si="2"/>
        <v>7.0268636321487539E-3</v>
      </c>
    </row>
    <row r="18" spans="1:14" x14ac:dyDescent="0.35">
      <c r="A18">
        <f t="shared" si="0"/>
        <v>12</v>
      </c>
      <c r="B18">
        <v>1.3338509496353779E-2</v>
      </c>
      <c r="C18">
        <f t="shared" si="1"/>
        <v>10.173602244452049</v>
      </c>
      <c r="L18" s="115">
        <v>13</v>
      </c>
      <c r="M18" t="e" cm="1">
        <f t="array" aca="1" ref="M18" ca="1">ACF($C$7:$C$111,L18)</f>
        <v>#NAME?</v>
      </c>
      <c r="N18">
        <f t="shared" si="2"/>
        <v>4.9188045425041273E-3</v>
      </c>
    </row>
    <row r="19" spans="1:14" x14ac:dyDescent="0.35">
      <c r="A19">
        <f t="shared" si="0"/>
        <v>13</v>
      </c>
      <c r="B19">
        <v>0.70245593167564913</v>
      </c>
      <c r="C19">
        <f t="shared" si="1"/>
        <v>10.821309800892813</v>
      </c>
      <c r="L19" s="115">
        <v>14</v>
      </c>
      <c r="M19" t="e" cm="1">
        <f t="array" aca="1" ref="M19" ca="1">ACF($C$7:$C$111,L19)</f>
        <v>#NAME?</v>
      </c>
      <c r="N19">
        <f t="shared" si="2"/>
        <v>3.4431631797528887E-3</v>
      </c>
    </row>
    <row r="20" spans="1:14" x14ac:dyDescent="0.35">
      <c r="A20">
        <f t="shared" si="0"/>
        <v>14</v>
      </c>
      <c r="B20">
        <v>-0.35036242471588258</v>
      </c>
      <c r="C20">
        <f t="shared" si="1"/>
        <v>10.084063249573957</v>
      </c>
      <c r="L20" s="10">
        <v>15</v>
      </c>
      <c r="M20" s="4" t="e" cm="1">
        <f t="array" aca="1" ref="M20" ca="1">ACF($C$7:$C$111,L20)</f>
        <v>#NAME?</v>
      </c>
      <c r="N20" s="4">
        <f t="shared" si="2"/>
        <v>2.4102142258270219E-3</v>
      </c>
    </row>
    <row r="21" spans="1:14" x14ac:dyDescent="0.35">
      <c r="A21">
        <f t="shared" si="0"/>
        <v>15</v>
      </c>
      <c r="B21">
        <v>0.21713729591053152</v>
      </c>
      <c r="C21">
        <f t="shared" si="1"/>
        <v>10.346054055555477</v>
      </c>
    </row>
    <row r="22" spans="1:14" x14ac:dyDescent="0.35">
      <c r="A22">
        <f t="shared" si="0"/>
        <v>16</v>
      </c>
      <c r="B22">
        <v>-0.50660744040413153</v>
      </c>
      <c r="C22">
        <f t="shared" si="1"/>
        <v>9.6922029393025948</v>
      </c>
    </row>
    <row r="23" spans="1:14" x14ac:dyDescent="0.35">
      <c r="A23">
        <f t="shared" si="0"/>
        <v>17</v>
      </c>
      <c r="B23">
        <v>1.3197112250332261</v>
      </c>
      <c r="C23">
        <f t="shared" si="1"/>
        <v>11.205574770625867</v>
      </c>
    </row>
    <row r="24" spans="1:14" x14ac:dyDescent="0.35">
      <c r="A24">
        <f t="shared" si="0"/>
        <v>18</v>
      </c>
      <c r="B24">
        <v>2.0721563220833827</v>
      </c>
      <c r="C24">
        <f t="shared" si="1"/>
        <v>12.652116416514845</v>
      </c>
    </row>
    <row r="25" spans="1:14" x14ac:dyDescent="0.35">
      <c r="A25">
        <f t="shared" si="0"/>
        <v>19</v>
      </c>
      <c r="B25">
        <v>1.9642789414916844</v>
      </c>
      <c r="C25">
        <f t="shared" si="1"/>
        <v>13.406329168635398</v>
      </c>
    </row>
    <row r="26" spans="1:14" x14ac:dyDescent="0.35">
      <c r="A26">
        <f t="shared" si="0"/>
        <v>20</v>
      </c>
      <c r="B26">
        <v>0.23964330043753548</v>
      </c>
      <c r="C26">
        <f t="shared" si="1"/>
        <v>12.231217930183975</v>
      </c>
    </row>
    <row r="27" spans="1:14" x14ac:dyDescent="0.35">
      <c r="A27">
        <f t="shared" si="0"/>
        <v>21</v>
      </c>
      <c r="B27">
        <v>0.60305056491796249</v>
      </c>
      <c r="C27">
        <f t="shared" si="1"/>
        <v>12.116974455959237</v>
      </c>
    </row>
    <row r="28" spans="1:14" x14ac:dyDescent="0.35">
      <c r="A28">
        <f t="shared" si="0"/>
        <v>22</v>
      </c>
      <c r="B28">
        <v>-0.90138311182696351</v>
      </c>
      <c r="C28">
        <f t="shared" si="1"/>
        <v>10.45988889436091</v>
      </c>
    </row>
    <row r="29" spans="1:14" x14ac:dyDescent="0.35">
      <c r="A29">
        <f t="shared" si="0"/>
        <v>23</v>
      </c>
      <c r="B29">
        <v>-1.0557411773368031</v>
      </c>
      <c r="C29">
        <f t="shared" si="1"/>
        <v>9.4464576710812267</v>
      </c>
    </row>
    <row r="30" spans="1:14" x14ac:dyDescent="0.35">
      <c r="A30">
        <f t="shared" si="0"/>
        <v>24</v>
      </c>
      <c r="B30">
        <v>1.357361829570102</v>
      </c>
      <c r="C30">
        <f t="shared" si="1"/>
        <v>11.181030434794321</v>
      </c>
    </row>
    <row r="31" spans="1:14" x14ac:dyDescent="0.35">
      <c r="A31">
        <f t="shared" si="0"/>
        <v>25</v>
      </c>
      <c r="B31">
        <v>-2.969888722096329</v>
      </c>
      <c r="C31">
        <f t="shared" si="1"/>
        <v>7.5853602163456753</v>
      </c>
    </row>
    <row r="32" spans="1:14" x14ac:dyDescent="0.35">
      <c r="A32">
        <f t="shared" si="0"/>
        <v>26</v>
      </c>
      <c r="B32">
        <v>2.0748019655504284</v>
      </c>
      <c r="C32">
        <f t="shared" si="1"/>
        <v>10.978531861411668</v>
      </c>
    </row>
    <row r="33" spans="1:3" x14ac:dyDescent="0.35">
      <c r="A33">
        <f t="shared" si="0"/>
        <v>27</v>
      </c>
      <c r="B33">
        <v>0.28021329874765349</v>
      </c>
      <c r="C33">
        <f t="shared" si="1"/>
        <v>10.550225208625736</v>
      </c>
    </row>
    <row r="34" spans="1:3" x14ac:dyDescent="0.35">
      <c r="A34">
        <f t="shared" si="0"/>
        <v>28</v>
      </c>
      <c r="B34">
        <v>0.89834644475651204</v>
      </c>
      <c r="C34">
        <f t="shared" si="1"/>
        <v>11.227461431044995</v>
      </c>
    </row>
    <row r="35" spans="1:3" x14ac:dyDescent="0.35">
      <c r="A35">
        <f t="shared" si="0"/>
        <v>29</v>
      </c>
      <c r="B35">
        <v>-1.6033823872485062</v>
      </c>
      <c r="C35">
        <f t="shared" si="1"/>
        <v>9.0761713255316874</v>
      </c>
    </row>
    <row r="36" spans="1:3" x14ac:dyDescent="0.35">
      <c r="A36">
        <f t="shared" si="0"/>
        <v>30</v>
      </c>
      <c r="B36">
        <v>0.23549924558665486</v>
      </c>
      <c r="C36">
        <f t="shared" si="1"/>
        <v>9.9094956509085375</v>
      </c>
    </row>
    <row r="37" spans="1:3" x14ac:dyDescent="0.35">
      <c r="A37">
        <f t="shared" si="0"/>
        <v>31</v>
      </c>
      <c r="B37">
        <v>1.7940884644624944</v>
      </c>
      <c r="C37">
        <f t="shared" si="1"/>
        <v>11.683635570981139</v>
      </c>
    </row>
    <row r="38" spans="1:3" x14ac:dyDescent="0.35">
      <c r="A38">
        <f t="shared" si="0"/>
        <v>32</v>
      </c>
      <c r="B38">
        <v>-1.4306090977486423</v>
      </c>
      <c r="C38">
        <f t="shared" si="1"/>
        <v>9.3891181090456559</v>
      </c>
    </row>
    <row r="39" spans="1:3" x14ac:dyDescent="0.35">
      <c r="A39">
        <f t="shared" si="0"/>
        <v>33</v>
      </c>
      <c r="B39">
        <v>1.422462857081874</v>
      </c>
      <c r="C39">
        <f t="shared" si="1"/>
        <v>11.280967352963561</v>
      </c>
    </row>
    <row r="40" spans="1:3" x14ac:dyDescent="0.35">
      <c r="A40">
        <f t="shared" si="0"/>
        <v>34</v>
      </c>
      <c r="B40">
        <v>-1.5344845213207499</v>
      </c>
      <c r="C40">
        <f t="shared" si="1"/>
        <v>9.0777000543373685</v>
      </c>
    </row>
    <row r="41" spans="1:3" x14ac:dyDescent="0.35">
      <c r="A41">
        <f t="shared" si="0"/>
        <v>35</v>
      </c>
      <c r="B41">
        <v>-0.23943486259011701</v>
      </c>
      <c r="C41">
        <f t="shared" si="1"/>
        <v>9.4218520797101899</v>
      </c>
    </row>
    <row r="42" spans="1:3" x14ac:dyDescent="0.35">
      <c r="A42">
        <f t="shared" si="0"/>
        <v>36</v>
      </c>
      <c r="B42">
        <v>1.1254873384110666</v>
      </c>
      <c r="C42">
        <f t="shared" si="1"/>
        <v>10.768670766726222</v>
      </c>
    </row>
    <row r="43" spans="1:3" x14ac:dyDescent="0.35">
      <c r="A43">
        <f t="shared" si="0"/>
        <v>37</v>
      </c>
      <c r="B43">
        <v>-0.26828564280553124</v>
      </c>
      <c r="C43">
        <f t="shared" si="1"/>
        <v>10.044686426220611</v>
      </c>
    </row>
    <row r="44" spans="1:3" x14ac:dyDescent="0.35">
      <c r="A44">
        <f t="shared" si="0"/>
        <v>38</v>
      </c>
      <c r="B44">
        <v>-0.5822900860434399</v>
      </c>
      <c r="C44">
        <f t="shared" si="1"/>
        <v>9.5026475408720934</v>
      </c>
    </row>
    <row r="45" spans="1:3" x14ac:dyDescent="0.35">
      <c r="A45">
        <f t="shared" si="0"/>
        <v>39</v>
      </c>
      <c r="B45">
        <v>2.2483238493907369</v>
      </c>
      <c r="C45">
        <f t="shared" si="1"/>
        <v>12.016635145209889</v>
      </c>
    </row>
    <row r="46" spans="1:3" x14ac:dyDescent="0.35">
      <c r="A46">
        <f t="shared" si="0"/>
        <v>40</v>
      </c>
      <c r="B46">
        <v>-1.3543974073052196</v>
      </c>
      <c r="C46">
        <f t="shared" si="1"/>
        <v>9.6075824244635548</v>
      </c>
    </row>
    <row r="47" spans="1:3" x14ac:dyDescent="0.35">
      <c r="A47">
        <f t="shared" si="0"/>
        <v>41</v>
      </c>
      <c r="B47">
        <v>0.48261152802448637</v>
      </c>
      <c r="C47">
        <f t="shared" si="1"/>
        <v>10.47879870661002</v>
      </c>
    </row>
    <row r="48" spans="1:3" x14ac:dyDescent="0.35">
      <c r="A48">
        <f t="shared" si="0"/>
        <v>42</v>
      </c>
      <c r="B48">
        <v>-0.10749079290397744</v>
      </c>
      <c r="C48">
        <f t="shared" si="1"/>
        <v>10.131145996118137</v>
      </c>
    </row>
    <row r="49" spans="1:3" x14ac:dyDescent="0.35">
      <c r="A49">
        <f t="shared" si="0"/>
        <v>43</v>
      </c>
      <c r="B49">
        <v>-0.80304736276954691</v>
      </c>
      <c r="C49">
        <f t="shared" si="1"/>
        <v>9.3102529930939451</v>
      </c>
    </row>
    <row r="50" spans="1:3" x14ac:dyDescent="0.35">
      <c r="A50">
        <f t="shared" si="0"/>
        <v>44</v>
      </c>
      <c r="B50">
        <v>0.2754508892602448</v>
      </c>
      <c r="C50">
        <f t="shared" si="1"/>
        <v>9.9532374569799149</v>
      </c>
    </row>
    <row r="51" spans="1:3" x14ac:dyDescent="0.35">
      <c r="A51">
        <f t="shared" si="0"/>
        <v>45</v>
      </c>
      <c r="B51">
        <v>1.9906931995671073E-2</v>
      </c>
      <c r="C51">
        <f t="shared" si="1"/>
        <v>9.9320829740295604</v>
      </c>
    </row>
    <row r="52" spans="1:3" x14ac:dyDescent="0.35">
      <c r="A52">
        <f t="shared" si="0"/>
        <v>46</v>
      </c>
      <c r="B52">
        <v>1.686625284067059</v>
      </c>
      <c r="C52">
        <f t="shared" si="1"/>
        <v>11.635101979488615</v>
      </c>
    </row>
    <row r="53" spans="1:3" x14ac:dyDescent="0.35">
      <c r="A53">
        <f t="shared" si="0"/>
        <v>47</v>
      </c>
      <c r="B53">
        <v>-0.37900350643042602</v>
      </c>
      <c r="C53">
        <f t="shared" si="1"/>
        <v>10.428242822398191</v>
      </c>
    </row>
    <row r="54" spans="1:3" x14ac:dyDescent="0.35">
      <c r="A54">
        <f t="shared" si="0"/>
        <v>48</v>
      </c>
      <c r="B54">
        <v>-0.68133999121505795</v>
      </c>
      <c r="C54">
        <f t="shared" si="1"/>
        <v>9.6942306857497602</v>
      </c>
    </row>
    <row r="55" spans="1:3" x14ac:dyDescent="0.35">
      <c r="A55">
        <f t="shared" si="0"/>
        <v>49</v>
      </c>
      <c r="B55">
        <v>0.24680727410891506</v>
      </c>
      <c r="C55">
        <f t="shared" si="1"/>
        <v>10.169036752376758</v>
      </c>
    </row>
    <row r="56" spans="1:3" x14ac:dyDescent="0.35">
      <c r="A56">
        <f t="shared" si="0"/>
        <v>50</v>
      </c>
      <c r="B56">
        <v>0.4176914407480673</v>
      </c>
      <c r="C56">
        <f t="shared" si="1"/>
        <v>10.486655712590014</v>
      </c>
    </row>
    <row r="57" spans="1:3" x14ac:dyDescent="0.35">
      <c r="A57">
        <f t="shared" si="0"/>
        <v>51</v>
      </c>
      <c r="B57">
        <v>0.39902892938942136</v>
      </c>
      <c r="C57">
        <f t="shared" si="1"/>
        <v>10.656149640052817</v>
      </c>
    </row>
    <row r="58" spans="1:3" x14ac:dyDescent="0.35">
      <c r="A58">
        <f t="shared" si="0"/>
        <v>52</v>
      </c>
      <c r="B58">
        <v>-0.25018139554307461</v>
      </c>
      <c r="C58">
        <f t="shared" si="1"/>
        <v>10.129317566616011</v>
      </c>
    </row>
    <row r="59" spans="1:3" x14ac:dyDescent="0.35">
      <c r="A59">
        <f t="shared" si="0"/>
        <v>53</v>
      </c>
      <c r="B59">
        <v>-1.1742528233216154</v>
      </c>
      <c r="C59">
        <f t="shared" si="1"/>
        <v>8.9663057524182062</v>
      </c>
    </row>
    <row r="60" spans="1:3" x14ac:dyDescent="0.35">
      <c r="A60">
        <f t="shared" si="0"/>
        <v>54</v>
      </c>
      <c r="B60">
        <v>-1.4045131523645842</v>
      </c>
      <c r="C60">
        <f t="shared" si="1"/>
        <v>8.1067514389924824</v>
      </c>
    </row>
    <row r="61" spans="1:3" x14ac:dyDescent="0.35">
      <c r="A61">
        <f t="shared" si="0"/>
        <v>55</v>
      </c>
      <c r="B61">
        <v>-0.28172987991615117</v>
      </c>
      <c r="C61">
        <f t="shared" si="1"/>
        <v>8.6738987578515037</v>
      </c>
    </row>
    <row r="62" spans="1:3" x14ac:dyDescent="0.35">
      <c r="A62">
        <f t="shared" si="0"/>
        <v>56</v>
      </c>
      <c r="B62">
        <v>-0.38821298272001864</v>
      </c>
      <c r="C62">
        <f t="shared" si="1"/>
        <v>8.7398621237592646</v>
      </c>
    </row>
    <row r="63" spans="1:3" x14ac:dyDescent="0.35">
      <c r="A63">
        <f t="shared" si="0"/>
        <v>57</v>
      </c>
      <c r="B63">
        <v>-0.43156998564742921</v>
      </c>
      <c r="C63">
        <f t="shared" si="1"/>
        <v>8.7639760975280581</v>
      </c>
    </row>
    <row r="64" spans="1:3" x14ac:dyDescent="0.35">
      <c r="A64">
        <f t="shared" si="0"/>
        <v>58</v>
      </c>
      <c r="B64">
        <v>1.386535004851783</v>
      </c>
      <c r="C64">
        <f t="shared" si="1"/>
        <v>10.607632270250908</v>
      </c>
    </row>
    <row r="65" spans="1:3" x14ac:dyDescent="0.35">
      <c r="A65">
        <f t="shared" si="0"/>
        <v>59</v>
      </c>
      <c r="B65">
        <v>-1.3017512220934879</v>
      </c>
      <c r="C65">
        <f t="shared" si="1"/>
        <v>8.8462843661117905</v>
      </c>
    </row>
    <row r="66" spans="1:3" x14ac:dyDescent="0.35">
      <c r="A66">
        <f t="shared" si="0"/>
        <v>60</v>
      </c>
      <c r="B66">
        <v>-1.2553188286181356</v>
      </c>
      <c r="C66">
        <f t="shared" si="1"/>
        <v>8.197430472078814</v>
      </c>
    </row>
    <row r="67" spans="1:3" x14ac:dyDescent="0.35">
      <c r="A67">
        <f t="shared" si="0"/>
        <v>61</v>
      </c>
      <c r="B67">
        <v>0.71120271461460161</v>
      </c>
      <c r="C67">
        <f t="shared" si="1"/>
        <v>9.7004678107933984</v>
      </c>
    </row>
    <row r="68" spans="1:3" x14ac:dyDescent="0.35">
      <c r="A68">
        <f t="shared" si="0"/>
        <v>62</v>
      </c>
      <c r="B68">
        <v>-0.14927846160621394</v>
      </c>
      <c r="C68">
        <f t="shared" si="1"/>
        <v>9.4988084630262453</v>
      </c>
    </row>
    <row r="69" spans="1:3" x14ac:dyDescent="0.35">
      <c r="A69">
        <f t="shared" si="0"/>
        <v>63</v>
      </c>
      <c r="B69">
        <v>2.1364162498976984E-2</v>
      </c>
      <c r="C69">
        <f t="shared" si="1"/>
        <v>9.7003857789385908</v>
      </c>
    </row>
    <row r="70" spans="1:3" x14ac:dyDescent="0.35">
      <c r="A70">
        <f t="shared" si="0"/>
        <v>64</v>
      </c>
      <c r="B70">
        <v>3.3630781181214632E-2</v>
      </c>
      <c r="C70">
        <f t="shared" si="1"/>
        <v>9.8196279939384326</v>
      </c>
    </row>
    <row r="71" spans="1:3" x14ac:dyDescent="0.35">
      <c r="A71">
        <f t="shared" si="0"/>
        <v>65</v>
      </c>
      <c r="B71">
        <v>2.4900321457140446</v>
      </c>
      <c r="C71">
        <f t="shared" si="1"/>
        <v>12.357045585234705</v>
      </c>
    </row>
    <row r="72" spans="1:3" x14ac:dyDescent="0.35">
      <c r="A72">
        <f t="shared" ref="A72:A111" si="3">A71+1</f>
        <v>66</v>
      </c>
      <c r="B72">
        <v>-0.22832106642044353</v>
      </c>
      <c r="C72">
        <f t="shared" ref="C72:C111" si="4">3+0.7*C71+B72-0.2*B71</f>
        <v>10.923604414101041</v>
      </c>
    </row>
    <row r="73" spans="1:3" x14ac:dyDescent="0.35">
      <c r="A73">
        <f t="shared" si="3"/>
        <v>67</v>
      </c>
      <c r="B73">
        <v>-0.99142145654823743</v>
      </c>
      <c r="C73">
        <f t="shared" si="4"/>
        <v>9.7007658466065791</v>
      </c>
    </row>
    <row r="74" spans="1:3" x14ac:dyDescent="0.35">
      <c r="A74">
        <f t="shared" si="3"/>
        <v>68</v>
      </c>
      <c r="B74">
        <v>0.28534068077982988</v>
      </c>
      <c r="C74">
        <f t="shared" si="4"/>
        <v>10.274161064714084</v>
      </c>
    </row>
    <row r="75" spans="1:3" x14ac:dyDescent="0.35">
      <c r="A75">
        <f t="shared" si="3"/>
        <v>69</v>
      </c>
      <c r="B75">
        <v>-0.37876373558789145</v>
      </c>
      <c r="C75">
        <f t="shared" si="4"/>
        <v>9.7560808735560016</v>
      </c>
    </row>
    <row r="76" spans="1:3" x14ac:dyDescent="0.35">
      <c r="A76">
        <f t="shared" si="3"/>
        <v>70</v>
      </c>
      <c r="B76">
        <v>-0.61727751655520191</v>
      </c>
      <c r="C76">
        <f t="shared" si="4"/>
        <v>9.287731842051576</v>
      </c>
    </row>
    <row r="77" spans="1:3" x14ac:dyDescent="0.35">
      <c r="A77">
        <f t="shared" si="3"/>
        <v>71</v>
      </c>
      <c r="B77">
        <v>-0.83006009584137008</v>
      </c>
      <c r="C77">
        <f t="shared" si="4"/>
        <v>8.7948076969057745</v>
      </c>
    </row>
    <row r="78" spans="1:3" x14ac:dyDescent="0.35">
      <c r="A78">
        <f t="shared" si="3"/>
        <v>72</v>
      </c>
      <c r="B78">
        <v>0.6297885382553351</v>
      </c>
      <c r="C78">
        <f t="shared" si="4"/>
        <v>9.9521659452576507</v>
      </c>
    </row>
    <row r="79" spans="1:3" x14ac:dyDescent="0.35">
      <c r="A79">
        <f t="shared" si="3"/>
        <v>73</v>
      </c>
      <c r="B79">
        <v>-0.694040660745746</v>
      </c>
      <c r="C79">
        <f t="shared" si="4"/>
        <v>9.1465177932835431</v>
      </c>
    </row>
    <row r="80" spans="1:3" x14ac:dyDescent="0.35">
      <c r="A80">
        <f t="shared" si="3"/>
        <v>74</v>
      </c>
      <c r="B80">
        <v>-1.1292977646381548</v>
      </c>
      <c r="C80">
        <f t="shared" si="4"/>
        <v>8.4120728228094741</v>
      </c>
    </row>
    <row r="81" spans="1:3" x14ac:dyDescent="0.35">
      <c r="A81">
        <f t="shared" si="3"/>
        <v>75</v>
      </c>
      <c r="B81">
        <v>0.6095368117304879</v>
      </c>
      <c r="C81">
        <f t="shared" si="4"/>
        <v>9.723847340624749</v>
      </c>
    </row>
    <row r="82" spans="1:3" x14ac:dyDescent="0.35">
      <c r="A82">
        <f t="shared" si="3"/>
        <v>76</v>
      </c>
      <c r="B82">
        <v>-1.2359970227306327</v>
      </c>
      <c r="C82">
        <f t="shared" si="4"/>
        <v>8.4487887533605939</v>
      </c>
    </row>
    <row r="83" spans="1:3" x14ac:dyDescent="0.35">
      <c r="A83">
        <f t="shared" si="3"/>
        <v>77</v>
      </c>
      <c r="B83">
        <v>0.14781809608735161</v>
      </c>
      <c r="C83">
        <f t="shared" si="4"/>
        <v>9.3091696279858951</v>
      </c>
    </row>
    <row r="84" spans="1:3" x14ac:dyDescent="0.35">
      <c r="A84">
        <f t="shared" si="3"/>
        <v>78</v>
      </c>
      <c r="B84">
        <v>0.14223995185972241</v>
      </c>
      <c r="C84">
        <f t="shared" si="4"/>
        <v>9.6290950722323778</v>
      </c>
    </row>
    <row r="85" spans="1:3" x14ac:dyDescent="0.35">
      <c r="A85">
        <f t="shared" si="3"/>
        <v>79</v>
      </c>
      <c r="B85">
        <v>0.78683578193082926</v>
      </c>
      <c r="C85">
        <f t="shared" si="4"/>
        <v>10.498754342121549</v>
      </c>
    </row>
    <row r="86" spans="1:3" x14ac:dyDescent="0.35">
      <c r="A86">
        <f t="shared" si="3"/>
        <v>80</v>
      </c>
      <c r="B86">
        <v>-2.0572048484731567</v>
      </c>
      <c r="C86">
        <f t="shared" si="4"/>
        <v>8.1345560346257617</v>
      </c>
    </row>
    <row r="87" spans="1:3" x14ac:dyDescent="0.35">
      <c r="A87">
        <f t="shared" si="3"/>
        <v>81</v>
      </c>
      <c r="B87">
        <v>4.9553368430570136E-2</v>
      </c>
      <c r="C87">
        <f t="shared" si="4"/>
        <v>9.155183562363236</v>
      </c>
    </row>
    <row r="88" spans="1:3" x14ac:dyDescent="0.35">
      <c r="A88">
        <f t="shared" si="3"/>
        <v>82</v>
      </c>
      <c r="B88">
        <v>-1.4066323798943021</v>
      </c>
      <c r="C88">
        <f t="shared" si="4"/>
        <v>7.9920854400738497</v>
      </c>
    </row>
    <row r="89" spans="1:3" x14ac:dyDescent="0.35">
      <c r="A89">
        <f t="shared" si="3"/>
        <v>83</v>
      </c>
      <c r="B89">
        <v>1.5637407126388045</v>
      </c>
      <c r="C89">
        <f t="shared" si="4"/>
        <v>10.439526996669359</v>
      </c>
    </row>
    <row r="90" spans="1:3" x14ac:dyDescent="0.35">
      <c r="A90">
        <f t="shared" si="3"/>
        <v>84</v>
      </c>
      <c r="B90">
        <v>1.1803319732811373</v>
      </c>
      <c r="C90">
        <f t="shared" si="4"/>
        <v>11.175252728421926</v>
      </c>
    </row>
    <row r="91" spans="1:3" x14ac:dyDescent="0.35">
      <c r="A91">
        <f t="shared" si="3"/>
        <v>85</v>
      </c>
      <c r="B91">
        <v>-0.66510702617564998</v>
      </c>
      <c r="C91">
        <f t="shared" si="4"/>
        <v>9.9215034890634719</v>
      </c>
    </row>
    <row r="92" spans="1:3" x14ac:dyDescent="0.35">
      <c r="A92">
        <f t="shared" si="3"/>
        <v>86</v>
      </c>
      <c r="B92">
        <v>0.57494501634557904</v>
      </c>
      <c r="C92">
        <f t="shared" si="4"/>
        <v>10.653018863925139</v>
      </c>
    </row>
    <row r="93" spans="1:3" x14ac:dyDescent="0.35">
      <c r="A93">
        <f t="shared" si="3"/>
        <v>87</v>
      </c>
      <c r="B93">
        <v>-4.1159165518735157E-2</v>
      </c>
      <c r="C93">
        <f t="shared" si="4"/>
        <v>10.300965035959745</v>
      </c>
    </row>
    <row r="94" spans="1:3" x14ac:dyDescent="0.35">
      <c r="A94">
        <f t="shared" si="3"/>
        <v>88</v>
      </c>
      <c r="B94">
        <v>-0.89619571623511651</v>
      </c>
      <c r="C94">
        <f t="shared" si="4"/>
        <v>9.322711642040451</v>
      </c>
    </row>
    <row r="95" spans="1:3" x14ac:dyDescent="0.35">
      <c r="A95">
        <f t="shared" si="3"/>
        <v>89</v>
      </c>
      <c r="B95">
        <v>1.503359605306662</v>
      </c>
      <c r="C95">
        <f t="shared" si="4"/>
        <v>11.208496897982</v>
      </c>
    </row>
    <row r="96" spans="1:3" x14ac:dyDescent="0.35">
      <c r="A96">
        <f t="shared" si="3"/>
        <v>90</v>
      </c>
      <c r="B96">
        <v>-0.71156365631100782</v>
      </c>
      <c r="C96">
        <f t="shared" si="4"/>
        <v>9.8337122512150579</v>
      </c>
    </row>
    <row r="97" spans="1:3" x14ac:dyDescent="0.35">
      <c r="A97">
        <f t="shared" si="3"/>
        <v>91</v>
      </c>
      <c r="B97">
        <v>0.98331759725438295</v>
      </c>
      <c r="C97">
        <f t="shared" si="4"/>
        <v>11.009228904367124</v>
      </c>
    </row>
    <row r="98" spans="1:3" x14ac:dyDescent="0.35">
      <c r="A98">
        <f t="shared" si="3"/>
        <v>92</v>
      </c>
      <c r="B98">
        <v>-0.83758504934694755</v>
      </c>
      <c r="C98">
        <f t="shared" si="4"/>
        <v>9.672211664259164</v>
      </c>
    </row>
    <row r="99" spans="1:3" x14ac:dyDescent="0.35">
      <c r="A99">
        <f t="shared" si="3"/>
        <v>93</v>
      </c>
      <c r="B99">
        <v>-1.9160100094245356</v>
      </c>
      <c r="C99">
        <f t="shared" si="4"/>
        <v>8.0220551654262664</v>
      </c>
    </row>
    <row r="100" spans="1:3" x14ac:dyDescent="0.35">
      <c r="A100">
        <f t="shared" si="3"/>
        <v>94</v>
      </c>
      <c r="B100">
        <v>0.10151986902498664</v>
      </c>
      <c r="C100">
        <f t="shared" si="4"/>
        <v>9.1001604867082797</v>
      </c>
    </row>
    <row r="101" spans="1:3" x14ac:dyDescent="0.35">
      <c r="A101">
        <f t="shared" si="3"/>
        <v>95</v>
      </c>
      <c r="B101">
        <v>0.94375520294114768</v>
      </c>
      <c r="C101">
        <f t="shared" si="4"/>
        <v>10.293563569831946</v>
      </c>
    </row>
    <row r="102" spans="1:3" x14ac:dyDescent="0.35">
      <c r="A102">
        <f t="shared" si="3"/>
        <v>96</v>
      </c>
      <c r="B102">
        <v>0.85739443406232374</v>
      </c>
      <c r="C102">
        <f t="shared" si="4"/>
        <v>10.874137892356456</v>
      </c>
    </row>
    <row r="103" spans="1:3" x14ac:dyDescent="0.35">
      <c r="A103">
        <f t="shared" si="3"/>
        <v>97</v>
      </c>
      <c r="B103">
        <v>0.60817129254501401</v>
      </c>
      <c r="C103">
        <f t="shared" si="4"/>
        <v>11.048588930382071</v>
      </c>
    </row>
    <row r="104" spans="1:3" x14ac:dyDescent="0.35">
      <c r="A104">
        <f t="shared" si="3"/>
        <v>98</v>
      </c>
      <c r="B104">
        <v>-0.23527438435259732</v>
      </c>
      <c r="C104">
        <f t="shared" si="4"/>
        <v>10.377103608405847</v>
      </c>
    </row>
    <row r="105" spans="1:3" x14ac:dyDescent="0.35">
      <c r="A105">
        <f t="shared" si="3"/>
        <v>99</v>
      </c>
      <c r="B105">
        <v>0.78970600372079702</v>
      </c>
      <c r="C105">
        <f t="shared" si="4"/>
        <v>11.10073340647541</v>
      </c>
    </row>
    <row r="106" spans="1:3" x14ac:dyDescent="0.35">
      <c r="A106">
        <f t="shared" si="3"/>
        <v>100</v>
      </c>
      <c r="B106">
        <v>-1.0561154940171853</v>
      </c>
      <c r="C106">
        <f t="shared" si="4"/>
        <v>9.5564566897714425</v>
      </c>
    </row>
    <row r="107" spans="1:3" x14ac:dyDescent="0.35">
      <c r="A107">
        <f t="shared" si="3"/>
        <v>101</v>
      </c>
      <c r="B107">
        <v>0.22586923055446753</v>
      </c>
      <c r="C107">
        <f t="shared" si="4"/>
        <v>10.126612012197914</v>
      </c>
    </row>
    <row r="108" spans="1:3" x14ac:dyDescent="0.35">
      <c r="A108">
        <f t="shared" si="3"/>
        <v>102</v>
      </c>
      <c r="B108">
        <v>0.57520223729110798</v>
      </c>
      <c r="C108">
        <f t="shared" si="4"/>
        <v>10.618656799718755</v>
      </c>
    </row>
    <row r="109" spans="1:3" x14ac:dyDescent="0.35">
      <c r="A109">
        <f t="shared" si="3"/>
        <v>103</v>
      </c>
      <c r="B109">
        <v>1.051358335168767</v>
      </c>
      <c r="C109">
        <f t="shared" si="4"/>
        <v>11.369377647513675</v>
      </c>
    </row>
    <row r="110" spans="1:3" x14ac:dyDescent="0.35">
      <c r="A110">
        <f t="shared" si="3"/>
        <v>104</v>
      </c>
      <c r="B110">
        <v>1.3149534009556497E-2</v>
      </c>
      <c r="C110">
        <f t="shared" si="4"/>
        <v>10.761442220235375</v>
      </c>
    </row>
    <row r="111" spans="1:3" x14ac:dyDescent="0.35">
      <c r="A111">
        <f t="shared" si="3"/>
        <v>105</v>
      </c>
      <c r="B111" s="4">
        <v>1.4243854081201066</v>
      </c>
      <c r="C111" s="4">
        <f t="shared" si="4"/>
        <v>11.954765055482959</v>
      </c>
    </row>
    <row r="113" spans="2:2" x14ac:dyDescent="0.35">
      <c r="B113" s="20" t="s">
        <v>226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40"/>
  <dimension ref="A1:T113"/>
  <sheetViews>
    <sheetView workbookViewId="0"/>
  </sheetViews>
  <sheetFormatPr defaultRowHeight="14.5" x14ac:dyDescent="0.35"/>
  <cols>
    <col min="1" max="1" width="4.81640625" customWidth="1"/>
    <col min="5" max="5" width="6.7265625" style="113" customWidth="1"/>
    <col min="8" max="8" width="5" customWidth="1"/>
    <col min="10" max="11" width="9.7265625" customWidth="1"/>
  </cols>
  <sheetData>
    <row r="1" spans="1:20" x14ac:dyDescent="0.35">
      <c r="A1" s="7" t="s">
        <v>224</v>
      </c>
    </row>
    <row r="2" spans="1:20" s="72" customFormat="1" x14ac:dyDescent="0.35">
      <c r="E2" s="73"/>
    </row>
    <row r="3" spans="1:20" s="72" customFormat="1" ht="15" customHeight="1" x14ac:dyDescent="0.35">
      <c r="A3" s="72" t="s">
        <v>387</v>
      </c>
      <c r="E3" s="73"/>
    </row>
    <row r="4" spans="1:20" s="72" customFormat="1" x14ac:dyDescent="0.35">
      <c r="E4" s="73"/>
    </row>
    <row r="5" spans="1:20" x14ac:dyDescent="0.35">
      <c r="B5" s="112" t="s">
        <v>107</v>
      </c>
      <c r="C5" s="112" t="s">
        <v>110</v>
      </c>
      <c r="E5" s="37" t="s">
        <v>353</v>
      </c>
      <c r="I5" t="s">
        <v>355</v>
      </c>
      <c r="M5" t="s">
        <v>240</v>
      </c>
    </row>
    <row r="6" spans="1:20" ht="15" thickBot="1" x14ac:dyDescent="0.4">
      <c r="B6" s="113"/>
      <c r="C6" s="113"/>
    </row>
    <row r="7" spans="1:20" ht="15.5" thickTop="1" thickBot="1" x14ac:dyDescent="0.4">
      <c r="A7">
        <v>1</v>
      </c>
      <c r="B7">
        <v>0.11767564756553417</v>
      </c>
      <c r="C7">
        <f>0.7*C6+B7-0.2*B6</f>
        <v>0.11767564756553417</v>
      </c>
      <c r="E7" s="45" t="s">
        <v>291</v>
      </c>
      <c r="F7" s="45" t="s">
        <v>194</v>
      </c>
      <c r="G7" s="45" t="s">
        <v>354</v>
      </c>
      <c r="I7" s="45" t="s">
        <v>356</v>
      </c>
      <c r="J7" s="45" t="s">
        <v>357</v>
      </c>
      <c r="K7" s="45" t="s">
        <v>358</v>
      </c>
      <c r="M7" t="s">
        <v>241</v>
      </c>
      <c r="P7" t="s">
        <v>156</v>
      </c>
      <c r="Q7">
        <v>0.05</v>
      </c>
    </row>
    <row r="8" spans="1:20" ht="15" thickTop="1" x14ac:dyDescent="0.35">
      <c r="A8">
        <f t="shared" ref="A8:A71" si="0">A7+1</f>
        <v>2</v>
      </c>
      <c r="B8">
        <v>0.64941326201616068</v>
      </c>
      <c r="C8">
        <f t="shared" ref="C8:C71" si="1">0.7*C7+B8-0.2*B7</f>
        <v>0.7082510857989277</v>
      </c>
      <c r="E8" s="113">
        <v>1</v>
      </c>
      <c r="F8">
        <f>C7</f>
        <v>0.11767564756553417</v>
      </c>
      <c r="G8">
        <v>0</v>
      </c>
      <c r="I8" s="117">
        <v>1</v>
      </c>
      <c r="J8" s="104">
        <v>0.68675413947681185</v>
      </c>
      <c r="K8" s="104">
        <v>-0.40305038477810939</v>
      </c>
      <c r="M8" s="45" t="s">
        <v>147</v>
      </c>
      <c r="N8" s="45" t="s">
        <v>143</v>
      </c>
      <c r="O8" s="45" t="s">
        <v>152</v>
      </c>
      <c r="P8" s="45" t="s">
        <v>242</v>
      </c>
      <c r="Q8" s="45" t="s">
        <v>3</v>
      </c>
      <c r="R8" s="45" t="s">
        <v>88</v>
      </c>
      <c r="S8" s="45" t="s">
        <v>243</v>
      </c>
      <c r="T8" s="45" t="s">
        <v>244</v>
      </c>
    </row>
    <row r="9" spans="1:20" x14ac:dyDescent="0.35">
      <c r="A9">
        <f t="shared" si="0"/>
        <v>3</v>
      </c>
      <c r="B9">
        <v>-2.0291245092742414</v>
      </c>
      <c r="C9">
        <f t="shared" si="1"/>
        <v>-1.6632314016182241</v>
      </c>
      <c r="E9" s="113">
        <f>E8+1</f>
        <v>2</v>
      </c>
      <c r="F9">
        <f t="shared" ref="F9:F72" si="2">C8</f>
        <v>0.7082510857989277</v>
      </c>
      <c r="G9">
        <f>F9-SUMPRODUCT(F8,J$8)-SUMPRODUCT(G8,K$8)</f>
        <v>0.62743684771768271</v>
      </c>
      <c r="M9">
        <f>COUNT(C7:C111)</f>
        <v>105</v>
      </c>
      <c r="N9">
        <f>AVERAGE(C7:C111)</f>
        <v>7.7419029845169837E-2</v>
      </c>
      <c r="O9">
        <f>STDEV(C7:C111)</f>
        <v>1.0979543615699126</v>
      </c>
      <c r="P9">
        <f>O9/SQRT(M9)</f>
        <v>0.10714937415502379</v>
      </c>
      <c r="Q9">
        <f>(N9-Q11)/P9</f>
        <v>0.72253366345528003</v>
      </c>
      <c r="R9">
        <f>M9-1</f>
        <v>104</v>
      </c>
      <c r="S9">
        <f>ABS(N9-Q11)/O9</f>
        <v>7.0512065487377873E-2</v>
      </c>
      <c r="T9">
        <f>SQRT(Q9^2/(Q9^2+R9))</f>
        <v>7.0673095896855553E-2</v>
      </c>
    </row>
    <row r="10" spans="1:20" x14ac:dyDescent="0.35">
      <c r="A10">
        <f t="shared" si="0"/>
        <v>4</v>
      </c>
      <c r="B10">
        <v>-0.72108843846184933</v>
      </c>
      <c r="C10">
        <f t="shared" si="1"/>
        <v>-1.4795255177397577</v>
      </c>
      <c r="E10" s="113">
        <f t="shared" ref="E10:E73" si="3">E9+1</f>
        <v>3</v>
      </c>
      <c r="F10">
        <f t="shared" si="2"/>
        <v>-1.6632314016182241</v>
      </c>
      <c r="G10">
        <f t="shared" ref="G10:G73" si="4">F10-SUMPRODUCT(F9,J$8)-SUMPRODUCT(G9,K$8)</f>
        <v>-1.8967371036830081</v>
      </c>
      <c r="M10" s="59"/>
      <c r="N10" s="59"/>
      <c r="O10" s="59"/>
      <c r="P10" s="59"/>
      <c r="Q10" s="59"/>
      <c r="R10" s="59"/>
      <c r="S10" s="59"/>
      <c r="T10" s="59"/>
    </row>
    <row r="11" spans="1:20" ht="15" thickBot="1" x14ac:dyDescent="0.4">
      <c r="A11">
        <f t="shared" si="0"/>
        <v>5</v>
      </c>
      <c r="B11">
        <v>0.70747648649116823</v>
      </c>
      <c r="C11">
        <f t="shared" si="1"/>
        <v>-0.18397368823429228</v>
      </c>
      <c r="E11" s="113">
        <f t="shared" si="3"/>
        <v>4</v>
      </c>
      <c r="F11">
        <f t="shared" si="2"/>
        <v>-1.4795255177397577</v>
      </c>
      <c r="G11">
        <f t="shared" si="4"/>
        <v>-1.1017750872329755</v>
      </c>
      <c r="J11" t="s">
        <v>121</v>
      </c>
      <c r="K11" s="49">
        <f>SUMSQ(G9:G112)</f>
        <v>110.19883670073577</v>
      </c>
      <c r="M11" t="s">
        <v>245</v>
      </c>
      <c r="P11" t="s">
        <v>246</v>
      </c>
      <c r="Q11">
        <v>0</v>
      </c>
    </row>
    <row r="12" spans="1:20" ht="15" thickTop="1" x14ac:dyDescent="0.35">
      <c r="A12">
        <f t="shared" si="0"/>
        <v>6</v>
      </c>
      <c r="B12">
        <v>0.79163430570821358</v>
      </c>
      <c r="C12">
        <f t="shared" si="1"/>
        <v>0.5213574266459754</v>
      </c>
      <c r="E12" s="113">
        <f t="shared" si="3"/>
        <v>5</v>
      </c>
      <c r="F12">
        <f t="shared" si="2"/>
        <v>-0.18397368823429228</v>
      </c>
      <c r="G12">
        <f t="shared" si="4"/>
        <v>0.3880257126868738</v>
      </c>
      <c r="M12" s="45" t="s">
        <v>247</v>
      </c>
      <c r="N12" s="45" t="s">
        <v>92</v>
      </c>
      <c r="O12" s="45" t="s">
        <v>248</v>
      </c>
      <c r="P12" s="45" t="s">
        <v>127</v>
      </c>
      <c r="Q12" s="45" t="s">
        <v>128</v>
      </c>
      <c r="R12" s="45" t="s">
        <v>84</v>
      </c>
    </row>
    <row r="13" spans="1:20" x14ac:dyDescent="0.35">
      <c r="A13">
        <f t="shared" si="0"/>
        <v>7</v>
      </c>
      <c r="B13">
        <v>-0.23542965362337992</v>
      </c>
      <c r="C13">
        <f t="shared" si="1"/>
        <v>-2.8806316112839903E-2</v>
      </c>
      <c r="E13" s="113">
        <f t="shared" si="3"/>
        <v>6</v>
      </c>
      <c r="F13">
        <f t="shared" si="2"/>
        <v>0.5213574266459754</v>
      </c>
      <c r="G13">
        <f t="shared" si="4"/>
        <v>0.80409603139793662</v>
      </c>
      <c r="M13" t="s">
        <v>249</v>
      </c>
      <c r="N13">
        <f>TDIST(ABS(Q9),R9,1)</f>
        <v>0.23579404325160014</v>
      </c>
      <c r="O13">
        <f>TINV(Q7*2,R9)</f>
        <v>1.6596374367292375</v>
      </c>
      <c r="R13" s="115" t="str">
        <f>IF(N13&lt;Q7,"yes","no")</f>
        <v>no</v>
      </c>
    </row>
    <row r="14" spans="1:20" x14ac:dyDescent="0.35">
      <c r="A14">
        <f t="shared" si="0"/>
        <v>8</v>
      </c>
      <c r="B14">
        <v>-1.3489481281427076</v>
      </c>
      <c r="C14">
        <f t="shared" si="1"/>
        <v>-1.3220266186970195</v>
      </c>
      <c r="E14" s="113">
        <f t="shared" si="3"/>
        <v>7</v>
      </c>
      <c r="F14">
        <f t="shared" si="2"/>
        <v>-2.8806316112839903E-2</v>
      </c>
      <c r="G14">
        <f t="shared" si="4"/>
        <v>-6.2759472155452745E-2</v>
      </c>
      <c r="M14" t="s">
        <v>250</v>
      </c>
      <c r="N14">
        <f>TDIST(ABS(Q9),R9,2)</f>
        <v>0.47158808650320028</v>
      </c>
      <c r="O14">
        <f>TINV(Q7,R9)</f>
        <v>1.9830375264837292</v>
      </c>
      <c r="P14">
        <f>N9-O14*P9</f>
        <v>-0.13506220004348818</v>
      </c>
      <c r="Q14">
        <f>N9+O14*P9</f>
        <v>0.28990025973382783</v>
      </c>
      <c r="R14" s="115" t="str">
        <f>IF(N14&lt;Q7,"yes","no")</f>
        <v>no</v>
      </c>
    </row>
    <row r="15" spans="1:20" x14ac:dyDescent="0.35">
      <c r="A15">
        <f t="shared" si="0"/>
        <v>9</v>
      </c>
      <c r="B15">
        <v>1.2055841066323034</v>
      </c>
      <c r="C15">
        <f t="shared" si="1"/>
        <v>0.54995509917293139</v>
      </c>
      <c r="E15" s="113">
        <f t="shared" si="3"/>
        <v>8</v>
      </c>
      <c r="F15">
        <f t="shared" si="2"/>
        <v>-1.3220266186970195</v>
      </c>
      <c r="G15">
        <f t="shared" si="4"/>
        <v>-1.3275389912641755</v>
      </c>
      <c r="M15" s="59"/>
      <c r="N15" s="59"/>
      <c r="O15" s="59"/>
      <c r="P15" s="59"/>
      <c r="Q15" s="59"/>
      <c r="R15" s="59"/>
    </row>
    <row r="16" spans="1:20" x14ac:dyDescent="0.35">
      <c r="A16">
        <f t="shared" si="0"/>
        <v>10</v>
      </c>
      <c r="B16">
        <v>1.1838198499095893</v>
      </c>
      <c r="C16">
        <f t="shared" si="1"/>
        <v>1.3276715980041807</v>
      </c>
      <c r="E16" s="113">
        <f t="shared" si="3"/>
        <v>9</v>
      </c>
      <c r="F16">
        <f t="shared" si="2"/>
        <v>0.54995509917293139</v>
      </c>
      <c r="G16">
        <f t="shared" si="4"/>
        <v>0.92279725082467312</v>
      </c>
    </row>
    <row r="17" spans="1:7" x14ac:dyDescent="0.35">
      <c r="A17">
        <f t="shared" si="0"/>
        <v>11</v>
      </c>
      <c r="B17">
        <v>-0.37229539413802176</v>
      </c>
      <c r="C17">
        <f t="shared" si="1"/>
        <v>0.32031075448298674</v>
      </c>
      <c r="E17" s="113">
        <f t="shared" si="3"/>
        <v>10</v>
      </c>
      <c r="F17">
        <f t="shared" si="2"/>
        <v>1.3276715980041807</v>
      </c>
      <c r="G17">
        <f t="shared" si="4"/>
        <v>1.3219214441378555</v>
      </c>
    </row>
    <row r="18" spans="1:7" x14ac:dyDescent="0.35">
      <c r="A18">
        <f t="shared" si="0"/>
        <v>12</v>
      </c>
      <c r="B18">
        <v>1.3338509496353779E-2</v>
      </c>
      <c r="C18">
        <f t="shared" si="1"/>
        <v>0.31201511646204882</v>
      </c>
      <c r="E18" s="113">
        <f t="shared" si="3"/>
        <v>11</v>
      </c>
      <c r="F18">
        <f t="shared" si="2"/>
        <v>0.32031075448298674</v>
      </c>
      <c r="G18">
        <f t="shared" si="4"/>
        <v>-5.8672264605981295E-2</v>
      </c>
    </row>
    <row r="19" spans="1:7" x14ac:dyDescent="0.35">
      <c r="A19">
        <f t="shared" si="0"/>
        <v>13</v>
      </c>
      <c r="B19">
        <v>0.70245593167564913</v>
      </c>
      <c r="C19">
        <f t="shared" si="1"/>
        <v>0.91819881129981251</v>
      </c>
      <c r="E19" s="113">
        <f t="shared" si="3"/>
        <v>12</v>
      </c>
      <c r="F19">
        <f t="shared" si="2"/>
        <v>0.31201511646204882</v>
      </c>
      <c r="G19">
        <f t="shared" si="4"/>
        <v>6.8392501076673093E-2</v>
      </c>
    </row>
    <row r="20" spans="1:7" x14ac:dyDescent="0.35">
      <c r="A20">
        <f t="shared" si="0"/>
        <v>14</v>
      </c>
      <c r="B20">
        <v>-0.35036242471588258</v>
      </c>
      <c r="C20">
        <f t="shared" si="1"/>
        <v>0.15188555685885632</v>
      </c>
      <c r="E20" s="113">
        <f t="shared" si="3"/>
        <v>13</v>
      </c>
      <c r="F20">
        <f t="shared" si="2"/>
        <v>0.91819881129981251</v>
      </c>
      <c r="G20">
        <f t="shared" si="4"/>
        <v>0.73148676236505128</v>
      </c>
    </row>
    <row r="21" spans="1:7" x14ac:dyDescent="0.35">
      <c r="A21">
        <f t="shared" si="0"/>
        <v>15</v>
      </c>
      <c r="B21">
        <v>0.21713729591053152</v>
      </c>
      <c r="C21">
        <f t="shared" si="1"/>
        <v>0.39352967065490746</v>
      </c>
      <c r="E21" s="113">
        <f t="shared" si="3"/>
        <v>14</v>
      </c>
      <c r="F21">
        <f t="shared" si="2"/>
        <v>0.15188555685885632</v>
      </c>
      <c r="G21">
        <f t="shared" si="4"/>
        <v>-0.18386525663265063</v>
      </c>
    </row>
    <row r="22" spans="1:7" x14ac:dyDescent="0.35">
      <c r="A22">
        <f t="shared" si="0"/>
        <v>16</v>
      </c>
      <c r="B22">
        <v>-0.50660744040413153</v>
      </c>
      <c r="C22">
        <f t="shared" si="1"/>
        <v>-0.27456413012780267</v>
      </c>
      <c r="E22" s="113">
        <f t="shared" si="3"/>
        <v>15</v>
      </c>
      <c r="F22">
        <f t="shared" si="2"/>
        <v>0.39352967065490746</v>
      </c>
      <c r="G22">
        <f t="shared" si="4"/>
        <v>0.21511467332223155</v>
      </c>
    </row>
    <row r="23" spans="1:7" x14ac:dyDescent="0.35">
      <c r="A23">
        <f t="shared" si="0"/>
        <v>17</v>
      </c>
      <c r="B23">
        <v>1.3197112250332261</v>
      </c>
      <c r="C23">
        <f t="shared" si="1"/>
        <v>1.2288378220245906</v>
      </c>
      <c r="E23" s="113">
        <f t="shared" si="3"/>
        <v>16</v>
      </c>
      <c r="F23">
        <f t="shared" si="2"/>
        <v>-0.27456413012780267</v>
      </c>
      <c r="G23">
        <f t="shared" si="4"/>
        <v>-0.45812020860306402</v>
      </c>
    </row>
    <row r="24" spans="1:7" x14ac:dyDescent="0.35">
      <c r="A24">
        <f t="shared" si="0"/>
        <v>18</v>
      </c>
      <c r="B24">
        <v>2.0721563220833827</v>
      </c>
      <c r="C24">
        <f t="shared" si="1"/>
        <v>2.6684005524939507</v>
      </c>
      <c r="E24" s="113">
        <f t="shared" si="3"/>
        <v>17</v>
      </c>
      <c r="F24">
        <f t="shared" si="2"/>
        <v>1.2288378220245906</v>
      </c>
      <c r="G24">
        <f t="shared" si="4"/>
        <v>1.2327503485896163</v>
      </c>
    </row>
    <row r="25" spans="1:7" x14ac:dyDescent="0.35">
      <c r="A25">
        <f t="shared" si="0"/>
        <v>19</v>
      </c>
      <c r="B25">
        <v>1.9642789414916844</v>
      </c>
      <c r="C25">
        <f t="shared" si="1"/>
        <v>3.417728063820773</v>
      </c>
      <c r="E25" s="113">
        <f t="shared" si="3"/>
        <v>18</v>
      </c>
      <c r="F25">
        <f t="shared" si="2"/>
        <v>2.6684005524939507</v>
      </c>
      <c r="G25">
        <f t="shared" si="4"/>
        <v>2.3213515938072868</v>
      </c>
    </row>
    <row r="26" spans="1:7" x14ac:dyDescent="0.35">
      <c r="A26">
        <f t="shared" si="0"/>
        <v>20</v>
      </c>
      <c r="B26">
        <v>0.23964330043753548</v>
      </c>
      <c r="C26">
        <f t="shared" si="1"/>
        <v>2.2391971568137397</v>
      </c>
      <c r="E26" s="113">
        <f t="shared" si="3"/>
        <v>19</v>
      </c>
      <c r="F26">
        <f t="shared" si="2"/>
        <v>3.417728063820773</v>
      </c>
      <c r="G26">
        <f t="shared" si="4"/>
        <v>2.5208145917026448</v>
      </c>
    </row>
    <row r="27" spans="1:7" x14ac:dyDescent="0.35">
      <c r="A27">
        <f t="shared" si="0"/>
        <v>21</v>
      </c>
      <c r="B27">
        <v>0.60305056491796249</v>
      </c>
      <c r="C27">
        <f t="shared" si="1"/>
        <v>2.1225599146000729</v>
      </c>
      <c r="E27" s="113">
        <f t="shared" si="3"/>
        <v>20</v>
      </c>
      <c r="F27">
        <f t="shared" si="2"/>
        <v>2.2391971568137397</v>
      </c>
      <c r="G27">
        <f t="shared" si="4"/>
        <v>0.90807355251877797</v>
      </c>
    </row>
    <row r="28" spans="1:7" x14ac:dyDescent="0.35">
      <c r="A28">
        <f t="shared" si="0"/>
        <v>22</v>
      </c>
      <c r="B28">
        <v>-0.90138311182696351</v>
      </c>
      <c r="C28">
        <f t="shared" si="1"/>
        <v>0.46379871540949502</v>
      </c>
      <c r="E28" s="113">
        <f t="shared" si="3"/>
        <v>21</v>
      </c>
      <c r="F28">
        <f t="shared" si="2"/>
        <v>2.1225599146000729</v>
      </c>
      <c r="G28">
        <f t="shared" si="4"/>
        <v>0.95078139280304752</v>
      </c>
    </row>
    <row r="29" spans="1:7" x14ac:dyDescent="0.35">
      <c r="A29">
        <f t="shared" si="0"/>
        <v>23</v>
      </c>
      <c r="B29">
        <v>-1.0557411773368031</v>
      </c>
      <c r="C29">
        <f t="shared" si="1"/>
        <v>-0.55080545418476379</v>
      </c>
      <c r="E29" s="113">
        <f t="shared" si="3"/>
        <v>22</v>
      </c>
      <c r="F29">
        <f t="shared" si="2"/>
        <v>0.46379871540949502</v>
      </c>
      <c r="G29">
        <f t="shared" si="4"/>
        <v>-0.61066528602051817</v>
      </c>
    </row>
    <row r="30" spans="1:7" x14ac:dyDescent="0.35">
      <c r="A30">
        <f t="shared" si="0"/>
        <v>24</v>
      </c>
      <c r="B30">
        <v>1.357361829570102</v>
      </c>
      <c r="C30">
        <f t="shared" si="1"/>
        <v>1.182946247108128</v>
      </c>
      <c r="E30" s="113">
        <f t="shared" si="3"/>
        <v>23</v>
      </c>
      <c r="F30">
        <f t="shared" si="2"/>
        <v>-0.55080545418476379</v>
      </c>
      <c r="G30">
        <f t="shared" si="4"/>
        <v>-1.1154500203774664</v>
      </c>
    </row>
    <row r="31" spans="1:7" x14ac:dyDescent="0.35">
      <c r="A31">
        <f t="shared" si="0"/>
        <v>25</v>
      </c>
      <c r="B31">
        <v>-2.969888722096329</v>
      </c>
      <c r="C31">
        <f t="shared" si="1"/>
        <v>-2.4132987150346601</v>
      </c>
      <c r="E31" s="113">
        <f t="shared" si="3"/>
        <v>24</v>
      </c>
      <c r="F31">
        <f t="shared" si="2"/>
        <v>1.182946247108128</v>
      </c>
      <c r="G31">
        <f t="shared" si="4"/>
        <v>1.1116316129020321</v>
      </c>
    </row>
    <row r="32" spans="1:7" x14ac:dyDescent="0.35">
      <c r="A32">
        <f t="shared" si="0"/>
        <v>26</v>
      </c>
      <c r="B32">
        <v>2.0748019655504284</v>
      </c>
      <c r="C32">
        <f t="shared" si="1"/>
        <v>0.97947060944543229</v>
      </c>
      <c r="E32" s="113">
        <f t="shared" si="3"/>
        <v>25</v>
      </c>
      <c r="F32">
        <f t="shared" si="2"/>
        <v>-2.4132987150346601</v>
      </c>
      <c r="G32">
        <f t="shared" si="4"/>
        <v>-2.7776483977030519</v>
      </c>
    </row>
    <row r="33" spans="1:7" x14ac:dyDescent="0.35">
      <c r="A33">
        <f t="shared" si="0"/>
        <v>27</v>
      </c>
      <c r="B33">
        <v>0.28021329874765349</v>
      </c>
      <c r="C33">
        <f t="shared" si="1"/>
        <v>0.55088233224937044</v>
      </c>
      <c r="E33" s="113">
        <f t="shared" si="3"/>
        <v>26</v>
      </c>
      <c r="F33">
        <f t="shared" si="2"/>
        <v>0.97947060944543229</v>
      </c>
      <c r="G33">
        <f t="shared" si="4"/>
        <v>1.5172812363170423</v>
      </c>
    </row>
    <row r="34" spans="1:7" x14ac:dyDescent="0.35">
      <c r="A34">
        <f t="shared" si="0"/>
        <v>28</v>
      </c>
      <c r="B34">
        <v>0.89834644475651204</v>
      </c>
      <c r="C34">
        <f t="shared" si="1"/>
        <v>1.2279214175815407</v>
      </c>
      <c r="E34" s="113">
        <f t="shared" si="3"/>
        <v>27</v>
      </c>
      <c r="F34">
        <f t="shared" si="2"/>
        <v>0.55088233224937044</v>
      </c>
      <c r="G34">
        <f t="shared" si="4"/>
        <v>0.48976762283103348</v>
      </c>
    </row>
    <row r="35" spans="1:7" x14ac:dyDescent="0.35">
      <c r="A35">
        <f t="shared" si="0"/>
        <v>29</v>
      </c>
      <c r="B35">
        <v>-1.6033823872485062</v>
      </c>
      <c r="C35">
        <f t="shared" si="1"/>
        <v>-0.92350668389273016</v>
      </c>
      <c r="E35" s="113">
        <f t="shared" si="3"/>
        <v>28</v>
      </c>
      <c r="F35">
        <f t="shared" si="2"/>
        <v>1.2279214175815407</v>
      </c>
      <c r="G35">
        <f t="shared" si="4"/>
        <v>1.0470017243785532</v>
      </c>
    </row>
    <row r="36" spans="1:7" x14ac:dyDescent="0.35">
      <c r="A36">
        <f t="shared" si="0"/>
        <v>30</v>
      </c>
      <c r="B36">
        <v>0.23549924558665486</v>
      </c>
      <c r="C36">
        <f t="shared" si="1"/>
        <v>-9.0278955688554874E-2</v>
      </c>
      <c r="E36" s="113">
        <f t="shared" si="3"/>
        <v>29</v>
      </c>
      <c r="F36">
        <f t="shared" si="2"/>
        <v>-0.92350668389273016</v>
      </c>
      <c r="G36">
        <f t="shared" si="4"/>
        <v>-1.3447923524949681</v>
      </c>
    </row>
    <row r="37" spans="1:7" x14ac:dyDescent="0.35">
      <c r="A37">
        <f t="shared" si="0"/>
        <v>31</v>
      </c>
      <c r="B37">
        <v>1.7940884644624944</v>
      </c>
      <c r="C37">
        <f t="shared" si="1"/>
        <v>1.6837933463631751</v>
      </c>
      <c r="E37" s="113">
        <f t="shared" si="3"/>
        <v>30</v>
      </c>
      <c r="F37">
        <f t="shared" si="2"/>
        <v>-9.0278955688554874E-2</v>
      </c>
      <c r="G37">
        <f t="shared" si="4"/>
        <v>1.9240071895254562E-3</v>
      </c>
    </row>
    <row r="38" spans="1:7" x14ac:dyDescent="0.35">
      <c r="A38">
        <f t="shared" si="0"/>
        <v>32</v>
      </c>
      <c r="B38">
        <v>-1.4306090977486423</v>
      </c>
      <c r="C38">
        <f t="shared" si="1"/>
        <v>-0.61077144818691864</v>
      </c>
      <c r="E38" s="113">
        <f t="shared" si="3"/>
        <v>31</v>
      </c>
      <c r="F38">
        <f t="shared" si="2"/>
        <v>1.6837933463631751</v>
      </c>
      <c r="G38">
        <f t="shared" si="4"/>
        <v>1.7465682647279881</v>
      </c>
    </row>
    <row r="39" spans="1:7" x14ac:dyDescent="0.35">
      <c r="A39">
        <f t="shared" si="0"/>
        <v>33</v>
      </c>
      <c r="B39">
        <v>1.422462857081874</v>
      </c>
      <c r="C39">
        <f t="shared" si="1"/>
        <v>1.2810446629007595</v>
      </c>
      <c r="E39" s="113">
        <f t="shared" si="3"/>
        <v>32</v>
      </c>
      <c r="F39">
        <f t="shared" si="2"/>
        <v>-0.61077144818691864</v>
      </c>
      <c r="G39">
        <f t="shared" si="4"/>
        <v>-1.0631684876854919</v>
      </c>
    </row>
    <row r="40" spans="1:7" x14ac:dyDescent="0.35">
      <c r="A40">
        <f t="shared" si="0"/>
        <v>34</v>
      </c>
      <c r="B40">
        <v>-1.5344845213207499</v>
      </c>
      <c r="C40">
        <f t="shared" si="1"/>
        <v>-0.92224582870659311</v>
      </c>
      <c r="E40" s="113">
        <f t="shared" si="3"/>
        <v>33</v>
      </c>
      <c r="F40">
        <f t="shared" si="2"/>
        <v>1.2810446629007595</v>
      </c>
      <c r="G40">
        <f t="shared" si="4"/>
        <v>1.2719840151717747</v>
      </c>
    </row>
    <row r="41" spans="1:7" x14ac:dyDescent="0.35">
      <c r="A41">
        <f t="shared" si="0"/>
        <v>35</v>
      </c>
      <c r="B41">
        <v>-0.23943486259011701</v>
      </c>
      <c r="C41">
        <f t="shared" si="1"/>
        <v>-0.57811003842058217</v>
      </c>
      <c r="E41" s="113">
        <f t="shared" si="3"/>
        <v>34</v>
      </c>
      <c r="F41">
        <f t="shared" si="2"/>
        <v>-0.92224582870659311</v>
      </c>
      <c r="G41">
        <f t="shared" si="4"/>
        <v>-1.2893349070617783</v>
      </c>
    </row>
    <row r="42" spans="1:7" x14ac:dyDescent="0.35">
      <c r="A42">
        <f t="shared" si="0"/>
        <v>36</v>
      </c>
      <c r="B42">
        <v>1.1254873384110666</v>
      </c>
      <c r="C42">
        <f t="shared" si="1"/>
        <v>0.76869728403468252</v>
      </c>
      <c r="E42" s="113">
        <f t="shared" si="3"/>
        <v>35</v>
      </c>
      <c r="F42">
        <f t="shared" si="2"/>
        <v>-0.57811003842058217</v>
      </c>
      <c r="G42">
        <f t="shared" si="4"/>
        <v>-0.46442082834020437</v>
      </c>
    </row>
    <row r="43" spans="1:7" x14ac:dyDescent="0.35">
      <c r="A43">
        <f t="shared" si="0"/>
        <v>37</v>
      </c>
      <c r="B43">
        <v>-0.26828564280553124</v>
      </c>
      <c r="C43">
        <f t="shared" si="1"/>
        <v>4.4704988336533191E-2</v>
      </c>
      <c r="E43" s="113">
        <f t="shared" si="3"/>
        <v>36</v>
      </c>
      <c r="F43">
        <f t="shared" si="2"/>
        <v>0.76869728403468252</v>
      </c>
      <c r="G43">
        <f t="shared" si="4"/>
        <v>0.97853175243162849</v>
      </c>
    </row>
    <row r="44" spans="1:7" x14ac:dyDescent="0.35">
      <c r="A44">
        <f t="shared" si="0"/>
        <v>38</v>
      </c>
      <c r="B44">
        <v>-0.5822900860434399</v>
      </c>
      <c r="C44">
        <f t="shared" si="1"/>
        <v>-0.49733946564676035</v>
      </c>
      <c r="E44" s="113">
        <f t="shared" si="3"/>
        <v>37</v>
      </c>
      <c r="F44">
        <f t="shared" si="2"/>
        <v>4.4704988336533191E-2</v>
      </c>
      <c r="G44">
        <f t="shared" si="4"/>
        <v>-8.8803454143702054E-2</v>
      </c>
    </row>
    <row r="45" spans="1:7" x14ac:dyDescent="0.35">
      <c r="A45">
        <f t="shared" si="0"/>
        <v>39</v>
      </c>
      <c r="B45">
        <v>2.2483238493907369</v>
      </c>
      <c r="C45">
        <f t="shared" si="1"/>
        <v>2.0166442406466927</v>
      </c>
      <c r="E45" s="113">
        <f t="shared" si="3"/>
        <v>38</v>
      </c>
      <c r="F45">
        <f t="shared" si="2"/>
        <v>-0.49733946564676035</v>
      </c>
      <c r="G45">
        <f t="shared" si="4"/>
        <v>-0.56383306780438147</v>
      </c>
    </row>
    <row r="46" spans="1:7" x14ac:dyDescent="0.35">
      <c r="A46">
        <f t="shared" si="0"/>
        <v>40</v>
      </c>
      <c r="B46">
        <v>-1.3543974073052196</v>
      </c>
      <c r="C46">
        <f t="shared" si="1"/>
        <v>-0.39241120873068225</v>
      </c>
      <c r="E46" s="113">
        <f t="shared" si="3"/>
        <v>39</v>
      </c>
      <c r="F46">
        <f t="shared" si="2"/>
        <v>2.0166442406466927</v>
      </c>
      <c r="G46">
        <f t="shared" si="4"/>
        <v>2.1309410424756132</v>
      </c>
    </row>
    <row r="47" spans="1:7" x14ac:dyDescent="0.35">
      <c r="A47">
        <f t="shared" si="0"/>
        <v>41</v>
      </c>
      <c r="B47">
        <v>0.48261152802448637</v>
      </c>
      <c r="C47">
        <f t="shared" si="1"/>
        <v>0.47880316337405276</v>
      </c>
      <c r="E47" s="113">
        <f t="shared" si="3"/>
        <v>40</v>
      </c>
      <c r="F47">
        <f t="shared" si="2"/>
        <v>-0.39241120873068225</v>
      </c>
      <c r="G47">
        <f t="shared" si="4"/>
        <v>-0.91847338173760873</v>
      </c>
    </row>
    <row r="48" spans="1:7" x14ac:dyDescent="0.35">
      <c r="A48">
        <f t="shared" si="0"/>
        <v>42</v>
      </c>
      <c r="B48">
        <v>-0.10749079290397744</v>
      </c>
      <c r="C48">
        <f t="shared" si="1"/>
        <v>0.13114911585296218</v>
      </c>
      <c r="E48" s="113">
        <f t="shared" si="3"/>
        <v>41</v>
      </c>
      <c r="F48">
        <f t="shared" si="2"/>
        <v>0.47880316337405276</v>
      </c>
      <c r="G48">
        <f t="shared" si="4"/>
        <v>0.37810213542915355</v>
      </c>
    </row>
    <row r="49" spans="1:7" x14ac:dyDescent="0.35">
      <c r="A49">
        <f t="shared" si="0"/>
        <v>43</v>
      </c>
      <c r="B49">
        <v>-0.80304736276954691</v>
      </c>
      <c r="C49">
        <f t="shared" si="1"/>
        <v>-0.68974482309167784</v>
      </c>
      <c r="E49" s="113">
        <f t="shared" si="3"/>
        <v>42</v>
      </c>
      <c r="F49">
        <f t="shared" si="2"/>
        <v>0.13114911585296218</v>
      </c>
      <c r="G49">
        <f t="shared" si="4"/>
        <v>-4.5276727418615603E-2</v>
      </c>
    </row>
    <row r="50" spans="1:7" x14ac:dyDescent="0.35">
      <c r="A50">
        <f t="shared" si="0"/>
        <v>44</v>
      </c>
      <c r="B50">
        <v>0.2754508892602448</v>
      </c>
      <c r="C50">
        <f t="shared" si="1"/>
        <v>-4.676101435002028E-2</v>
      </c>
      <c r="E50" s="113">
        <f t="shared" si="3"/>
        <v>43</v>
      </c>
      <c r="F50">
        <f t="shared" si="2"/>
        <v>-0.68974482309167784</v>
      </c>
      <c r="G50">
        <f t="shared" si="4"/>
        <v>-0.7980608236999901</v>
      </c>
    </row>
    <row r="51" spans="1:7" x14ac:dyDescent="0.35">
      <c r="A51">
        <f t="shared" si="0"/>
        <v>45</v>
      </c>
      <c r="B51">
        <v>1.9906931995671073E-2</v>
      </c>
      <c r="C51">
        <f t="shared" si="1"/>
        <v>-6.7915955901392086E-2</v>
      </c>
      <c r="E51" s="113">
        <f t="shared" si="3"/>
        <v>44</v>
      </c>
      <c r="F51">
        <f t="shared" si="2"/>
        <v>-4.676101435002028E-2</v>
      </c>
      <c r="G51">
        <f t="shared" si="4"/>
        <v>0.10526537602227481</v>
      </c>
    </row>
    <row r="52" spans="1:7" x14ac:dyDescent="0.35">
      <c r="A52">
        <f t="shared" si="0"/>
        <v>46</v>
      </c>
      <c r="B52">
        <v>1.686625284067059</v>
      </c>
      <c r="C52">
        <f t="shared" si="1"/>
        <v>1.6351027285369504</v>
      </c>
      <c r="E52" s="113">
        <f t="shared" si="3"/>
        <v>45</v>
      </c>
      <c r="F52">
        <f t="shared" si="2"/>
        <v>-6.7915955901392086E-2</v>
      </c>
      <c r="G52">
        <f t="shared" si="4"/>
        <v>6.6246145792091746E-3</v>
      </c>
    </row>
    <row r="53" spans="1:7" x14ac:dyDescent="0.35">
      <c r="A53">
        <f t="shared" si="0"/>
        <v>47</v>
      </c>
      <c r="B53">
        <v>-0.37900350643042602</v>
      </c>
      <c r="C53">
        <f t="shared" si="1"/>
        <v>0.42824334673202724</v>
      </c>
      <c r="E53" s="113">
        <f t="shared" si="3"/>
        <v>46</v>
      </c>
      <c r="F53">
        <f t="shared" si="2"/>
        <v>1.6351027285369504</v>
      </c>
      <c r="G53">
        <f t="shared" si="4"/>
        <v>1.6844143458439129</v>
      </c>
    </row>
    <row r="54" spans="1:7" x14ac:dyDescent="0.35">
      <c r="A54">
        <f t="shared" si="0"/>
        <v>48</v>
      </c>
      <c r="B54">
        <v>-0.68133999121505795</v>
      </c>
      <c r="C54">
        <f t="shared" si="1"/>
        <v>-0.30576894721655368</v>
      </c>
      <c r="E54" s="113">
        <f t="shared" si="3"/>
        <v>47</v>
      </c>
      <c r="F54">
        <f t="shared" si="2"/>
        <v>0.42824334673202724</v>
      </c>
      <c r="G54">
        <f t="shared" si="4"/>
        <v>-1.5766370342396696E-2</v>
      </c>
    </row>
    <row r="55" spans="1:7" x14ac:dyDescent="0.35">
      <c r="A55">
        <f t="shared" si="0"/>
        <v>49</v>
      </c>
      <c r="B55">
        <v>0.24680727410891506</v>
      </c>
      <c r="C55">
        <f t="shared" si="1"/>
        <v>0.16903700930033908</v>
      </c>
      <c r="E55" s="113">
        <f t="shared" si="3"/>
        <v>48</v>
      </c>
      <c r="F55">
        <f t="shared" si="2"/>
        <v>-0.30576894721655368</v>
      </c>
      <c r="G55">
        <f t="shared" si="4"/>
        <v>-0.60622147992123421</v>
      </c>
    </row>
    <row r="56" spans="1:7" x14ac:dyDescent="0.35">
      <c r="A56">
        <f t="shared" si="0"/>
        <v>50</v>
      </c>
      <c r="B56">
        <v>0.4176914407480673</v>
      </c>
      <c r="C56">
        <f t="shared" si="1"/>
        <v>0.48665589243652163</v>
      </c>
      <c r="E56" s="113">
        <f t="shared" si="3"/>
        <v>49</v>
      </c>
      <c r="F56">
        <f t="shared" si="2"/>
        <v>0.16903700930033908</v>
      </c>
      <c r="G56">
        <f t="shared" si="4"/>
        <v>0.13468729878176572</v>
      </c>
    </row>
    <row r="57" spans="1:7" x14ac:dyDescent="0.35">
      <c r="A57">
        <f t="shared" si="0"/>
        <v>51</v>
      </c>
      <c r="B57">
        <v>0.39902892938942136</v>
      </c>
      <c r="C57">
        <f t="shared" si="1"/>
        <v>0.656149765945373</v>
      </c>
      <c r="E57" s="113">
        <f t="shared" si="3"/>
        <v>50</v>
      </c>
      <c r="F57">
        <f t="shared" si="2"/>
        <v>0.48665589243652163</v>
      </c>
      <c r="G57">
        <f t="shared" si="4"/>
        <v>0.42485479417344829</v>
      </c>
    </row>
    <row r="58" spans="1:7" x14ac:dyDescent="0.35">
      <c r="A58">
        <f t="shared" si="0"/>
        <v>52</v>
      </c>
      <c r="B58">
        <v>-0.25018139554307461</v>
      </c>
      <c r="C58">
        <f t="shared" si="1"/>
        <v>0.12931765474080215</v>
      </c>
      <c r="E58" s="113">
        <f t="shared" si="3"/>
        <v>51</v>
      </c>
      <c r="F58">
        <f t="shared" si="2"/>
        <v>0.656149765945373</v>
      </c>
      <c r="G58">
        <f t="shared" si="4"/>
        <v>0.49317470558024246</v>
      </c>
    </row>
    <row r="59" spans="1:7" x14ac:dyDescent="0.35">
      <c r="A59">
        <f t="shared" si="0"/>
        <v>53</v>
      </c>
      <c r="B59">
        <v>-1.1742528233216154</v>
      </c>
      <c r="C59">
        <f t="shared" si="1"/>
        <v>-1.0336941858944391</v>
      </c>
      <c r="E59" s="113">
        <f t="shared" si="3"/>
        <v>52</v>
      </c>
      <c r="F59">
        <f t="shared" si="2"/>
        <v>0.12931765474080215</v>
      </c>
      <c r="G59">
        <f t="shared" si="4"/>
        <v>-0.12252165829197645</v>
      </c>
    </row>
    <row r="60" spans="1:7" x14ac:dyDescent="0.35">
      <c r="A60">
        <f t="shared" si="0"/>
        <v>54</v>
      </c>
      <c r="B60">
        <v>-1.4045131523645842</v>
      </c>
      <c r="C60">
        <f t="shared" si="1"/>
        <v>-1.8932485178263683</v>
      </c>
      <c r="E60" s="113">
        <f t="shared" si="3"/>
        <v>53</v>
      </c>
      <c r="F60">
        <f t="shared" si="2"/>
        <v>-1.0336941858944391</v>
      </c>
      <c r="G60">
        <f t="shared" si="4"/>
        <v>-1.1718860221133511</v>
      </c>
    </row>
    <row r="61" spans="1:7" x14ac:dyDescent="0.35">
      <c r="A61">
        <f t="shared" si="0"/>
        <v>55</v>
      </c>
      <c r="B61">
        <v>-0.28172987991615117</v>
      </c>
      <c r="C61">
        <f t="shared" si="1"/>
        <v>-1.3261012119216922</v>
      </c>
      <c r="E61" s="113">
        <f t="shared" si="3"/>
        <v>54</v>
      </c>
      <c r="F61">
        <f t="shared" si="2"/>
        <v>-1.8932485178263683</v>
      </c>
      <c r="G61">
        <f t="shared" si="4"/>
        <v>-1.6556838688391233</v>
      </c>
    </row>
    <row r="62" spans="1:7" x14ac:dyDescent="0.35">
      <c r="A62">
        <f t="shared" si="0"/>
        <v>56</v>
      </c>
      <c r="B62">
        <v>-0.38821298272001864</v>
      </c>
      <c r="C62">
        <f t="shared" si="1"/>
        <v>-1.2601378550819728</v>
      </c>
      <c r="E62" s="113">
        <f t="shared" si="3"/>
        <v>55</v>
      </c>
      <c r="F62">
        <f t="shared" si="2"/>
        <v>-1.3261012119216922</v>
      </c>
      <c r="G62">
        <f t="shared" si="4"/>
        <v>-0.69322897565261254</v>
      </c>
    </row>
    <row r="63" spans="1:7" x14ac:dyDescent="0.35">
      <c r="A63">
        <f t="shared" si="0"/>
        <v>57</v>
      </c>
      <c r="B63">
        <v>-0.43156998564742921</v>
      </c>
      <c r="C63">
        <f t="shared" si="1"/>
        <v>-1.2360238876608063</v>
      </c>
      <c r="E63" s="113">
        <f t="shared" si="3"/>
        <v>56</v>
      </c>
      <c r="F63">
        <f t="shared" si="2"/>
        <v>-1.2601378550819728</v>
      </c>
      <c r="G63">
        <f t="shared" si="4"/>
        <v>-0.62883856380565395</v>
      </c>
    </row>
    <row r="64" spans="1:7" x14ac:dyDescent="0.35">
      <c r="A64">
        <f t="shared" si="0"/>
        <v>58</v>
      </c>
      <c r="B64">
        <v>1.386535004851783</v>
      </c>
      <c r="C64">
        <f t="shared" si="1"/>
        <v>0.60763228061870456</v>
      </c>
      <c r="E64" s="113">
        <f t="shared" si="3"/>
        <v>57</v>
      </c>
      <c r="F64">
        <f t="shared" si="2"/>
        <v>-1.2360238876608063</v>
      </c>
      <c r="G64">
        <f t="shared" si="4"/>
        <v>-0.62407262447701317</v>
      </c>
    </row>
    <row r="65" spans="1:7" x14ac:dyDescent="0.35">
      <c r="A65">
        <f t="shared" si="0"/>
        <v>59</v>
      </c>
      <c r="B65">
        <v>-1.3017512220934879</v>
      </c>
      <c r="C65">
        <f t="shared" si="1"/>
        <v>-1.1537156266307513</v>
      </c>
      <c r="E65" s="113">
        <f t="shared" si="3"/>
        <v>58</v>
      </c>
      <c r="F65">
        <f t="shared" si="2"/>
        <v>0.60763228061870456</v>
      </c>
      <c r="G65">
        <f t="shared" si="4"/>
        <v>1.2049440905370403</v>
      </c>
    </row>
    <row r="66" spans="1:7" x14ac:dyDescent="0.35">
      <c r="A66">
        <f t="shared" si="0"/>
        <v>60</v>
      </c>
      <c r="B66">
        <v>-1.2553188286181356</v>
      </c>
      <c r="C66">
        <f t="shared" si="1"/>
        <v>-1.8025695228409639</v>
      </c>
      <c r="E66" s="113">
        <f t="shared" si="3"/>
        <v>59</v>
      </c>
      <c r="F66">
        <f t="shared" si="2"/>
        <v>-1.1537156266307513</v>
      </c>
      <c r="G66">
        <f t="shared" si="4"/>
        <v>-1.0853564312983193</v>
      </c>
    </row>
    <row r="67" spans="1:7" x14ac:dyDescent="0.35">
      <c r="A67">
        <f t="shared" si="0"/>
        <v>61</v>
      </c>
      <c r="B67">
        <v>0.71120271461460161</v>
      </c>
      <c r="C67">
        <f t="shared" si="1"/>
        <v>-0.29953218565044587</v>
      </c>
      <c r="E67" s="113">
        <f t="shared" si="3"/>
        <v>60</v>
      </c>
      <c r="F67">
        <f t="shared" si="2"/>
        <v>-1.8025695228409639</v>
      </c>
      <c r="G67">
        <f t="shared" si="4"/>
        <v>-1.4477038677293947</v>
      </c>
    </row>
    <row r="68" spans="1:7" x14ac:dyDescent="0.35">
      <c r="A68">
        <f t="shared" si="0"/>
        <v>62</v>
      </c>
      <c r="B68">
        <v>-0.14927846160621394</v>
      </c>
      <c r="C68">
        <f t="shared" si="1"/>
        <v>-0.50119153448444642</v>
      </c>
      <c r="E68" s="113">
        <f t="shared" si="3"/>
        <v>61</v>
      </c>
      <c r="F68">
        <f t="shared" si="2"/>
        <v>-0.29953218565044587</v>
      </c>
      <c r="G68">
        <f t="shared" si="4"/>
        <v>0.35489229492223806</v>
      </c>
    </row>
    <row r="69" spans="1:7" x14ac:dyDescent="0.35">
      <c r="A69">
        <f t="shared" si="0"/>
        <v>63</v>
      </c>
      <c r="B69">
        <v>2.1364162498976984E-2</v>
      </c>
      <c r="C69">
        <f t="shared" si="1"/>
        <v>-0.2996142193188927</v>
      </c>
      <c r="E69" s="113">
        <f t="shared" si="3"/>
        <v>62</v>
      </c>
      <c r="F69">
        <f t="shared" si="2"/>
        <v>-0.50119153448444642</v>
      </c>
      <c r="G69">
        <f t="shared" si="4"/>
        <v>-0.15244709005927148</v>
      </c>
    </row>
    <row r="70" spans="1:7" x14ac:dyDescent="0.35">
      <c r="A70">
        <f t="shared" si="0"/>
        <v>64</v>
      </c>
      <c r="B70">
        <v>3.3630781181214632E-2</v>
      </c>
      <c r="C70">
        <f t="shared" si="1"/>
        <v>-0.18037200484180566</v>
      </c>
      <c r="E70" s="113">
        <f t="shared" si="3"/>
        <v>63</v>
      </c>
      <c r="F70">
        <f t="shared" si="2"/>
        <v>-0.2996142193188927</v>
      </c>
      <c r="G70">
        <f t="shared" si="4"/>
        <v>-1.6862716647656317E-2</v>
      </c>
    </row>
    <row r="71" spans="1:7" x14ac:dyDescent="0.35">
      <c r="A71">
        <f t="shared" si="0"/>
        <v>65</v>
      </c>
      <c r="B71">
        <v>2.4900321457140446</v>
      </c>
      <c r="C71">
        <f t="shared" si="1"/>
        <v>2.3570455860885375</v>
      </c>
      <c r="E71" s="113">
        <f t="shared" si="3"/>
        <v>64</v>
      </c>
      <c r="F71">
        <f t="shared" si="2"/>
        <v>-0.18037200484180566</v>
      </c>
      <c r="G71">
        <f t="shared" si="4"/>
        <v>1.8592776088315163E-2</v>
      </c>
    </row>
    <row r="72" spans="1:7" x14ac:dyDescent="0.35">
      <c r="A72">
        <f t="shared" ref="A72:A111" si="5">A71+1</f>
        <v>66</v>
      </c>
      <c r="B72">
        <v>-0.22832106642044353</v>
      </c>
      <c r="C72">
        <f t="shared" ref="C72:C111" si="6">0.7*C71+B72-0.2*B71</f>
        <v>0.92360441469872367</v>
      </c>
      <c r="E72" s="113">
        <f t="shared" si="3"/>
        <v>65</v>
      </c>
      <c r="F72">
        <f t="shared" si="2"/>
        <v>2.3570455860885375</v>
      </c>
      <c r="G72">
        <f t="shared" si="4"/>
        <v>2.4884106326158677</v>
      </c>
    </row>
    <row r="73" spans="1:7" x14ac:dyDescent="0.35">
      <c r="A73">
        <f t="shared" si="5"/>
        <v>67</v>
      </c>
      <c r="B73">
        <v>-0.99142145654823743</v>
      </c>
      <c r="C73">
        <f t="shared" si="6"/>
        <v>-0.29923415297504224</v>
      </c>
      <c r="E73" s="113">
        <f t="shared" si="3"/>
        <v>66</v>
      </c>
      <c r="F73">
        <f t="shared" ref="F73:F112" si="7">C72</f>
        <v>0.92360441469872367</v>
      </c>
      <c r="G73">
        <f t="shared" si="4"/>
        <v>0.30784846447863656</v>
      </c>
    </row>
    <row r="74" spans="1:7" x14ac:dyDescent="0.35">
      <c r="A74">
        <f t="shared" si="5"/>
        <v>68</v>
      </c>
      <c r="B74">
        <v>0.28534068077982988</v>
      </c>
      <c r="C74">
        <f t="shared" si="6"/>
        <v>0.27416106500694781</v>
      </c>
      <c r="E74" s="113">
        <f t="shared" ref="E74:E112" si="8">E73+1</f>
        <v>67</v>
      </c>
      <c r="F74">
        <f t="shared" si="7"/>
        <v>-0.29923415297504224</v>
      </c>
      <c r="G74">
        <f t="shared" ref="G74:G112" si="9">F74-SUMPRODUCT(F73,J$8)-SUMPRODUCT(G73,K$8)</f>
        <v>-0.80944486594698406</v>
      </c>
    </row>
    <row r="75" spans="1:7" x14ac:dyDescent="0.35">
      <c r="A75">
        <f t="shared" si="5"/>
        <v>69</v>
      </c>
      <c r="B75">
        <v>-0.37876373558789145</v>
      </c>
      <c r="C75">
        <f t="shared" si="6"/>
        <v>-0.24391912623899398</v>
      </c>
      <c r="E75" s="113">
        <f t="shared" si="8"/>
        <v>68</v>
      </c>
      <c r="F75">
        <f t="shared" si="7"/>
        <v>0.27416106500694781</v>
      </c>
      <c r="G75">
        <f t="shared" si="9"/>
        <v>0.15341429355879854</v>
      </c>
    </row>
    <row r="76" spans="1:7" x14ac:dyDescent="0.35">
      <c r="A76">
        <f t="shared" si="5"/>
        <v>70</v>
      </c>
      <c r="B76">
        <v>-0.61727751655520191</v>
      </c>
      <c r="C76">
        <f t="shared" si="6"/>
        <v>-0.71226815780491937</v>
      </c>
      <c r="E76" s="113">
        <f t="shared" si="8"/>
        <v>69</v>
      </c>
      <c r="F76">
        <f t="shared" si="7"/>
        <v>-0.24391912623899398</v>
      </c>
      <c r="G76">
        <f t="shared" si="9"/>
        <v>-0.37036668246655113</v>
      </c>
    </row>
    <row r="77" spans="1:7" x14ac:dyDescent="0.35">
      <c r="A77">
        <f t="shared" si="5"/>
        <v>71</v>
      </c>
      <c r="B77">
        <v>-0.83006009584137008</v>
      </c>
      <c r="C77">
        <f t="shared" si="6"/>
        <v>-1.2051923029937734</v>
      </c>
      <c r="E77" s="113">
        <f t="shared" si="8"/>
        <v>70</v>
      </c>
      <c r="F77">
        <f t="shared" si="7"/>
        <v>-0.71226815780491937</v>
      </c>
      <c r="G77">
        <f t="shared" si="9"/>
        <v>-0.69403212203985853</v>
      </c>
    </row>
    <row r="78" spans="1:7" x14ac:dyDescent="0.35">
      <c r="A78">
        <f t="shared" si="5"/>
        <v>72</v>
      </c>
      <c r="B78">
        <v>0.6297885382553351</v>
      </c>
      <c r="C78">
        <f t="shared" si="6"/>
        <v>-4.7834054672032278E-2</v>
      </c>
      <c r="E78" s="113">
        <f t="shared" si="8"/>
        <v>71</v>
      </c>
      <c r="F78">
        <f t="shared" si="7"/>
        <v>-1.2051923029937734</v>
      </c>
      <c r="G78">
        <f t="shared" si="9"/>
        <v>-0.99576911104025478</v>
      </c>
    </row>
    <row r="79" spans="1:7" x14ac:dyDescent="0.35">
      <c r="A79">
        <f t="shared" si="5"/>
        <v>73</v>
      </c>
      <c r="B79">
        <v>-0.694040660745746</v>
      </c>
      <c r="C79">
        <f t="shared" si="6"/>
        <v>-0.85348220666723562</v>
      </c>
      <c r="E79" s="113">
        <f t="shared" si="8"/>
        <v>72</v>
      </c>
      <c r="F79">
        <f t="shared" si="7"/>
        <v>-4.7834054672032278E-2</v>
      </c>
      <c r="G79">
        <f t="shared" si="9"/>
        <v>0.37849162491960314</v>
      </c>
    </row>
    <row r="80" spans="1:7" x14ac:dyDescent="0.35">
      <c r="A80">
        <f t="shared" si="5"/>
        <v>74</v>
      </c>
      <c r="B80">
        <v>-1.1292977646381548</v>
      </c>
      <c r="C80">
        <f t="shared" si="6"/>
        <v>-1.5879271771560706</v>
      </c>
      <c r="E80" s="113">
        <f t="shared" si="8"/>
        <v>73</v>
      </c>
      <c r="F80">
        <f t="shared" si="7"/>
        <v>-0.85348220666723562</v>
      </c>
      <c r="G80">
        <f t="shared" si="9"/>
        <v>-0.66808077655411935</v>
      </c>
    </row>
    <row r="81" spans="1:7" x14ac:dyDescent="0.35">
      <c r="A81">
        <f t="shared" si="5"/>
        <v>75</v>
      </c>
      <c r="B81">
        <v>0.6095368117304879</v>
      </c>
      <c r="C81">
        <f t="shared" si="6"/>
        <v>-0.27615265935113054</v>
      </c>
      <c r="E81" s="113">
        <f t="shared" si="8"/>
        <v>74</v>
      </c>
      <c r="F81">
        <f t="shared" si="7"/>
        <v>-1.5879271771560706</v>
      </c>
      <c r="G81">
        <f t="shared" si="9"/>
        <v>-1.2710649528105384</v>
      </c>
    </row>
    <row r="82" spans="1:7" x14ac:dyDescent="0.35">
      <c r="A82">
        <f t="shared" si="5"/>
        <v>76</v>
      </c>
      <c r="B82">
        <v>-1.2359970227306327</v>
      </c>
      <c r="C82">
        <f t="shared" si="6"/>
        <v>-1.5512112466225216</v>
      </c>
      <c r="E82" s="113">
        <f t="shared" si="8"/>
        <v>75</v>
      </c>
      <c r="F82">
        <f t="shared" si="7"/>
        <v>-0.27615265935113054</v>
      </c>
      <c r="G82">
        <f t="shared" si="9"/>
        <v>0.30205968444027276</v>
      </c>
    </row>
    <row r="83" spans="1:7" x14ac:dyDescent="0.35">
      <c r="A83">
        <f t="shared" si="5"/>
        <v>77</v>
      </c>
      <c r="B83">
        <v>0.14781809608735161</v>
      </c>
      <c r="C83">
        <f t="shared" si="6"/>
        <v>-0.69083037200228681</v>
      </c>
      <c r="E83" s="113">
        <f t="shared" si="8"/>
        <v>76</v>
      </c>
      <c r="F83">
        <f t="shared" si="7"/>
        <v>-1.5512112466225216</v>
      </c>
      <c r="G83">
        <f t="shared" si="9"/>
        <v>-1.2398169926459968</v>
      </c>
    </row>
    <row r="84" spans="1:7" x14ac:dyDescent="0.35">
      <c r="A84">
        <f t="shared" si="5"/>
        <v>78</v>
      </c>
      <c r="B84">
        <v>0.14223995185972241</v>
      </c>
      <c r="C84">
        <f t="shared" si="6"/>
        <v>-0.37090492775934858</v>
      </c>
      <c r="E84" s="113">
        <f t="shared" si="8"/>
        <v>77</v>
      </c>
      <c r="F84">
        <f t="shared" si="7"/>
        <v>-0.69083037200228681</v>
      </c>
      <c r="G84">
        <f t="shared" si="9"/>
        <v>-0.12523834312169191</v>
      </c>
    </row>
    <row r="85" spans="1:7" x14ac:dyDescent="0.35">
      <c r="A85">
        <f t="shared" si="5"/>
        <v>79</v>
      </c>
      <c r="B85">
        <v>0.78683578193082926</v>
      </c>
      <c r="C85">
        <f t="shared" si="6"/>
        <v>0.49875434212734082</v>
      </c>
      <c r="E85" s="113">
        <f t="shared" si="8"/>
        <v>78</v>
      </c>
      <c r="F85">
        <f t="shared" si="7"/>
        <v>-0.37090492775934858</v>
      </c>
      <c r="G85">
        <f t="shared" si="9"/>
        <v>5.3048327505356895E-2</v>
      </c>
    </row>
    <row r="86" spans="1:7" x14ac:dyDescent="0.35">
      <c r="A86">
        <f t="shared" si="5"/>
        <v>80</v>
      </c>
      <c r="B86">
        <v>-2.0572048484731567</v>
      </c>
      <c r="C86">
        <f t="shared" si="6"/>
        <v>-1.865443965370184</v>
      </c>
      <c r="E86" s="113">
        <f t="shared" si="8"/>
        <v>79</v>
      </c>
      <c r="F86">
        <f t="shared" si="7"/>
        <v>0.49875434212734082</v>
      </c>
      <c r="G86">
        <f t="shared" si="9"/>
        <v>0.77485598543129053</v>
      </c>
    </row>
    <row r="87" spans="1:7" x14ac:dyDescent="0.35">
      <c r="A87">
        <f t="shared" si="5"/>
        <v>81</v>
      </c>
      <c r="B87">
        <v>4.9553368430570136E-2</v>
      </c>
      <c r="C87">
        <f t="shared" si="6"/>
        <v>-0.84481643763392711</v>
      </c>
      <c r="E87" s="113">
        <f t="shared" si="8"/>
        <v>80</v>
      </c>
      <c r="F87">
        <f t="shared" si="7"/>
        <v>-1.865443965370184</v>
      </c>
      <c r="G87">
        <f t="shared" si="9"/>
        <v>-1.8956595713324664</v>
      </c>
    </row>
    <row r="88" spans="1:7" x14ac:dyDescent="0.35">
      <c r="A88">
        <f t="shared" si="5"/>
        <v>82</v>
      </c>
      <c r="B88">
        <v>-1.4066323798943021</v>
      </c>
      <c r="C88">
        <f t="shared" si="6"/>
        <v>-2.0079145599241652</v>
      </c>
      <c r="E88" s="113">
        <f t="shared" si="8"/>
        <v>81</v>
      </c>
      <c r="F88">
        <f t="shared" si="7"/>
        <v>-0.84481643763392711</v>
      </c>
      <c r="G88">
        <f t="shared" si="9"/>
        <v>-0.32776139208777133</v>
      </c>
    </row>
    <row r="89" spans="1:7" x14ac:dyDescent="0.35">
      <c r="A89">
        <f t="shared" si="5"/>
        <v>83</v>
      </c>
      <c r="B89">
        <v>1.5637407126388045</v>
      </c>
      <c r="C89">
        <f t="shared" si="6"/>
        <v>0.43952699667074951</v>
      </c>
      <c r="E89" s="113">
        <f t="shared" si="8"/>
        <v>82</v>
      </c>
      <c r="F89">
        <f t="shared" si="7"/>
        <v>-2.0079145599241652</v>
      </c>
      <c r="G89">
        <f t="shared" si="9"/>
        <v>-1.5598377294773969</v>
      </c>
    </row>
    <row r="90" spans="1:7" x14ac:dyDescent="0.35">
      <c r="A90">
        <f t="shared" si="5"/>
        <v>84</v>
      </c>
      <c r="B90">
        <v>1.1803319732811373</v>
      </c>
      <c r="C90">
        <f t="shared" si="6"/>
        <v>1.1752527284229008</v>
      </c>
      <c r="E90" s="113">
        <f t="shared" si="8"/>
        <v>83</v>
      </c>
      <c r="F90">
        <f t="shared" si="7"/>
        <v>0.43952699667074951</v>
      </c>
      <c r="G90">
        <f t="shared" si="9"/>
        <v>1.1897774353571537</v>
      </c>
    </row>
    <row r="91" spans="1:7" x14ac:dyDescent="0.35">
      <c r="A91">
        <f t="shared" si="5"/>
        <v>85</v>
      </c>
      <c r="B91">
        <v>-0.66510702617564998</v>
      </c>
      <c r="C91">
        <f t="shared" si="6"/>
        <v>-7.8496510935846864E-2</v>
      </c>
      <c r="E91" s="113">
        <f t="shared" si="8"/>
        <v>84</v>
      </c>
      <c r="F91">
        <f t="shared" si="7"/>
        <v>1.1752527284229008</v>
      </c>
      <c r="G91">
        <f t="shared" si="9"/>
        <v>1.3529459971684656</v>
      </c>
    </row>
    <row r="92" spans="1:7" x14ac:dyDescent="0.35">
      <c r="A92">
        <f t="shared" si="5"/>
        <v>86</v>
      </c>
      <c r="B92">
        <v>0.57494501634557904</v>
      </c>
      <c r="C92">
        <f t="shared" si="6"/>
        <v>0.65301886392561626</v>
      </c>
      <c r="E92" s="113">
        <f t="shared" si="8"/>
        <v>85</v>
      </c>
      <c r="F92">
        <f t="shared" si="7"/>
        <v>-7.8496510935846864E-2</v>
      </c>
      <c r="G92">
        <f t="shared" si="9"/>
        <v>-0.34030078236893835</v>
      </c>
    </row>
    <row r="93" spans="1:7" x14ac:dyDescent="0.35">
      <c r="A93">
        <f t="shared" si="5"/>
        <v>87</v>
      </c>
      <c r="B93">
        <v>-4.1159165518735157E-2</v>
      </c>
      <c r="C93">
        <f t="shared" si="6"/>
        <v>0.30096503596008034</v>
      </c>
      <c r="E93" s="113">
        <f t="shared" si="8"/>
        <v>86</v>
      </c>
      <c r="F93">
        <f t="shared" si="7"/>
        <v>0.65301886392561626</v>
      </c>
      <c r="G93">
        <f t="shared" si="9"/>
        <v>0.56976830647120358</v>
      </c>
    </row>
    <row r="94" spans="1:7" x14ac:dyDescent="0.35">
      <c r="A94">
        <f t="shared" si="5"/>
        <v>88</v>
      </c>
      <c r="B94">
        <v>-0.89619571623511651</v>
      </c>
      <c r="C94">
        <f t="shared" si="6"/>
        <v>-0.6772883579593133</v>
      </c>
      <c r="E94" s="113">
        <f t="shared" si="8"/>
        <v>87</v>
      </c>
      <c r="F94">
        <f t="shared" si="7"/>
        <v>0.30096503596008034</v>
      </c>
      <c r="G94">
        <f t="shared" si="9"/>
        <v>8.2146963160308811E-2</v>
      </c>
    </row>
    <row r="95" spans="1:7" x14ac:dyDescent="0.35">
      <c r="A95">
        <f t="shared" si="5"/>
        <v>89</v>
      </c>
      <c r="B95">
        <v>1.503359605306662</v>
      </c>
      <c r="C95">
        <f t="shared" si="6"/>
        <v>1.208496897982166</v>
      </c>
      <c r="E95" s="113">
        <f t="shared" si="8"/>
        <v>88</v>
      </c>
      <c r="F95">
        <f t="shared" si="7"/>
        <v>-0.6772883579593133</v>
      </c>
      <c r="G95">
        <f t="shared" si="9"/>
        <v>-0.85086797713257034</v>
      </c>
    </row>
    <row r="96" spans="1:7" x14ac:dyDescent="0.35">
      <c r="A96">
        <f t="shared" si="5"/>
        <v>90</v>
      </c>
      <c r="B96">
        <v>-0.71156365631100782</v>
      </c>
      <c r="C96">
        <f t="shared" si="6"/>
        <v>-0.16628774878482411</v>
      </c>
      <c r="E96" s="113">
        <f t="shared" si="8"/>
        <v>89</v>
      </c>
      <c r="F96">
        <f t="shared" si="7"/>
        <v>1.208496897982166</v>
      </c>
      <c r="G96">
        <f t="shared" si="9"/>
        <v>1.330684815851523</v>
      </c>
    </row>
    <row r="97" spans="1:7" x14ac:dyDescent="0.35">
      <c r="A97">
        <f t="shared" si="5"/>
        <v>91</v>
      </c>
      <c r="B97">
        <v>0.98331759725438295</v>
      </c>
      <c r="C97">
        <f t="shared" si="6"/>
        <v>1.0092289043672076</v>
      </c>
      <c r="E97" s="113">
        <f t="shared" si="8"/>
        <v>90</v>
      </c>
      <c r="F97">
        <f t="shared" si="7"/>
        <v>-0.16628774878482411</v>
      </c>
      <c r="G97">
        <f t="shared" si="9"/>
        <v>-0.45989496897161897</v>
      </c>
    </row>
    <row r="98" spans="1:7" x14ac:dyDescent="0.35">
      <c r="A98">
        <f t="shared" si="5"/>
        <v>92</v>
      </c>
      <c r="B98">
        <v>-0.83758504934694755</v>
      </c>
      <c r="C98">
        <f t="shared" si="6"/>
        <v>-0.32778833574077881</v>
      </c>
      <c r="E98" s="113">
        <f t="shared" si="8"/>
        <v>91</v>
      </c>
      <c r="F98">
        <f t="shared" si="7"/>
        <v>1.0092289043672076</v>
      </c>
      <c r="G98">
        <f t="shared" si="9"/>
        <v>0.93806685998793804</v>
      </c>
    </row>
    <row r="99" spans="1:7" x14ac:dyDescent="0.35">
      <c r="A99">
        <f t="shared" si="5"/>
        <v>93</v>
      </c>
      <c r="B99">
        <v>-1.9160100094245356</v>
      </c>
      <c r="C99">
        <f t="shared" si="6"/>
        <v>-1.9779448345736914</v>
      </c>
      <c r="E99" s="113">
        <f t="shared" si="8"/>
        <v>92</v>
      </c>
      <c r="F99">
        <f t="shared" si="7"/>
        <v>-0.32778833574077881</v>
      </c>
      <c r="G99">
        <f t="shared" si="9"/>
        <v>-0.6427922546288749</v>
      </c>
    </row>
    <row r="100" spans="1:7" x14ac:dyDescent="0.35">
      <c r="A100">
        <f t="shared" si="5"/>
        <v>94</v>
      </c>
      <c r="B100">
        <v>0.10151986902498664</v>
      </c>
      <c r="C100">
        <f t="shared" si="6"/>
        <v>-0.8998395132916901</v>
      </c>
      <c r="E100" s="113">
        <f t="shared" si="8"/>
        <v>93</v>
      </c>
      <c r="F100">
        <f t="shared" si="7"/>
        <v>-1.9779448345736914</v>
      </c>
      <c r="G100">
        <f t="shared" si="9"/>
        <v>-2.0119125036920531</v>
      </c>
    </row>
    <row r="101" spans="1:7" x14ac:dyDescent="0.35">
      <c r="A101">
        <f t="shared" si="5"/>
        <v>95</v>
      </c>
      <c r="B101">
        <v>0.94375520294114768</v>
      </c>
      <c r="C101">
        <f t="shared" si="6"/>
        <v>0.29356356983196735</v>
      </c>
      <c r="E101" s="113">
        <f t="shared" si="8"/>
        <v>94</v>
      </c>
      <c r="F101">
        <f t="shared" si="7"/>
        <v>-0.8998395132916901</v>
      </c>
      <c r="G101">
        <f t="shared" si="9"/>
        <v>-0.35237981924440109</v>
      </c>
    </row>
    <row r="102" spans="1:7" x14ac:dyDescent="0.35">
      <c r="A102">
        <f t="shared" si="5"/>
        <v>96</v>
      </c>
      <c r="B102">
        <v>0.85739443406232374</v>
      </c>
      <c r="C102">
        <f t="shared" si="6"/>
        <v>0.87413789235647132</v>
      </c>
      <c r="E102" s="113">
        <f t="shared" si="8"/>
        <v>95</v>
      </c>
      <c r="F102">
        <f t="shared" si="7"/>
        <v>0.29356356983196735</v>
      </c>
      <c r="G102">
        <f t="shared" si="9"/>
        <v>0.76950525871533881</v>
      </c>
    </row>
    <row r="103" spans="1:7" x14ac:dyDescent="0.35">
      <c r="A103">
        <f t="shared" si="5"/>
        <v>97</v>
      </c>
      <c r="B103">
        <v>0.60817129254501401</v>
      </c>
      <c r="C103">
        <f t="shared" si="6"/>
        <v>1.048588930382079</v>
      </c>
      <c r="E103" s="113">
        <f t="shared" si="8"/>
        <v>96</v>
      </c>
      <c r="F103">
        <f t="shared" si="7"/>
        <v>0.87413789235647132</v>
      </c>
      <c r="G103">
        <f t="shared" si="9"/>
        <v>0.9826812861887736</v>
      </c>
    </row>
    <row r="104" spans="1:7" x14ac:dyDescent="0.35">
      <c r="A104">
        <f t="shared" si="5"/>
        <v>98</v>
      </c>
      <c r="B104">
        <v>-0.23527438435259732</v>
      </c>
      <c r="C104">
        <f t="shared" si="6"/>
        <v>0.37710360840585522</v>
      </c>
      <c r="E104" s="113">
        <f t="shared" si="8"/>
        <v>97</v>
      </c>
      <c r="F104">
        <f t="shared" si="7"/>
        <v>1.048588930382079</v>
      </c>
      <c r="G104">
        <f t="shared" si="9"/>
        <v>0.84434118484536924</v>
      </c>
    </row>
    <row r="105" spans="1:7" x14ac:dyDescent="0.35">
      <c r="A105">
        <f t="shared" si="5"/>
        <v>99</v>
      </c>
      <c r="B105">
        <v>0.78970600372079702</v>
      </c>
      <c r="C105">
        <f t="shared" si="6"/>
        <v>1.1007334064754151</v>
      </c>
      <c r="E105" s="113">
        <f t="shared" si="8"/>
        <v>98</v>
      </c>
      <c r="F105">
        <f t="shared" si="7"/>
        <v>0.37710360840585522</v>
      </c>
      <c r="G105">
        <f t="shared" si="9"/>
        <v>-2.7071407076691423E-3</v>
      </c>
    </row>
    <row r="106" spans="1:7" x14ac:dyDescent="0.35">
      <c r="A106">
        <f t="shared" si="5"/>
        <v>100</v>
      </c>
      <c r="B106">
        <v>-1.0561154940171853</v>
      </c>
      <c r="C106">
        <f t="shared" si="6"/>
        <v>-0.4435433102285542</v>
      </c>
      <c r="E106" s="113">
        <f t="shared" si="8"/>
        <v>99</v>
      </c>
      <c r="F106">
        <f t="shared" si="7"/>
        <v>1.1007334064754151</v>
      </c>
      <c r="G106">
        <f t="shared" si="9"/>
        <v>0.84066482828717681</v>
      </c>
    </row>
    <row r="107" spans="1:7" x14ac:dyDescent="0.35">
      <c r="A107">
        <f t="shared" si="5"/>
        <v>101</v>
      </c>
      <c r="B107">
        <v>0.22586923055446753</v>
      </c>
      <c r="C107">
        <f t="shared" si="6"/>
        <v>0.12661201219791668</v>
      </c>
      <c r="E107" s="113">
        <f t="shared" si="8"/>
        <v>100</v>
      </c>
      <c r="F107">
        <f t="shared" si="7"/>
        <v>-0.4435433102285542</v>
      </c>
      <c r="G107">
        <f t="shared" si="9"/>
        <v>-0.86064625107538772</v>
      </c>
    </row>
    <row r="108" spans="1:7" x14ac:dyDescent="0.35">
      <c r="A108">
        <f t="shared" si="5"/>
        <v>102</v>
      </c>
      <c r="B108">
        <v>0.57520223729110798</v>
      </c>
      <c r="C108">
        <f t="shared" si="6"/>
        <v>0.6186567997187562</v>
      </c>
      <c r="E108" s="113">
        <f t="shared" si="8"/>
        <v>101</v>
      </c>
      <c r="F108">
        <f t="shared" si="7"/>
        <v>0.12661201219791668</v>
      </c>
      <c r="G108">
        <f t="shared" si="9"/>
        <v>8.4333413880851638E-2</v>
      </c>
    </row>
    <row r="109" spans="1:7" x14ac:dyDescent="0.35">
      <c r="A109">
        <f t="shared" si="5"/>
        <v>103</v>
      </c>
      <c r="B109">
        <v>1.051358335168767</v>
      </c>
      <c r="C109">
        <f t="shared" si="6"/>
        <v>1.3693776475136747</v>
      </c>
      <c r="E109" s="113">
        <f t="shared" si="8"/>
        <v>102</v>
      </c>
      <c r="F109">
        <f t="shared" si="7"/>
        <v>0.6186567997187562</v>
      </c>
      <c r="G109">
        <f t="shared" si="9"/>
        <v>0.56569609114867703</v>
      </c>
    </row>
    <row r="110" spans="1:7" x14ac:dyDescent="0.35">
      <c r="A110">
        <f t="shared" si="5"/>
        <v>104</v>
      </c>
      <c r="B110">
        <v>1.3149534009556497E-2</v>
      </c>
      <c r="C110">
        <f t="shared" si="6"/>
        <v>0.76144222023537533</v>
      </c>
      <c r="E110" s="113">
        <f t="shared" si="8"/>
        <v>103</v>
      </c>
      <c r="F110">
        <f t="shared" si="7"/>
        <v>1.3693776475136747</v>
      </c>
      <c r="G110">
        <f t="shared" si="9"/>
        <v>1.1725165565962887</v>
      </c>
    </row>
    <row r="111" spans="1:7" x14ac:dyDescent="0.35">
      <c r="A111">
        <f t="shared" si="5"/>
        <v>105</v>
      </c>
      <c r="B111" s="4">
        <v>1.4243854081201066</v>
      </c>
      <c r="C111" s="4">
        <f t="shared" si="6"/>
        <v>1.9547650554829581</v>
      </c>
      <c r="E111" s="113">
        <f t="shared" si="8"/>
        <v>104</v>
      </c>
      <c r="F111">
        <f t="shared" si="7"/>
        <v>0.76144222023537533</v>
      </c>
      <c r="G111">
        <f t="shared" si="9"/>
        <v>0.29359970159317866</v>
      </c>
    </row>
    <row r="112" spans="1:7" x14ac:dyDescent="0.35">
      <c r="E112" s="10">
        <f t="shared" si="8"/>
        <v>105</v>
      </c>
      <c r="F112" s="4">
        <f t="shared" si="7"/>
        <v>1.9547650554829581</v>
      </c>
      <c r="G112" s="4">
        <f t="shared" si="9"/>
        <v>1.5501769314617686</v>
      </c>
    </row>
    <row r="113" spans="2:2" x14ac:dyDescent="0.35">
      <c r="B113" s="20" t="s">
        <v>226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47"/>
  <dimension ref="A1:S113"/>
  <sheetViews>
    <sheetView workbookViewId="0"/>
  </sheetViews>
  <sheetFormatPr defaultRowHeight="14.5" x14ac:dyDescent="0.35"/>
  <cols>
    <col min="1" max="1" width="4.81640625" customWidth="1"/>
    <col min="4" max="4" width="5.7265625" customWidth="1"/>
    <col min="5" max="5" width="7.7265625" customWidth="1"/>
    <col min="8" max="8" width="6.26953125" customWidth="1"/>
    <col min="10" max="11" width="9.81640625" customWidth="1"/>
    <col min="12" max="12" width="2.81640625" customWidth="1"/>
    <col min="13" max="13" width="36" customWidth="1"/>
    <col min="18" max="19" width="9.1796875" customWidth="1"/>
  </cols>
  <sheetData>
    <row r="1" spans="1:19" x14ac:dyDescent="0.35">
      <c r="A1" s="7" t="s">
        <v>224</v>
      </c>
    </row>
    <row r="2" spans="1:19" s="72" customFormat="1" x14ac:dyDescent="0.35"/>
    <row r="3" spans="1:19" s="72" customFormat="1" ht="15" customHeight="1" x14ac:dyDescent="0.35">
      <c r="A3" s="72" t="s">
        <v>225</v>
      </c>
      <c r="E3" s="72" t="s">
        <v>353</v>
      </c>
      <c r="I3" s="72" t="s">
        <v>355</v>
      </c>
      <c r="O3" s="72" t="s">
        <v>379</v>
      </c>
    </row>
    <row r="4" spans="1:19" s="72" customFormat="1" ht="15" thickBot="1" x14ac:dyDescent="0.4"/>
    <row r="5" spans="1:19" ht="15" thickTop="1" x14ac:dyDescent="0.35">
      <c r="B5" s="114" t="s">
        <v>107</v>
      </c>
      <c r="C5" s="114" t="s">
        <v>110</v>
      </c>
      <c r="E5" s="45" t="s">
        <v>291</v>
      </c>
      <c r="F5" s="45" t="s">
        <v>194</v>
      </c>
      <c r="G5" s="45" t="s">
        <v>354</v>
      </c>
      <c r="I5" s="45" t="s">
        <v>356</v>
      </c>
      <c r="J5" s="45" t="s">
        <v>357</v>
      </c>
      <c r="K5" s="45" t="s">
        <v>358</v>
      </c>
      <c r="O5" s="45" t="s">
        <v>380</v>
      </c>
      <c r="P5" s="45" t="s">
        <v>167</v>
      </c>
      <c r="Q5" s="45" t="s">
        <v>390</v>
      </c>
      <c r="R5" s="45" t="s">
        <v>391</v>
      </c>
      <c r="S5" s="45" t="s">
        <v>92</v>
      </c>
    </row>
    <row r="6" spans="1:19" x14ac:dyDescent="0.35">
      <c r="B6" s="115"/>
      <c r="C6" s="115"/>
      <c r="E6">
        <v>1</v>
      </c>
      <c r="F6">
        <f t="shared" ref="F6:F37" si="0">C7-K$7</f>
        <v>-7.030007746961946</v>
      </c>
      <c r="G6">
        <v>0</v>
      </c>
      <c r="I6" s="115">
        <v>1</v>
      </c>
      <c r="J6">
        <v>0.75099344092444753</v>
      </c>
      <c r="K6">
        <v>-0.48632527191137559</v>
      </c>
      <c r="O6" t="s">
        <v>381</v>
      </c>
      <c r="P6">
        <f>J6</f>
        <v>0.75099344092444753</v>
      </c>
      <c r="Q6" t="e" cm="1">
        <f t="array" aca="1" ref="Q6" ca="1">ARMA_SSE(F6:F110,P6,P7,0,1)</f>
        <v>#NAME?</v>
      </c>
      <c r="R6" t="e">
        <f ca="1">K17*(LN(Q6)-LN(K9))</f>
        <v>#NAME?</v>
      </c>
      <c r="S6" t="e">
        <f ca="1">CHIDIST(R6,1)</f>
        <v>#NAME?</v>
      </c>
    </row>
    <row r="7" spans="1:19" x14ac:dyDescent="0.35">
      <c r="A7">
        <v>1</v>
      </c>
      <c r="B7">
        <v>0.11767564756553417</v>
      </c>
      <c r="C7">
        <f t="shared" ref="C7:C38" si="1">3+0.7*C6+B7-0.2*B6</f>
        <v>3.1176756475655343</v>
      </c>
      <c r="E7">
        <f t="shared" ref="E7:E38" si="2">E6+1</f>
        <v>2</v>
      </c>
      <c r="F7">
        <f t="shared" si="0"/>
        <v>-4.3394323087285525</v>
      </c>
      <c r="G7">
        <f t="shared" ref="G7:G38" si="3">F7-SUMPRODUCT(F6,J$6)-SUMPRODUCT(G6,K$6)</f>
        <v>0.94005739888792217</v>
      </c>
      <c r="I7" s="10" t="s">
        <v>359</v>
      </c>
      <c r="J7" s="4">
        <f>K7*(1-SUM(J6))</f>
        <v>2.5268397246594096</v>
      </c>
      <c r="K7" s="4">
        <v>10.14768339452748</v>
      </c>
      <c r="O7" t="s">
        <v>382</v>
      </c>
      <c r="P7">
        <f>K6</f>
        <v>-0.48632527191137559</v>
      </c>
      <c r="Q7" t="e" cm="1">
        <f t="array" aca="1" ref="Q7" ca="1">ARMA_SSE(F6:F110,P6,P7,0,,1)</f>
        <v>#NAME?</v>
      </c>
      <c r="R7" t="e">
        <f ca="1">K17*(LN(Q7)-LN(K9))</f>
        <v>#NAME?</v>
      </c>
      <c r="S7" t="e">
        <f ca="1">CHIDIST(R7,1)</f>
        <v>#NAME?</v>
      </c>
    </row>
    <row r="8" spans="1:19" x14ac:dyDescent="0.35">
      <c r="A8">
        <f t="shared" ref="A8:A39" si="4">A7+1</f>
        <v>2</v>
      </c>
      <c r="B8">
        <v>0.64941326201616068</v>
      </c>
      <c r="C8">
        <f t="shared" si="1"/>
        <v>5.8082510857989273</v>
      </c>
      <c r="E8">
        <f t="shared" si="2"/>
        <v>3</v>
      </c>
      <c r="F8">
        <f t="shared" si="0"/>
        <v>-5.2409147961457041</v>
      </c>
      <c r="G8">
        <f t="shared" si="3"/>
        <v>-1.5248559248284599</v>
      </c>
      <c r="O8" s="4" t="s">
        <v>359</v>
      </c>
      <c r="P8" s="4">
        <f>J7</f>
        <v>2.5268397246594096</v>
      </c>
      <c r="Q8" s="4" t="e" cm="1">
        <f t="array" aca="1" ref="Q8" ca="1">ARMA_SSE(F6:F110,P6,P7,K7)</f>
        <v>#NAME?</v>
      </c>
      <c r="R8" s="4" t="e">
        <f ca="1">K17*(LN(Q8)-LN(K9))</f>
        <v>#NAME?</v>
      </c>
      <c r="S8" s="4" t="e">
        <f ca="1">CHIDIST(R8,1)</f>
        <v>#NAME?</v>
      </c>
    </row>
    <row r="9" spans="1:19" x14ac:dyDescent="0.35">
      <c r="A9">
        <f t="shared" si="4"/>
        <v>3</v>
      </c>
      <c r="B9">
        <v>-2.0291245092742414</v>
      </c>
      <c r="C9">
        <f t="shared" si="1"/>
        <v>4.9067685983817757</v>
      </c>
      <c r="E9">
        <f t="shared" si="2"/>
        <v>4</v>
      </c>
      <c r="F9">
        <f t="shared" si="0"/>
        <v>-4.0282089122672371</v>
      </c>
      <c r="G9">
        <f t="shared" si="3"/>
        <v>-0.8338922481857981</v>
      </c>
      <c r="J9" t="s">
        <v>121</v>
      </c>
      <c r="K9" s="49">
        <f>SUMSQ(G7:G110)</f>
        <v>109.15084715738651</v>
      </c>
    </row>
    <row r="10" spans="1:19" ht="15" thickBot="1" x14ac:dyDescent="0.4">
      <c r="A10">
        <f t="shared" si="4"/>
        <v>4</v>
      </c>
      <c r="B10">
        <v>-0.72108843846184933</v>
      </c>
      <c r="C10">
        <f t="shared" si="1"/>
        <v>6.1194744822602427</v>
      </c>
      <c r="E10">
        <f t="shared" si="2"/>
        <v>5</v>
      </c>
      <c r="F10">
        <f t="shared" si="0"/>
        <v>-2.0123570827617723</v>
      </c>
      <c r="G10">
        <f t="shared" si="3"/>
        <v>0.60725851468057956</v>
      </c>
    </row>
    <row r="11" spans="1:19" ht="15" thickTop="1" x14ac:dyDescent="0.35">
      <c r="A11">
        <f t="shared" si="4"/>
        <v>5</v>
      </c>
      <c r="B11">
        <v>0.70747648649116823</v>
      </c>
      <c r="C11">
        <f t="shared" si="1"/>
        <v>8.1353263117657075</v>
      </c>
      <c r="E11">
        <f t="shared" si="2"/>
        <v>6</v>
      </c>
      <c r="F11">
        <f t="shared" si="0"/>
        <v>-0.80281596788150544</v>
      </c>
      <c r="G11">
        <f t="shared" si="3"/>
        <v>1.0037761643429719</v>
      </c>
      <c r="J11" t="s">
        <v>364</v>
      </c>
      <c r="K11" s="118">
        <f>AVERAGE(G7:G110)</f>
        <v>5.7767720864881911E-4</v>
      </c>
      <c r="M11" t="e" cm="1">
        <f t="array" aca="1" ref="M11" ca="1">FTEXT(K11)</f>
        <v>#NAME?</v>
      </c>
      <c r="O11" s="45" t="s">
        <v>380</v>
      </c>
      <c r="P11" s="45" t="s">
        <v>167</v>
      </c>
      <c r="Q11" s="45" t="s">
        <v>392</v>
      </c>
      <c r="R11" s="45" t="s">
        <v>88</v>
      </c>
      <c r="S11" s="45" t="s">
        <v>92</v>
      </c>
    </row>
    <row r="12" spans="1:19" x14ac:dyDescent="0.35">
      <c r="A12">
        <f t="shared" si="4"/>
        <v>6</v>
      </c>
      <c r="B12">
        <v>0.79163430570821358</v>
      </c>
      <c r="C12">
        <f t="shared" si="1"/>
        <v>9.3448674266459744</v>
      </c>
      <c r="E12">
        <f t="shared" si="2"/>
        <v>7</v>
      </c>
      <c r="F12">
        <f t="shared" si="0"/>
        <v>-1.0000327106403208</v>
      </c>
      <c r="G12">
        <f t="shared" si="3"/>
        <v>9.103853157035513E-2</v>
      </c>
      <c r="J12" t="s">
        <v>365</v>
      </c>
      <c r="K12" s="24">
        <f>STDEV(G7:G110)</f>
        <v>1.0294253861947467</v>
      </c>
      <c r="M12" t="e" cm="1">
        <f t="array" aca="1" ref="M12" ca="1">FTEXT(K12)</f>
        <v>#NAME?</v>
      </c>
      <c r="O12" s="4" t="s">
        <v>120</v>
      </c>
      <c r="P12" s="4">
        <f>K15</f>
        <v>-0.22770272959628904</v>
      </c>
      <c r="Q12" s="4">
        <f>-P12/(K16/SQRT(K17))</f>
        <v>1.7419814194640035</v>
      </c>
      <c r="R12" s="104">
        <f>K17-1</f>
        <v>103</v>
      </c>
      <c r="S12" s="4">
        <f>TDIST(ABS(Q12),R12,2)</f>
        <v>8.4496862986639151E-2</v>
      </c>
    </row>
    <row r="13" spans="1:19" x14ac:dyDescent="0.35">
      <c r="A13">
        <f t="shared" si="4"/>
        <v>7</v>
      </c>
      <c r="B13">
        <v>-0.23542965362337992</v>
      </c>
      <c r="C13">
        <f t="shared" si="1"/>
        <v>9.147650683887159</v>
      </c>
      <c r="E13">
        <f t="shared" si="2"/>
        <v>8</v>
      </c>
      <c r="F13">
        <f t="shared" si="0"/>
        <v>-2.0461901132245011</v>
      </c>
      <c r="G13">
        <f t="shared" si="3"/>
        <v>-1.2508977682033589</v>
      </c>
      <c r="J13" t="s">
        <v>366</v>
      </c>
      <c r="K13" s="24">
        <f>SQRT(K9/K17)</f>
        <v>1.024464433991406</v>
      </c>
      <c r="M13" t="e" cm="1">
        <f t="array" aca="1" ref="M13" ca="1">FTEXT(K13)</f>
        <v>#NAME?</v>
      </c>
    </row>
    <row r="14" spans="1:19" x14ac:dyDescent="0.35">
      <c r="A14">
        <f t="shared" si="4"/>
        <v>8</v>
      </c>
      <c r="B14">
        <v>-1.3489481281427076</v>
      </c>
      <c r="C14">
        <f t="shared" si="1"/>
        <v>8.1014932813029787</v>
      </c>
      <c r="E14">
        <f t="shared" si="2"/>
        <v>9</v>
      </c>
      <c r="F14">
        <f t="shared" si="0"/>
        <v>-1.2643653545509892E-3</v>
      </c>
      <c r="G14">
        <f t="shared" si="3"/>
        <v>0.92706779130667061</v>
      </c>
      <c r="J14" t="s">
        <v>388</v>
      </c>
      <c r="K14" s="24">
        <f>AVERAGE(C7:C111)</f>
        <v>9.8551968076229493</v>
      </c>
      <c r="M14" t="e" cm="1">
        <f t="array" aca="1" ref="M14" ca="1">FTEXT(K14)</f>
        <v>#NAME?</v>
      </c>
    </row>
    <row r="15" spans="1:19" x14ac:dyDescent="0.35">
      <c r="A15">
        <f t="shared" si="4"/>
        <v>9</v>
      </c>
      <c r="B15">
        <v>1.2055841066323034</v>
      </c>
      <c r="C15">
        <f t="shared" si="1"/>
        <v>10.146419029172929</v>
      </c>
      <c r="E15">
        <f t="shared" si="2"/>
        <v>10</v>
      </c>
      <c r="F15">
        <f t="shared" si="0"/>
        <v>0.89751295447669932</v>
      </c>
      <c r="G15">
        <f t="shared" si="3"/>
        <v>1.3493189802523942</v>
      </c>
      <c r="J15" t="s">
        <v>389</v>
      </c>
      <c r="K15" s="24">
        <f>AVERAGE(F7:F110)</f>
        <v>-0.22770272959628904</v>
      </c>
      <c r="M15" t="e" cm="1">
        <f t="array" aca="1" ref="M15" ca="1">FTEXT(K15)</f>
        <v>#NAME?</v>
      </c>
    </row>
    <row r="16" spans="1:19" x14ac:dyDescent="0.35">
      <c r="A16">
        <f t="shared" si="4"/>
        <v>10</v>
      </c>
      <c r="B16">
        <v>1.1838198499095893</v>
      </c>
      <c r="C16">
        <f t="shared" si="1"/>
        <v>11.045196349004179</v>
      </c>
      <c r="E16">
        <f t="shared" si="2"/>
        <v>11</v>
      </c>
      <c r="F16">
        <f t="shared" si="0"/>
        <v>-2.5105314344493479E-2</v>
      </c>
      <c r="G16">
        <f t="shared" si="3"/>
        <v>-4.2923736334791407E-2</v>
      </c>
      <c r="J16" t="s">
        <v>368</v>
      </c>
      <c r="K16" s="24">
        <f>STDEV(F7:F110)</f>
        <v>1.3330344957032549</v>
      </c>
      <c r="M16" t="e" cm="1">
        <f t="array" aca="1" ref="M16" ca="1">FTEXT(K16)</f>
        <v>#NAME?</v>
      </c>
    </row>
    <row r="17" spans="1:13" x14ac:dyDescent="0.35">
      <c r="A17">
        <f t="shared" si="4"/>
        <v>11</v>
      </c>
      <c r="B17">
        <v>-0.37229539413802176</v>
      </c>
      <c r="C17">
        <f t="shared" si="1"/>
        <v>10.122578080182986</v>
      </c>
      <c r="E17">
        <f t="shared" si="2"/>
        <v>12</v>
      </c>
      <c r="F17">
        <f t="shared" si="0"/>
        <v>2.5918849924568832E-2</v>
      </c>
      <c r="G17">
        <f t="shared" si="3"/>
        <v>2.3897878585160254E-2</v>
      </c>
      <c r="J17" t="s">
        <v>369</v>
      </c>
      <c r="K17" s="34">
        <f>COUNT(F7:F110)</f>
        <v>104</v>
      </c>
      <c r="M17" t="e" cm="1">
        <f t="array" aca="1" ref="M17" ca="1">FTEXT(K17)</f>
        <v>#NAME?</v>
      </c>
    </row>
    <row r="18" spans="1:13" x14ac:dyDescent="0.35">
      <c r="A18">
        <f t="shared" si="4"/>
        <v>12</v>
      </c>
      <c r="B18">
        <v>1.3338509496353779E-2</v>
      </c>
      <c r="C18">
        <f t="shared" si="1"/>
        <v>10.173602244452049</v>
      </c>
      <c r="E18">
        <f t="shared" si="2"/>
        <v>13</v>
      </c>
      <c r="F18">
        <f t="shared" si="0"/>
        <v>0.673626406365333</v>
      </c>
      <c r="G18">
        <f t="shared" si="3"/>
        <v>0.66578366237670983</v>
      </c>
      <c r="M18" t="e" cm="1">
        <f t="array" aca="1" ref="M18" ca="1">FTEXT(K18)</f>
        <v>#NAME?</v>
      </c>
    </row>
    <row r="19" spans="1:13" x14ac:dyDescent="0.35">
      <c r="A19">
        <f t="shared" si="4"/>
        <v>13</v>
      </c>
      <c r="B19">
        <v>0.70245593167564913</v>
      </c>
      <c r="C19">
        <f t="shared" si="1"/>
        <v>10.821309800892813</v>
      </c>
      <c r="E19">
        <f t="shared" si="2"/>
        <v>14</v>
      </c>
      <c r="F19">
        <f t="shared" si="0"/>
        <v>-6.3620144953523194E-2</v>
      </c>
      <c r="G19">
        <f t="shared" si="3"/>
        <v>-0.24572173712788986</v>
      </c>
      <c r="J19" t="s">
        <v>361</v>
      </c>
      <c r="K19" s="118">
        <v>1</v>
      </c>
    </row>
    <row r="20" spans="1:13" x14ac:dyDescent="0.35">
      <c r="A20">
        <f t="shared" si="4"/>
        <v>14</v>
      </c>
      <c r="B20">
        <v>-0.35036242471588258</v>
      </c>
      <c r="C20">
        <f t="shared" si="1"/>
        <v>10.084063249573957</v>
      </c>
      <c r="E20">
        <f t="shared" si="2"/>
        <v>15</v>
      </c>
      <c r="F20">
        <f t="shared" si="0"/>
        <v>0.19837066102799739</v>
      </c>
      <c r="G20">
        <f t="shared" si="3"/>
        <v>0.12664828197549932</v>
      </c>
      <c r="J20" t="s">
        <v>362</v>
      </c>
      <c r="K20" s="34">
        <v>1</v>
      </c>
    </row>
    <row r="21" spans="1:13" x14ac:dyDescent="0.35">
      <c r="A21">
        <f t="shared" si="4"/>
        <v>15</v>
      </c>
      <c r="B21">
        <v>0.21713729591053152</v>
      </c>
      <c r="C21">
        <f t="shared" si="1"/>
        <v>10.346054055555477</v>
      </c>
      <c r="E21">
        <f t="shared" si="2"/>
        <v>16</v>
      </c>
      <c r="F21">
        <f t="shared" si="0"/>
        <v>-0.45548045522488501</v>
      </c>
      <c r="G21">
        <f t="shared" si="3"/>
        <v>-0.54286326035991472</v>
      </c>
    </row>
    <row r="22" spans="1:13" x14ac:dyDescent="0.35">
      <c r="A22">
        <f t="shared" si="4"/>
        <v>16</v>
      </c>
      <c r="B22">
        <v>-0.50660744040413153</v>
      </c>
      <c r="C22">
        <f t="shared" si="1"/>
        <v>9.6922029393025948</v>
      </c>
      <c r="E22">
        <f t="shared" si="2"/>
        <v>17</v>
      </c>
      <c r="F22">
        <f t="shared" si="0"/>
        <v>1.0578913760983877</v>
      </c>
      <c r="G22">
        <f t="shared" si="3"/>
        <v>1.1359460877363265</v>
      </c>
      <c r="J22" t="s">
        <v>370</v>
      </c>
      <c r="K22" s="109">
        <f>-(K25-2*(K19+K20+2))/2</f>
        <v>-150.08328460523256</v>
      </c>
      <c r="M22" t="e" cm="1">
        <f t="array" aca="1" ref="M22" ca="1">FTEXT(K22)</f>
        <v>#NAME?</v>
      </c>
    </row>
    <row r="23" spans="1:13" x14ac:dyDescent="0.35">
      <c r="A23">
        <f t="shared" si="4"/>
        <v>17</v>
      </c>
      <c r="B23">
        <v>1.3197112250332261</v>
      </c>
      <c r="C23">
        <f t="shared" si="1"/>
        <v>11.205574770625867</v>
      </c>
      <c r="E23">
        <f t="shared" si="2"/>
        <v>18</v>
      </c>
      <c r="F23">
        <f t="shared" si="0"/>
        <v>2.5044330219873654</v>
      </c>
      <c r="G23">
        <f t="shared" si="3"/>
        <v>2.2624028273219707</v>
      </c>
      <c r="J23" t="s">
        <v>145</v>
      </c>
      <c r="K23" s="107">
        <f>K17*LN(K9/K17)+2*(K19+K20+2)</f>
        <v>13.02735430389321</v>
      </c>
      <c r="M23" t="e" cm="1">
        <f t="array" aca="1" ref="M23" ca="1">FTEXT(K23)</f>
        <v>#NAME?</v>
      </c>
    </row>
    <row r="24" spans="1:13" x14ac:dyDescent="0.35">
      <c r="A24">
        <f t="shared" si="4"/>
        <v>18</v>
      </c>
      <c r="B24">
        <v>2.0721563220833827</v>
      </c>
      <c r="C24">
        <f t="shared" si="1"/>
        <v>12.652116416514845</v>
      </c>
      <c r="E24">
        <f t="shared" si="2"/>
        <v>19</v>
      </c>
      <c r="F24">
        <f t="shared" si="0"/>
        <v>3.2586457741079187</v>
      </c>
      <c r="G24">
        <f t="shared" si="3"/>
        <v>2.4780966715312367</v>
      </c>
      <c r="J24" t="s">
        <v>371</v>
      </c>
      <c r="K24" s="107">
        <f>K17*LN(K9/K17)+LN(K17)*(K19+K20+2)</f>
        <v>23.604917900458702</v>
      </c>
      <c r="M24" t="e" cm="1">
        <f t="array" aca="1" ref="M24" ca="1">FTEXT(K24)</f>
        <v>#NAME?</v>
      </c>
    </row>
    <row r="25" spans="1:13" x14ac:dyDescent="0.35">
      <c r="A25">
        <f t="shared" si="4"/>
        <v>19</v>
      </c>
      <c r="B25">
        <v>1.9642789414916844</v>
      </c>
      <c r="C25">
        <f t="shared" si="1"/>
        <v>13.406329168635398</v>
      </c>
      <c r="E25">
        <f t="shared" si="2"/>
        <v>20</v>
      </c>
      <c r="F25">
        <f t="shared" si="0"/>
        <v>2.0835345356564954</v>
      </c>
      <c r="G25">
        <f t="shared" si="3"/>
        <v>0.84147397061038287</v>
      </c>
      <c r="J25" t="s">
        <v>372</v>
      </c>
      <c r="K25" s="107">
        <f>K17*(1+LN(2*PI()))+K23</f>
        <v>308.16656921046513</v>
      </c>
      <c r="M25" t="e" cm="1">
        <f t="array" aca="1" ref="M25" ca="1">FTEXT(K25)</f>
        <v>#NAME?</v>
      </c>
    </row>
    <row r="26" spans="1:13" x14ac:dyDescent="0.35">
      <c r="A26">
        <f t="shared" si="4"/>
        <v>20</v>
      </c>
      <c r="B26">
        <v>0.23964330043753548</v>
      </c>
      <c r="C26">
        <f t="shared" si="1"/>
        <v>12.231217930183975</v>
      </c>
      <c r="E26">
        <f t="shared" si="2"/>
        <v>21</v>
      </c>
      <c r="F26">
        <f t="shared" si="0"/>
        <v>1.9692910614317576</v>
      </c>
      <c r="G26">
        <f t="shared" si="3"/>
        <v>0.81380034877760443</v>
      </c>
      <c r="J26" t="s">
        <v>373</v>
      </c>
      <c r="K26" s="108">
        <f>K17*(1+LN(2*PI()))+K24</f>
        <v>318.74413280703061</v>
      </c>
      <c r="M26" t="e" cm="1">
        <f t="array" aca="1" ref="M26" ca="1">FTEXT(K26)</f>
        <v>#NAME?</v>
      </c>
    </row>
    <row r="27" spans="1:13" x14ac:dyDescent="0.35">
      <c r="A27">
        <f t="shared" si="4"/>
        <v>21</v>
      </c>
      <c r="B27">
        <v>0.60305056491796249</v>
      </c>
      <c r="C27">
        <f t="shared" si="1"/>
        <v>12.116974455959237</v>
      </c>
      <c r="E27">
        <f t="shared" si="2"/>
        <v>22</v>
      </c>
      <c r="F27">
        <f t="shared" si="0"/>
        <v>0.31220549983343027</v>
      </c>
      <c r="G27">
        <f t="shared" si="3"/>
        <v>-0.7709474946721222</v>
      </c>
    </row>
    <row r="28" spans="1:13" x14ac:dyDescent="0.35">
      <c r="A28">
        <f t="shared" si="4"/>
        <v>22</v>
      </c>
      <c r="B28">
        <v>-0.90138311182696351</v>
      </c>
      <c r="C28">
        <f t="shared" si="1"/>
        <v>10.45988889436091</v>
      </c>
      <c r="E28">
        <f t="shared" si="2"/>
        <v>23</v>
      </c>
      <c r="F28">
        <f t="shared" si="0"/>
        <v>-0.70122572344625311</v>
      </c>
      <c r="G28">
        <f t="shared" si="3"/>
        <v>-1.3106212560175114</v>
      </c>
    </row>
    <row r="29" spans="1:13" x14ac:dyDescent="0.35">
      <c r="A29">
        <f t="shared" si="4"/>
        <v>23</v>
      </c>
      <c r="B29">
        <v>-1.0557411773368031</v>
      </c>
      <c r="C29">
        <f t="shared" si="1"/>
        <v>9.4464576710812267</v>
      </c>
      <c r="E29">
        <f t="shared" si="2"/>
        <v>24</v>
      </c>
      <c r="F29">
        <f t="shared" si="0"/>
        <v>1.0333470402668414</v>
      </c>
      <c r="G29">
        <f t="shared" si="3"/>
        <v>0.92257472047693312</v>
      </c>
    </row>
    <row r="30" spans="1:13" x14ac:dyDescent="0.35">
      <c r="A30">
        <f t="shared" si="4"/>
        <v>24</v>
      </c>
      <c r="B30">
        <v>1.357361829570102</v>
      </c>
      <c r="C30">
        <f t="shared" si="1"/>
        <v>11.181030434794321</v>
      </c>
      <c r="E30">
        <f t="shared" si="2"/>
        <v>25</v>
      </c>
      <c r="F30">
        <f t="shared" si="0"/>
        <v>-2.5623231781818046</v>
      </c>
      <c r="G30">
        <f t="shared" si="3"/>
        <v>-2.8896886258263876</v>
      </c>
    </row>
    <row r="31" spans="1:13" x14ac:dyDescent="0.35">
      <c r="A31">
        <f t="shared" si="4"/>
        <v>25</v>
      </c>
      <c r="B31">
        <v>-2.969888722096329</v>
      </c>
      <c r="C31">
        <f t="shared" si="1"/>
        <v>7.5853602163456753</v>
      </c>
      <c r="E31">
        <f t="shared" si="2"/>
        <v>26</v>
      </c>
      <c r="F31">
        <f t="shared" si="0"/>
        <v>0.83084846688418779</v>
      </c>
      <c r="G31">
        <f t="shared" si="3"/>
        <v>1.3498077605331802</v>
      </c>
    </row>
    <row r="32" spans="1:13" x14ac:dyDescent="0.35">
      <c r="A32">
        <f t="shared" si="4"/>
        <v>26</v>
      </c>
      <c r="B32">
        <v>2.0748019655504284</v>
      </c>
      <c r="C32">
        <f t="shared" si="1"/>
        <v>10.978531861411668</v>
      </c>
      <c r="E32">
        <f t="shared" si="2"/>
        <v>27</v>
      </c>
      <c r="F32">
        <f t="shared" si="0"/>
        <v>0.40254181409825662</v>
      </c>
      <c r="G32">
        <f t="shared" si="3"/>
        <v>0.4350256912354824</v>
      </c>
    </row>
    <row r="33" spans="1:7" x14ac:dyDescent="0.35">
      <c r="A33">
        <f t="shared" si="4"/>
        <v>27</v>
      </c>
      <c r="B33">
        <v>0.28021329874765349</v>
      </c>
      <c r="C33">
        <f t="shared" si="1"/>
        <v>10.550225208625736</v>
      </c>
      <c r="E33">
        <f t="shared" si="2"/>
        <v>28</v>
      </c>
      <c r="F33">
        <f t="shared" si="0"/>
        <v>1.0797780365175154</v>
      </c>
      <c r="G33">
        <f t="shared" si="3"/>
        <v>0.98903576201042653</v>
      </c>
    </row>
    <row r="34" spans="1:7" x14ac:dyDescent="0.35">
      <c r="A34">
        <f t="shared" si="4"/>
        <v>28</v>
      </c>
      <c r="B34">
        <v>0.89834644475651204</v>
      </c>
      <c r="C34">
        <f t="shared" si="1"/>
        <v>11.227461431044995</v>
      </c>
      <c r="E34">
        <f t="shared" si="2"/>
        <v>29</v>
      </c>
      <c r="F34">
        <f t="shared" si="0"/>
        <v>-1.0715120689957924</v>
      </c>
      <c r="G34">
        <f t="shared" si="3"/>
        <v>-1.4014252061849299</v>
      </c>
    </row>
    <row r="35" spans="1:7" x14ac:dyDescent="0.35">
      <c r="A35">
        <f t="shared" si="4"/>
        <v>29</v>
      </c>
      <c r="B35">
        <v>-1.6033823872485062</v>
      </c>
      <c r="C35">
        <f t="shared" si="1"/>
        <v>9.0761713255316874</v>
      </c>
      <c r="E35">
        <f t="shared" si="2"/>
        <v>30</v>
      </c>
      <c r="F35">
        <f t="shared" si="0"/>
        <v>-0.23818774361894235</v>
      </c>
      <c r="G35">
        <f t="shared" si="3"/>
        <v>-0.11503770239305988</v>
      </c>
    </row>
    <row r="36" spans="1:7" x14ac:dyDescent="0.35">
      <c r="A36">
        <f t="shared" si="4"/>
        <v>30</v>
      </c>
      <c r="B36">
        <v>0.23549924558665486</v>
      </c>
      <c r="C36">
        <f t="shared" si="1"/>
        <v>9.9094956509085375</v>
      </c>
      <c r="E36">
        <f t="shared" si="2"/>
        <v>31</v>
      </c>
      <c r="F36">
        <f t="shared" si="0"/>
        <v>1.5359521764536588</v>
      </c>
      <c r="G36">
        <f t="shared" si="3"/>
        <v>1.6588838677237137</v>
      </c>
    </row>
    <row r="37" spans="1:7" x14ac:dyDescent="0.35">
      <c r="A37">
        <f t="shared" si="4"/>
        <v>31</v>
      </c>
      <c r="B37">
        <v>1.7940884644624944</v>
      </c>
      <c r="C37">
        <f t="shared" si="1"/>
        <v>11.683635570981139</v>
      </c>
      <c r="E37">
        <f t="shared" si="2"/>
        <v>32</v>
      </c>
      <c r="F37">
        <f t="shared" si="0"/>
        <v>-0.75856528548182389</v>
      </c>
      <c r="G37">
        <f t="shared" si="3"/>
        <v>-1.1052981475320218</v>
      </c>
    </row>
    <row r="38" spans="1:7" x14ac:dyDescent="0.35">
      <c r="A38">
        <f t="shared" si="4"/>
        <v>32</v>
      </c>
      <c r="B38">
        <v>-1.4306090977486423</v>
      </c>
      <c r="C38">
        <f t="shared" si="1"/>
        <v>9.3891181090456559</v>
      </c>
      <c r="E38">
        <f t="shared" si="2"/>
        <v>33</v>
      </c>
      <c r="F38">
        <f t="shared" ref="F38:F69" si="5">C39-K$7</f>
        <v>1.1332839584360812</v>
      </c>
      <c r="G38">
        <f t="shared" si="3"/>
        <v>1.1654270902042618</v>
      </c>
    </row>
    <row r="39" spans="1:7" x14ac:dyDescent="0.35">
      <c r="A39">
        <f t="shared" si="4"/>
        <v>33</v>
      </c>
      <c r="B39">
        <v>1.422462857081874</v>
      </c>
      <c r="C39">
        <f t="shared" ref="C39:C70" si="6">3+0.7*C38+B39-0.2*B38</f>
        <v>11.280967352963561</v>
      </c>
      <c r="E39">
        <f t="shared" ref="E39:E71" si="7">E38+1</f>
        <v>34</v>
      </c>
      <c r="F39">
        <f t="shared" si="5"/>
        <v>-1.0699833401901113</v>
      </c>
      <c r="G39">
        <f t="shared" ref="G39:G70" si="8">F39-SUMPRODUCT(F38,J$6)-SUMPRODUCT(G38,K$6)</f>
        <v>-1.3542955131440317</v>
      </c>
    </row>
    <row r="40" spans="1:7" x14ac:dyDescent="0.35">
      <c r="A40">
        <f t="shared" ref="A40:A71" si="9">A39+1</f>
        <v>34</v>
      </c>
      <c r="B40">
        <v>-1.5344845213207499</v>
      </c>
      <c r="C40">
        <f t="shared" si="6"/>
        <v>9.0777000543373685</v>
      </c>
      <c r="E40">
        <f t="shared" si="7"/>
        <v>35</v>
      </c>
      <c r="F40">
        <f t="shared" si="5"/>
        <v>-0.72583131481728991</v>
      </c>
      <c r="G40">
        <f t="shared" si="8"/>
        <v>-0.5809089781142116</v>
      </c>
    </row>
    <row r="41" spans="1:7" x14ac:dyDescent="0.35">
      <c r="A41">
        <f t="shared" si="9"/>
        <v>35</v>
      </c>
      <c r="B41">
        <v>-0.23943486259011701</v>
      </c>
      <c r="C41">
        <f t="shared" si="6"/>
        <v>9.4218520797101899</v>
      </c>
      <c r="E41">
        <f t="shared" si="7"/>
        <v>36</v>
      </c>
      <c r="F41">
        <f t="shared" si="5"/>
        <v>0.62098737219874245</v>
      </c>
      <c r="G41">
        <f t="shared" si="8"/>
        <v>0.88357121210694167</v>
      </c>
    </row>
    <row r="42" spans="1:7" x14ac:dyDescent="0.35">
      <c r="A42">
        <f t="shared" si="9"/>
        <v>36</v>
      </c>
      <c r="B42">
        <v>1.1254873384110666</v>
      </c>
      <c r="C42">
        <f t="shared" si="6"/>
        <v>10.768670766726222</v>
      </c>
      <c r="E42">
        <f t="shared" si="7"/>
        <v>37</v>
      </c>
      <c r="F42">
        <f t="shared" si="5"/>
        <v>-0.10299696830686855</v>
      </c>
      <c r="G42">
        <f t="shared" si="8"/>
        <v>-0.13965140174406065</v>
      </c>
    </row>
    <row r="43" spans="1:7" x14ac:dyDescent="0.35">
      <c r="A43">
        <f t="shared" si="9"/>
        <v>37</v>
      </c>
      <c r="B43">
        <v>-0.26828564280553124</v>
      </c>
      <c r="C43">
        <f t="shared" si="6"/>
        <v>10.044686426220611</v>
      </c>
      <c r="E43">
        <f t="shared" si="7"/>
        <v>38</v>
      </c>
      <c r="F43">
        <f t="shared" si="5"/>
        <v>-0.6450358536553864</v>
      </c>
      <c r="G43">
        <f t="shared" si="8"/>
        <v>-0.63560181194780996</v>
      </c>
    </row>
    <row r="44" spans="1:7" x14ac:dyDescent="0.35">
      <c r="A44">
        <f t="shared" si="9"/>
        <v>38</v>
      </c>
      <c r="B44">
        <v>-0.5822900860434399</v>
      </c>
      <c r="C44">
        <f t="shared" si="6"/>
        <v>9.5026475408720934</v>
      </c>
      <c r="E44">
        <f t="shared" si="7"/>
        <v>39</v>
      </c>
      <c r="F44">
        <f t="shared" si="5"/>
        <v>1.8689517506824096</v>
      </c>
      <c r="G44">
        <f t="shared" si="8"/>
        <v>2.0442602219158248</v>
      </c>
    </row>
    <row r="45" spans="1:7" x14ac:dyDescent="0.35">
      <c r="A45">
        <f t="shared" si="9"/>
        <v>39</v>
      </c>
      <c r="B45">
        <v>2.2483238493907369</v>
      </c>
      <c r="C45">
        <f t="shared" si="6"/>
        <v>12.016635145209889</v>
      </c>
      <c r="E45">
        <f t="shared" si="7"/>
        <v>40</v>
      </c>
      <c r="F45">
        <f t="shared" si="5"/>
        <v>-0.54010097006392499</v>
      </c>
      <c r="G45">
        <f t="shared" si="8"/>
        <v>-0.94949606794985542</v>
      </c>
    </row>
    <row r="46" spans="1:7" x14ac:dyDescent="0.35">
      <c r="A46">
        <f t="shared" si="9"/>
        <v>40</v>
      </c>
      <c r="B46">
        <v>-1.3543974073052196</v>
      </c>
      <c r="C46">
        <f t="shared" si="6"/>
        <v>9.6075824244635548</v>
      </c>
      <c r="E46">
        <f t="shared" si="7"/>
        <v>41</v>
      </c>
      <c r="F46">
        <f t="shared" si="5"/>
        <v>0.33111531208253986</v>
      </c>
      <c r="G46">
        <f t="shared" si="8"/>
        <v>0.27496366461298349</v>
      </c>
    </row>
    <row r="47" spans="1:7" x14ac:dyDescent="0.35">
      <c r="A47">
        <f t="shared" si="9"/>
        <v>41</v>
      </c>
      <c r="B47">
        <v>0.48261152802448637</v>
      </c>
      <c r="C47">
        <f t="shared" si="6"/>
        <v>10.47879870661002</v>
      </c>
      <c r="E47">
        <f t="shared" si="7"/>
        <v>42</v>
      </c>
      <c r="F47">
        <f t="shared" si="5"/>
        <v>-1.653739840934243E-2</v>
      </c>
      <c r="G47">
        <f t="shared" si="8"/>
        <v>-0.13148104701432387</v>
      </c>
    </row>
    <row r="48" spans="1:7" x14ac:dyDescent="0.35">
      <c r="A48">
        <f t="shared" si="9"/>
        <v>42</v>
      </c>
      <c r="B48">
        <v>-0.10749079290397744</v>
      </c>
      <c r="C48">
        <f t="shared" si="6"/>
        <v>10.131145996118137</v>
      </c>
      <c r="E48">
        <f t="shared" si="7"/>
        <v>43</v>
      </c>
      <c r="F48">
        <f t="shared" si="5"/>
        <v>-0.83743040143353475</v>
      </c>
      <c r="G48">
        <f t="shared" si="8"/>
        <v>-0.88895347963859761</v>
      </c>
    </row>
    <row r="49" spans="1:7" x14ac:dyDescent="0.35">
      <c r="A49">
        <f t="shared" si="9"/>
        <v>43</v>
      </c>
      <c r="B49">
        <v>-0.80304736276954691</v>
      </c>
      <c r="C49">
        <f t="shared" si="6"/>
        <v>9.3102529930939451</v>
      </c>
      <c r="E49">
        <f t="shared" si="7"/>
        <v>44</v>
      </c>
      <c r="F49">
        <f t="shared" si="5"/>
        <v>-0.1944459375475649</v>
      </c>
      <c r="G49">
        <f t="shared" si="8"/>
        <v>2.1382584579422992E-3</v>
      </c>
    </row>
    <row r="50" spans="1:7" x14ac:dyDescent="0.35">
      <c r="A50">
        <f t="shared" si="9"/>
        <v>44</v>
      </c>
      <c r="B50">
        <v>0.2754508892602448</v>
      </c>
      <c r="C50">
        <f t="shared" si="6"/>
        <v>9.9532374569799149</v>
      </c>
      <c r="E50">
        <f t="shared" si="7"/>
        <v>45</v>
      </c>
      <c r="F50">
        <f t="shared" si="5"/>
        <v>-0.21560042049791939</v>
      </c>
      <c r="G50">
        <f t="shared" si="8"/>
        <v>-6.8532907659317813E-2</v>
      </c>
    </row>
    <row r="51" spans="1:7" x14ac:dyDescent="0.35">
      <c r="A51">
        <f t="shared" si="9"/>
        <v>45</v>
      </c>
      <c r="B51">
        <v>1.9906931995671073E-2</v>
      </c>
      <c r="C51">
        <f t="shared" si="6"/>
        <v>9.9320829740295604</v>
      </c>
      <c r="E51">
        <f t="shared" si="7"/>
        <v>46</v>
      </c>
      <c r="F51">
        <f t="shared" si="5"/>
        <v>1.4874185849611354</v>
      </c>
      <c r="G51">
        <f t="shared" si="8"/>
        <v>1.6160038016633307</v>
      </c>
    </row>
    <row r="52" spans="1:7" x14ac:dyDescent="0.35">
      <c r="A52">
        <f t="shared" si="9"/>
        <v>46</v>
      </c>
      <c r="B52">
        <v>1.686625284067059</v>
      </c>
      <c r="C52">
        <f t="shared" si="6"/>
        <v>11.635101979488615</v>
      </c>
      <c r="E52">
        <f t="shared" si="7"/>
        <v>47</v>
      </c>
      <c r="F52">
        <f t="shared" si="5"/>
        <v>0.28055942787071153</v>
      </c>
      <c r="G52">
        <f t="shared" si="8"/>
        <v>-5.057868509048824E-2</v>
      </c>
    </row>
    <row r="53" spans="1:7" x14ac:dyDescent="0.35">
      <c r="A53">
        <f t="shared" si="9"/>
        <v>47</v>
      </c>
      <c r="B53">
        <v>-0.37900350643042602</v>
      </c>
      <c r="C53">
        <f t="shared" si="6"/>
        <v>10.428242822398191</v>
      </c>
      <c r="E53">
        <f t="shared" si="7"/>
        <v>48</v>
      </c>
      <c r="F53">
        <f t="shared" si="5"/>
        <v>-0.45345270877771959</v>
      </c>
      <c r="G53">
        <f t="shared" si="8"/>
        <v>-0.68874869167769104</v>
      </c>
    </row>
    <row r="54" spans="1:7" x14ac:dyDescent="0.35">
      <c r="A54">
        <f t="shared" si="9"/>
        <v>48</v>
      </c>
      <c r="B54">
        <v>-0.68133999121505795</v>
      </c>
      <c r="C54">
        <f t="shared" si="6"/>
        <v>9.6942306857497602</v>
      </c>
      <c r="E54">
        <f t="shared" si="7"/>
        <v>49</v>
      </c>
      <c r="F54">
        <f t="shared" si="5"/>
        <v>2.1353357849278609E-2</v>
      </c>
      <c r="G54">
        <f t="shared" si="8"/>
        <v>2.6937473152012392E-2</v>
      </c>
    </row>
    <row r="55" spans="1:7" x14ac:dyDescent="0.35">
      <c r="A55">
        <f t="shared" si="9"/>
        <v>49</v>
      </c>
      <c r="B55">
        <v>0.24680727410891506</v>
      </c>
      <c r="C55">
        <f t="shared" si="6"/>
        <v>10.169036752376758</v>
      </c>
      <c r="E55">
        <f t="shared" si="7"/>
        <v>50</v>
      </c>
      <c r="F55">
        <f t="shared" si="5"/>
        <v>0.33897231806253458</v>
      </c>
      <c r="G55">
        <f t="shared" si="8"/>
        <v>0.3360364603312716</v>
      </c>
    </row>
    <row r="56" spans="1:7" x14ac:dyDescent="0.35">
      <c r="A56">
        <f t="shared" si="9"/>
        <v>50</v>
      </c>
      <c r="B56">
        <v>0.4176914407480673</v>
      </c>
      <c r="C56">
        <f t="shared" si="6"/>
        <v>10.486655712590014</v>
      </c>
      <c r="E56">
        <f t="shared" si="7"/>
        <v>51</v>
      </c>
      <c r="F56">
        <f t="shared" si="5"/>
        <v>0.50846624552533726</v>
      </c>
      <c r="G56">
        <f t="shared" si="8"/>
        <v>0.41732328094815996</v>
      </c>
    </row>
    <row r="57" spans="1:7" x14ac:dyDescent="0.35">
      <c r="A57">
        <f t="shared" si="9"/>
        <v>51</v>
      </c>
      <c r="B57">
        <v>0.39902892938942136</v>
      </c>
      <c r="C57">
        <f t="shared" si="6"/>
        <v>10.656149640052817</v>
      </c>
      <c r="E57">
        <f t="shared" si="7"/>
        <v>52</v>
      </c>
      <c r="F57">
        <f t="shared" si="5"/>
        <v>-1.8365827911468458E-2</v>
      </c>
      <c r="G57">
        <f t="shared" si="8"/>
        <v>-0.19726578515041518</v>
      </c>
    </row>
    <row r="58" spans="1:7" x14ac:dyDescent="0.35">
      <c r="A58">
        <f t="shared" si="9"/>
        <v>52</v>
      </c>
      <c r="B58">
        <v>-0.25018139554307461</v>
      </c>
      <c r="C58">
        <f t="shared" si="6"/>
        <v>10.129317566616011</v>
      </c>
      <c r="E58">
        <f t="shared" si="7"/>
        <v>53</v>
      </c>
      <c r="F58">
        <f t="shared" si="5"/>
        <v>-1.1813776421092737</v>
      </c>
      <c r="G58">
        <f t="shared" si="8"/>
        <v>-1.2635203624127005</v>
      </c>
    </row>
    <row r="59" spans="1:7" x14ac:dyDescent="0.35">
      <c r="A59">
        <f t="shared" si="9"/>
        <v>53</v>
      </c>
      <c r="B59">
        <v>-1.1742528233216154</v>
      </c>
      <c r="C59">
        <f t="shared" si="6"/>
        <v>8.9663057524182062</v>
      </c>
      <c r="E59">
        <f t="shared" si="7"/>
        <v>54</v>
      </c>
      <c r="F59">
        <f t="shared" si="5"/>
        <v>-2.0409319555349974</v>
      </c>
      <c r="G59">
        <f t="shared" si="8"/>
        <v>-1.76820697887206</v>
      </c>
    </row>
    <row r="60" spans="1:7" x14ac:dyDescent="0.35">
      <c r="A60">
        <f t="shared" si="9"/>
        <v>54</v>
      </c>
      <c r="B60">
        <v>-1.4045131523645842</v>
      </c>
      <c r="C60">
        <f t="shared" si="6"/>
        <v>8.1067514389924824</v>
      </c>
      <c r="E60">
        <f t="shared" si="7"/>
        <v>55</v>
      </c>
      <c r="F60">
        <f t="shared" si="5"/>
        <v>-1.4737846366759761</v>
      </c>
      <c r="G60">
        <f t="shared" si="8"/>
        <v>-0.80098186449163356</v>
      </c>
    </row>
    <row r="61" spans="1:7" x14ac:dyDescent="0.35">
      <c r="A61">
        <f t="shared" si="9"/>
        <v>55</v>
      </c>
      <c r="B61">
        <v>-0.28172987991615117</v>
      </c>
      <c r="C61">
        <f t="shared" si="6"/>
        <v>8.6738987578515037</v>
      </c>
      <c r="E61">
        <f t="shared" si="7"/>
        <v>56</v>
      </c>
      <c r="F61">
        <f t="shared" si="5"/>
        <v>-1.4078212707682152</v>
      </c>
      <c r="G61">
        <f t="shared" si="8"/>
        <v>-0.69055639833431148</v>
      </c>
    </row>
    <row r="62" spans="1:7" x14ac:dyDescent="0.35">
      <c r="A62">
        <f t="shared" si="9"/>
        <v>56</v>
      </c>
      <c r="B62">
        <v>-0.38821298272001864</v>
      </c>
      <c r="C62">
        <f t="shared" si="6"/>
        <v>8.7398621237592646</v>
      </c>
      <c r="E62">
        <f t="shared" si="7"/>
        <v>57</v>
      </c>
      <c r="F62">
        <f t="shared" si="5"/>
        <v>-1.3837072969994217</v>
      </c>
      <c r="G62">
        <f t="shared" si="8"/>
        <v>-0.66227778484864563</v>
      </c>
    </row>
    <row r="63" spans="1:7" x14ac:dyDescent="0.35">
      <c r="A63">
        <f t="shared" si="9"/>
        <v>57</v>
      </c>
      <c r="B63">
        <v>-0.43156998564742921</v>
      </c>
      <c r="C63">
        <f t="shared" si="6"/>
        <v>8.7639760975280581</v>
      </c>
      <c r="E63">
        <f t="shared" si="7"/>
        <v>58</v>
      </c>
      <c r="F63">
        <f t="shared" si="5"/>
        <v>0.45994887572342869</v>
      </c>
      <c r="G63">
        <f t="shared" si="8"/>
        <v>1.1770215561319097</v>
      </c>
    </row>
    <row r="64" spans="1:7" x14ac:dyDescent="0.35">
      <c r="A64">
        <f t="shared" si="9"/>
        <v>58</v>
      </c>
      <c r="B64">
        <v>1.386535004851783</v>
      </c>
      <c r="C64">
        <f t="shared" si="6"/>
        <v>10.607632270250908</v>
      </c>
      <c r="E64">
        <f t="shared" si="7"/>
        <v>59</v>
      </c>
      <c r="F64">
        <f t="shared" si="5"/>
        <v>-1.3013990284156893</v>
      </c>
      <c r="G64">
        <f t="shared" si="8"/>
        <v>-1.0744022889131566</v>
      </c>
    </row>
    <row r="65" spans="1:7" x14ac:dyDescent="0.35">
      <c r="A65">
        <f t="shared" si="9"/>
        <v>59</v>
      </c>
      <c r="B65">
        <v>-1.3017512220934879</v>
      </c>
      <c r="C65">
        <f t="shared" si="6"/>
        <v>8.8462843661117905</v>
      </c>
      <c r="E65">
        <f t="shared" si="7"/>
        <v>60</v>
      </c>
      <c r="F65">
        <f t="shared" si="5"/>
        <v>-1.9502529224486658</v>
      </c>
      <c r="G65">
        <f t="shared" si="8"/>
        <v>-1.4954197733809296</v>
      </c>
    </row>
    <row r="66" spans="1:7" x14ac:dyDescent="0.35">
      <c r="A66">
        <f t="shared" si="9"/>
        <v>60</v>
      </c>
      <c r="B66">
        <v>-1.2553188286181356</v>
      </c>
      <c r="C66">
        <f t="shared" si="6"/>
        <v>8.197430472078814</v>
      </c>
      <c r="E66">
        <f t="shared" si="7"/>
        <v>61</v>
      </c>
      <c r="F66">
        <f t="shared" si="5"/>
        <v>-0.44721558373408143</v>
      </c>
      <c r="G66">
        <f t="shared" si="8"/>
        <v>0.29015114125747365</v>
      </c>
    </row>
    <row r="67" spans="1:7" x14ac:dyDescent="0.35">
      <c r="A67">
        <f t="shared" si="9"/>
        <v>61</v>
      </c>
      <c r="B67">
        <v>0.71120271461460161</v>
      </c>
      <c r="C67">
        <f t="shared" si="6"/>
        <v>9.7004678107933984</v>
      </c>
      <c r="E67">
        <f t="shared" si="7"/>
        <v>62</v>
      </c>
      <c r="F67">
        <f t="shared" si="5"/>
        <v>-0.64887493150123454</v>
      </c>
      <c r="G67">
        <f t="shared" si="8"/>
        <v>-0.17191112877030451</v>
      </c>
    </row>
    <row r="68" spans="1:7" x14ac:dyDescent="0.35">
      <c r="A68">
        <f t="shared" si="9"/>
        <v>62</v>
      </c>
      <c r="B68">
        <v>-0.14927846160621394</v>
      </c>
      <c r="C68">
        <f t="shared" si="6"/>
        <v>9.4988084630262453</v>
      </c>
      <c r="E68">
        <f t="shared" si="7"/>
        <v>63</v>
      </c>
      <c r="F68">
        <f t="shared" si="5"/>
        <v>-0.44729761558888903</v>
      </c>
      <c r="G68">
        <f t="shared" si="8"/>
        <v>-4.3601524494971566E-2</v>
      </c>
    </row>
    <row r="69" spans="1:7" x14ac:dyDescent="0.35">
      <c r="A69">
        <f t="shared" si="9"/>
        <v>63</v>
      </c>
      <c r="B69">
        <v>2.1364162498976984E-2</v>
      </c>
      <c r="C69">
        <f t="shared" si="6"/>
        <v>9.7003857789385908</v>
      </c>
      <c r="E69">
        <f t="shared" si="7"/>
        <v>64</v>
      </c>
      <c r="F69">
        <f t="shared" si="5"/>
        <v>-0.32805540058904725</v>
      </c>
      <c r="G69">
        <f t="shared" si="8"/>
        <v>-1.3342348396414239E-2</v>
      </c>
    </row>
    <row r="70" spans="1:7" x14ac:dyDescent="0.35">
      <c r="A70">
        <f t="shared" si="9"/>
        <v>64</v>
      </c>
      <c r="B70">
        <v>3.3630781181214632E-2</v>
      </c>
      <c r="C70">
        <f t="shared" si="6"/>
        <v>9.8196279939384326</v>
      </c>
      <c r="E70">
        <f t="shared" si="7"/>
        <v>65</v>
      </c>
      <c r="F70">
        <f t="shared" ref="F70:F101" si="10">C71-K$7</f>
        <v>2.2093621907072247</v>
      </c>
      <c r="G70">
        <f t="shared" si="8"/>
        <v>2.4492409235976189</v>
      </c>
    </row>
    <row r="71" spans="1:7" x14ac:dyDescent="0.35">
      <c r="A71">
        <f t="shared" si="9"/>
        <v>65</v>
      </c>
      <c r="B71">
        <v>2.4900321457140446</v>
      </c>
      <c r="C71">
        <f>3+0.7*C70+B71-0.2*B70</f>
        <v>12.357045585234705</v>
      </c>
      <c r="E71">
        <f t="shared" si="7"/>
        <v>66</v>
      </c>
      <c r="F71">
        <f t="shared" si="10"/>
        <v>0.77592101957356086</v>
      </c>
      <c r="G71">
        <f t="shared" ref="G71:G102" si="11">F71-SUMPRODUCT(F70,J$6)-SUMPRODUCT(G70,K$6)</f>
        <v>0.30783226387104756</v>
      </c>
    </row>
    <row r="72" spans="1:7" x14ac:dyDescent="0.35">
      <c r="A72">
        <f t="shared" ref="A72:A111" si="12">A71+1</f>
        <v>66</v>
      </c>
      <c r="B72">
        <v>-0.22832106642044353</v>
      </c>
      <c r="C72">
        <f t="shared" ref="C72:C111" si="13">3+0.7*C71+B72-0.2*B71</f>
        <v>10.923604414101041</v>
      </c>
      <c r="E72">
        <f t="shared" ref="E72:E110" si="14">E71+1</f>
        <v>67</v>
      </c>
      <c r="F72">
        <f t="shared" si="10"/>
        <v>-0.44691754792090066</v>
      </c>
      <c r="G72">
        <f t="shared" si="11"/>
        <v>-0.87992253486587302</v>
      </c>
    </row>
    <row r="73" spans="1:7" x14ac:dyDescent="0.35">
      <c r="A73">
        <f t="shared" si="12"/>
        <v>67</v>
      </c>
      <c r="B73">
        <v>-0.99142145654823743</v>
      </c>
      <c r="C73">
        <f t="shared" si="13"/>
        <v>9.7007658466065791</v>
      </c>
      <c r="E73">
        <f t="shared" si="14"/>
        <v>68</v>
      </c>
      <c r="F73">
        <f t="shared" si="10"/>
        <v>0.12647767018660439</v>
      </c>
      <c r="G73">
        <f t="shared" si="11"/>
        <v>3.4181251279645664E-2</v>
      </c>
    </row>
    <row r="74" spans="1:7" x14ac:dyDescent="0.35">
      <c r="A74">
        <f t="shared" si="12"/>
        <v>68</v>
      </c>
      <c r="B74">
        <v>0.28534068077982988</v>
      </c>
      <c r="C74">
        <f t="shared" si="13"/>
        <v>10.274161064714084</v>
      </c>
      <c r="E74">
        <f t="shared" si="14"/>
        <v>69</v>
      </c>
      <c r="F74">
        <f t="shared" si="10"/>
        <v>-0.39160252097147819</v>
      </c>
      <c r="G74">
        <f t="shared" si="11"/>
        <v>-0.46996321538217889</v>
      </c>
    </row>
    <row r="75" spans="1:7" x14ac:dyDescent="0.35">
      <c r="A75">
        <f t="shared" si="12"/>
        <v>69</v>
      </c>
      <c r="B75">
        <v>-0.37876373558789145</v>
      </c>
      <c r="C75">
        <f t="shared" si="13"/>
        <v>9.7560808735560016</v>
      </c>
      <c r="E75">
        <f t="shared" si="14"/>
        <v>70</v>
      </c>
      <c r="F75">
        <f t="shared" si="10"/>
        <v>-0.85995155247590382</v>
      </c>
      <c r="G75">
        <f t="shared" si="11"/>
        <v>-0.79441561628592783</v>
      </c>
    </row>
    <row r="76" spans="1:7" x14ac:dyDescent="0.35">
      <c r="A76">
        <f t="shared" si="12"/>
        <v>70</v>
      </c>
      <c r="B76">
        <v>-0.61727751655520191</v>
      </c>
      <c r="C76">
        <f t="shared" si="13"/>
        <v>9.287731842051576</v>
      </c>
      <c r="E76">
        <f t="shared" si="14"/>
        <v>71</v>
      </c>
      <c r="F76">
        <f t="shared" si="10"/>
        <v>-1.3528756976217053</v>
      </c>
      <c r="G76">
        <f t="shared" si="11"/>
        <v>-1.0934021128004026</v>
      </c>
    </row>
    <row r="77" spans="1:7" x14ac:dyDescent="0.35">
      <c r="A77">
        <f t="shared" si="12"/>
        <v>71</v>
      </c>
      <c r="B77">
        <v>-0.83006009584137008</v>
      </c>
      <c r="C77">
        <f t="shared" si="13"/>
        <v>8.7948076969057745</v>
      </c>
      <c r="E77">
        <f t="shared" si="14"/>
        <v>72</v>
      </c>
      <c r="F77">
        <f t="shared" si="10"/>
        <v>-0.19551744926982906</v>
      </c>
      <c r="G77">
        <f t="shared" si="11"/>
        <v>0.28873424621402954</v>
      </c>
    </row>
    <row r="78" spans="1:7" x14ac:dyDescent="0.35">
      <c r="A78">
        <f t="shared" si="12"/>
        <v>72</v>
      </c>
      <c r="B78">
        <v>0.6297885382553351</v>
      </c>
      <c r="C78">
        <f t="shared" si="13"/>
        <v>9.9521659452576507</v>
      </c>
      <c r="E78">
        <f t="shared" si="14"/>
        <v>73</v>
      </c>
      <c r="F78">
        <f t="shared" si="10"/>
        <v>-1.0011656012439367</v>
      </c>
      <c r="G78">
        <f t="shared" si="11"/>
        <v>-0.71391451845585263</v>
      </c>
    </row>
    <row r="79" spans="1:7" x14ac:dyDescent="0.35">
      <c r="A79">
        <f t="shared" si="12"/>
        <v>73</v>
      </c>
      <c r="B79">
        <v>-0.694040660745746</v>
      </c>
      <c r="C79">
        <f t="shared" si="13"/>
        <v>9.1465177932835431</v>
      </c>
      <c r="E79">
        <f t="shared" si="14"/>
        <v>74</v>
      </c>
      <c r="F79">
        <f t="shared" si="10"/>
        <v>-1.7356105717180057</v>
      </c>
      <c r="G79">
        <f t="shared" si="11"/>
        <v>-1.3309364442141496</v>
      </c>
    </row>
    <row r="80" spans="1:7" x14ac:dyDescent="0.35">
      <c r="A80">
        <f t="shared" si="12"/>
        <v>74</v>
      </c>
      <c r="B80">
        <v>-1.1292977646381548</v>
      </c>
      <c r="C80">
        <f t="shared" si="13"/>
        <v>8.4120728228094741</v>
      </c>
      <c r="E80">
        <f t="shared" si="14"/>
        <v>75</v>
      </c>
      <c r="F80">
        <f t="shared" si="10"/>
        <v>-0.42383605390273082</v>
      </c>
      <c r="G80">
        <f t="shared" si="11"/>
        <v>0.23232807332741612</v>
      </c>
    </row>
    <row r="81" spans="1:7" x14ac:dyDescent="0.35">
      <c r="A81">
        <f t="shared" si="12"/>
        <v>75</v>
      </c>
      <c r="B81">
        <v>0.6095368117304879</v>
      </c>
      <c r="C81">
        <f t="shared" si="13"/>
        <v>9.723847340624749</v>
      </c>
      <c r="E81">
        <f t="shared" si="14"/>
        <v>76</v>
      </c>
      <c r="F81">
        <f t="shared" si="10"/>
        <v>-1.6988946411668859</v>
      </c>
      <c r="G81">
        <f t="shared" si="11"/>
        <v>-1.2676095312250328</v>
      </c>
    </row>
    <row r="82" spans="1:7" x14ac:dyDescent="0.35">
      <c r="A82">
        <f t="shared" si="12"/>
        <v>76</v>
      </c>
      <c r="B82">
        <v>-1.2359970227306327</v>
      </c>
      <c r="C82">
        <f t="shared" si="13"/>
        <v>8.4487887533605939</v>
      </c>
      <c r="E82">
        <f t="shared" si="14"/>
        <v>77</v>
      </c>
      <c r="F82">
        <f t="shared" si="10"/>
        <v>-0.83851376654158472</v>
      </c>
      <c r="G82">
        <f t="shared" si="11"/>
        <v>-0.17912558415402602</v>
      </c>
    </row>
    <row r="83" spans="1:7" x14ac:dyDescent="0.35">
      <c r="A83">
        <f t="shared" si="12"/>
        <v>77</v>
      </c>
      <c r="B83">
        <v>0.14781809608735161</v>
      </c>
      <c r="C83">
        <f t="shared" si="13"/>
        <v>9.3091696279858951</v>
      </c>
      <c r="E83">
        <f t="shared" si="14"/>
        <v>78</v>
      </c>
      <c r="F83">
        <f t="shared" si="10"/>
        <v>-0.51858832229510199</v>
      </c>
      <c r="G83">
        <f t="shared" si="11"/>
        <v>2.4016718082490854E-2</v>
      </c>
    </row>
    <row r="84" spans="1:7" x14ac:dyDescent="0.35">
      <c r="A84">
        <f t="shared" si="12"/>
        <v>78</v>
      </c>
      <c r="B84">
        <v>0.14223995185972241</v>
      </c>
      <c r="C84">
        <f t="shared" si="13"/>
        <v>9.6290950722323778</v>
      </c>
      <c r="E84">
        <f t="shared" si="14"/>
        <v>79</v>
      </c>
      <c r="F84">
        <f t="shared" si="10"/>
        <v>0.35107094759406898</v>
      </c>
      <c r="G84">
        <f t="shared" si="11"/>
        <v>0.75220731312959022</v>
      </c>
    </row>
    <row r="85" spans="1:7" x14ac:dyDescent="0.35">
      <c r="A85">
        <f t="shared" si="12"/>
        <v>79</v>
      </c>
      <c r="B85">
        <v>0.78683578193082926</v>
      </c>
      <c r="C85">
        <f t="shared" si="13"/>
        <v>10.498754342121549</v>
      </c>
      <c r="E85">
        <f t="shared" si="14"/>
        <v>80</v>
      </c>
      <c r="F85">
        <f t="shared" si="10"/>
        <v>-2.0131273599017181</v>
      </c>
      <c r="G85">
        <f t="shared" si="11"/>
        <v>-1.9109619127525213</v>
      </c>
    </row>
    <row r="86" spans="1:7" x14ac:dyDescent="0.35">
      <c r="A86">
        <f t="shared" si="12"/>
        <v>80</v>
      </c>
      <c r="B86">
        <v>-2.0572048484731567</v>
      </c>
      <c r="C86">
        <f t="shared" si="13"/>
        <v>8.1345560346257617</v>
      </c>
      <c r="E86">
        <f t="shared" si="14"/>
        <v>81</v>
      </c>
      <c r="F86">
        <f t="shared" si="10"/>
        <v>-0.99249983216424376</v>
      </c>
      <c r="G86">
        <f t="shared" si="11"/>
        <v>-0.41000346096415619</v>
      </c>
    </row>
    <row r="87" spans="1:7" x14ac:dyDescent="0.35">
      <c r="A87">
        <f t="shared" si="12"/>
        <v>81</v>
      </c>
      <c r="B87">
        <v>4.9553368430570136E-2</v>
      </c>
      <c r="C87">
        <f t="shared" si="13"/>
        <v>9.155183562363236</v>
      </c>
      <c r="E87">
        <f t="shared" si="14"/>
        <v>82</v>
      </c>
      <c r="F87">
        <f t="shared" si="10"/>
        <v>-2.1555979544536301</v>
      </c>
      <c r="G87">
        <f t="shared" si="11"/>
        <v>-1.6096321350176666</v>
      </c>
    </row>
    <row r="88" spans="1:7" x14ac:dyDescent="0.35">
      <c r="A88">
        <f t="shared" si="12"/>
        <v>82</v>
      </c>
      <c r="B88">
        <v>-1.4066323798943021</v>
      </c>
      <c r="C88">
        <f t="shared" si="13"/>
        <v>7.9920854400738497</v>
      </c>
      <c r="E88">
        <f t="shared" si="14"/>
        <v>83</v>
      </c>
      <c r="F88">
        <f t="shared" si="10"/>
        <v>0.29184360214187954</v>
      </c>
      <c r="G88">
        <f t="shared" si="11"/>
        <v>1.1278787414669571</v>
      </c>
    </row>
    <row r="89" spans="1:7" x14ac:dyDescent="0.35">
      <c r="A89">
        <f t="shared" si="12"/>
        <v>83</v>
      </c>
      <c r="B89">
        <v>1.5637407126388045</v>
      </c>
      <c r="C89">
        <f t="shared" si="13"/>
        <v>10.439526996669359</v>
      </c>
      <c r="E89">
        <f t="shared" si="14"/>
        <v>84</v>
      </c>
      <c r="F89">
        <f t="shared" si="10"/>
        <v>1.027569333894446</v>
      </c>
      <c r="G89">
        <f t="shared" si="11"/>
        <v>1.3569126385371084</v>
      </c>
    </row>
    <row r="90" spans="1:7" x14ac:dyDescent="0.35">
      <c r="A90">
        <f t="shared" si="12"/>
        <v>84</v>
      </c>
      <c r="B90">
        <v>1.1803319732811373</v>
      </c>
      <c r="C90">
        <f t="shared" si="13"/>
        <v>11.175252728421926</v>
      </c>
      <c r="E90">
        <f t="shared" si="14"/>
        <v>85</v>
      </c>
      <c r="F90">
        <f t="shared" si="10"/>
        <v>-0.2261799054640079</v>
      </c>
      <c r="G90">
        <f t="shared" si="11"/>
        <v>-0.33797682741729917</v>
      </c>
    </row>
    <row r="91" spans="1:7" x14ac:dyDescent="0.35">
      <c r="A91">
        <f t="shared" si="12"/>
        <v>85</v>
      </c>
      <c r="B91">
        <v>-0.66510702617564998</v>
      </c>
      <c r="C91">
        <f t="shared" si="13"/>
        <v>9.9215034890634719</v>
      </c>
      <c r="E91">
        <f t="shared" si="14"/>
        <v>86</v>
      </c>
      <c r="F91">
        <f t="shared" si="10"/>
        <v>0.50533546939765905</v>
      </c>
      <c r="G91">
        <f t="shared" si="11"/>
        <v>0.51082842237657855</v>
      </c>
    </row>
    <row r="92" spans="1:7" x14ac:dyDescent="0.35">
      <c r="A92">
        <f t="shared" si="12"/>
        <v>86</v>
      </c>
      <c r="B92">
        <v>0.57494501634557904</v>
      </c>
      <c r="C92">
        <f t="shared" si="13"/>
        <v>10.653018863925139</v>
      </c>
      <c r="E92">
        <f t="shared" si="14"/>
        <v>87</v>
      </c>
      <c r="F92">
        <f t="shared" si="10"/>
        <v>0.1532816414322653</v>
      </c>
      <c r="G92">
        <f t="shared" si="11"/>
        <v>2.2206789860495069E-2</v>
      </c>
    </row>
    <row r="93" spans="1:7" x14ac:dyDescent="0.35">
      <c r="A93">
        <f t="shared" si="12"/>
        <v>87</v>
      </c>
      <c r="B93">
        <v>-4.1159165518735157E-2</v>
      </c>
      <c r="C93">
        <f t="shared" si="13"/>
        <v>10.300965035959745</v>
      </c>
      <c r="E93">
        <f t="shared" si="14"/>
        <v>88</v>
      </c>
      <c r="F93">
        <f t="shared" si="10"/>
        <v>-0.82497175248702881</v>
      </c>
      <c r="G93">
        <f t="shared" si="11"/>
        <v>-0.929285536699609</v>
      </c>
    </row>
    <row r="94" spans="1:7" x14ac:dyDescent="0.35">
      <c r="A94">
        <f t="shared" si="12"/>
        <v>88</v>
      </c>
      <c r="B94">
        <v>-0.89619571623511651</v>
      </c>
      <c r="C94">
        <f t="shared" si="13"/>
        <v>9.322711642040451</v>
      </c>
      <c r="E94">
        <f t="shared" si="14"/>
        <v>89</v>
      </c>
      <c r="F94">
        <f t="shared" si="10"/>
        <v>1.0608135034545203</v>
      </c>
      <c r="G94">
        <f t="shared" si="11"/>
        <v>1.2284268372014797</v>
      </c>
    </row>
    <row r="95" spans="1:7" x14ac:dyDescent="0.35">
      <c r="A95">
        <f t="shared" si="12"/>
        <v>89</v>
      </c>
      <c r="B95">
        <v>1.503359605306662</v>
      </c>
      <c r="C95">
        <f t="shared" si="13"/>
        <v>11.208496897982</v>
      </c>
      <c r="E95">
        <f t="shared" si="14"/>
        <v>90</v>
      </c>
      <c r="F95">
        <f t="shared" si="10"/>
        <v>-0.31397114331242193</v>
      </c>
      <c r="G95">
        <f t="shared" si="11"/>
        <v>-0.51322011082560981</v>
      </c>
    </row>
    <row r="96" spans="1:7" x14ac:dyDescent="0.35">
      <c r="A96">
        <f t="shared" si="12"/>
        <v>90</v>
      </c>
      <c r="B96">
        <v>-0.71156365631100782</v>
      </c>
      <c r="C96">
        <f t="shared" si="13"/>
        <v>9.8337122512150579</v>
      </c>
      <c r="E96">
        <f t="shared" si="14"/>
        <v>91</v>
      </c>
      <c r="F96">
        <f t="shared" si="10"/>
        <v>0.86154550983964384</v>
      </c>
      <c r="G96">
        <f t="shared" si="11"/>
        <v>0.84774386915917133</v>
      </c>
    </row>
    <row r="97" spans="1:7" x14ac:dyDescent="0.35">
      <c r="A97">
        <f t="shared" si="12"/>
        <v>91</v>
      </c>
      <c r="B97">
        <v>0.98331759725438295</v>
      </c>
      <c r="C97">
        <f t="shared" si="13"/>
        <v>11.009228904367124</v>
      </c>
      <c r="E97">
        <f t="shared" si="14"/>
        <v>92</v>
      </c>
      <c r="F97">
        <f t="shared" si="10"/>
        <v>-0.4754717302683158</v>
      </c>
      <c r="G97">
        <f t="shared" si="11"/>
        <v>-0.71020748953576196</v>
      </c>
    </row>
    <row r="98" spans="1:7" x14ac:dyDescent="0.35">
      <c r="A98">
        <f t="shared" si="12"/>
        <v>92</v>
      </c>
      <c r="B98">
        <v>-0.83758504934694755</v>
      </c>
      <c r="C98">
        <f t="shared" si="13"/>
        <v>9.672211664259164</v>
      </c>
      <c r="E98">
        <f t="shared" si="14"/>
        <v>93</v>
      </c>
      <c r="F98">
        <f t="shared" si="10"/>
        <v>-2.1256282291012134</v>
      </c>
      <c r="G98">
        <f t="shared" si="11"/>
        <v>-2.1139439287866848</v>
      </c>
    </row>
    <row r="99" spans="1:7" x14ac:dyDescent="0.35">
      <c r="A99">
        <f t="shared" si="12"/>
        <v>93</v>
      </c>
      <c r="B99">
        <v>-1.9160100094245356</v>
      </c>
      <c r="C99">
        <f t="shared" si="13"/>
        <v>8.0220551654262664</v>
      </c>
      <c r="E99">
        <f t="shared" si="14"/>
        <v>94</v>
      </c>
      <c r="F99">
        <f t="shared" si="10"/>
        <v>-1.0475229078192001</v>
      </c>
      <c r="G99">
        <f t="shared" si="11"/>
        <v>-0.47925440589292623</v>
      </c>
    </row>
    <row r="100" spans="1:7" x14ac:dyDescent="0.35">
      <c r="A100">
        <f t="shared" si="12"/>
        <v>94</v>
      </c>
      <c r="B100">
        <v>0.10151986902498664</v>
      </c>
      <c r="C100">
        <f t="shared" si="13"/>
        <v>9.1001604867082797</v>
      </c>
      <c r="E100">
        <f t="shared" si="14"/>
        <v>95</v>
      </c>
      <c r="F100">
        <f t="shared" si="10"/>
        <v>0.14588017530446606</v>
      </c>
      <c r="G100">
        <f t="shared" si="11"/>
        <v>0.6994894790341879</v>
      </c>
    </row>
    <row r="101" spans="1:7" x14ac:dyDescent="0.35">
      <c r="A101">
        <f t="shared" si="12"/>
        <v>95</v>
      </c>
      <c r="B101">
        <v>0.94375520294114768</v>
      </c>
      <c r="C101">
        <f t="shared" si="13"/>
        <v>10.293563569831946</v>
      </c>
      <c r="E101">
        <f t="shared" si="14"/>
        <v>96</v>
      </c>
      <c r="F101">
        <f t="shared" si="10"/>
        <v>0.72645449782897664</v>
      </c>
      <c r="G101">
        <f t="shared" si="11"/>
        <v>0.95707885410486182</v>
      </c>
    </row>
    <row r="102" spans="1:7" x14ac:dyDescent="0.35">
      <c r="A102">
        <f t="shared" si="12"/>
        <v>96</v>
      </c>
      <c r="B102">
        <v>0.85739443406232374</v>
      </c>
      <c r="C102">
        <f t="shared" si="13"/>
        <v>10.874137892356456</v>
      </c>
      <c r="E102">
        <f t="shared" si="14"/>
        <v>97</v>
      </c>
      <c r="F102">
        <f t="shared" ref="F102:F110" si="15">C103-K$7</f>
        <v>0.90090553585459077</v>
      </c>
      <c r="G102">
        <f t="shared" si="11"/>
        <v>0.82079460681814065</v>
      </c>
    </row>
    <row r="103" spans="1:7" x14ac:dyDescent="0.35">
      <c r="A103">
        <f t="shared" si="12"/>
        <v>97</v>
      </c>
      <c r="B103">
        <v>0.60817129254501401</v>
      </c>
      <c r="C103">
        <f t="shared" si="13"/>
        <v>11.048588930382071</v>
      </c>
      <c r="E103">
        <f t="shared" si="14"/>
        <v>98</v>
      </c>
      <c r="F103">
        <f t="shared" si="15"/>
        <v>0.22942021387836675</v>
      </c>
      <c r="G103">
        <f t="shared" ref="G103:G110" si="16">F103-SUMPRODUCT(F102,J$6)-SUMPRODUCT(G102,K$6)</f>
        <v>-4.7980774096732792E-2</v>
      </c>
    </row>
    <row r="104" spans="1:7" x14ac:dyDescent="0.35">
      <c r="A104">
        <f t="shared" si="12"/>
        <v>98</v>
      </c>
      <c r="B104">
        <v>-0.23527438435259732</v>
      </c>
      <c r="C104">
        <f t="shared" si="13"/>
        <v>10.377103608405847</v>
      </c>
      <c r="E104">
        <f t="shared" si="14"/>
        <v>99</v>
      </c>
      <c r="F104">
        <f t="shared" si="15"/>
        <v>0.95305001194792993</v>
      </c>
      <c r="G104">
        <f t="shared" si="16"/>
        <v>0.75742267310068068</v>
      </c>
    </row>
    <row r="105" spans="1:7" x14ac:dyDescent="0.35">
      <c r="A105">
        <f t="shared" si="12"/>
        <v>99</v>
      </c>
      <c r="B105">
        <v>0.78970600372079702</v>
      </c>
      <c r="C105">
        <f t="shared" si="13"/>
        <v>11.10073340647541</v>
      </c>
      <c r="E105">
        <f t="shared" si="14"/>
        <v>100</v>
      </c>
      <c r="F105">
        <f t="shared" si="15"/>
        <v>-0.59122670475603734</v>
      </c>
      <c r="G105">
        <f t="shared" si="16"/>
        <v>-0.93860722515436956</v>
      </c>
    </row>
    <row r="106" spans="1:7" x14ac:dyDescent="0.35">
      <c r="A106">
        <f t="shared" si="12"/>
        <v>100</v>
      </c>
      <c r="B106">
        <v>-1.0561154940171853</v>
      </c>
      <c r="C106">
        <f t="shared" si="13"/>
        <v>9.5564566897714425</v>
      </c>
      <c r="E106">
        <f t="shared" si="14"/>
        <v>101</v>
      </c>
      <c r="F106">
        <f t="shared" si="15"/>
        <v>-2.1071382329566291E-2</v>
      </c>
      <c r="G106">
        <f t="shared" si="16"/>
        <v>-3.3532418949587861E-2</v>
      </c>
    </row>
    <row r="107" spans="1:7" x14ac:dyDescent="0.35">
      <c r="A107">
        <f t="shared" si="12"/>
        <v>101</v>
      </c>
      <c r="B107">
        <v>0.22586923055446753</v>
      </c>
      <c r="C107">
        <f t="shared" si="13"/>
        <v>10.126612012197914</v>
      </c>
      <c r="E107">
        <f t="shared" si="14"/>
        <v>102</v>
      </c>
      <c r="F107">
        <f t="shared" si="15"/>
        <v>0.47097340519127506</v>
      </c>
      <c r="G107">
        <f t="shared" si="16"/>
        <v>0.47049021234848615</v>
      </c>
    </row>
    <row r="108" spans="1:7" x14ac:dyDescent="0.35">
      <c r="A108">
        <f t="shared" si="12"/>
        <v>102</v>
      </c>
      <c r="B108">
        <v>0.57520223729110798</v>
      </c>
      <c r="C108">
        <f t="shared" si="13"/>
        <v>10.618656799718755</v>
      </c>
      <c r="E108">
        <f t="shared" si="14"/>
        <v>103</v>
      </c>
      <c r="F108">
        <f t="shared" si="15"/>
        <v>1.2216942529861949</v>
      </c>
      <c r="G108">
        <f t="shared" si="16"/>
        <v>1.0968075952897136</v>
      </c>
    </row>
    <row r="109" spans="1:7" x14ac:dyDescent="0.35">
      <c r="A109">
        <f t="shared" si="12"/>
        <v>103</v>
      </c>
      <c r="B109">
        <v>1.051358335168767</v>
      </c>
      <c r="C109">
        <f t="shared" si="13"/>
        <v>11.369377647513675</v>
      </c>
      <c r="E109">
        <f t="shared" si="14"/>
        <v>104</v>
      </c>
      <c r="F109">
        <f t="shared" si="15"/>
        <v>0.61375882570789564</v>
      </c>
      <c r="G109">
        <f t="shared" si="16"/>
        <v>0.2296797069139026</v>
      </c>
    </row>
    <row r="110" spans="1:7" x14ac:dyDescent="0.35">
      <c r="A110">
        <f t="shared" si="12"/>
        <v>104</v>
      </c>
      <c r="B110">
        <v>1.3149534009556497E-2</v>
      </c>
      <c r="C110">
        <f t="shared" si="13"/>
        <v>10.761442220235375</v>
      </c>
      <c r="E110" s="4">
        <f t="shared" si="14"/>
        <v>105</v>
      </c>
      <c r="F110" s="4">
        <f t="shared" si="15"/>
        <v>1.807081660955479</v>
      </c>
      <c r="G110" s="4">
        <f t="shared" si="16"/>
        <v>1.4578518544567869</v>
      </c>
    </row>
    <row r="111" spans="1:7" x14ac:dyDescent="0.35">
      <c r="A111">
        <f t="shared" si="12"/>
        <v>105</v>
      </c>
      <c r="B111" s="4">
        <v>1.4243854081201066</v>
      </c>
      <c r="C111" s="4">
        <f t="shared" si="13"/>
        <v>11.954765055482959</v>
      </c>
    </row>
    <row r="113" spans="2:2" x14ac:dyDescent="0.35">
      <c r="B113" s="20" t="s">
        <v>226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41"/>
  <dimension ref="A1:AE117"/>
  <sheetViews>
    <sheetView topLeftCell="A7" workbookViewId="0">
      <selection activeCell="F8" sqref="F8:F27"/>
    </sheetView>
  </sheetViews>
  <sheetFormatPr defaultRowHeight="14.5" x14ac:dyDescent="0.35"/>
  <cols>
    <col min="1" max="1" width="4.81640625" customWidth="1"/>
    <col min="10" max="11" width="9.7265625" customWidth="1"/>
  </cols>
  <sheetData>
    <row r="1" spans="1:31" x14ac:dyDescent="0.35">
      <c r="A1" s="7" t="s">
        <v>224</v>
      </c>
    </row>
    <row r="2" spans="1:31" s="72" customFormat="1" x14ac:dyDescent="0.35"/>
    <row r="3" spans="1:31" s="72" customFormat="1" ht="15" customHeight="1" x14ac:dyDescent="0.35">
      <c r="A3" s="72" t="s">
        <v>387</v>
      </c>
    </row>
    <row r="4" spans="1:31" s="72" customFormat="1" x14ac:dyDescent="0.35"/>
    <row r="5" spans="1:31" x14ac:dyDescent="0.35">
      <c r="B5" s="112" t="s">
        <v>107</v>
      </c>
      <c r="C5" s="112" t="s">
        <v>110</v>
      </c>
      <c r="E5" t="s">
        <v>353</v>
      </c>
      <c r="I5" t="s">
        <v>355</v>
      </c>
      <c r="M5" t="s">
        <v>374</v>
      </c>
      <c r="Q5" t="s">
        <v>379</v>
      </c>
      <c r="V5" t="s">
        <v>383</v>
      </c>
      <c r="AD5" t="s">
        <v>384</v>
      </c>
    </row>
    <row r="6" spans="1:31" ht="15" thickBot="1" x14ac:dyDescent="0.4">
      <c r="B6" s="113"/>
      <c r="C6" s="113"/>
      <c r="Y6" t="s">
        <v>156</v>
      </c>
      <c r="Z6">
        <v>0.05</v>
      </c>
    </row>
    <row r="7" spans="1:31" ht="15" thickTop="1" x14ac:dyDescent="0.35">
      <c r="A7">
        <v>1</v>
      </c>
      <c r="B7">
        <v>0.11767564756553417</v>
      </c>
      <c r="C7">
        <f>0.7*C6+B7-0.2*B6</f>
        <v>0.11767564756553417</v>
      </c>
      <c r="E7" s="45" t="s">
        <v>291</v>
      </c>
      <c r="F7" s="45" t="s">
        <v>194</v>
      </c>
      <c r="G7" s="45" t="s">
        <v>354</v>
      </c>
      <c r="I7" s="45" t="s">
        <v>356</v>
      </c>
      <c r="J7" s="45" t="s">
        <v>357</v>
      </c>
      <c r="K7" s="45" t="s">
        <v>358</v>
      </c>
      <c r="M7" s="45" t="s">
        <v>173</v>
      </c>
      <c r="N7" s="45" t="s">
        <v>174</v>
      </c>
      <c r="O7" s="45" t="s">
        <v>375</v>
      </c>
      <c r="Q7" s="45" t="s">
        <v>380</v>
      </c>
      <c r="R7" s="45" t="s">
        <v>167</v>
      </c>
      <c r="S7" s="45" t="s">
        <v>297</v>
      </c>
      <c r="T7" s="45" t="s">
        <v>92</v>
      </c>
      <c r="V7" s="45" t="s">
        <v>291</v>
      </c>
      <c r="W7" s="45" t="s">
        <v>194</v>
      </c>
      <c r="X7" s="45" t="s">
        <v>354</v>
      </c>
      <c r="Y7" s="45" t="s">
        <v>138</v>
      </c>
      <c r="Z7" s="45" t="s">
        <v>81</v>
      </c>
      <c r="AA7" s="45" t="s">
        <v>127</v>
      </c>
      <c r="AB7" s="45" t="s">
        <v>128</v>
      </c>
      <c r="AD7" s="45" t="s">
        <v>291</v>
      </c>
      <c r="AE7" s="45" t="s">
        <v>179</v>
      </c>
    </row>
    <row r="8" spans="1:31" x14ac:dyDescent="0.35">
      <c r="A8">
        <f t="shared" ref="A8:A71" si="0">A7+1</f>
        <v>2</v>
      </c>
      <c r="B8">
        <v>0.64941326201616068</v>
      </c>
      <c r="C8">
        <f t="shared" ref="C8:C71" si="1">0.7*C7+B8-0.2*B7</f>
        <v>0.7082510857989277</v>
      </c>
      <c r="E8">
        <v>1</v>
      </c>
      <c r="F8">
        <f>C7</f>
        <v>0.11767564756553417</v>
      </c>
      <c r="G8">
        <v>0</v>
      </c>
      <c r="I8" s="113">
        <v>1</v>
      </c>
      <c r="J8">
        <v>0.68675435053259393</v>
      </c>
      <c r="K8">
        <v>-0.4030510430747033</v>
      </c>
      <c r="M8" s="104" t="e">
        <f t="array" aca="1" ref="M8:O8" ca="1">ARRoots(J8)</f>
        <v>#NAME?</v>
      </c>
      <c r="N8" s="104" t="e">
        <f ca="1"/>
        <v>#NAME?</v>
      </c>
      <c r="O8" s="104" t="e">
        <f ca="1"/>
        <v>#NAME?</v>
      </c>
      <c r="Q8" t="s">
        <v>381</v>
      </c>
      <c r="R8">
        <f>J8</f>
        <v>0.68675435053259393</v>
      </c>
      <c r="S8" t="e" cm="1">
        <f t="array" aca="1" ref="S8" ca="1">ARMA_SSE(F8:F112,R8,R9,0,1)</f>
        <v>#NAME?</v>
      </c>
      <c r="T8" t="e">
        <f ca="1">CHIDIST(K21*(LN(S8)-LN(K11)),1)</f>
        <v>#NAME?</v>
      </c>
      <c r="V8">
        <f>E8</f>
        <v>1</v>
      </c>
      <c r="W8">
        <f>F8</f>
        <v>0.11767564756553417</v>
      </c>
      <c r="X8">
        <f>G8</f>
        <v>0</v>
      </c>
      <c r="Y8">
        <f>W8-X8</f>
        <v>0.11767564756553417</v>
      </c>
      <c r="Z8">
        <f>K$18</f>
        <v>1.0293707782163652</v>
      </c>
      <c r="AA8">
        <f>Y8-NORMSINV(1-Z$6/2)*Z8</f>
        <v>-1.8998540044765089</v>
      </c>
      <c r="AB8">
        <f>Y8+NORMSINV(1-Z$6/2)*Z8</f>
        <v>2.1352052996075774</v>
      </c>
      <c r="AD8">
        <v>1</v>
      </c>
      <c r="AE8">
        <f>C7</f>
        <v>0.11767564756553417</v>
      </c>
    </row>
    <row r="9" spans="1:31" x14ac:dyDescent="0.35">
      <c r="A9">
        <f t="shared" si="0"/>
        <v>3</v>
      </c>
      <c r="B9">
        <v>-2.0291245092742414</v>
      </c>
      <c r="C9">
        <f t="shared" si="1"/>
        <v>-1.6632314016182241</v>
      </c>
      <c r="E9">
        <f>E8+1</f>
        <v>2</v>
      </c>
      <c r="F9">
        <f t="shared" ref="F9:F72" si="2">C8</f>
        <v>0.7082510857989277</v>
      </c>
      <c r="G9">
        <f>F9-SUMPRODUCT(F8,J$8)-SUMPRODUCT(G8,K$8)</f>
        <v>0.62743682288155689</v>
      </c>
      <c r="I9" s="10" t="s">
        <v>359</v>
      </c>
      <c r="J9" s="4">
        <v>0</v>
      </c>
      <c r="K9" s="4">
        <v>0</v>
      </c>
      <c r="Q9" t="s">
        <v>382</v>
      </c>
      <c r="R9">
        <f>K8</f>
        <v>-0.4030510430747033</v>
      </c>
      <c r="S9" t="e" cm="1">
        <f t="array" aca="1" ref="S9" ca="1">ARMA_SSE(F8:F112,R8,R9,0,,1)</f>
        <v>#NAME?</v>
      </c>
      <c r="T9" t="e">
        <f ca="1">CHIDIST(K21*(LN(S9)-LN(K11)),1)</f>
        <v>#NAME?</v>
      </c>
      <c r="V9">
        <f t="shared" ref="V9:X72" si="3">E9</f>
        <v>2</v>
      </c>
      <c r="W9">
        <f t="shared" si="3"/>
        <v>0.7082510857989277</v>
      </c>
      <c r="X9">
        <f t="shared" si="3"/>
        <v>0.62743682288155689</v>
      </c>
      <c r="Y9">
        <f t="shared" ref="Y9:Y72" si="4">W9-X9</f>
        <v>8.0814262917370816E-2</v>
      </c>
      <c r="Z9">
        <f t="shared" ref="Z9:Z72" si="5">K$18</f>
        <v>1.0293707782163652</v>
      </c>
      <c r="AA9">
        <f t="shared" ref="AA9:AA72" si="6">Y9-NORMSINV(1-Z$6/2)*Z9</f>
        <v>-1.9367153891246724</v>
      </c>
      <c r="AB9">
        <f t="shared" ref="AB9:AB72" si="7">Y9+NORMSINV(1-Z$6/2)*Z9</f>
        <v>2.0983439149594139</v>
      </c>
      <c r="AD9">
        <f>AD8+1</f>
        <v>2</v>
      </c>
      <c r="AE9">
        <f>C8</f>
        <v>0.7082510857989277</v>
      </c>
    </row>
    <row r="10" spans="1:31" x14ac:dyDescent="0.35">
      <c r="A10">
        <f t="shared" si="0"/>
        <v>4</v>
      </c>
      <c r="B10">
        <v>-0.72108843846184933</v>
      </c>
      <c r="C10">
        <f t="shared" si="1"/>
        <v>-1.4795255177397577</v>
      </c>
      <c r="E10">
        <f t="shared" ref="E10:E73" si="8">E9+1</f>
        <v>3</v>
      </c>
      <c r="F10">
        <f t="shared" si="2"/>
        <v>-1.6632314016182241</v>
      </c>
      <c r="G10">
        <f t="shared" ref="G10:G73" si="9">F10-SUMPRODUCT(F9,J$8)-SUMPRODUCT(G9,K$8)</f>
        <v>-1.8967368501341819</v>
      </c>
      <c r="M10" t="s">
        <v>376</v>
      </c>
      <c r="Q10" s="4" t="s">
        <v>120</v>
      </c>
      <c r="R10" s="4">
        <f>K19</f>
        <v>7.7031946982474037E-2</v>
      </c>
      <c r="S10" s="4">
        <f>-R10/(K20/SQRT(K21))</f>
        <v>-0.71204597000749981</v>
      </c>
      <c r="T10" s="4">
        <f>TDIST(ABS(S10),K21-1,2)</f>
        <v>0.47804605482021756</v>
      </c>
      <c r="V10">
        <f t="shared" si="3"/>
        <v>3</v>
      </c>
      <c r="W10">
        <f t="shared" si="3"/>
        <v>-1.6632314016182241</v>
      </c>
      <c r="X10">
        <f t="shared" si="3"/>
        <v>-1.8967368501341819</v>
      </c>
      <c r="Y10">
        <f t="shared" si="4"/>
        <v>0.23350544851595778</v>
      </c>
      <c r="Z10">
        <f t="shared" si="5"/>
        <v>1.0293707782163652</v>
      </c>
      <c r="AA10">
        <f t="shared" si="6"/>
        <v>-1.7840242035260854</v>
      </c>
      <c r="AB10">
        <f t="shared" si="7"/>
        <v>2.2510351005580009</v>
      </c>
      <c r="AD10">
        <f t="shared" ref="AD10:AD73" si="10">AD9+1</f>
        <v>3</v>
      </c>
      <c r="AE10">
        <f t="shared" ref="AE10:AE73" si="11">C9</f>
        <v>-1.6632314016182241</v>
      </c>
    </row>
    <row r="11" spans="1:31" ht="15" thickBot="1" x14ac:dyDescent="0.4">
      <c r="A11">
        <f t="shared" si="0"/>
        <v>5</v>
      </c>
      <c r="B11">
        <v>0.70747648649116823</v>
      </c>
      <c r="C11">
        <f t="shared" si="1"/>
        <v>-0.18397368823429228</v>
      </c>
      <c r="E11">
        <f t="shared" si="8"/>
        <v>4</v>
      </c>
      <c r="F11">
        <f t="shared" si="2"/>
        <v>-1.4795255177397577</v>
      </c>
      <c r="G11">
        <f t="shared" si="9"/>
        <v>-1.1017758826208275</v>
      </c>
      <c r="J11" t="s">
        <v>121</v>
      </c>
      <c r="K11" s="49">
        <f>SUMSQ(G9:G112)</f>
        <v>110.19883670075959</v>
      </c>
      <c r="V11">
        <f t="shared" si="3"/>
        <v>4</v>
      </c>
      <c r="W11">
        <f t="shared" si="3"/>
        <v>-1.4795255177397577</v>
      </c>
      <c r="X11">
        <f t="shared" si="3"/>
        <v>-1.1017758826208275</v>
      </c>
      <c r="Y11">
        <f t="shared" si="4"/>
        <v>-0.37774963511893023</v>
      </c>
      <c r="Z11">
        <f t="shared" si="5"/>
        <v>1.0293707782163652</v>
      </c>
      <c r="AA11">
        <f t="shared" si="6"/>
        <v>-2.3952792871609736</v>
      </c>
      <c r="AB11">
        <f t="shared" si="7"/>
        <v>1.6397800169231129</v>
      </c>
      <c r="AD11">
        <f t="shared" si="10"/>
        <v>4</v>
      </c>
      <c r="AE11">
        <f t="shared" si="11"/>
        <v>-1.4795255177397577</v>
      </c>
    </row>
    <row r="12" spans="1:31" ht="15" thickTop="1" x14ac:dyDescent="0.35">
      <c r="A12">
        <f t="shared" si="0"/>
        <v>6</v>
      </c>
      <c r="B12">
        <v>0.79163430570821358</v>
      </c>
      <c r="C12">
        <f t="shared" si="1"/>
        <v>0.5213574266459754</v>
      </c>
      <c r="E12">
        <f t="shared" si="8"/>
        <v>5</v>
      </c>
      <c r="F12">
        <f t="shared" si="2"/>
        <v>-0.18397368823429228</v>
      </c>
      <c r="G12">
        <f t="shared" si="9"/>
        <v>0.38802497907259847</v>
      </c>
      <c r="M12" s="45" t="s">
        <v>173</v>
      </c>
      <c r="N12" s="45" t="s">
        <v>174</v>
      </c>
      <c r="O12" s="45" t="s">
        <v>375</v>
      </c>
      <c r="Q12" t="s">
        <v>360</v>
      </c>
      <c r="R12" s="116" t="s">
        <v>304</v>
      </c>
      <c r="V12">
        <f t="shared" si="3"/>
        <v>5</v>
      </c>
      <c r="W12">
        <f t="shared" si="3"/>
        <v>-0.18397368823429228</v>
      </c>
      <c r="X12">
        <f t="shared" si="3"/>
        <v>0.38802497907259847</v>
      </c>
      <c r="Y12">
        <f t="shared" si="4"/>
        <v>-0.57199866730689075</v>
      </c>
      <c r="Z12">
        <f t="shared" si="5"/>
        <v>1.0293707782163652</v>
      </c>
      <c r="AA12">
        <f t="shared" si="6"/>
        <v>-2.589528319348934</v>
      </c>
      <c r="AB12">
        <f t="shared" si="7"/>
        <v>1.4455309847351523</v>
      </c>
      <c r="AD12">
        <f t="shared" si="10"/>
        <v>5</v>
      </c>
      <c r="AE12">
        <f t="shared" si="11"/>
        <v>-0.18397368823429228</v>
      </c>
    </row>
    <row r="13" spans="1:31" x14ac:dyDescent="0.35">
      <c r="A13">
        <f t="shared" si="0"/>
        <v>7</v>
      </c>
      <c r="B13">
        <v>-0.23542965362337992</v>
      </c>
      <c r="C13">
        <f t="shared" si="1"/>
        <v>-2.8806316112839903E-2</v>
      </c>
      <c r="E13">
        <f t="shared" si="8"/>
        <v>6</v>
      </c>
      <c r="F13">
        <f t="shared" si="2"/>
        <v>0.5213574266459754</v>
      </c>
      <c r="G13">
        <f t="shared" si="9"/>
        <v>0.80409602997865348</v>
      </c>
      <c r="J13" t="s">
        <v>361</v>
      </c>
      <c r="K13" s="109">
        <v>1</v>
      </c>
      <c r="M13" s="104" t="e">
        <f t="array" aca="1" ref="M13:O13" ca="1">MARoots(K8)</f>
        <v>#NAME?</v>
      </c>
      <c r="N13" s="104" t="e">
        <f ca="1"/>
        <v>#NAME?</v>
      </c>
      <c r="O13" s="104" t="e">
        <f ca="1"/>
        <v>#NAME?</v>
      </c>
      <c r="V13">
        <f t="shared" si="3"/>
        <v>6</v>
      </c>
      <c r="W13">
        <f t="shared" si="3"/>
        <v>0.5213574266459754</v>
      </c>
      <c r="X13">
        <f t="shared" si="3"/>
        <v>0.80409602997865348</v>
      </c>
      <c r="Y13">
        <f t="shared" si="4"/>
        <v>-0.28273860333267808</v>
      </c>
      <c r="Z13">
        <f t="shared" si="5"/>
        <v>1.0293707782163652</v>
      </c>
      <c r="AA13">
        <f t="shared" si="6"/>
        <v>-2.3002682553747213</v>
      </c>
      <c r="AB13">
        <f t="shared" si="7"/>
        <v>1.734791048709365</v>
      </c>
      <c r="AD13">
        <f t="shared" si="10"/>
        <v>6</v>
      </c>
      <c r="AE13">
        <f t="shared" si="11"/>
        <v>0.5213574266459754</v>
      </c>
    </row>
    <row r="14" spans="1:31" x14ac:dyDescent="0.35">
      <c r="A14">
        <f t="shared" si="0"/>
        <v>8</v>
      </c>
      <c r="B14">
        <v>-1.3489481281427076</v>
      </c>
      <c r="C14">
        <f t="shared" si="1"/>
        <v>-1.3220266186970195</v>
      </c>
      <c r="E14">
        <f t="shared" si="8"/>
        <v>7</v>
      </c>
      <c r="F14">
        <f t="shared" si="2"/>
        <v>-2.8806316112839903E-2</v>
      </c>
      <c r="G14">
        <f t="shared" si="9"/>
        <v>-6.2759053429317035E-2</v>
      </c>
      <c r="J14" t="s">
        <v>362</v>
      </c>
      <c r="K14" s="107">
        <v>1</v>
      </c>
      <c r="V14">
        <f t="shared" si="3"/>
        <v>7</v>
      </c>
      <c r="W14">
        <f t="shared" si="3"/>
        <v>-2.8806316112839903E-2</v>
      </c>
      <c r="X14">
        <f t="shared" si="3"/>
        <v>-6.2759053429317035E-2</v>
      </c>
      <c r="Y14">
        <f t="shared" si="4"/>
        <v>3.3952737316477133E-2</v>
      </c>
      <c r="Z14">
        <f t="shared" si="5"/>
        <v>1.0293707782163652</v>
      </c>
      <c r="AA14">
        <f t="shared" si="6"/>
        <v>-1.983576914725566</v>
      </c>
      <c r="AB14">
        <f t="shared" si="7"/>
        <v>2.0514823893585201</v>
      </c>
      <c r="AD14">
        <f t="shared" si="10"/>
        <v>7</v>
      </c>
      <c r="AE14">
        <f t="shared" si="11"/>
        <v>-2.8806316112839903E-2</v>
      </c>
    </row>
    <row r="15" spans="1:31" x14ac:dyDescent="0.35">
      <c r="A15">
        <f t="shared" si="0"/>
        <v>9</v>
      </c>
      <c r="B15">
        <v>1.2055841066323034</v>
      </c>
      <c r="C15">
        <f t="shared" si="1"/>
        <v>0.54995509917293139</v>
      </c>
      <c r="E15">
        <f t="shared" si="8"/>
        <v>8</v>
      </c>
      <c r="F15">
        <f t="shared" si="2"/>
        <v>-1.3220266186970195</v>
      </c>
      <c r="G15">
        <f t="shared" si="9"/>
        <v>-1.327538857730777</v>
      </c>
      <c r="J15" t="s">
        <v>363</v>
      </c>
      <c r="K15" s="107">
        <v>0</v>
      </c>
      <c r="M15" t="s">
        <v>377</v>
      </c>
      <c r="V15">
        <f t="shared" si="3"/>
        <v>8</v>
      </c>
      <c r="W15">
        <f t="shared" si="3"/>
        <v>-1.3220266186970195</v>
      </c>
      <c r="X15">
        <f t="shared" si="3"/>
        <v>-1.327538857730777</v>
      </c>
      <c r="Y15">
        <f t="shared" si="4"/>
        <v>5.5122390337574156E-3</v>
      </c>
      <c r="Z15">
        <f t="shared" si="5"/>
        <v>1.0293707782163652</v>
      </c>
      <c r="AA15">
        <f t="shared" si="6"/>
        <v>-2.0120174130082855</v>
      </c>
      <c r="AB15">
        <f t="shared" si="7"/>
        <v>2.0230418910758008</v>
      </c>
      <c r="AD15">
        <f t="shared" si="10"/>
        <v>8</v>
      </c>
      <c r="AE15">
        <f t="shared" si="11"/>
        <v>-1.3220266186970195</v>
      </c>
    </row>
    <row r="16" spans="1:31" ht="15" thickBot="1" x14ac:dyDescent="0.4">
      <c r="A16">
        <f t="shared" si="0"/>
        <v>10</v>
      </c>
      <c r="B16">
        <v>1.1838198499095893</v>
      </c>
      <c r="C16">
        <f t="shared" si="1"/>
        <v>1.3276715980041807</v>
      </c>
      <c r="E16">
        <f t="shared" si="8"/>
        <v>9</v>
      </c>
      <c r="F16">
        <f t="shared" si="2"/>
        <v>0.54995509917293139</v>
      </c>
      <c r="G16">
        <f t="shared" si="9"/>
        <v>0.92279670975241446</v>
      </c>
      <c r="J16" t="s">
        <v>364</v>
      </c>
      <c r="K16" s="107">
        <f>AVERAGE(G9:G112)</f>
        <v>5.0679834387030769E-2</v>
      </c>
      <c r="V16">
        <f t="shared" si="3"/>
        <v>9</v>
      </c>
      <c r="W16">
        <f t="shared" si="3"/>
        <v>0.54995509917293139</v>
      </c>
      <c r="X16">
        <f t="shared" si="3"/>
        <v>0.92279670975241446</v>
      </c>
      <c r="Y16">
        <f t="shared" si="4"/>
        <v>-0.37284161057948306</v>
      </c>
      <c r="Z16">
        <f t="shared" si="5"/>
        <v>1.0293707782163652</v>
      </c>
      <c r="AA16">
        <f t="shared" si="6"/>
        <v>-2.3903712626215263</v>
      </c>
      <c r="AB16">
        <f t="shared" si="7"/>
        <v>1.64468804146256</v>
      </c>
      <c r="AD16">
        <f t="shared" si="10"/>
        <v>9</v>
      </c>
      <c r="AE16">
        <f t="shared" si="11"/>
        <v>0.54995509917293139</v>
      </c>
    </row>
    <row r="17" spans="1:31" ht="15" thickTop="1" x14ac:dyDescent="0.35">
      <c r="A17">
        <f t="shared" si="0"/>
        <v>11</v>
      </c>
      <c r="B17">
        <v>-0.37229539413802176</v>
      </c>
      <c r="C17">
        <f t="shared" si="1"/>
        <v>0.32031075448298674</v>
      </c>
      <c r="E17">
        <f t="shared" si="8"/>
        <v>10</v>
      </c>
      <c r="F17">
        <f t="shared" si="2"/>
        <v>1.3276715980041807</v>
      </c>
      <c r="G17">
        <f t="shared" si="9"/>
        <v>1.3219217174612008</v>
      </c>
      <c r="J17" t="s">
        <v>365</v>
      </c>
      <c r="K17" s="107">
        <f>STDEV(G9:G112)</f>
        <v>1.0331012711613998</v>
      </c>
      <c r="M17" s="45" t="s">
        <v>356</v>
      </c>
      <c r="N17" s="45" t="s">
        <v>378</v>
      </c>
      <c r="V17">
        <f t="shared" si="3"/>
        <v>10</v>
      </c>
      <c r="W17">
        <f t="shared" si="3"/>
        <v>1.3276715980041807</v>
      </c>
      <c r="X17">
        <f t="shared" si="3"/>
        <v>1.3219217174612008</v>
      </c>
      <c r="Y17">
        <f t="shared" si="4"/>
        <v>5.7498805429798683E-3</v>
      </c>
      <c r="Z17">
        <f t="shared" si="5"/>
        <v>1.0293707782163652</v>
      </c>
      <c r="AA17">
        <f t="shared" si="6"/>
        <v>-2.0117797714990635</v>
      </c>
      <c r="AB17">
        <f t="shared" si="7"/>
        <v>2.0232795325850228</v>
      </c>
      <c r="AD17">
        <f t="shared" si="10"/>
        <v>10</v>
      </c>
      <c r="AE17">
        <f t="shared" si="11"/>
        <v>1.3276715980041807</v>
      </c>
    </row>
    <row r="18" spans="1:31" x14ac:dyDescent="0.35">
      <c r="A18">
        <f t="shared" si="0"/>
        <v>12</v>
      </c>
      <c r="B18">
        <v>1.3338509496353779E-2</v>
      </c>
      <c r="C18">
        <f t="shared" si="1"/>
        <v>0.31201511646204882</v>
      </c>
      <c r="E18">
        <f t="shared" si="8"/>
        <v>11</v>
      </c>
      <c r="F18">
        <f t="shared" si="2"/>
        <v>0.32031075448298674</v>
      </c>
      <c r="G18">
        <f t="shared" si="9"/>
        <v>-5.8671564439105262E-2</v>
      </c>
      <c r="J18" t="s">
        <v>366</v>
      </c>
      <c r="K18" s="107">
        <f>SQRT(K11/K21)</f>
        <v>1.0293707782163652</v>
      </c>
      <c r="M18" s="59">
        <v>0</v>
      </c>
      <c r="N18" s="59" t="e">
        <f t="array" aca="1" ref="N18:N22" ca="1">PSICoeff(J8,K8)</f>
        <v>#NAME?</v>
      </c>
      <c r="V18">
        <f t="shared" si="3"/>
        <v>11</v>
      </c>
      <c r="W18">
        <f t="shared" si="3"/>
        <v>0.32031075448298674</v>
      </c>
      <c r="X18">
        <f t="shared" si="3"/>
        <v>-5.8671564439105262E-2</v>
      </c>
      <c r="Y18">
        <f t="shared" si="4"/>
        <v>0.378982318922092</v>
      </c>
      <c r="Z18">
        <f t="shared" si="5"/>
        <v>1.0293707782163652</v>
      </c>
      <c r="AA18">
        <f t="shared" si="6"/>
        <v>-1.6385473331199512</v>
      </c>
      <c r="AB18">
        <f t="shared" si="7"/>
        <v>2.3965119709641352</v>
      </c>
      <c r="AD18">
        <f t="shared" si="10"/>
        <v>11</v>
      </c>
      <c r="AE18">
        <f t="shared" si="11"/>
        <v>0.32031075448298674</v>
      </c>
    </row>
    <row r="19" spans="1:31" x14ac:dyDescent="0.35">
      <c r="A19">
        <f t="shared" si="0"/>
        <v>13</v>
      </c>
      <c r="B19">
        <v>0.70245593167564913</v>
      </c>
      <c r="C19">
        <f t="shared" si="1"/>
        <v>0.91819881129981251</v>
      </c>
      <c r="E19">
        <f t="shared" si="8"/>
        <v>12</v>
      </c>
      <c r="F19">
        <f t="shared" si="2"/>
        <v>0.31201511646204882</v>
      </c>
      <c r="G19">
        <f t="shared" si="9"/>
        <v>6.8392677052474066E-2</v>
      </c>
      <c r="J19" t="s">
        <v>367</v>
      </c>
      <c r="K19" s="107">
        <f>AVERAGE(F9:F112)</f>
        <v>7.7031946982474037E-2</v>
      </c>
      <c r="M19" s="13">
        <f>M18+1</f>
        <v>1</v>
      </c>
      <c r="N19" s="13" t="e">
        <f ca="1"/>
        <v>#NAME?</v>
      </c>
      <c r="V19">
        <f t="shared" si="3"/>
        <v>12</v>
      </c>
      <c r="W19">
        <f t="shared" si="3"/>
        <v>0.31201511646204882</v>
      </c>
      <c r="X19">
        <f t="shared" si="3"/>
        <v>6.8392677052474066E-2</v>
      </c>
      <c r="Y19">
        <f t="shared" si="4"/>
        <v>0.24362243940957476</v>
      </c>
      <c r="Z19">
        <f t="shared" si="5"/>
        <v>1.0293707782163652</v>
      </c>
      <c r="AA19">
        <f t="shared" si="6"/>
        <v>-1.7739072126324684</v>
      </c>
      <c r="AB19">
        <f t="shared" si="7"/>
        <v>2.2611520914516179</v>
      </c>
      <c r="AD19">
        <f t="shared" si="10"/>
        <v>12</v>
      </c>
      <c r="AE19">
        <f t="shared" si="11"/>
        <v>0.31201511646204882</v>
      </c>
    </row>
    <row r="20" spans="1:31" x14ac:dyDescent="0.35">
      <c r="A20">
        <f t="shared" si="0"/>
        <v>14</v>
      </c>
      <c r="B20">
        <v>-0.35036242471588258</v>
      </c>
      <c r="C20">
        <f t="shared" si="1"/>
        <v>0.15188555685885632</v>
      </c>
      <c r="E20">
        <f t="shared" si="8"/>
        <v>13</v>
      </c>
      <c r="F20">
        <f t="shared" si="2"/>
        <v>0.91819881129981251</v>
      </c>
      <c r="G20">
        <f t="shared" si="9"/>
        <v>0.73148681246223757</v>
      </c>
      <c r="J20" t="s">
        <v>368</v>
      </c>
      <c r="K20" s="107">
        <f>STDEV(F9:F112)</f>
        <v>1.1032641637717373</v>
      </c>
      <c r="M20" s="13">
        <f>M19+1</f>
        <v>2</v>
      </c>
      <c r="N20" s="13" t="e">
        <f ca="1"/>
        <v>#NAME?</v>
      </c>
      <c r="V20">
        <f t="shared" si="3"/>
        <v>13</v>
      </c>
      <c r="W20">
        <f t="shared" si="3"/>
        <v>0.91819881129981251</v>
      </c>
      <c r="X20">
        <f t="shared" si="3"/>
        <v>0.73148681246223757</v>
      </c>
      <c r="Y20">
        <f t="shared" si="4"/>
        <v>0.18671199883757494</v>
      </c>
      <c r="Z20">
        <f t="shared" si="5"/>
        <v>1.0293707782163652</v>
      </c>
      <c r="AA20">
        <f t="shared" si="6"/>
        <v>-1.8308176532044682</v>
      </c>
      <c r="AB20">
        <f t="shared" si="7"/>
        <v>2.2042416508796183</v>
      </c>
      <c r="AD20">
        <f t="shared" si="10"/>
        <v>13</v>
      </c>
      <c r="AE20">
        <f t="shared" si="11"/>
        <v>0.91819881129981251</v>
      </c>
    </row>
    <row r="21" spans="1:31" x14ac:dyDescent="0.35">
      <c r="A21">
        <f t="shared" si="0"/>
        <v>15</v>
      </c>
      <c r="B21">
        <v>0.21713729591053152</v>
      </c>
      <c r="C21">
        <f t="shared" si="1"/>
        <v>0.39352967065490746</v>
      </c>
      <c r="E21">
        <f t="shared" si="8"/>
        <v>14</v>
      </c>
      <c r="F21">
        <f t="shared" si="2"/>
        <v>0.15188555685885632</v>
      </c>
      <c r="G21">
        <f t="shared" si="9"/>
        <v>-0.18386494869685149</v>
      </c>
      <c r="J21" t="s">
        <v>369</v>
      </c>
      <c r="K21" s="108">
        <f>COUNT(F9:F112)</f>
        <v>104</v>
      </c>
      <c r="M21" s="13">
        <f>M20+1</f>
        <v>3</v>
      </c>
      <c r="N21" s="13" t="e">
        <f ca="1"/>
        <v>#NAME?</v>
      </c>
      <c r="V21">
        <f t="shared" si="3"/>
        <v>14</v>
      </c>
      <c r="W21">
        <f t="shared" si="3"/>
        <v>0.15188555685885632</v>
      </c>
      <c r="X21">
        <f t="shared" si="3"/>
        <v>-0.18386494869685149</v>
      </c>
      <c r="Y21">
        <f t="shared" si="4"/>
        <v>0.33575050555570785</v>
      </c>
      <c r="Z21">
        <f t="shared" si="5"/>
        <v>1.0293707782163652</v>
      </c>
      <c r="AA21">
        <f t="shared" si="6"/>
        <v>-1.6817791464863352</v>
      </c>
      <c r="AB21">
        <f t="shared" si="7"/>
        <v>2.3532801575977511</v>
      </c>
      <c r="AD21">
        <f t="shared" si="10"/>
        <v>14</v>
      </c>
      <c r="AE21">
        <f t="shared" si="11"/>
        <v>0.15188555685885632</v>
      </c>
    </row>
    <row r="22" spans="1:31" x14ac:dyDescent="0.35">
      <c r="A22">
        <f t="shared" si="0"/>
        <v>16</v>
      </c>
      <c r="B22">
        <v>-0.50660744040413153</v>
      </c>
      <c r="C22">
        <f t="shared" si="1"/>
        <v>-0.27456413012780267</v>
      </c>
      <c r="E22">
        <f t="shared" si="8"/>
        <v>15</v>
      </c>
      <c r="F22">
        <f t="shared" si="2"/>
        <v>0.39352967065490746</v>
      </c>
      <c r="G22">
        <f t="shared" si="9"/>
        <v>0.21511464434187944</v>
      </c>
      <c r="M22" s="4">
        <f>M21+1</f>
        <v>4</v>
      </c>
      <c r="N22" s="4" t="e">
        <f ca="1"/>
        <v>#NAME?</v>
      </c>
      <c r="V22">
        <f t="shared" si="3"/>
        <v>15</v>
      </c>
      <c r="W22">
        <f t="shared" si="3"/>
        <v>0.39352967065490746</v>
      </c>
      <c r="X22">
        <f t="shared" si="3"/>
        <v>0.21511464434187944</v>
      </c>
      <c r="Y22">
        <f t="shared" si="4"/>
        <v>0.17841502631302802</v>
      </c>
      <c r="Z22">
        <f t="shared" si="5"/>
        <v>1.0293707782163652</v>
      </c>
      <c r="AA22">
        <f t="shared" si="6"/>
        <v>-1.8391146257290152</v>
      </c>
      <c r="AB22">
        <f t="shared" si="7"/>
        <v>2.1959446783550711</v>
      </c>
      <c r="AD22">
        <f t="shared" si="10"/>
        <v>15</v>
      </c>
      <c r="AE22">
        <f t="shared" si="11"/>
        <v>0.39352967065490746</v>
      </c>
    </row>
    <row r="23" spans="1:31" x14ac:dyDescent="0.35">
      <c r="A23">
        <f t="shared" si="0"/>
        <v>17</v>
      </c>
      <c r="B23">
        <v>1.3197112250332261</v>
      </c>
      <c r="C23">
        <f t="shared" si="1"/>
        <v>1.2288378220245906</v>
      </c>
      <c r="E23">
        <f t="shared" si="8"/>
        <v>16</v>
      </c>
      <c r="F23">
        <f t="shared" si="2"/>
        <v>-0.27456413012780267</v>
      </c>
      <c r="G23">
        <f t="shared" si="9"/>
        <v>-0.45812016173108083</v>
      </c>
      <c r="J23" t="s">
        <v>370</v>
      </c>
      <c r="K23" s="109">
        <f>-(K26-2*(K13+K14+1))/2</f>
        <v>-150.58017039918417</v>
      </c>
      <c r="V23">
        <f t="shared" si="3"/>
        <v>16</v>
      </c>
      <c r="W23">
        <f t="shared" si="3"/>
        <v>-0.27456413012780267</v>
      </c>
      <c r="X23">
        <f t="shared" si="3"/>
        <v>-0.45812016173108083</v>
      </c>
      <c r="Y23">
        <f t="shared" si="4"/>
        <v>0.18355603160327816</v>
      </c>
      <c r="Z23">
        <f t="shared" si="5"/>
        <v>1.0293707782163652</v>
      </c>
      <c r="AA23">
        <f t="shared" si="6"/>
        <v>-1.8339736204387651</v>
      </c>
      <c r="AB23">
        <f t="shared" si="7"/>
        <v>2.2010856836453212</v>
      </c>
      <c r="AD23">
        <f t="shared" si="10"/>
        <v>16</v>
      </c>
      <c r="AE23">
        <f t="shared" si="11"/>
        <v>-0.27456413012780267</v>
      </c>
    </row>
    <row r="24" spans="1:31" x14ac:dyDescent="0.35">
      <c r="A24">
        <f t="shared" si="0"/>
        <v>18</v>
      </c>
      <c r="B24">
        <v>2.0721563220833827</v>
      </c>
      <c r="C24">
        <f t="shared" si="1"/>
        <v>2.6684005524939507</v>
      </c>
      <c r="E24">
        <f t="shared" si="8"/>
        <v>17</v>
      </c>
      <c r="F24">
        <f t="shared" si="2"/>
        <v>1.2288378220245906</v>
      </c>
      <c r="G24">
        <f t="shared" si="9"/>
        <v>1.2327501238507923</v>
      </c>
      <c r="J24" t="s">
        <v>145</v>
      </c>
      <c r="K24" s="107">
        <f>K21*LN(K11/K21)+2*(K13+K14+1)</f>
        <v>12.021125891796448</v>
      </c>
      <c r="V24">
        <f t="shared" si="3"/>
        <v>17</v>
      </c>
      <c r="W24">
        <f t="shared" si="3"/>
        <v>1.2288378220245906</v>
      </c>
      <c r="X24">
        <f t="shared" si="3"/>
        <v>1.2327501238507923</v>
      </c>
      <c r="Y24">
        <f t="shared" si="4"/>
        <v>-3.9123018262017251E-3</v>
      </c>
      <c r="Z24">
        <f t="shared" si="5"/>
        <v>1.0293707782163652</v>
      </c>
      <c r="AA24">
        <f t="shared" si="6"/>
        <v>-2.0214419538682451</v>
      </c>
      <c r="AB24">
        <f t="shared" si="7"/>
        <v>2.0136173502158412</v>
      </c>
      <c r="AD24">
        <f t="shared" si="10"/>
        <v>17</v>
      </c>
      <c r="AE24">
        <f t="shared" si="11"/>
        <v>1.2288378220245906</v>
      </c>
    </row>
    <row r="25" spans="1:31" x14ac:dyDescent="0.35">
      <c r="A25">
        <f t="shared" si="0"/>
        <v>19</v>
      </c>
      <c r="B25">
        <v>1.9642789414916844</v>
      </c>
      <c r="C25">
        <f t="shared" si="1"/>
        <v>3.417728063820773</v>
      </c>
      <c r="E25">
        <f t="shared" si="8"/>
        <v>18</v>
      </c>
      <c r="F25">
        <f t="shared" si="2"/>
        <v>2.6684005524939507</v>
      </c>
      <c r="G25">
        <f t="shared" si="9"/>
        <v>2.3213520553880973</v>
      </c>
      <c r="J25" t="s">
        <v>371</v>
      </c>
      <c r="K25" s="107">
        <f>K21*LN(K11/K21)+LN(K21)*(K13+K14+1)</f>
        <v>19.954298589220564</v>
      </c>
      <c r="V25">
        <f t="shared" si="3"/>
        <v>18</v>
      </c>
      <c r="W25">
        <f t="shared" si="3"/>
        <v>2.6684005524939507</v>
      </c>
      <c r="X25">
        <f t="shared" si="3"/>
        <v>2.3213520553880973</v>
      </c>
      <c r="Y25">
        <f t="shared" si="4"/>
        <v>0.34704849710585339</v>
      </c>
      <c r="Z25">
        <f t="shared" si="5"/>
        <v>1.0293707782163652</v>
      </c>
      <c r="AA25">
        <f t="shared" si="6"/>
        <v>-1.6704811549361898</v>
      </c>
      <c r="AB25">
        <f t="shared" si="7"/>
        <v>2.3645781491478965</v>
      </c>
      <c r="AD25">
        <f t="shared" si="10"/>
        <v>18</v>
      </c>
      <c r="AE25">
        <f t="shared" si="11"/>
        <v>2.6684005524939507</v>
      </c>
    </row>
    <row r="26" spans="1:31" x14ac:dyDescent="0.35">
      <c r="A26">
        <f t="shared" si="0"/>
        <v>20</v>
      </c>
      <c r="B26">
        <v>0.23964330043753548</v>
      </c>
      <c r="C26">
        <f t="shared" si="1"/>
        <v>2.2391971568137397</v>
      </c>
      <c r="E26">
        <f t="shared" si="8"/>
        <v>19</v>
      </c>
      <c r="F26">
        <f t="shared" si="2"/>
        <v>3.417728063820773</v>
      </c>
      <c r="G26">
        <f t="shared" si="9"/>
        <v>2.5208157426997539</v>
      </c>
      <c r="J26" t="s">
        <v>372</v>
      </c>
      <c r="K26" s="107">
        <f>K21*(1+LN(2*PI()))+K24</f>
        <v>307.16034079836834</v>
      </c>
      <c r="V26">
        <f t="shared" si="3"/>
        <v>19</v>
      </c>
      <c r="W26">
        <f t="shared" si="3"/>
        <v>3.417728063820773</v>
      </c>
      <c r="X26">
        <f t="shared" si="3"/>
        <v>2.5208157426997539</v>
      </c>
      <c r="Y26">
        <f t="shared" si="4"/>
        <v>0.89691232112101904</v>
      </c>
      <c r="Z26">
        <f t="shared" si="5"/>
        <v>1.0293707782163652</v>
      </c>
      <c r="AA26">
        <f t="shared" si="6"/>
        <v>-1.1206173309210241</v>
      </c>
      <c r="AB26">
        <f t="shared" si="7"/>
        <v>2.9144419731630622</v>
      </c>
      <c r="AD26">
        <f t="shared" si="10"/>
        <v>19</v>
      </c>
      <c r="AE26">
        <f t="shared" si="11"/>
        <v>3.417728063820773</v>
      </c>
    </row>
    <row r="27" spans="1:31" x14ac:dyDescent="0.35">
      <c r="A27">
        <f t="shared" si="0"/>
        <v>21</v>
      </c>
      <c r="B27">
        <v>0.60305056491796249</v>
      </c>
      <c r="C27">
        <f t="shared" si="1"/>
        <v>2.1225599146000729</v>
      </c>
      <c r="E27">
        <f t="shared" si="8"/>
        <v>20</v>
      </c>
      <c r="F27">
        <f t="shared" si="2"/>
        <v>2.2391971568137397</v>
      </c>
      <c r="G27">
        <f t="shared" si="9"/>
        <v>0.90807495454175347</v>
      </c>
      <c r="J27" t="s">
        <v>373</v>
      </c>
      <c r="K27" s="108">
        <f>K21*(1+LN(2*PI()))+K25</f>
        <v>315.09351349579248</v>
      </c>
      <c r="V27">
        <f t="shared" si="3"/>
        <v>20</v>
      </c>
      <c r="W27">
        <f t="shared" si="3"/>
        <v>2.2391971568137397</v>
      </c>
      <c r="X27">
        <f t="shared" si="3"/>
        <v>0.90807495454175347</v>
      </c>
      <c r="Y27">
        <f t="shared" si="4"/>
        <v>1.3311222022719862</v>
      </c>
      <c r="Z27">
        <f t="shared" si="5"/>
        <v>1.0293707782163652</v>
      </c>
      <c r="AA27">
        <f t="shared" si="6"/>
        <v>-0.68640744977005697</v>
      </c>
      <c r="AB27">
        <f t="shared" si="7"/>
        <v>3.3486518543140296</v>
      </c>
      <c r="AD27">
        <f t="shared" si="10"/>
        <v>20</v>
      </c>
      <c r="AE27">
        <f t="shared" si="11"/>
        <v>2.2391971568137397</v>
      </c>
    </row>
    <row r="28" spans="1:31" x14ac:dyDescent="0.35">
      <c r="A28">
        <f t="shared" si="0"/>
        <v>22</v>
      </c>
      <c r="B28">
        <v>-0.90138311182696351</v>
      </c>
      <c r="C28">
        <f t="shared" si="1"/>
        <v>0.46379871540949502</v>
      </c>
      <c r="E28">
        <f t="shared" si="8"/>
        <v>21</v>
      </c>
      <c r="F28">
        <f t="shared" si="2"/>
        <v>2.1225599146000729</v>
      </c>
      <c r="G28">
        <f t="shared" si="9"/>
        <v>0.95078208307608969</v>
      </c>
      <c r="V28">
        <f t="shared" si="3"/>
        <v>21</v>
      </c>
      <c r="W28">
        <f t="shared" si="3"/>
        <v>2.1225599146000729</v>
      </c>
      <c r="X28">
        <f t="shared" si="3"/>
        <v>0.95078208307608969</v>
      </c>
      <c r="Y28">
        <f t="shared" si="4"/>
        <v>1.1717778315239831</v>
      </c>
      <c r="Z28">
        <f t="shared" si="5"/>
        <v>1.0293707782163652</v>
      </c>
      <c r="AA28">
        <f t="shared" si="6"/>
        <v>-0.84575182051806008</v>
      </c>
      <c r="AB28">
        <f t="shared" si="7"/>
        <v>3.1893074835660262</v>
      </c>
      <c r="AD28">
        <f t="shared" si="10"/>
        <v>21</v>
      </c>
      <c r="AE28">
        <f t="shared" si="11"/>
        <v>2.1225599146000729</v>
      </c>
    </row>
    <row r="29" spans="1:31" x14ac:dyDescent="0.35">
      <c r="A29">
        <f t="shared" si="0"/>
        <v>23</v>
      </c>
      <c r="B29">
        <v>-1.0557411773368031</v>
      </c>
      <c r="C29">
        <f t="shared" si="1"/>
        <v>-0.55080545418476379</v>
      </c>
      <c r="E29">
        <f t="shared" si="8"/>
        <v>22</v>
      </c>
      <c r="F29">
        <f t="shared" si="2"/>
        <v>0.46379871540949502</v>
      </c>
      <c r="G29">
        <f t="shared" si="9"/>
        <v>-0.61066482988763893</v>
      </c>
      <c r="V29">
        <f t="shared" si="3"/>
        <v>22</v>
      </c>
      <c r="W29">
        <f t="shared" si="3"/>
        <v>0.46379871540949502</v>
      </c>
      <c r="X29">
        <f t="shared" si="3"/>
        <v>-0.61066482988763893</v>
      </c>
      <c r="Y29">
        <f t="shared" si="4"/>
        <v>1.0744635452971338</v>
      </c>
      <c r="Z29">
        <f t="shared" si="5"/>
        <v>1.0293707782163652</v>
      </c>
      <c r="AA29">
        <f t="shared" si="6"/>
        <v>-0.94306610674490932</v>
      </c>
      <c r="AB29">
        <f t="shared" si="7"/>
        <v>3.091993197339177</v>
      </c>
      <c r="AD29">
        <f t="shared" si="10"/>
        <v>22</v>
      </c>
      <c r="AE29">
        <f t="shared" si="11"/>
        <v>0.46379871540949502</v>
      </c>
    </row>
    <row r="30" spans="1:31" x14ac:dyDescent="0.35">
      <c r="A30">
        <f t="shared" si="0"/>
        <v>24</v>
      </c>
      <c r="B30">
        <v>1.357361829570102</v>
      </c>
      <c r="C30">
        <f t="shared" si="1"/>
        <v>1.182946247108128</v>
      </c>
      <c r="E30">
        <f t="shared" si="8"/>
        <v>23</v>
      </c>
      <c r="F30">
        <f t="shared" si="2"/>
        <v>-0.55080545418476379</v>
      </c>
      <c r="G30">
        <f t="shared" si="9"/>
        <v>-1.1154503364189121</v>
      </c>
      <c r="V30">
        <f t="shared" si="3"/>
        <v>23</v>
      </c>
      <c r="W30">
        <f t="shared" si="3"/>
        <v>-0.55080545418476379</v>
      </c>
      <c r="X30">
        <f t="shared" si="3"/>
        <v>-1.1154503364189121</v>
      </c>
      <c r="Y30">
        <f t="shared" si="4"/>
        <v>0.56464488223414833</v>
      </c>
      <c r="Z30">
        <f t="shared" si="5"/>
        <v>1.0293707782163652</v>
      </c>
      <c r="AA30">
        <f t="shared" si="6"/>
        <v>-1.4528847698078948</v>
      </c>
      <c r="AB30">
        <f t="shared" si="7"/>
        <v>2.5821745342761915</v>
      </c>
      <c r="AD30">
        <f t="shared" si="10"/>
        <v>23</v>
      </c>
      <c r="AE30">
        <f t="shared" si="11"/>
        <v>-0.55080545418476379</v>
      </c>
    </row>
    <row r="31" spans="1:31" x14ac:dyDescent="0.35">
      <c r="A31">
        <f t="shared" si="0"/>
        <v>25</v>
      </c>
      <c r="B31">
        <v>-2.969888722096329</v>
      </c>
      <c r="C31">
        <f t="shared" si="1"/>
        <v>-2.4132987150346601</v>
      </c>
      <c r="E31">
        <f t="shared" si="8"/>
        <v>24</v>
      </c>
      <c r="F31">
        <f t="shared" si="2"/>
        <v>1.182946247108128</v>
      </c>
      <c r="G31">
        <f t="shared" si="9"/>
        <v>1.1116308674749247</v>
      </c>
      <c r="V31">
        <f t="shared" si="3"/>
        <v>24</v>
      </c>
      <c r="W31">
        <f t="shared" si="3"/>
        <v>1.182946247108128</v>
      </c>
      <c r="X31">
        <f t="shared" si="3"/>
        <v>1.1116308674749247</v>
      </c>
      <c r="Y31">
        <f t="shared" si="4"/>
        <v>7.1315379633203335E-2</v>
      </c>
      <c r="Z31">
        <f t="shared" si="5"/>
        <v>1.0293707782163652</v>
      </c>
      <c r="AA31">
        <f t="shared" si="6"/>
        <v>-1.9462142724088398</v>
      </c>
      <c r="AB31">
        <f t="shared" si="7"/>
        <v>2.0888450316752465</v>
      </c>
      <c r="AD31">
        <f t="shared" si="10"/>
        <v>24</v>
      </c>
      <c r="AE31">
        <f t="shared" si="11"/>
        <v>1.182946247108128</v>
      </c>
    </row>
    <row r="32" spans="1:31" x14ac:dyDescent="0.35">
      <c r="A32">
        <f t="shared" si="0"/>
        <v>26</v>
      </c>
      <c r="B32">
        <v>2.0748019655504284</v>
      </c>
      <c r="C32">
        <f t="shared" si="1"/>
        <v>0.97947060944543229</v>
      </c>
      <c r="E32">
        <f t="shared" si="8"/>
        <v>25</v>
      </c>
      <c r="F32">
        <f t="shared" si="2"/>
        <v>-2.4132987150346601</v>
      </c>
      <c r="G32">
        <f t="shared" si="9"/>
        <v>-2.7776482160325666</v>
      </c>
      <c r="V32">
        <f t="shared" si="3"/>
        <v>25</v>
      </c>
      <c r="W32">
        <f t="shared" si="3"/>
        <v>-2.4132987150346601</v>
      </c>
      <c r="X32">
        <f t="shared" si="3"/>
        <v>-2.7776482160325666</v>
      </c>
      <c r="Y32">
        <f t="shared" si="4"/>
        <v>0.36434950099790653</v>
      </c>
      <c r="Z32">
        <f t="shared" si="5"/>
        <v>1.0293707782163652</v>
      </c>
      <c r="AA32">
        <f t="shared" si="6"/>
        <v>-1.6531801510441366</v>
      </c>
      <c r="AB32">
        <f t="shared" si="7"/>
        <v>2.3818791530399497</v>
      </c>
      <c r="AD32">
        <f t="shared" si="10"/>
        <v>25</v>
      </c>
      <c r="AE32">
        <f t="shared" si="11"/>
        <v>-2.4132987150346601</v>
      </c>
    </row>
    <row r="33" spans="1:31" x14ac:dyDescent="0.35">
      <c r="A33">
        <f t="shared" si="0"/>
        <v>27</v>
      </c>
      <c r="B33">
        <v>0.28021329874765349</v>
      </c>
      <c r="C33">
        <f t="shared" si="1"/>
        <v>0.55088233224937044</v>
      </c>
      <c r="E33">
        <f t="shared" si="8"/>
        <v>26</v>
      </c>
      <c r="F33">
        <f t="shared" si="2"/>
        <v>0.97947060944543229</v>
      </c>
      <c r="G33">
        <f t="shared" si="9"/>
        <v>1.5172799903636889</v>
      </c>
      <c r="V33">
        <f t="shared" si="3"/>
        <v>26</v>
      </c>
      <c r="W33">
        <f t="shared" si="3"/>
        <v>0.97947060944543229</v>
      </c>
      <c r="X33">
        <f t="shared" si="3"/>
        <v>1.5172799903636889</v>
      </c>
      <c r="Y33">
        <f t="shared" si="4"/>
        <v>-0.53780938091825659</v>
      </c>
      <c r="Z33">
        <f t="shared" si="5"/>
        <v>1.0293707782163652</v>
      </c>
      <c r="AA33">
        <f t="shared" si="6"/>
        <v>-2.5553390329602998</v>
      </c>
      <c r="AB33">
        <f t="shared" si="7"/>
        <v>1.4797202711237865</v>
      </c>
      <c r="AD33">
        <f t="shared" si="10"/>
        <v>26</v>
      </c>
      <c r="AE33">
        <f t="shared" si="11"/>
        <v>0.97947060944543229</v>
      </c>
    </row>
    <row r="34" spans="1:31" x14ac:dyDescent="0.35">
      <c r="A34">
        <f t="shared" si="0"/>
        <v>28</v>
      </c>
      <c r="B34">
        <v>0.89834644475651204</v>
      </c>
      <c r="C34">
        <f t="shared" si="1"/>
        <v>1.2279214175815407</v>
      </c>
      <c r="E34">
        <f t="shared" si="8"/>
        <v>27</v>
      </c>
      <c r="F34">
        <f t="shared" si="2"/>
        <v>0.55088233224937044</v>
      </c>
      <c r="G34">
        <f t="shared" si="9"/>
        <v>0.48976791274636922</v>
      </c>
      <c r="V34">
        <f t="shared" si="3"/>
        <v>27</v>
      </c>
      <c r="W34">
        <f t="shared" si="3"/>
        <v>0.55088233224937044</v>
      </c>
      <c r="X34">
        <f t="shared" si="3"/>
        <v>0.48976791274636922</v>
      </c>
      <c r="Y34">
        <f t="shared" si="4"/>
        <v>6.1114419503001227E-2</v>
      </c>
      <c r="Z34">
        <f t="shared" si="5"/>
        <v>1.0293707782163652</v>
      </c>
      <c r="AA34">
        <f t="shared" si="6"/>
        <v>-1.956415232539042</v>
      </c>
      <c r="AB34">
        <f t="shared" si="7"/>
        <v>2.0786440715450443</v>
      </c>
      <c r="AD34">
        <f t="shared" si="10"/>
        <v>27</v>
      </c>
      <c r="AE34">
        <f t="shared" si="11"/>
        <v>0.55088233224937044</v>
      </c>
    </row>
    <row r="35" spans="1:31" x14ac:dyDescent="0.35">
      <c r="A35">
        <f t="shared" si="0"/>
        <v>29</v>
      </c>
      <c r="B35">
        <v>-1.6033823872485062</v>
      </c>
      <c r="C35">
        <f t="shared" si="1"/>
        <v>-0.92350668389273016</v>
      </c>
      <c r="E35">
        <f t="shared" si="8"/>
        <v>28</v>
      </c>
      <c r="F35">
        <f t="shared" si="2"/>
        <v>1.2279214175815407</v>
      </c>
      <c r="G35">
        <f t="shared" si="9"/>
        <v>1.0470020473746882</v>
      </c>
      <c r="V35">
        <f t="shared" si="3"/>
        <v>28</v>
      </c>
      <c r="W35">
        <f t="shared" si="3"/>
        <v>1.2279214175815407</v>
      </c>
      <c r="X35">
        <f t="shared" si="3"/>
        <v>1.0470020473746882</v>
      </c>
      <c r="Y35">
        <f t="shared" si="4"/>
        <v>0.18091937020685256</v>
      </c>
      <c r="Z35">
        <f t="shared" si="5"/>
        <v>1.0293707782163652</v>
      </c>
      <c r="AA35">
        <f t="shared" si="6"/>
        <v>-1.8366102818351906</v>
      </c>
      <c r="AB35">
        <f t="shared" si="7"/>
        <v>2.1984490222488957</v>
      </c>
      <c r="AD35">
        <f t="shared" si="10"/>
        <v>28</v>
      </c>
      <c r="AE35">
        <f t="shared" si="11"/>
        <v>1.2279214175815407</v>
      </c>
    </row>
    <row r="36" spans="1:31" x14ac:dyDescent="0.35">
      <c r="A36">
        <f t="shared" si="0"/>
        <v>30</v>
      </c>
      <c r="B36">
        <v>0.23549924558665486</v>
      </c>
      <c r="C36">
        <f t="shared" si="1"/>
        <v>-9.0278955688554874E-2</v>
      </c>
      <c r="E36">
        <f t="shared" si="8"/>
        <v>29</v>
      </c>
      <c r="F36">
        <f t="shared" si="2"/>
        <v>-0.92350668389273016</v>
      </c>
      <c r="G36">
        <f t="shared" si="9"/>
        <v>-1.3447917922332853</v>
      </c>
      <c r="V36">
        <f t="shared" si="3"/>
        <v>29</v>
      </c>
      <c r="W36">
        <f t="shared" si="3"/>
        <v>-0.92350668389273016</v>
      </c>
      <c r="X36">
        <f t="shared" si="3"/>
        <v>-1.3447917922332853</v>
      </c>
      <c r="Y36">
        <f t="shared" si="4"/>
        <v>0.4212851083405551</v>
      </c>
      <c r="Z36">
        <f t="shared" si="5"/>
        <v>1.0293707782163652</v>
      </c>
      <c r="AA36">
        <f t="shared" si="6"/>
        <v>-1.5962445437014881</v>
      </c>
      <c r="AB36">
        <f t="shared" si="7"/>
        <v>2.4388147603825985</v>
      </c>
      <c r="AD36">
        <f t="shared" si="10"/>
        <v>29</v>
      </c>
      <c r="AE36">
        <f t="shared" si="11"/>
        <v>-0.92350668389273016</v>
      </c>
    </row>
    <row r="37" spans="1:31" x14ac:dyDescent="0.35">
      <c r="A37">
        <f t="shared" si="0"/>
        <v>31</v>
      </c>
      <c r="B37">
        <v>1.7940884644624944</v>
      </c>
      <c r="C37">
        <f t="shared" si="1"/>
        <v>1.6837933463631751</v>
      </c>
      <c r="E37">
        <f t="shared" si="8"/>
        <v>30</v>
      </c>
      <c r="F37">
        <f t="shared" si="2"/>
        <v>-9.0278955688554874E-2</v>
      </c>
      <c r="G37">
        <f t="shared" si="9"/>
        <v>1.9235426427811619E-3</v>
      </c>
      <c r="V37">
        <f t="shared" si="3"/>
        <v>30</v>
      </c>
      <c r="W37">
        <f t="shared" si="3"/>
        <v>-9.0278955688554874E-2</v>
      </c>
      <c r="X37">
        <f t="shared" si="3"/>
        <v>1.9235426427811619E-3</v>
      </c>
      <c r="Y37">
        <f t="shared" si="4"/>
        <v>-9.2202498331336036E-2</v>
      </c>
      <c r="Z37">
        <f t="shared" si="5"/>
        <v>1.0293707782163652</v>
      </c>
      <c r="AA37">
        <f t="shared" si="6"/>
        <v>-2.1097321503733792</v>
      </c>
      <c r="AB37">
        <f t="shared" si="7"/>
        <v>1.9253271537107071</v>
      </c>
      <c r="AD37">
        <f t="shared" si="10"/>
        <v>30</v>
      </c>
      <c r="AE37">
        <f t="shared" si="11"/>
        <v>-9.0278955688554874E-2</v>
      </c>
    </row>
    <row r="38" spans="1:31" x14ac:dyDescent="0.35">
      <c r="A38">
        <f t="shared" si="0"/>
        <v>32</v>
      </c>
      <c r="B38">
        <v>-1.4306090977486423</v>
      </c>
      <c r="C38">
        <f t="shared" si="1"/>
        <v>-0.61077144818691864</v>
      </c>
      <c r="E38">
        <f t="shared" si="8"/>
        <v>31</v>
      </c>
      <c r="F38">
        <f t="shared" si="2"/>
        <v>1.6837933463631751</v>
      </c>
      <c r="G38">
        <f t="shared" si="9"/>
        <v>1.7465680978124012</v>
      </c>
      <c r="V38">
        <f t="shared" si="3"/>
        <v>31</v>
      </c>
      <c r="W38">
        <f t="shared" si="3"/>
        <v>1.6837933463631751</v>
      </c>
      <c r="X38">
        <f t="shared" si="3"/>
        <v>1.7465680978124012</v>
      </c>
      <c r="Y38">
        <f t="shared" si="4"/>
        <v>-6.2774751449226063E-2</v>
      </c>
      <c r="Z38">
        <f t="shared" si="5"/>
        <v>1.0293707782163652</v>
      </c>
      <c r="AA38">
        <f t="shared" si="6"/>
        <v>-2.0803044034912692</v>
      </c>
      <c r="AB38">
        <f t="shared" si="7"/>
        <v>1.9547549005928171</v>
      </c>
      <c r="AD38">
        <f t="shared" si="10"/>
        <v>31</v>
      </c>
      <c r="AE38">
        <f t="shared" si="11"/>
        <v>1.6837933463631751</v>
      </c>
    </row>
    <row r="39" spans="1:31" x14ac:dyDescent="0.35">
      <c r="A39">
        <f t="shared" si="0"/>
        <v>33</v>
      </c>
      <c r="B39">
        <v>1.422462857081874</v>
      </c>
      <c r="C39">
        <f t="shared" si="1"/>
        <v>1.2810446629007595</v>
      </c>
      <c r="E39">
        <f t="shared" si="8"/>
        <v>32</v>
      </c>
      <c r="F39">
        <f t="shared" si="2"/>
        <v>-0.61077144818691864</v>
      </c>
      <c r="G39">
        <f t="shared" si="9"/>
        <v>-1.0631677605753751</v>
      </c>
      <c r="V39">
        <f t="shared" si="3"/>
        <v>32</v>
      </c>
      <c r="W39">
        <f t="shared" si="3"/>
        <v>-0.61077144818691864</v>
      </c>
      <c r="X39">
        <f t="shared" si="3"/>
        <v>-1.0631677605753751</v>
      </c>
      <c r="Y39">
        <f t="shared" si="4"/>
        <v>0.45239631238845646</v>
      </c>
      <c r="Z39">
        <f t="shared" si="5"/>
        <v>1.0293707782163652</v>
      </c>
      <c r="AA39">
        <f t="shared" si="6"/>
        <v>-1.5651333396535867</v>
      </c>
      <c r="AB39">
        <f t="shared" si="7"/>
        <v>2.4699259644304998</v>
      </c>
      <c r="AD39">
        <f t="shared" si="10"/>
        <v>32</v>
      </c>
      <c r="AE39">
        <f t="shared" si="11"/>
        <v>-0.61077144818691864</v>
      </c>
    </row>
    <row r="40" spans="1:31" x14ac:dyDescent="0.35">
      <c r="A40">
        <f t="shared" si="0"/>
        <v>34</v>
      </c>
      <c r="B40">
        <v>-1.5344845213207499</v>
      </c>
      <c r="C40">
        <f t="shared" si="1"/>
        <v>-0.92224582870659311</v>
      </c>
      <c r="E40">
        <f t="shared" si="8"/>
        <v>33</v>
      </c>
      <c r="F40">
        <f t="shared" si="2"/>
        <v>1.2810446629007595</v>
      </c>
      <c r="G40">
        <f t="shared" si="9"/>
        <v>1.2719837372609173</v>
      </c>
      <c r="V40">
        <f t="shared" si="3"/>
        <v>33</v>
      </c>
      <c r="W40">
        <f t="shared" si="3"/>
        <v>1.2810446629007595</v>
      </c>
      <c r="X40">
        <f t="shared" si="3"/>
        <v>1.2719837372609173</v>
      </c>
      <c r="Y40">
        <f t="shared" si="4"/>
        <v>9.0609256398421767E-3</v>
      </c>
      <c r="Z40">
        <f t="shared" si="5"/>
        <v>1.0293707782163652</v>
      </c>
      <c r="AA40">
        <f t="shared" si="6"/>
        <v>-2.0084687264022012</v>
      </c>
      <c r="AB40">
        <f t="shared" si="7"/>
        <v>2.0265905776818851</v>
      </c>
      <c r="AD40">
        <f t="shared" si="10"/>
        <v>33</v>
      </c>
      <c r="AE40">
        <f t="shared" si="11"/>
        <v>1.2810446629007595</v>
      </c>
    </row>
    <row r="41" spans="1:31" x14ac:dyDescent="0.35">
      <c r="A41">
        <f t="shared" si="0"/>
        <v>35</v>
      </c>
      <c r="B41">
        <v>-0.23943486259011701</v>
      </c>
      <c r="C41">
        <f t="shared" si="1"/>
        <v>-0.57811003842058217</v>
      </c>
      <c r="E41">
        <f t="shared" si="8"/>
        <v>34</v>
      </c>
      <c r="F41">
        <f t="shared" si="2"/>
        <v>-0.92224582870659311</v>
      </c>
      <c r="G41">
        <f t="shared" si="9"/>
        <v>-1.2893344521031778</v>
      </c>
      <c r="V41">
        <f t="shared" si="3"/>
        <v>34</v>
      </c>
      <c r="W41">
        <f t="shared" si="3"/>
        <v>-0.92224582870659311</v>
      </c>
      <c r="X41">
        <f t="shared" si="3"/>
        <v>-1.2893344521031778</v>
      </c>
      <c r="Y41">
        <f t="shared" si="4"/>
        <v>0.36708862339658466</v>
      </c>
      <c r="Z41">
        <f t="shared" si="5"/>
        <v>1.0293707782163652</v>
      </c>
      <c r="AA41">
        <f t="shared" si="6"/>
        <v>-1.6504410286454585</v>
      </c>
      <c r="AB41">
        <f t="shared" si="7"/>
        <v>2.384618275438628</v>
      </c>
      <c r="AD41">
        <f t="shared" si="10"/>
        <v>34</v>
      </c>
      <c r="AE41">
        <f t="shared" si="11"/>
        <v>-0.92224582870659311</v>
      </c>
    </row>
    <row r="42" spans="1:31" x14ac:dyDescent="0.35">
      <c r="A42">
        <f t="shared" si="0"/>
        <v>36</v>
      </c>
      <c r="B42">
        <v>1.1254873384110666</v>
      </c>
      <c r="C42">
        <f t="shared" si="1"/>
        <v>0.76869728403468252</v>
      </c>
      <c r="E42">
        <f t="shared" si="8"/>
        <v>35</v>
      </c>
      <c r="F42">
        <f t="shared" si="2"/>
        <v>-0.57811003842058217</v>
      </c>
      <c r="G42">
        <f t="shared" si="9"/>
        <v>-0.4644212990881289</v>
      </c>
      <c r="V42">
        <f t="shared" si="3"/>
        <v>35</v>
      </c>
      <c r="W42">
        <f t="shared" si="3"/>
        <v>-0.57811003842058217</v>
      </c>
      <c r="X42">
        <f t="shared" si="3"/>
        <v>-0.4644212990881289</v>
      </c>
      <c r="Y42">
        <f t="shared" si="4"/>
        <v>-0.11368873933245327</v>
      </c>
      <c r="Z42">
        <f t="shared" si="5"/>
        <v>1.0293707782163652</v>
      </c>
      <c r="AA42">
        <f t="shared" si="6"/>
        <v>-2.1312183913744964</v>
      </c>
      <c r="AB42">
        <f t="shared" si="7"/>
        <v>1.9038409127095899</v>
      </c>
      <c r="AD42">
        <f t="shared" si="10"/>
        <v>35</v>
      </c>
      <c r="AE42">
        <f t="shared" si="11"/>
        <v>-0.57811003842058217</v>
      </c>
    </row>
    <row r="43" spans="1:31" x14ac:dyDescent="0.35">
      <c r="A43">
        <f t="shared" si="0"/>
        <v>37</v>
      </c>
      <c r="B43">
        <v>-0.26828564280553124</v>
      </c>
      <c r="C43">
        <f t="shared" si="1"/>
        <v>4.4704988336533191E-2</v>
      </c>
      <c r="E43">
        <f t="shared" si="8"/>
        <v>36</v>
      </c>
      <c r="F43">
        <f t="shared" si="2"/>
        <v>0.76869728403468252</v>
      </c>
      <c r="G43">
        <f t="shared" si="9"/>
        <v>0.97853137898300324</v>
      </c>
      <c r="V43">
        <f t="shared" si="3"/>
        <v>36</v>
      </c>
      <c r="W43">
        <f t="shared" si="3"/>
        <v>0.76869728403468252</v>
      </c>
      <c r="X43">
        <f t="shared" si="3"/>
        <v>0.97853137898300324</v>
      </c>
      <c r="Y43">
        <f t="shared" si="4"/>
        <v>-0.20983409494832073</v>
      </c>
      <c r="Z43">
        <f t="shared" si="5"/>
        <v>1.0293707782163652</v>
      </c>
      <c r="AA43">
        <f t="shared" si="6"/>
        <v>-2.2273637469903638</v>
      </c>
      <c r="AB43">
        <f t="shared" si="7"/>
        <v>1.8076955570937225</v>
      </c>
      <c r="AD43">
        <f t="shared" si="10"/>
        <v>36</v>
      </c>
      <c r="AE43">
        <f t="shared" si="11"/>
        <v>0.76869728403468252</v>
      </c>
    </row>
    <row r="44" spans="1:31" x14ac:dyDescent="0.35">
      <c r="A44">
        <f t="shared" si="0"/>
        <v>38</v>
      </c>
      <c r="B44">
        <v>-0.5822900860434399</v>
      </c>
      <c r="C44">
        <f t="shared" si="1"/>
        <v>-0.49733946564676035</v>
      </c>
      <c r="E44">
        <f t="shared" si="8"/>
        <v>37</v>
      </c>
      <c r="F44">
        <f t="shared" si="2"/>
        <v>4.4704988336533191E-2</v>
      </c>
      <c r="G44">
        <f t="shared" si="9"/>
        <v>-8.8803122736446805E-2</v>
      </c>
      <c r="V44">
        <f t="shared" si="3"/>
        <v>37</v>
      </c>
      <c r="W44">
        <f t="shared" si="3"/>
        <v>4.4704988336533191E-2</v>
      </c>
      <c r="X44">
        <f t="shared" si="3"/>
        <v>-8.8803122736446805E-2</v>
      </c>
      <c r="Y44">
        <f t="shared" si="4"/>
        <v>0.13350811107298</v>
      </c>
      <c r="Z44">
        <f t="shared" si="5"/>
        <v>1.0293707782163652</v>
      </c>
      <c r="AA44">
        <f t="shared" si="6"/>
        <v>-1.884021540969063</v>
      </c>
      <c r="AB44">
        <f t="shared" si="7"/>
        <v>2.1510377631150233</v>
      </c>
      <c r="AD44">
        <f t="shared" si="10"/>
        <v>37</v>
      </c>
      <c r="AE44">
        <f t="shared" si="11"/>
        <v>4.4704988336533191E-2</v>
      </c>
    </row>
    <row r="45" spans="1:31" x14ac:dyDescent="0.35">
      <c r="A45">
        <f t="shared" si="0"/>
        <v>39</v>
      </c>
      <c r="B45">
        <v>2.2483238493907369</v>
      </c>
      <c r="C45">
        <f t="shared" si="1"/>
        <v>2.0166442406466927</v>
      </c>
      <c r="E45">
        <f t="shared" si="8"/>
        <v>38</v>
      </c>
      <c r="F45">
        <f t="shared" si="2"/>
        <v>-0.49733946564676035</v>
      </c>
      <c r="G45">
        <f t="shared" si="9"/>
        <v>-0.56383300212459919</v>
      </c>
      <c r="V45">
        <f t="shared" si="3"/>
        <v>38</v>
      </c>
      <c r="W45">
        <f t="shared" si="3"/>
        <v>-0.49733946564676035</v>
      </c>
      <c r="X45">
        <f t="shared" si="3"/>
        <v>-0.56383300212459919</v>
      </c>
      <c r="Y45">
        <f t="shared" si="4"/>
        <v>6.6493536477838844E-2</v>
      </c>
      <c r="Z45">
        <f t="shared" si="5"/>
        <v>1.0293707782163652</v>
      </c>
      <c r="AA45">
        <f t="shared" si="6"/>
        <v>-1.9510361155642042</v>
      </c>
      <c r="AB45">
        <f t="shared" si="7"/>
        <v>2.0840231885198821</v>
      </c>
      <c r="AD45">
        <f t="shared" si="10"/>
        <v>38</v>
      </c>
      <c r="AE45">
        <f t="shared" si="11"/>
        <v>-0.49733946564676035</v>
      </c>
    </row>
    <row r="46" spans="1:31" x14ac:dyDescent="0.35">
      <c r="A46">
        <f t="shared" si="0"/>
        <v>40</v>
      </c>
      <c r="B46">
        <v>-1.3543974073052196</v>
      </c>
      <c r="C46">
        <f t="shared" si="1"/>
        <v>-0.39241120873068225</v>
      </c>
      <c r="E46">
        <f t="shared" si="8"/>
        <v>39</v>
      </c>
      <c r="F46">
        <f t="shared" si="2"/>
        <v>2.0166442406466927</v>
      </c>
      <c r="G46">
        <f t="shared" si="9"/>
        <v>2.1309408027448997</v>
      </c>
      <c r="V46">
        <f t="shared" si="3"/>
        <v>39</v>
      </c>
      <c r="W46">
        <f t="shared" si="3"/>
        <v>2.0166442406466927</v>
      </c>
      <c r="X46">
        <f t="shared" si="3"/>
        <v>2.1309408027448997</v>
      </c>
      <c r="Y46">
        <f t="shared" si="4"/>
        <v>-0.11429656209820704</v>
      </c>
      <c r="Z46">
        <f t="shared" si="5"/>
        <v>1.0293707782163652</v>
      </c>
      <c r="AA46">
        <f t="shared" si="6"/>
        <v>-2.1318262141402502</v>
      </c>
      <c r="AB46">
        <f t="shared" si="7"/>
        <v>1.9032330899438361</v>
      </c>
      <c r="AD46">
        <f t="shared" si="10"/>
        <v>39</v>
      </c>
      <c r="AE46">
        <f t="shared" si="11"/>
        <v>2.0166442406466927</v>
      </c>
    </row>
    <row r="47" spans="1:31" x14ac:dyDescent="0.35">
      <c r="A47">
        <f t="shared" si="0"/>
        <v>41</v>
      </c>
      <c r="B47">
        <v>0.48261152802448637</v>
      </c>
      <c r="C47">
        <f t="shared" si="1"/>
        <v>0.47880316337405276</v>
      </c>
      <c r="E47">
        <f t="shared" si="8"/>
        <v>40</v>
      </c>
      <c r="F47">
        <f t="shared" si="2"/>
        <v>-0.39241120873068225</v>
      </c>
      <c r="G47">
        <f t="shared" si="9"/>
        <v>-0.91847250119452051</v>
      </c>
      <c r="V47">
        <f t="shared" si="3"/>
        <v>40</v>
      </c>
      <c r="W47">
        <f t="shared" si="3"/>
        <v>-0.39241120873068225</v>
      </c>
      <c r="X47">
        <f t="shared" si="3"/>
        <v>-0.91847250119452051</v>
      </c>
      <c r="Y47">
        <f t="shared" si="4"/>
        <v>0.52606129246383826</v>
      </c>
      <c r="Z47">
        <f t="shared" si="5"/>
        <v>1.0293707782163652</v>
      </c>
      <c r="AA47">
        <f t="shared" si="6"/>
        <v>-1.4914683595782048</v>
      </c>
      <c r="AB47">
        <f t="shared" si="7"/>
        <v>2.5435909445058815</v>
      </c>
      <c r="AD47">
        <f t="shared" si="10"/>
        <v>40</v>
      </c>
      <c r="AE47">
        <f t="shared" si="11"/>
        <v>-0.39241120873068225</v>
      </c>
    </row>
    <row r="48" spans="1:31" x14ac:dyDescent="0.35">
      <c r="A48">
        <f t="shared" si="0"/>
        <v>42</v>
      </c>
      <c r="B48">
        <v>-0.10749079290397744</v>
      </c>
      <c r="C48">
        <f t="shared" si="1"/>
        <v>0.13114911585296218</v>
      </c>
      <c r="E48">
        <f t="shared" si="8"/>
        <v>41</v>
      </c>
      <c r="F48">
        <f t="shared" si="2"/>
        <v>0.47880316337405276</v>
      </c>
      <c r="G48">
        <f t="shared" si="9"/>
        <v>0.37810196852571948</v>
      </c>
      <c r="V48">
        <f t="shared" si="3"/>
        <v>41</v>
      </c>
      <c r="W48">
        <f t="shared" si="3"/>
        <v>0.47880316337405276</v>
      </c>
      <c r="X48">
        <f t="shared" si="3"/>
        <v>0.37810196852571948</v>
      </c>
      <c r="Y48">
        <f t="shared" si="4"/>
        <v>0.10070119484833329</v>
      </c>
      <c r="Z48">
        <f t="shared" si="5"/>
        <v>1.0293707782163652</v>
      </c>
      <c r="AA48">
        <f t="shared" si="6"/>
        <v>-1.9168284571937098</v>
      </c>
      <c r="AB48">
        <f t="shared" si="7"/>
        <v>2.1182308468903766</v>
      </c>
      <c r="AD48">
        <f t="shared" si="10"/>
        <v>41</v>
      </c>
      <c r="AE48">
        <f t="shared" si="11"/>
        <v>0.47880316337405276</v>
      </c>
    </row>
    <row r="49" spans="1:31" x14ac:dyDescent="0.35">
      <c r="A49">
        <f t="shared" si="0"/>
        <v>43</v>
      </c>
      <c r="B49">
        <v>-0.80304736276954691</v>
      </c>
      <c r="C49">
        <f t="shared" si="1"/>
        <v>-0.68974482309167784</v>
      </c>
      <c r="E49">
        <f t="shared" si="8"/>
        <v>42</v>
      </c>
      <c r="F49">
        <f t="shared" si="2"/>
        <v>0.13114911585296218</v>
      </c>
      <c r="G49">
        <f t="shared" si="9"/>
        <v>-4.527664684004698E-2</v>
      </c>
      <c r="V49">
        <f t="shared" si="3"/>
        <v>42</v>
      </c>
      <c r="W49">
        <f t="shared" si="3"/>
        <v>0.13114911585296218</v>
      </c>
      <c r="X49">
        <f t="shared" si="3"/>
        <v>-4.527664684004698E-2</v>
      </c>
      <c r="Y49">
        <f t="shared" si="4"/>
        <v>0.17642576269300916</v>
      </c>
      <c r="Z49">
        <f t="shared" si="5"/>
        <v>1.0293707782163652</v>
      </c>
      <c r="AA49">
        <f t="shared" si="6"/>
        <v>-1.8411038893490339</v>
      </c>
      <c r="AB49">
        <f t="shared" si="7"/>
        <v>2.1939554147350524</v>
      </c>
      <c r="AD49">
        <f t="shared" si="10"/>
        <v>42</v>
      </c>
      <c r="AE49">
        <f t="shared" si="11"/>
        <v>0.13114911585296218</v>
      </c>
    </row>
    <row r="50" spans="1:31" x14ac:dyDescent="0.35">
      <c r="A50">
        <f t="shared" si="0"/>
        <v>44</v>
      </c>
      <c r="B50">
        <v>0.2754508892602448</v>
      </c>
      <c r="C50">
        <f t="shared" si="1"/>
        <v>-4.676101435002028E-2</v>
      </c>
      <c r="E50">
        <f t="shared" si="8"/>
        <v>43</v>
      </c>
      <c r="F50">
        <f t="shared" si="2"/>
        <v>-0.68974482309167784</v>
      </c>
      <c r="G50">
        <f t="shared" si="9"/>
        <v>-0.79806084870800875</v>
      </c>
      <c r="V50">
        <f t="shared" si="3"/>
        <v>43</v>
      </c>
      <c r="W50">
        <f t="shared" si="3"/>
        <v>-0.68974482309167784</v>
      </c>
      <c r="X50">
        <f t="shared" si="3"/>
        <v>-0.79806084870800875</v>
      </c>
      <c r="Y50">
        <f t="shared" si="4"/>
        <v>0.10831602561633091</v>
      </c>
      <c r="Z50">
        <f t="shared" si="5"/>
        <v>1.0293707782163652</v>
      </c>
      <c r="AA50">
        <f t="shared" si="6"/>
        <v>-1.9092136264257122</v>
      </c>
      <c r="AB50">
        <f t="shared" si="7"/>
        <v>2.1258456776583738</v>
      </c>
      <c r="AD50">
        <f t="shared" si="10"/>
        <v>43</v>
      </c>
      <c r="AE50">
        <f t="shared" si="11"/>
        <v>-0.68974482309167784</v>
      </c>
    </row>
    <row r="51" spans="1:31" x14ac:dyDescent="0.35">
      <c r="A51">
        <f t="shared" si="0"/>
        <v>45</v>
      </c>
      <c r="B51">
        <v>1.9906931995671073E-2</v>
      </c>
      <c r="C51">
        <f t="shared" si="1"/>
        <v>-6.7915955901392086E-2</v>
      </c>
      <c r="E51">
        <f t="shared" si="8"/>
        <v>44</v>
      </c>
      <c r="F51">
        <f t="shared" si="2"/>
        <v>-4.676101435002028E-2</v>
      </c>
      <c r="G51">
        <f t="shared" si="9"/>
        <v>0.10526498615667795</v>
      </c>
      <c r="V51">
        <f t="shared" si="3"/>
        <v>44</v>
      </c>
      <c r="W51">
        <f t="shared" si="3"/>
        <v>-4.676101435002028E-2</v>
      </c>
      <c r="X51">
        <f t="shared" si="3"/>
        <v>0.10526498615667795</v>
      </c>
      <c r="Y51">
        <f t="shared" si="4"/>
        <v>-0.15202600050669823</v>
      </c>
      <c r="Z51">
        <f t="shared" si="5"/>
        <v>1.0293707782163652</v>
      </c>
      <c r="AA51">
        <f t="shared" si="6"/>
        <v>-2.1695556525487412</v>
      </c>
      <c r="AB51">
        <f t="shared" si="7"/>
        <v>1.8655036515353449</v>
      </c>
      <c r="AD51">
        <f t="shared" si="10"/>
        <v>44</v>
      </c>
      <c r="AE51">
        <f t="shared" si="11"/>
        <v>-4.676101435002028E-2</v>
      </c>
    </row>
    <row r="52" spans="1:31" x14ac:dyDescent="0.35">
      <c r="A52">
        <f t="shared" si="0"/>
        <v>46</v>
      </c>
      <c r="B52">
        <v>1.686625284067059</v>
      </c>
      <c r="C52">
        <f t="shared" si="1"/>
        <v>1.6351027285369504</v>
      </c>
      <c r="E52">
        <f t="shared" si="8"/>
        <v>45</v>
      </c>
      <c r="F52">
        <f t="shared" si="2"/>
        <v>-6.7915955901392086E-2</v>
      </c>
      <c r="G52">
        <f t="shared" si="9"/>
        <v>6.6245366084946508E-3</v>
      </c>
      <c r="V52">
        <f t="shared" si="3"/>
        <v>45</v>
      </c>
      <c r="W52">
        <f t="shared" si="3"/>
        <v>-6.7915955901392086E-2</v>
      </c>
      <c r="X52">
        <f t="shared" si="3"/>
        <v>6.6245366084946508E-3</v>
      </c>
      <c r="Y52">
        <f t="shared" si="4"/>
        <v>-7.454049250988673E-2</v>
      </c>
      <c r="Z52">
        <f t="shared" si="5"/>
        <v>1.0293707782163652</v>
      </c>
      <c r="AA52">
        <f t="shared" si="6"/>
        <v>-2.0920701445519301</v>
      </c>
      <c r="AB52">
        <f t="shared" si="7"/>
        <v>1.9429891595321565</v>
      </c>
      <c r="AD52">
        <f t="shared" si="10"/>
        <v>45</v>
      </c>
      <c r="AE52">
        <f t="shared" si="11"/>
        <v>-6.7915955901392086E-2</v>
      </c>
    </row>
    <row r="53" spans="1:31" x14ac:dyDescent="0.35">
      <c r="A53">
        <f t="shared" si="0"/>
        <v>47</v>
      </c>
      <c r="B53">
        <v>-0.37900350643042602</v>
      </c>
      <c r="C53">
        <f t="shared" si="1"/>
        <v>0.42824334673202724</v>
      </c>
      <c r="E53">
        <f t="shared" si="8"/>
        <v>46</v>
      </c>
      <c r="F53">
        <f t="shared" si="2"/>
        <v>1.6351027285369504</v>
      </c>
      <c r="G53">
        <f t="shared" si="9"/>
        <v>1.6844143331127517</v>
      </c>
      <c r="V53">
        <f t="shared" si="3"/>
        <v>46</v>
      </c>
      <c r="W53">
        <f t="shared" si="3"/>
        <v>1.6351027285369504</v>
      </c>
      <c r="X53">
        <f t="shared" si="3"/>
        <v>1.6844143331127517</v>
      </c>
      <c r="Y53">
        <f t="shared" si="4"/>
        <v>-4.9311604575801304E-2</v>
      </c>
      <c r="Z53">
        <f t="shared" si="5"/>
        <v>1.0293707782163652</v>
      </c>
      <c r="AA53">
        <f t="shared" si="6"/>
        <v>-2.0668412566178445</v>
      </c>
      <c r="AB53">
        <f t="shared" si="7"/>
        <v>1.9682180474662418</v>
      </c>
      <c r="AD53">
        <f t="shared" si="10"/>
        <v>46</v>
      </c>
      <c r="AE53">
        <f t="shared" si="11"/>
        <v>1.6351027285369504</v>
      </c>
    </row>
    <row r="54" spans="1:31" x14ac:dyDescent="0.35">
      <c r="A54">
        <f t="shared" si="0"/>
        <v>48</v>
      </c>
      <c r="B54">
        <v>-0.68133999121505795</v>
      </c>
      <c r="C54">
        <f t="shared" si="1"/>
        <v>-0.30576894721655368</v>
      </c>
      <c r="E54">
        <f t="shared" si="8"/>
        <v>47</v>
      </c>
      <c r="F54">
        <f t="shared" si="2"/>
        <v>0.42824334673202724</v>
      </c>
      <c r="G54">
        <f t="shared" si="9"/>
        <v>-1.5765611727363127E-2</v>
      </c>
      <c r="V54">
        <f t="shared" si="3"/>
        <v>47</v>
      </c>
      <c r="W54">
        <f t="shared" si="3"/>
        <v>0.42824334673202724</v>
      </c>
      <c r="X54">
        <f t="shared" si="3"/>
        <v>-1.5765611727363127E-2</v>
      </c>
      <c r="Y54">
        <f t="shared" si="4"/>
        <v>0.44400895845939037</v>
      </c>
      <c r="Z54">
        <f t="shared" si="5"/>
        <v>1.0293707782163652</v>
      </c>
      <c r="AA54">
        <f t="shared" si="6"/>
        <v>-1.5735206935826529</v>
      </c>
      <c r="AB54">
        <f t="shared" si="7"/>
        <v>2.4615386105014334</v>
      </c>
      <c r="AD54">
        <f t="shared" si="10"/>
        <v>47</v>
      </c>
      <c r="AE54">
        <f t="shared" si="11"/>
        <v>0.42824334673202724</v>
      </c>
    </row>
    <row r="55" spans="1:31" x14ac:dyDescent="0.35">
      <c r="A55">
        <f t="shared" si="0"/>
        <v>49</v>
      </c>
      <c r="B55">
        <v>0.24680727410891506</v>
      </c>
      <c r="C55">
        <f t="shared" si="1"/>
        <v>0.16903700930033908</v>
      </c>
      <c r="E55">
        <f t="shared" si="8"/>
        <v>48</v>
      </c>
      <c r="F55">
        <f t="shared" si="2"/>
        <v>-0.30576894721655368</v>
      </c>
      <c r="G55">
        <f t="shared" si="9"/>
        <v>-0.60622127492283595</v>
      </c>
      <c r="V55">
        <f t="shared" si="3"/>
        <v>48</v>
      </c>
      <c r="W55">
        <f t="shared" si="3"/>
        <v>-0.30576894721655368</v>
      </c>
      <c r="X55">
        <f t="shared" si="3"/>
        <v>-0.60622127492283595</v>
      </c>
      <c r="Y55">
        <f t="shared" si="4"/>
        <v>0.30045232770628227</v>
      </c>
      <c r="Z55">
        <f t="shared" si="5"/>
        <v>1.0293707782163652</v>
      </c>
      <c r="AA55">
        <f t="shared" si="6"/>
        <v>-1.7170773243357609</v>
      </c>
      <c r="AB55">
        <f t="shared" si="7"/>
        <v>2.3179819797483256</v>
      </c>
      <c r="AD55">
        <f t="shared" si="10"/>
        <v>48</v>
      </c>
      <c r="AE55">
        <f t="shared" si="11"/>
        <v>-0.30576894721655368</v>
      </c>
    </row>
    <row r="56" spans="1:31" x14ac:dyDescent="0.35">
      <c r="A56">
        <f t="shared" si="0"/>
        <v>50</v>
      </c>
      <c r="B56">
        <v>0.4176914407480673</v>
      </c>
      <c r="C56">
        <f t="shared" si="1"/>
        <v>0.48665589243652163</v>
      </c>
      <c r="E56">
        <f t="shared" si="8"/>
        <v>49</v>
      </c>
      <c r="F56">
        <f t="shared" si="2"/>
        <v>0.16903700930033908</v>
      </c>
      <c r="G56">
        <f t="shared" si="9"/>
        <v>0.13468704686735289</v>
      </c>
      <c r="V56">
        <f t="shared" si="3"/>
        <v>49</v>
      </c>
      <c r="W56">
        <f t="shared" si="3"/>
        <v>0.16903700930033908</v>
      </c>
      <c r="X56">
        <f t="shared" si="3"/>
        <v>0.13468704686735289</v>
      </c>
      <c r="Y56">
        <f t="shared" si="4"/>
        <v>3.4349962432986186E-2</v>
      </c>
      <c r="Z56">
        <f t="shared" si="5"/>
        <v>1.0293707782163652</v>
      </c>
      <c r="AA56">
        <f t="shared" si="6"/>
        <v>-1.983179689609057</v>
      </c>
      <c r="AB56">
        <f t="shared" si="7"/>
        <v>2.0518796144750295</v>
      </c>
      <c r="AD56">
        <f t="shared" si="10"/>
        <v>49</v>
      </c>
      <c r="AE56">
        <f t="shared" si="11"/>
        <v>0.16903700930033908</v>
      </c>
    </row>
    <row r="57" spans="1:31" x14ac:dyDescent="0.35">
      <c r="A57">
        <f t="shared" si="0"/>
        <v>51</v>
      </c>
      <c r="B57">
        <v>0.39902892938942136</v>
      </c>
      <c r="C57">
        <f t="shared" si="1"/>
        <v>0.656149765945373</v>
      </c>
      <c r="E57">
        <f t="shared" si="8"/>
        <v>50</v>
      </c>
      <c r="F57">
        <f t="shared" si="2"/>
        <v>0.48665589243652163</v>
      </c>
      <c r="G57">
        <f t="shared" si="9"/>
        <v>0.42485474562703324</v>
      </c>
      <c r="V57">
        <f t="shared" si="3"/>
        <v>50</v>
      </c>
      <c r="W57">
        <f t="shared" si="3"/>
        <v>0.48665589243652163</v>
      </c>
      <c r="X57">
        <f t="shared" si="3"/>
        <v>0.42485474562703324</v>
      </c>
      <c r="Y57">
        <f t="shared" si="4"/>
        <v>6.1801146809488394E-2</v>
      </c>
      <c r="Z57">
        <f t="shared" si="5"/>
        <v>1.0293707782163652</v>
      </c>
      <c r="AA57">
        <f t="shared" si="6"/>
        <v>-1.9557285052325548</v>
      </c>
      <c r="AB57">
        <f t="shared" si="7"/>
        <v>2.0793307988515317</v>
      </c>
      <c r="AD57">
        <f t="shared" si="10"/>
        <v>50</v>
      </c>
      <c r="AE57">
        <f t="shared" si="11"/>
        <v>0.48665589243652163</v>
      </c>
    </row>
    <row r="58" spans="1:31" x14ac:dyDescent="0.35">
      <c r="A58">
        <f t="shared" si="0"/>
        <v>52</v>
      </c>
      <c r="B58">
        <v>-0.25018139554307461</v>
      </c>
      <c r="C58">
        <f t="shared" si="1"/>
        <v>0.12931765474080215</v>
      </c>
      <c r="E58">
        <f t="shared" si="8"/>
        <v>51</v>
      </c>
      <c r="F58">
        <f t="shared" si="2"/>
        <v>0.656149765945373</v>
      </c>
      <c r="G58">
        <f t="shared" si="9"/>
        <v>0.49317486298248314</v>
      </c>
      <c r="V58">
        <f t="shared" si="3"/>
        <v>51</v>
      </c>
      <c r="W58">
        <f t="shared" si="3"/>
        <v>0.656149765945373</v>
      </c>
      <c r="X58">
        <f t="shared" si="3"/>
        <v>0.49317486298248314</v>
      </c>
      <c r="Y58">
        <f t="shared" si="4"/>
        <v>0.16297490296288986</v>
      </c>
      <c r="Z58">
        <f t="shared" si="5"/>
        <v>1.0293707782163652</v>
      </c>
      <c r="AA58">
        <f t="shared" si="6"/>
        <v>-1.8545547490791532</v>
      </c>
      <c r="AB58">
        <f t="shared" si="7"/>
        <v>2.1805045550049331</v>
      </c>
      <c r="AD58">
        <f t="shared" si="10"/>
        <v>51</v>
      </c>
      <c r="AE58">
        <f t="shared" si="11"/>
        <v>0.656149765945373</v>
      </c>
    </row>
    <row r="59" spans="1:31" x14ac:dyDescent="0.35">
      <c r="A59">
        <f t="shared" si="0"/>
        <v>53</v>
      </c>
      <c r="B59">
        <v>-1.1742528233216154</v>
      </c>
      <c r="C59">
        <f t="shared" si="1"/>
        <v>-1.0336941858944391</v>
      </c>
      <c r="E59">
        <f t="shared" si="8"/>
        <v>52</v>
      </c>
      <c r="F59">
        <f t="shared" si="2"/>
        <v>0.12931765474080215</v>
      </c>
      <c r="G59">
        <f t="shared" si="9"/>
        <v>-0.12252140867981232</v>
      </c>
      <c r="V59">
        <f t="shared" si="3"/>
        <v>52</v>
      </c>
      <c r="W59">
        <f t="shared" si="3"/>
        <v>0.12931765474080215</v>
      </c>
      <c r="X59">
        <f t="shared" si="3"/>
        <v>-0.12252140867981232</v>
      </c>
      <c r="Y59">
        <f t="shared" si="4"/>
        <v>0.25183906342061446</v>
      </c>
      <c r="Z59">
        <f t="shared" si="5"/>
        <v>1.0293707782163652</v>
      </c>
      <c r="AA59">
        <f t="shared" si="6"/>
        <v>-1.7656905886214287</v>
      </c>
      <c r="AB59">
        <f t="shared" si="7"/>
        <v>2.2693687154626576</v>
      </c>
      <c r="AD59">
        <f t="shared" si="10"/>
        <v>52</v>
      </c>
      <c r="AE59">
        <f t="shared" si="11"/>
        <v>0.12931765474080215</v>
      </c>
    </row>
    <row r="60" spans="1:31" x14ac:dyDescent="0.35">
      <c r="A60">
        <f t="shared" si="0"/>
        <v>54</v>
      </c>
      <c r="B60">
        <v>-1.4045131523645842</v>
      </c>
      <c r="C60">
        <f t="shared" si="1"/>
        <v>-1.8932485178263683</v>
      </c>
      <c r="E60">
        <f t="shared" si="8"/>
        <v>53</v>
      </c>
      <c r="F60">
        <f t="shared" si="2"/>
        <v>-1.0336941858944391</v>
      </c>
      <c r="G60">
        <f t="shared" si="9"/>
        <v>-1.1718860294557372</v>
      </c>
      <c r="V60">
        <f t="shared" si="3"/>
        <v>53</v>
      </c>
      <c r="W60">
        <f t="shared" si="3"/>
        <v>-1.0336941858944391</v>
      </c>
      <c r="X60">
        <f t="shared" si="3"/>
        <v>-1.1718860294557372</v>
      </c>
      <c r="Y60">
        <f t="shared" si="4"/>
        <v>0.1381918435612981</v>
      </c>
      <c r="Z60">
        <f t="shared" si="5"/>
        <v>1.0293707782163652</v>
      </c>
      <c r="AA60">
        <f t="shared" si="6"/>
        <v>-1.8793378084807451</v>
      </c>
      <c r="AB60">
        <f t="shared" si="7"/>
        <v>2.1557214956033413</v>
      </c>
      <c r="AD60">
        <f t="shared" si="10"/>
        <v>53</v>
      </c>
      <c r="AE60">
        <f t="shared" si="11"/>
        <v>-1.0336941858944391</v>
      </c>
    </row>
    <row r="61" spans="1:31" x14ac:dyDescent="0.35">
      <c r="A61">
        <f t="shared" si="0"/>
        <v>55</v>
      </c>
      <c r="B61">
        <v>-0.28172987991615117</v>
      </c>
      <c r="C61">
        <f t="shared" si="1"/>
        <v>-1.3261012119216922</v>
      </c>
      <c r="E61">
        <f t="shared" si="8"/>
        <v>54</v>
      </c>
      <c r="F61">
        <f t="shared" si="2"/>
        <v>-1.8932485178263683</v>
      </c>
      <c r="G61">
        <f t="shared" si="9"/>
        <v>-1.6556844250799216</v>
      </c>
      <c r="V61">
        <f t="shared" si="3"/>
        <v>54</v>
      </c>
      <c r="W61">
        <f t="shared" si="3"/>
        <v>-1.8932485178263683</v>
      </c>
      <c r="X61">
        <f t="shared" si="3"/>
        <v>-1.6556844250799216</v>
      </c>
      <c r="Y61">
        <f t="shared" si="4"/>
        <v>-0.23756409274644663</v>
      </c>
      <c r="Z61">
        <f t="shared" si="5"/>
        <v>1.0293707782163652</v>
      </c>
      <c r="AA61">
        <f t="shared" si="6"/>
        <v>-2.25509374478849</v>
      </c>
      <c r="AB61">
        <f t="shared" si="7"/>
        <v>1.7799655592955965</v>
      </c>
      <c r="AD61">
        <f t="shared" si="10"/>
        <v>54</v>
      </c>
      <c r="AE61">
        <f t="shared" si="11"/>
        <v>-1.8932485178263683</v>
      </c>
    </row>
    <row r="62" spans="1:31" x14ac:dyDescent="0.35">
      <c r="A62">
        <f t="shared" si="0"/>
        <v>56</v>
      </c>
      <c r="B62">
        <v>-0.38821298272001864</v>
      </c>
      <c r="C62">
        <f t="shared" si="1"/>
        <v>-1.2601378550819728</v>
      </c>
      <c r="E62">
        <f t="shared" si="8"/>
        <v>55</v>
      </c>
      <c r="F62">
        <f t="shared" si="2"/>
        <v>-1.3261012119216922</v>
      </c>
      <c r="G62">
        <f t="shared" si="9"/>
        <v>-0.69322989019605141</v>
      </c>
      <c r="V62">
        <f t="shared" si="3"/>
        <v>55</v>
      </c>
      <c r="W62">
        <f t="shared" si="3"/>
        <v>-1.3261012119216922</v>
      </c>
      <c r="X62">
        <f t="shared" si="3"/>
        <v>-0.69322989019605141</v>
      </c>
      <c r="Y62">
        <f t="shared" si="4"/>
        <v>-0.63287132172564076</v>
      </c>
      <c r="Z62">
        <f t="shared" si="5"/>
        <v>1.0293707782163652</v>
      </c>
      <c r="AA62">
        <f t="shared" si="6"/>
        <v>-2.6504009737676837</v>
      </c>
      <c r="AB62">
        <f t="shared" si="7"/>
        <v>1.3846583303164024</v>
      </c>
      <c r="AD62">
        <f t="shared" si="10"/>
        <v>55</v>
      </c>
      <c r="AE62">
        <f t="shared" si="11"/>
        <v>-1.3261012119216922</v>
      </c>
    </row>
    <row r="63" spans="1:31" x14ac:dyDescent="0.35">
      <c r="A63">
        <f t="shared" si="0"/>
        <v>57</v>
      </c>
      <c r="B63">
        <v>-0.43156998564742921</v>
      </c>
      <c r="C63">
        <f t="shared" si="1"/>
        <v>-1.2360238876608063</v>
      </c>
      <c r="E63">
        <f t="shared" si="8"/>
        <v>56</v>
      </c>
      <c r="F63">
        <f t="shared" si="2"/>
        <v>-1.2601378550819728</v>
      </c>
      <c r="G63">
        <f t="shared" si="9"/>
        <v>-0.628839108882286</v>
      </c>
      <c r="V63">
        <f t="shared" si="3"/>
        <v>56</v>
      </c>
      <c r="W63">
        <f t="shared" si="3"/>
        <v>-1.2601378550819728</v>
      </c>
      <c r="X63">
        <f t="shared" si="3"/>
        <v>-0.628839108882286</v>
      </c>
      <c r="Y63">
        <f t="shared" si="4"/>
        <v>-0.63129874619968684</v>
      </c>
      <c r="Z63">
        <f t="shared" si="5"/>
        <v>1.0293707782163652</v>
      </c>
      <c r="AA63">
        <f t="shared" si="6"/>
        <v>-2.6488283982417302</v>
      </c>
      <c r="AB63">
        <f t="shared" si="7"/>
        <v>1.3862309058423563</v>
      </c>
      <c r="AD63">
        <f t="shared" si="10"/>
        <v>56</v>
      </c>
      <c r="AE63">
        <f t="shared" si="11"/>
        <v>-1.2601378550819728</v>
      </c>
    </row>
    <row r="64" spans="1:31" x14ac:dyDescent="0.35">
      <c r="A64">
        <f t="shared" si="0"/>
        <v>58</v>
      </c>
      <c r="B64">
        <v>1.386535004851783</v>
      </c>
      <c r="C64">
        <f t="shared" si="1"/>
        <v>0.60763228061870456</v>
      </c>
      <c r="E64">
        <f t="shared" si="8"/>
        <v>57</v>
      </c>
      <c r="F64">
        <f t="shared" si="2"/>
        <v>-1.2360238876608063</v>
      </c>
      <c r="G64">
        <f t="shared" si="9"/>
        <v>-0.62407299217362233</v>
      </c>
      <c r="V64">
        <f t="shared" si="3"/>
        <v>57</v>
      </c>
      <c r="W64">
        <f t="shared" si="3"/>
        <v>-1.2360238876608063</v>
      </c>
      <c r="X64">
        <f t="shared" si="3"/>
        <v>-0.62407299217362233</v>
      </c>
      <c r="Y64">
        <f t="shared" si="4"/>
        <v>-0.61195089548718395</v>
      </c>
      <c r="Z64">
        <f t="shared" si="5"/>
        <v>1.0293707782163652</v>
      </c>
      <c r="AA64">
        <f t="shared" si="6"/>
        <v>-2.6294805475292273</v>
      </c>
      <c r="AB64">
        <f t="shared" si="7"/>
        <v>1.4055787565548592</v>
      </c>
      <c r="AD64">
        <f t="shared" si="10"/>
        <v>57</v>
      </c>
      <c r="AE64">
        <f t="shared" si="11"/>
        <v>-1.2360238876608063</v>
      </c>
    </row>
    <row r="65" spans="1:31" x14ac:dyDescent="0.35">
      <c r="A65">
        <f t="shared" si="0"/>
        <v>59</v>
      </c>
      <c r="B65">
        <v>-1.3017512220934879</v>
      </c>
      <c r="C65">
        <f t="shared" si="1"/>
        <v>-1.1537156266307513</v>
      </c>
      <c r="E65">
        <f t="shared" si="8"/>
        <v>58</v>
      </c>
      <c r="F65">
        <f t="shared" si="2"/>
        <v>0.60763228061870456</v>
      </c>
      <c r="G65">
        <f t="shared" si="9"/>
        <v>1.2049437923816437</v>
      </c>
      <c r="V65">
        <f t="shared" si="3"/>
        <v>58</v>
      </c>
      <c r="W65">
        <f t="shared" si="3"/>
        <v>0.60763228061870456</v>
      </c>
      <c r="X65">
        <f t="shared" si="3"/>
        <v>1.2049437923816437</v>
      </c>
      <c r="Y65">
        <f t="shared" si="4"/>
        <v>-0.59731151176293917</v>
      </c>
      <c r="Z65">
        <f t="shared" si="5"/>
        <v>1.0293707782163652</v>
      </c>
      <c r="AA65">
        <f t="shared" si="6"/>
        <v>-2.6148411638049822</v>
      </c>
      <c r="AB65">
        <f t="shared" si="7"/>
        <v>1.4202181402791041</v>
      </c>
      <c r="AD65">
        <f t="shared" si="10"/>
        <v>58</v>
      </c>
      <c r="AE65">
        <f t="shared" si="11"/>
        <v>0.60763228061870456</v>
      </c>
    </row>
    <row r="66" spans="1:31" x14ac:dyDescent="0.35">
      <c r="A66">
        <f t="shared" si="0"/>
        <v>60</v>
      </c>
      <c r="B66">
        <v>-1.2553188286181356</v>
      </c>
      <c r="C66">
        <f t="shared" si="1"/>
        <v>-1.8025695228409639</v>
      </c>
      <c r="E66">
        <f t="shared" si="8"/>
        <v>59</v>
      </c>
      <c r="F66">
        <f t="shared" si="2"/>
        <v>-1.1537156266307513</v>
      </c>
      <c r="G66">
        <f t="shared" si="9"/>
        <v>-1.0853558865038784</v>
      </c>
      <c r="V66">
        <f t="shared" si="3"/>
        <v>59</v>
      </c>
      <c r="W66">
        <f t="shared" si="3"/>
        <v>-1.1537156266307513</v>
      </c>
      <c r="X66">
        <f t="shared" si="3"/>
        <v>-1.0853558865038784</v>
      </c>
      <c r="Y66">
        <f t="shared" si="4"/>
        <v>-6.8359740126872959E-2</v>
      </c>
      <c r="Z66">
        <f t="shared" si="5"/>
        <v>1.0293707782163652</v>
      </c>
      <c r="AA66">
        <f t="shared" si="6"/>
        <v>-2.0858893921689159</v>
      </c>
      <c r="AB66">
        <f t="shared" si="7"/>
        <v>1.9491699119151702</v>
      </c>
      <c r="AD66">
        <f t="shared" si="10"/>
        <v>59</v>
      </c>
      <c r="AE66">
        <f t="shared" si="11"/>
        <v>-1.1537156266307513</v>
      </c>
    </row>
    <row r="67" spans="1:31" x14ac:dyDescent="0.35">
      <c r="A67">
        <f t="shared" si="0"/>
        <v>61</v>
      </c>
      <c r="B67">
        <v>0.71120271461460161</v>
      </c>
      <c r="C67">
        <f t="shared" si="1"/>
        <v>-0.29953218565044587</v>
      </c>
      <c r="E67">
        <f t="shared" si="8"/>
        <v>60</v>
      </c>
      <c r="F67">
        <f t="shared" si="2"/>
        <v>-1.8025695228409639</v>
      </c>
      <c r="G67">
        <f t="shared" si="9"/>
        <v>-1.4477041191375153</v>
      </c>
      <c r="V67">
        <f t="shared" si="3"/>
        <v>60</v>
      </c>
      <c r="W67">
        <f t="shared" si="3"/>
        <v>-1.8025695228409639</v>
      </c>
      <c r="X67">
        <f t="shared" si="3"/>
        <v>-1.4477041191375153</v>
      </c>
      <c r="Y67">
        <f t="shared" si="4"/>
        <v>-0.35486540370344866</v>
      </c>
      <c r="Z67">
        <f t="shared" si="5"/>
        <v>1.0293707782163652</v>
      </c>
      <c r="AA67">
        <f t="shared" si="6"/>
        <v>-2.3723950557454918</v>
      </c>
      <c r="AB67">
        <f t="shared" si="7"/>
        <v>1.6626642483385945</v>
      </c>
      <c r="AD67">
        <f t="shared" si="10"/>
        <v>60</v>
      </c>
      <c r="AE67">
        <f t="shared" si="11"/>
        <v>-1.8025695228409639</v>
      </c>
    </row>
    <row r="68" spans="1:31" x14ac:dyDescent="0.35">
      <c r="A68">
        <f t="shared" si="0"/>
        <v>62</v>
      </c>
      <c r="B68">
        <v>-0.14927846160621394</v>
      </c>
      <c r="C68">
        <f t="shared" si="1"/>
        <v>-0.50119153448444642</v>
      </c>
      <c r="E68">
        <f t="shared" si="8"/>
        <v>61</v>
      </c>
      <c r="F68">
        <f t="shared" si="2"/>
        <v>-0.29953218565044587</v>
      </c>
      <c r="G68">
        <f t="shared" si="9"/>
        <v>0.35489162101612803</v>
      </c>
      <c r="V68">
        <f t="shared" si="3"/>
        <v>61</v>
      </c>
      <c r="W68">
        <f t="shared" si="3"/>
        <v>-0.29953218565044587</v>
      </c>
      <c r="X68">
        <f t="shared" si="3"/>
        <v>0.35489162101612803</v>
      </c>
      <c r="Y68">
        <f t="shared" si="4"/>
        <v>-0.65442380666657396</v>
      </c>
      <c r="Z68">
        <f t="shared" si="5"/>
        <v>1.0293707782163652</v>
      </c>
      <c r="AA68">
        <f t="shared" si="6"/>
        <v>-2.6719534587086171</v>
      </c>
      <c r="AB68">
        <f t="shared" si="7"/>
        <v>1.3631058453754692</v>
      </c>
      <c r="AD68">
        <f t="shared" si="10"/>
        <v>61</v>
      </c>
      <c r="AE68">
        <f t="shared" si="11"/>
        <v>-0.29953218565044587</v>
      </c>
    </row>
    <row r="69" spans="1:31" x14ac:dyDescent="0.35">
      <c r="A69">
        <f t="shared" si="0"/>
        <v>63</v>
      </c>
      <c r="B69">
        <v>2.1364162498976984E-2</v>
      </c>
      <c r="C69">
        <f t="shared" si="1"/>
        <v>-0.2996142193188927</v>
      </c>
      <c r="E69">
        <f t="shared" si="8"/>
        <v>62</v>
      </c>
      <c r="F69">
        <f t="shared" si="2"/>
        <v>-0.50119153448444642</v>
      </c>
      <c r="G69">
        <f t="shared" si="9"/>
        <v>-0.1524470648354434</v>
      </c>
      <c r="V69">
        <f t="shared" si="3"/>
        <v>62</v>
      </c>
      <c r="W69">
        <f t="shared" si="3"/>
        <v>-0.50119153448444642</v>
      </c>
      <c r="X69">
        <f t="shared" si="3"/>
        <v>-0.1524470648354434</v>
      </c>
      <c r="Y69">
        <f t="shared" si="4"/>
        <v>-0.34874446964900302</v>
      </c>
      <c r="Z69">
        <f t="shared" si="5"/>
        <v>1.0293707782163652</v>
      </c>
      <c r="AA69">
        <f t="shared" si="6"/>
        <v>-2.3662741216910463</v>
      </c>
      <c r="AB69">
        <f t="shared" si="7"/>
        <v>1.6687851823930402</v>
      </c>
      <c r="AD69">
        <f t="shared" si="10"/>
        <v>62</v>
      </c>
      <c r="AE69">
        <f t="shared" si="11"/>
        <v>-0.50119153448444642</v>
      </c>
    </row>
    <row r="70" spans="1:31" x14ac:dyDescent="0.35">
      <c r="A70">
        <f t="shared" si="0"/>
        <v>64</v>
      </c>
      <c r="B70">
        <v>3.3630781181214632E-2</v>
      </c>
      <c r="C70">
        <f t="shared" si="1"/>
        <v>-0.18037200484180566</v>
      </c>
      <c r="E70">
        <f t="shared" si="8"/>
        <v>63</v>
      </c>
      <c r="F70">
        <f t="shared" si="2"/>
        <v>-0.2996142193188927</v>
      </c>
      <c r="G70">
        <f t="shared" si="9"/>
        <v>-1.6862701057194916E-2</v>
      </c>
      <c r="V70">
        <f t="shared" si="3"/>
        <v>63</v>
      </c>
      <c r="W70">
        <f t="shared" si="3"/>
        <v>-0.2996142193188927</v>
      </c>
      <c r="X70">
        <f t="shared" si="3"/>
        <v>-1.6862701057194916E-2</v>
      </c>
      <c r="Y70">
        <f t="shared" si="4"/>
        <v>-0.28275151826169781</v>
      </c>
      <c r="Z70">
        <f t="shared" si="5"/>
        <v>1.0293707782163652</v>
      </c>
      <c r="AA70">
        <f t="shared" si="6"/>
        <v>-2.3002811703037409</v>
      </c>
      <c r="AB70">
        <f t="shared" si="7"/>
        <v>1.7347781337803454</v>
      </c>
      <c r="AD70">
        <f t="shared" si="10"/>
        <v>63</v>
      </c>
      <c r="AE70">
        <f t="shared" si="11"/>
        <v>-0.2996142193188927</v>
      </c>
    </row>
    <row r="71" spans="1:31" x14ac:dyDescent="0.35">
      <c r="A71">
        <f t="shared" si="0"/>
        <v>65</v>
      </c>
      <c r="B71">
        <v>2.4900321457140446</v>
      </c>
      <c r="C71">
        <f t="shared" si="1"/>
        <v>2.3570455860885375</v>
      </c>
      <c r="E71">
        <f t="shared" si="8"/>
        <v>64</v>
      </c>
      <c r="F71">
        <f t="shared" si="2"/>
        <v>-0.18037200484180566</v>
      </c>
      <c r="G71">
        <f t="shared" si="9"/>
        <v>1.8592834506711335E-2</v>
      </c>
      <c r="V71">
        <f t="shared" si="3"/>
        <v>64</v>
      </c>
      <c r="W71">
        <f t="shared" si="3"/>
        <v>-0.18037200484180566</v>
      </c>
      <c r="X71">
        <f t="shared" si="3"/>
        <v>1.8592834506711335E-2</v>
      </c>
      <c r="Y71">
        <f t="shared" si="4"/>
        <v>-0.198964839348517</v>
      </c>
      <c r="Z71">
        <f t="shared" si="5"/>
        <v>1.0293707782163652</v>
      </c>
      <c r="AA71">
        <f t="shared" si="6"/>
        <v>-2.2164944913905602</v>
      </c>
      <c r="AB71">
        <f t="shared" si="7"/>
        <v>1.8185648126935261</v>
      </c>
      <c r="AD71">
        <f t="shared" si="10"/>
        <v>64</v>
      </c>
      <c r="AE71">
        <f t="shared" si="11"/>
        <v>-0.18037200484180566</v>
      </c>
    </row>
    <row r="72" spans="1:31" x14ac:dyDescent="0.35">
      <c r="A72">
        <f t="shared" ref="A72:A111" si="12">A71+1</f>
        <v>66</v>
      </c>
      <c r="B72">
        <v>-0.22832106642044353</v>
      </c>
      <c r="C72">
        <f t="shared" ref="C72:C111" si="13">0.7*C71+B72-0.2*B71</f>
        <v>0.92360441469872367</v>
      </c>
      <c r="E72">
        <f t="shared" si="8"/>
        <v>65</v>
      </c>
      <c r="F72">
        <f t="shared" si="2"/>
        <v>2.3570455860885375</v>
      </c>
      <c r="G72">
        <f t="shared" si="9"/>
        <v>2.4884107064695788</v>
      </c>
      <c r="V72">
        <f t="shared" si="3"/>
        <v>65</v>
      </c>
      <c r="W72">
        <f t="shared" si="3"/>
        <v>2.3570455860885375</v>
      </c>
      <c r="X72">
        <f t="shared" si="3"/>
        <v>2.4884107064695788</v>
      </c>
      <c r="Y72">
        <f t="shared" si="4"/>
        <v>-0.13136512038104131</v>
      </c>
      <c r="Z72">
        <f t="shared" si="5"/>
        <v>1.0293707782163652</v>
      </c>
      <c r="AA72">
        <f t="shared" si="6"/>
        <v>-2.1488947724230845</v>
      </c>
      <c r="AB72">
        <f t="shared" si="7"/>
        <v>1.8861645316610018</v>
      </c>
      <c r="AD72">
        <f t="shared" si="10"/>
        <v>65</v>
      </c>
      <c r="AE72">
        <f t="shared" si="11"/>
        <v>2.3570455860885375</v>
      </c>
    </row>
    <row r="73" spans="1:31" x14ac:dyDescent="0.35">
      <c r="A73">
        <f t="shared" si="12"/>
        <v>67</v>
      </c>
      <c r="B73">
        <v>-0.99142145654823743</v>
      </c>
      <c r="C73">
        <f t="shared" si="13"/>
        <v>-0.29923415297504224</v>
      </c>
      <c r="E73">
        <f t="shared" si="8"/>
        <v>66</v>
      </c>
      <c r="F73">
        <f t="shared" ref="F73:F112" si="14">C72</f>
        <v>0.92360441469872367</v>
      </c>
      <c r="G73">
        <f t="shared" si="9"/>
        <v>0.30784963488959582</v>
      </c>
      <c r="V73">
        <f t="shared" ref="V73:X112" si="15">E73</f>
        <v>66</v>
      </c>
      <c r="W73">
        <f t="shared" si="15"/>
        <v>0.92360441469872367</v>
      </c>
      <c r="X73">
        <f t="shared" si="15"/>
        <v>0.30784963488959582</v>
      </c>
      <c r="Y73">
        <f t="shared" ref="Y73:Y112" si="16">W73-X73</f>
        <v>0.61575477980912785</v>
      </c>
      <c r="Z73">
        <f t="shared" ref="Z73:Z112" si="17">K$18</f>
        <v>1.0293707782163652</v>
      </c>
      <c r="AA73">
        <f t="shared" ref="AA73:AA112" si="18">Y73-NORMSINV(1-Z$6/2)*Z73</f>
        <v>-1.4017748722329153</v>
      </c>
      <c r="AB73">
        <f t="shared" ref="AB73:AB112" si="19">Y73+NORMSINV(1-Z$6/2)*Z73</f>
        <v>2.633284431851171</v>
      </c>
      <c r="AD73">
        <f t="shared" si="10"/>
        <v>66</v>
      </c>
      <c r="AE73">
        <f t="shared" si="11"/>
        <v>0.92360441469872367</v>
      </c>
    </row>
    <row r="74" spans="1:31" x14ac:dyDescent="0.35">
      <c r="A74">
        <f t="shared" si="12"/>
        <v>68</v>
      </c>
      <c r="B74">
        <v>0.28534068077982988</v>
      </c>
      <c r="C74">
        <f t="shared" si="13"/>
        <v>0.27416106500694781</v>
      </c>
      <c r="E74">
        <f t="shared" ref="E74:E112" si="20">E73+1</f>
        <v>67</v>
      </c>
      <c r="F74">
        <f t="shared" si="14"/>
        <v>-0.29923415297504224</v>
      </c>
      <c r="G74">
        <f t="shared" ref="G74:G112" si="21">F74-SUMPRODUCT(F73,J$8)-SUMPRODUCT(G73,K$8)</f>
        <v>-0.80944438648808248</v>
      </c>
      <c r="V74">
        <f t="shared" si="15"/>
        <v>67</v>
      </c>
      <c r="W74">
        <f t="shared" si="15"/>
        <v>-0.29923415297504224</v>
      </c>
      <c r="X74">
        <f t="shared" si="15"/>
        <v>-0.80944438648808248</v>
      </c>
      <c r="Y74">
        <f t="shared" si="16"/>
        <v>0.51021023351304029</v>
      </c>
      <c r="Z74">
        <f t="shared" si="17"/>
        <v>1.0293707782163652</v>
      </c>
      <c r="AA74">
        <f t="shared" si="18"/>
        <v>-1.5073194185290029</v>
      </c>
      <c r="AB74">
        <f t="shared" si="19"/>
        <v>2.5277398855550834</v>
      </c>
      <c r="AD74">
        <f t="shared" ref="AD74:AD117" si="22">AD73+1</f>
        <v>67</v>
      </c>
      <c r="AE74">
        <f t="shared" ref="AE74:AE112" si="23">C73</f>
        <v>-0.29923415297504224</v>
      </c>
    </row>
    <row r="75" spans="1:31" x14ac:dyDescent="0.35">
      <c r="A75">
        <f t="shared" si="12"/>
        <v>69</v>
      </c>
      <c r="B75">
        <v>-0.37876373558789145</v>
      </c>
      <c r="C75">
        <f t="shared" si="13"/>
        <v>-0.24391912623899398</v>
      </c>
      <c r="E75">
        <f t="shared" si="20"/>
        <v>68</v>
      </c>
      <c r="F75">
        <f t="shared" si="14"/>
        <v>0.27416106500694781</v>
      </c>
      <c r="G75">
        <f t="shared" si="21"/>
        <v>0.15341401710550895</v>
      </c>
      <c r="V75">
        <f t="shared" si="15"/>
        <v>68</v>
      </c>
      <c r="W75">
        <f t="shared" si="15"/>
        <v>0.27416106500694781</v>
      </c>
      <c r="X75">
        <f t="shared" si="15"/>
        <v>0.15341401710550895</v>
      </c>
      <c r="Y75">
        <f t="shared" si="16"/>
        <v>0.12074704790143886</v>
      </c>
      <c r="Z75">
        <f t="shared" si="17"/>
        <v>1.0293707782163652</v>
      </c>
      <c r="AA75">
        <f t="shared" si="18"/>
        <v>-1.8967826041406042</v>
      </c>
      <c r="AB75">
        <f t="shared" si="19"/>
        <v>2.1382766999434821</v>
      </c>
      <c r="AD75">
        <f t="shared" si="22"/>
        <v>68</v>
      </c>
      <c r="AE75">
        <f t="shared" si="23"/>
        <v>0.27416106500694781</v>
      </c>
    </row>
    <row r="76" spans="1:31" x14ac:dyDescent="0.35">
      <c r="A76">
        <f t="shared" si="12"/>
        <v>70</v>
      </c>
      <c r="B76">
        <v>-0.61727751655520191</v>
      </c>
      <c r="C76">
        <f t="shared" si="13"/>
        <v>-0.71226815780491937</v>
      </c>
      <c r="E76">
        <f t="shared" si="20"/>
        <v>69</v>
      </c>
      <c r="F76">
        <f t="shared" si="14"/>
        <v>-0.24391912623899398</v>
      </c>
      <c r="G76">
        <f t="shared" si="21"/>
        <v>-0.37036675076250891</v>
      </c>
      <c r="V76">
        <f t="shared" si="15"/>
        <v>69</v>
      </c>
      <c r="W76">
        <f t="shared" si="15"/>
        <v>-0.24391912623899398</v>
      </c>
      <c r="X76">
        <f t="shared" si="15"/>
        <v>-0.37036675076250891</v>
      </c>
      <c r="Y76">
        <f t="shared" si="16"/>
        <v>0.12644762452351493</v>
      </c>
      <c r="Z76">
        <f t="shared" si="17"/>
        <v>1.0293707782163652</v>
      </c>
      <c r="AA76">
        <f t="shared" si="18"/>
        <v>-1.8910820275185283</v>
      </c>
      <c r="AB76">
        <f t="shared" si="19"/>
        <v>2.143977276565558</v>
      </c>
      <c r="AD76">
        <f t="shared" si="22"/>
        <v>69</v>
      </c>
      <c r="AE76">
        <f t="shared" si="23"/>
        <v>-0.24391912623899398</v>
      </c>
    </row>
    <row r="77" spans="1:31" x14ac:dyDescent="0.35">
      <c r="A77">
        <f t="shared" si="12"/>
        <v>71</v>
      </c>
      <c r="B77">
        <v>-0.83006009584137008</v>
      </c>
      <c r="C77">
        <f t="shared" si="13"/>
        <v>-1.2051923029937734</v>
      </c>
      <c r="E77">
        <f t="shared" si="20"/>
        <v>70</v>
      </c>
      <c r="F77">
        <f t="shared" si="14"/>
        <v>-0.71226815780491937</v>
      </c>
      <c r="G77">
        <f t="shared" si="21"/>
        <v>-0.6940323418971992</v>
      </c>
      <c r="V77">
        <f t="shared" si="15"/>
        <v>70</v>
      </c>
      <c r="W77">
        <f t="shared" si="15"/>
        <v>-0.71226815780491937</v>
      </c>
      <c r="X77">
        <f t="shared" si="15"/>
        <v>-0.6940323418971992</v>
      </c>
      <c r="Y77">
        <f t="shared" si="16"/>
        <v>-1.8235815907720165E-2</v>
      </c>
      <c r="Z77">
        <f t="shared" si="17"/>
        <v>1.0293707782163652</v>
      </c>
      <c r="AA77">
        <f t="shared" si="18"/>
        <v>-2.0357654679497634</v>
      </c>
      <c r="AB77">
        <f t="shared" si="19"/>
        <v>1.9992938361343229</v>
      </c>
      <c r="AD77">
        <f t="shared" si="22"/>
        <v>70</v>
      </c>
      <c r="AE77">
        <f t="shared" si="23"/>
        <v>-0.71226815780491937</v>
      </c>
    </row>
    <row r="78" spans="1:31" x14ac:dyDescent="0.35">
      <c r="A78">
        <f t="shared" si="12"/>
        <v>72</v>
      </c>
      <c r="B78">
        <v>0.6297885382553351</v>
      </c>
      <c r="C78">
        <f t="shared" si="13"/>
        <v>-4.7834054672032278E-2</v>
      </c>
      <c r="E78">
        <f t="shared" si="20"/>
        <v>71</v>
      </c>
      <c r="F78">
        <f t="shared" si="14"/>
        <v>-1.2051923029937734</v>
      </c>
      <c r="G78">
        <f t="shared" si="21"/>
        <v>-0.99576950620465421</v>
      </c>
      <c r="V78">
        <f t="shared" si="15"/>
        <v>71</v>
      </c>
      <c r="W78">
        <f t="shared" si="15"/>
        <v>-1.2051923029937734</v>
      </c>
      <c r="X78">
        <f t="shared" si="15"/>
        <v>-0.99576950620465421</v>
      </c>
      <c r="Y78">
        <f t="shared" si="16"/>
        <v>-0.20942279678911924</v>
      </c>
      <c r="Z78">
        <f t="shared" si="17"/>
        <v>1.0293707782163652</v>
      </c>
      <c r="AA78">
        <f t="shared" si="18"/>
        <v>-2.2269524488311623</v>
      </c>
      <c r="AB78">
        <f t="shared" si="19"/>
        <v>1.808106855252924</v>
      </c>
      <c r="AD78">
        <f t="shared" si="22"/>
        <v>71</v>
      </c>
      <c r="AE78">
        <f t="shared" si="23"/>
        <v>-1.2051923029937734</v>
      </c>
    </row>
    <row r="79" spans="1:31" x14ac:dyDescent="0.35">
      <c r="A79">
        <f t="shared" si="12"/>
        <v>73</v>
      </c>
      <c r="B79">
        <v>-0.694040660745746</v>
      </c>
      <c r="C79">
        <f t="shared" si="13"/>
        <v>-0.85348220666723562</v>
      </c>
      <c r="E79">
        <f t="shared" si="20"/>
        <v>72</v>
      </c>
      <c r="F79">
        <f t="shared" si="14"/>
        <v>-4.7834054672032278E-2</v>
      </c>
      <c r="G79">
        <f t="shared" si="21"/>
        <v>0.37849106449956971</v>
      </c>
      <c r="V79">
        <f t="shared" si="15"/>
        <v>72</v>
      </c>
      <c r="W79">
        <f t="shared" si="15"/>
        <v>-4.7834054672032278E-2</v>
      </c>
      <c r="X79">
        <f t="shared" si="15"/>
        <v>0.37849106449956971</v>
      </c>
      <c r="Y79">
        <f t="shared" si="16"/>
        <v>-0.42632511917160199</v>
      </c>
      <c r="Z79">
        <f t="shared" si="17"/>
        <v>1.0293707782163652</v>
      </c>
      <c r="AA79">
        <f t="shared" si="18"/>
        <v>-2.4438547712136449</v>
      </c>
      <c r="AB79">
        <f t="shared" si="19"/>
        <v>1.5912045328704412</v>
      </c>
      <c r="AD79">
        <f t="shared" si="22"/>
        <v>72</v>
      </c>
      <c r="AE79">
        <f t="shared" si="23"/>
        <v>-4.7834054672032278E-2</v>
      </c>
    </row>
    <row r="80" spans="1:31" x14ac:dyDescent="0.35">
      <c r="A80">
        <f t="shared" si="12"/>
        <v>74</v>
      </c>
      <c r="B80">
        <v>-1.1292977646381548</v>
      </c>
      <c r="C80">
        <f t="shared" si="13"/>
        <v>-1.5879271771560706</v>
      </c>
      <c r="E80">
        <f t="shared" si="20"/>
        <v>73</v>
      </c>
      <c r="F80">
        <f t="shared" si="14"/>
        <v>-0.85348220666723562</v>
      </c>
      <c r="G80">
        <f t="shared" si="21"/>
        <v>-0.66808074317659716</v>
      </c>
      <c r="V80">
        <f t="shared" si="15"/>
        <v>73</v>
      </c>
      <c r="W80">
        <f t="shared" si="15"/>
        <v>-0.85348220666723562</v>
      </c>
      <c r="X80">
        <f t="shared" si="15"/>
        <v>-0.66808074317659716</v>
      </c>
      <c r="Y80">
        <f t="shared" si="16"/>
        <v>-0.18540146349063846</v>
      </c>
      <c r="Z80">
        <f t="shared" si="17"/>
        <v>1.0293707782163652</v>
      </c>
      <c r="AA80">
        <f t="shared" si="18"/>
        <v>-2.2029311155326816</v>
      </c>
      <c r="AB80">
        <f t="shared" si="19"/>
        <v>1.8321281885514047</v>
      </c>
      <c r="AD80">
        <f t="shared" si="22"/>
        <v>73</v>
      </c>
      <c r="AE80">
        <f t="shared" si="23"/>
        <v>-0.85348220666723562</v>
      </c>
    </row>
    <row r="81" spans="1:31" x14ac:dyDescent="0.35">
      <c r="A81">
        <f t="shared" si="12"/>
        <v>75</v>
      </c>
      <c r="B81">
        <v>0.6095368117304879</v>
      </c>
      <c r="C81">
        <f t="shared" si="13"/>
        <v>-0.27615265935113054</v>
      </c>
      <c r="E81">
        <f t="shared" si="20"/>
        <v>74</v>
      </c>
      <c r="F81">
        <f t="shared" si="14"/>
        <v>-1.5879271771560706</v>
      </c>
      <c r="G81">
        <f t="shared" si="21"/>
        <v>-1.2710651990206387</v>
      </c>
      <c r="V81">
        <f t="shared" si="15"/>
        <v>74</v>
      </c>
      <c r="W81">
        <f t="shared" si="15"/>
        <v>-1.5879271771560706</v>
      </c>
      <c r="X81">
        <f t="shared" si="15"/>
        <v>-1.2710651990206387</v>
      </c>
      <c r="Y81">
        <f t="shared" si="16"/>
        <v>-0.31686197813543182</v>
      </c>
      <c r="Z81">
        <f t="shared" si="17"/>
        <v>1.0293707782163652</v>
      </c>
      <c r="AA81">
        <f t="shared" si="18"/>
        <v>-2.3343916301774748</v>
      </c>
      <c r="AB81">
        <f t="shared" si="19"/>
        <v>1.7006676739066113</v>
      </c>
      <c r="AD81">
        <f t="shared" si="22"/>
        <v>74</v>
      </c>
      <c r="AE81">
        <f t="shared" si="23"/>
        <v>-1.5879271771560706</v>
      </c>
    </row>
    <row r="82" spans="1:31" x14ac:dyDescent="0.35">
      <c r="A82">
        <f t="shared" si="12"/>
        <v>76</v>
      </c>
      <c r="B82">
        <v>-1.2359970227306327</v>
      </c>
      <c r="C82">
        <f t="shared" si="13"/>
        <v>-1.5512112466225216</v>
      </c>
      <c r="E82">
        <f t="shared" si="20"/>
        <v>75</v>
      </c>
      <c r="F82">
        <f t="shared" si="14"/>
        <v>-0.27615265935113054</v>
      </c>
      <c r="G82">
        <f t="shared" si="21"/>
        <v>0.30205908360851808</v>
      </c>
      <c r="V82">
        <f t="shared" si="15"/>
        <v>75</v>
      </c>
      <c r="W82">
        <f t="shared" si="15"/>
        <v>-0.27615265935113054</v>
      </c>
      <c r="X82">
        <f t="shared" si="15"/>
        <v>0.30205908360851808</v>
      </c>
      <c r="Y82">
        <f t="shared" si="16"/>
        <v>-0.57821174295964861</v>
      </c>
      <c r="Z82">
        <f t="shared" si="17"/>
        <v>1.0293707782163652</v>
      </c>
      <c r="AA82">
        <f t="shared" si="18"/>
        <v>-2.5957413950016917</v>
      </c>
      <c r="AB82">
        <f t="shared" si="19"/>
        <v>1.4393179090823947</v>
      </c>
      <c r="AD82">
        <f t="shared" si="22"/>
        <v>75</v>
      </c>
      <c r="AE82">
        <f t="shared" si="23"/>
        <v>-0.27615265935113054</v>
      </c>
    </row>
    <row r="83" spans="1:31" x14ac:dyDescent="0.35">
      <c r="A83">
        <f t="shared" si="12"/>
        <v>77</v>
      </c>
      <c r="B83">
        <v>0.14781809608735161</v>
      </c>
      <c r="C83">
        <f t="shared" si="13"/>
        <v>-0.69083037200228681</v>
      </c>
      <c r="E83">
        <f t="shared" si="20"/>
        <v>76</v>
      </c>
      <c r="F83">
        <f t="shared" si="14"/>
        <v>-1.5512112466225216</v>
      </c>
      <c r="G83">
        <f t="shared" si="21"/>
        <v>-1.2398169776833849</v>
      </c>
      <c r="V83">
        <f t="shared" si="15"/>
        <v>76</v>
      </c>
      <c r="W83">
        <f t="shared" si="15"/>
        <v>-1.5512112466225216</v>
      </c>
      <c r="X83">
        <f t="shared" si="15"/>
        <v>-1.2398169776833849</v>
      </c>
      <c r="Y83">
        <f t="shared" si="16"/>
        <v>-0.31139426893913669</v>
      </c>
      <c r="Z83">
        <f t="shared" si="17"/>
        <v>1.0293707782163652</v>
      </c>
      <c r="AA83">
        <f t="shared" si="18"/>
        <v>-2.3289239209811798</v>
      </c>
      <c r="AB83">
        <f t="shared" si="19"/>
        <v>1.7061353831029065</v>
      </c>
      <c r="AD83">
        <f t="shared" si="22"/>
        <v>76</v>
      </c>
      <c r="AE83">
        <f t="shared" si="23"/>
        <v>-1.5512112466225216</v>
      </c>
    </row>
    <row r="84" spans="1:31" x14ac:dyDescent="0.35">
      <c r="A84">
        <f t="shared" si="12"/>
        <v>78</v>
      </c>
      <c r="B84">
        <v>0.14223995185972241</v>
      </c>
      <c r="C84">
        <f t="shared" si="13"/>
        <v>-0.37090492775934858</v>
      </c>
      <c r="E84">
        <f t="shared" si="20"/>
        <v>77</v>
      </c>
      <c r="F84">
        <f t="shared" si="14"/>
        <v>-0.69083037200228681</v>
      </c>
      <c r="G84">
        <f t="shared" si="21"/>
        <v>-0.12523882586619595</v>
      </c>
      <c r="V84">
        <f t="shared" si="15"/>
        <v>77</v>
      </c>
      <c r="W84">
        <f t="shared" si="15"/>
        <v>-0.69083037200228681</v>
      </c>
      <c r="X84">
        <f t="shared" si="15"/>
        <v>-0.12523882586619595</v>
      </c>
      <c r="Y84">
        <f t="shared" si="16"/>
        <v>-0.56559154613609086</v>
      </c>
      <c r="Z84">
        <f t="shared" si="17"/>
        <v>1.0293707782163652</v>
      </c>
      <c r="AA84">
        <f t="shared" si="18"/>
        <v>-2.5831211981781341</v>
      </c>
      <c r="AB84">
        <f t="shared" si="19"/>
        <v>1.4519381059059522</v>
      </c>
      <c r="AD84">
        <f t="shared" si="22"/>
        <v>77</v>
      </c>
      <c r="AE84">
        <f t="shared" si="23"/>
        <v>-0.69083037200228681</v>
      </c>
    </row>
    <row r="85" spans="1:31" x14ac:dyDescent="0.35">
      <c r="A85">
        <f t="shared" si="12"/>
        <v>79</v>
      </c>
      <c r="B85">
        <v>0.78683578193082926</v>
      </c>
      <c r="C85">
        <f t="shared" si="13"/>
        <v>0.49875434212734082</v>
      </c>
      <c r="E85">
        <f t="shared" si="20"/>
        <v>78</v>
      </c>
      <c r="F85">
        <f t="shared" si="14"/>
        <v>-0.37090492775934858</v>
      </c>
      <c r="G85">
        <f t="shared" si="21"/>
        <v>5.3048196294450761E-2</v>
      </c>
      <c r="V85">
        <f t="shared" si="15"/>
        <v>78</v>
      </c>
      <c r="W85">
        <f t="shared" si="15"/>
        <v>-0.37090492775934858</v>
      </c>
      <c r="X85">
        <f t="shared" si="15"/>
        <v>5.3048196294450761E-2</v>
      </c>
      <c r="Y85">
        <f t="shared" si="16"/>
        <v>-0.42395312405379937</v>
      </c>
      <c r="Z85">
        <f t="shared" si="17"/>
        <v>1.0293707782163652</v>
      </c>
      <c r="AA85">
        <f t="shared" si="18"/>
        <v>-2.4414827760958424</v>
      </c>
      <c r="AB85">
        <f t="shared" si="19"/>
        <v>1.5935765279882439</v>
      </c>
      <c r="AD85">
        <f t="shared" si="22"/>
        <v>78</v>
      </c>
      <c r="AE85">
        <f t="shared" si="23"/>
        <v>-0.37090492775934858</v>
      </c>
    </row>
    <row r="86" spans="1:31" x14ac:dyDescent="0.35">
      <c r="A86">
        <f t="shared" si="12"/>
        <v>80</v>
      </c>
      <c r="B86">
        <v>-2.0572048484731567</v>
      </c>
      <c r="C86">
        <f t="shared" si="13"/>
        <v>-1.865443965370184</v>
      </c>
      <c r="E86">
        <f t="shared" si="20"/>
        <v>79</v>
      </c>
      <c r="F86">
        <f t="shared" si="14"/>
        <v>0.49875434212734082</v>
      </c>
      <c r="G86">
        <f t="shared" si="21"/>
        <v>0.77485604574976086</v>
      </c>
      <c r="V86">
        <f t="shared" si="15"/>
        <v>79</v>
      </c>
      <c r="W86">
        <f t="shared" si="15"/>
        <v>0.49875434212734082</v>
      </c>
      <c r="X86">
        <f t="shared" si="15"/>
        <v>0.77485604574976086</v>
      </c>
      <c r="Y86">
        <f t="shared" si="16"/>
        <v>-0.27610170362242004</v>
      </c>
      <c r="Z86">
        <f t="shared" si="17"/>
        <v>1.0293707782163652</v>
      </c>
      <c r="AA86">
        <f t="shared" si="18"/>
        <v>-2.2936313556644632</v>
      </c>
      <c r="AB86">
        <f t="shared" si="19"/>
        <v>1.7414279484196231</v>
      </c>
      <c r="AD86">
        <f t="shared" si="22"/>
        <v>79</v>
      </c>
      <c r="AE86">
        <f t="shared" si="23"/>
        <v>0.49875434212734082</v>
      </c>
    </row>
    <row r="87" spans="1:31" x14ac:dyDescent="0.35">
      <c r="A87">
        <f t="shared" si="12"/>
        <v>81</v>
      </c>
      <c r="B87">
        <v>4.9553368430570136E-2</v>
      </c>
      <c r="C87">
        <f t="shared" si="13"/>
        <v>-0.84481643763392711</v>
      </c>
      <c r="E87">
        <f t="shared" si="20"/>
        <v>80</v>
      </c>
      <c r="F87">
        <f t="shared" si="14"/>
        <v>-1.865443965370184</v>
      </c>
      <c r="G87">
        <f t="shared" si="21"/>
        <v>-1.8956591422009759</v>
      </c>
      <c r="V87">
        <f t="shared" si="15"/>
        <v>80</v>
      </c>
      <c r="W87">
        <f t="shared" si="15"/>
        <v>-1.865443965370184</v>
      </c>
      <c r="X87">
        <f t="shared" si="15"/>
        <v>-1.8956591422009759</v>
      </c>
      <c r="Y87">
        <f t="shared" si="16"/>
        <v>3.021517683079189E-2</v>
      </c>
      <c r="Z87">
        <f t="shared" si="17"/>
        <v>1.0293707782163652</v>
      </c>
      <c r="AA87">
        <f t="shared" si="18"/>
        <v>-1.9873144752112513</v>
      </c>
      <c r="AB87">
        <f t="shared" si="19"/>
        <v>2.047744828872835</v>
      </c>
      <c r="AD87">
        <f t="shared" si="22"/>
        <v>80</v>
      </c>
      <c r="AE87">
        <f t="shared" si="23"/>
        <v>-1.865443965370184</v>
      </c>
    </row>
    <row r="88" spans="1:31" x14ac:dyDescent="0.35">
      <c r="A88">
        <f t="shared" si="12"/>
        <v>82</v>
      </c>
      <c r="B88">
        <v>-1.4066323798943021</v>
      </c>
      <c r="C88">
        <f t="shared" si="13"/>
        <v>-2.0079145599241652</v>
      </c>
      <c r="E88">
        <f t="shared" si="20"/>
        <v>81</v>
      </c>
      <c r="F88">
        <f t="shared" si="14"/>
        <v>-0.84481643763392711</v>
      </c>
      <c r="G88">
        <f t="shared" si="21"/>
        <v>-0.32776207331938034</v>
      </c>
      <c r="V88">
        <f t="shared" si="15"/>
        <v>81</v>
      </c>
      <c r="W88">
        <f t="shared" si="15"/>
        <v>-0.84481643763392711</v>
      </c>
      <c r="X88">
        <f t="shared" si="15"/>
        <v>-0.32776207331938034</v>
      </c>
      <c r="Y88">
        <f t="shared" si="16"/>
        <v>-0.51705436431454677</v>
      </c>
      <c r="Z88">
        <f t="shared" si="17"/>
        <v>1.0293707782163652</v>
      </c>
      <c r="AA88">
        <f t="shared" si="18"/>
        <v>-2.53458401635659</v>
      </c>
      <c r="AB88">
        <f t="shared" si="19"/>
        <v>1.5004752877274963</v>
      </c>
      <c r="AD88">
        <f t="shared" si="22"/>
        <v>81</v>
      </c>
      <c r="AE88">
        <f t="shared" si="23"/>
        <v>-0.84481643763392711</v>
      </c>
    </row>
    <row r="89" spans="1:31" x14ac:dyDescent="0.35">
      <c r="A89">
        <f t="shared" si="12"/>
        <v>83</v>
      </c>
      <c r="B89">
        <v>1.5637407126388045</v>
      </c>
      <c r="C89">
        <f t="shared" si="13"/>
        <v>0.43952699667074951</v>
      </c>
      <c r="E89">
        <f t="shared" si="20"/>
        <v>82</v>
      </c>
      <c r="F89">
        <f t="shared" si="14"/>
        <v>-2.0079145599241652</v>
      </c>
      <c r="G89">
        <f t="shared" si="21"/>
        <v>-1.5598380415093216</v>
      </c>
      <c r="V89">
        <f t="shared" si="15"/>
        <v>82</v>
      </c>
      <c r="W89">
        <f t="shared" si="15"/>
        <v>-2.0079145599241652</v>
      </c>
      <c r="X89">
        <f t="shared" si="15"/>
        <v>-1.5598380415093216</v>
      </c>
      <c r="Y89">
        <f t="shared" si="16"/>
        <v>-0.44807651841484364</v>
      </c>
      <c r="Z89">
        <f t="shared" si="17"/>
        <v>1.0293707782163652</v>
      </c>
      <c r="AA89">
        <f t="shared" si="18"/>
        <v>-2.465606170456887</v>
      </c>
      <c r="AB89">
        <f t="shared" si="19"/>
        <v>1.5694531336271995</v>
      </c>
      <c r="AD89">
        <f t="shared" si="22"/>
        <v>82</v>
      </c>
      <c r="AE89">
        <f t="shared" si="23"/>
        <v>-2.0079145599241652</v>
      </c>
    </row>
    <row r="90" spans="1:31" x14ac:dyDescent="0.35">
      <c r="A90">
        <f t="shared" si="12"/>
        <v>84</v>
      </c>
      <c r="B90">
        <v>1.1803319732811373</v>
      </c>
      <c r="C90">
        <f t="shared" si="13"/>
        <v>1.1752527284229008</v>
      </c>
      <c r="E90">
        <f t="shared" si="20"/>
        <v>83</v>
      </c>
      <c r="F90">
        <f t="shared" si="14"/>
        <v>0.43952699667074951</v>
      </c>
      <c r="G90">
        <f t="shared" si="21"/>
        <v>1.1897767065384746</v>
      </c>
      <c r="V90">
        <f t="shared" si="15"/>
        <v>83</v>
      </c>
      <c r="W90">
        <f t="shared" si="15"/>
        <v>0.43952699667074951</v>
      </c>
      <c r="X90">
        <f t="shared" si="15"/>
        <v>1.1897767065384746</v>
      </c>
      <c r="Y90">
        <f t="shared" si="16"/>
        <v>-0.75024970986772499</v>
      </c>
      <c r="Z90">
        <f t="shared" si="17"/>
        <v>1.0293707782163652</v>
      </c>
      <c r="AA90">
        <f t="shared" si="18"/>
        <v>-2.7677793619097679</v>
      </c>
      <c r="AB90">
        <f t="shared" si="19"/>
        <v>1.2672799421743182</v>
      </c>
      <c r="AD90">
        <f t="shared" si="22"/>
        <v>83</v>
      </c>
      <c r="AE90">
        <f t="shared" si="23"/>
        <v>0.43952699667074951</v>
      </c>
    </row>
    <row r="91" spans="1:31" x14ac:dyDescent="0.35">
      <c r="A91">
        <f t="shared" si="12"/>
        <v>85</v>
      </c>
      <c r="B91">
        <v>-0.66510702617564998</v>
      </c>
      <c r="C91">
        <f t="shared" si="13"/>
        <v>-7.8496510935846864E-2</v>
      </c>
      <c r="E91">
        <f t="shared" si="20"/>
        <v>84</v>
      </c>
      <c r="F91">
        <f t="shared" si="14"/>
        <v>1.1752527284229008</v>
      </c>
      <c r="G91">
        <f t="shared" si="21"/>
        <v>1.352946393879056</v>
      </c>
      <c r="V91">
        <f t="shared" si="15"/>
        <v>84</v>
      </c>
      <c r="W91">
        <f t="shared" si="15"/>
        <v>1.1752527284229008</v>
      </c>
      <c r="X91">
        <f t="shared" si="15"/>
        <v>1.352946393879056</v>
      </c>
      <c r="Y91">
        <f t="shared" si="16"/>
        <v>-0.17769366545615517</v>
      </c>
      <c r="Z91">
        <f t="shared" si="17"/>
        <v>1.0293707782163652</v>
      </c>
      <c r="AA91">
        <f t="shared" si="18"/>
        <v>-2.1952233174981983</v>
      </c>
      <c r="AB91">
        <f t="shared" si="19"/>
        <v>1.839835986585888</v>
      </c>
      <c r="AD91">
        <f t="shared" si="22"/>
        <v>84</v>
      </c>
      <c r="AE91">
        <f t="shared" si="23"/>
        <v>1.1752527284229008</v>
      </c>
    </row>
    <row r="92" spans="1:31" x14ac:dyDescent="0.35">
      <c r="A92">
        <f t="shared" si="12"/>
        <v>86</v>
      </c>
      <c r="B92">
        <v>0.57494501634557904</v>
      </c>
      <c r="C92">
        <f t="shared" si="13"/>
        <v>0.65301886392561626</v>
      </c>
      <c r="E92">
        <f t="shared" si="20"/>
        <v>85</v>
      </c>
      <c r="F92">
        <f t="shared" si="14"/>
        <v>-7.8496510935846864E-2</v>
      </c>
      <c r="G92">
        <f t="shared" si="21"/>
        <v>-0.34029997987846328</v>
      </c>
      <c r="V92">
        <f t="shared" si="15"/>
        <v>85</v>
      </c>
      <c r="W92">
        <f t="shared" si="15"/>
        <v>-7.8496510935846864E-2</v>
      </c>
      <c r="X92">
        <f t="shared" si="15"/>
        <v>-0.34029997987846328</v>
      </c>
      <c r="Y92">
        <f t="shared" si="16"/>
        <v>0.26180346894261641</v>
      </c>
      <c r="Z92">
        <f t="shared" si="17"/>
        <v>1.0293707782163652</v>
      </c>
      <c r="AA92">
        <f t="shared" si="18"/>
        <v>-1.7557261830994269</v>
      </c>
      <c r="AB92">
        <f t="shared" si="19"/>
        <v>2.2793331209846595</v>
      </c>
      <c r="AD92">
        <f t="shared" si="22"/>
        <v>85</v>
      </c>
      <c r="AE92">
        <f t="shared" si="23"/>
        <v>-7.8496510935846864E-2</v>
      </c>
    </row>
    <row r="93" spans="1:31" x14ac:dyDescent="0.35">
      <c r="A93">
        <f t="shared" si="12"/>
        <v>87</v>
      </c>
      <c r="B93">
        <v>-4.1159165518735157E-2</v>
      </c>
      <c r="C93">
        <f t="shared" si="13"/>
        <v>0.30096503596008034</v>
      </c>
      <c r="E93">
        <f t="shared" si="20"/>
        <v>86</v>
      </c>
      <c r="F93">
        <f t="shared" si="14"/>
        <v>0.65301886392561626</v>
      </c>
      <c r="G93">
        <f t="shared" si="21"/>
        <v>0.56976842246412329</v>
      </c>
      <c r="V93">
        <f t="shared" si="15"/>
        <v>86</v>
      </c>
      <c r="W93">
        <f t="shared" si="15"/>
        <v>0.65301886392561626</v>
      </c>
      <c r="X93">
        <f t="shared" si="15"/>
        <v>0.56976842246412329</v>
      </c>
      <c r="Y93">
        <f t="shared" si="16"/>
        <v>8.3250441461492963E-2</v>
      </c>
      <c r="Z93">
        <f t="shared" si="17"/>
        <v>1.0293707782163652</v>
      </c>
      <c r="AA93">
        <f t="shared" si="18"/>
        <v>-1.9342792105805502</v>
      </c>
      <c r="AB93">
        <f t="shared" si="19"/>
        <v>2.1007800935035359</v>
      </c>
      <c r="AD93">
        <f t="shared" si="22"/>
        <v>86</v>
      </c>
      <c r="AE93">
        <f t="shared" si="23"/>
        <v>0.65301886392561626</v>
      </c>
    </row>
    <row r="94" spans="1:31" x14ac:dyDescent="0.35">
      <c r="A94">
        <f t="shared" si="12"/>
        <v>88</v>
      </c>
      <c r="B94">
        <v>-0.89619571623511651</v>
      </c>
      <c r="C94">
        <f t="shared" si="13"/>
        <v>-0.6772883579593133</v>
      </c>
      <c r="E94">
        <f t="shared" si="20"/>
        <v>87</v>
      </c>
      <c r="F94">
        <f t="shared" si="14"/>
        <v>0.30096503596008034</v>
      </c>
      <c r="G94">
        <f t="shared" si="21"/>
        <v>8.2147247164504528E-2</v>
      </c>
      <c r="V94">
        <f t="shared" si="15"/>
        <v>87</v>
      </c>
      <c r="W94">
        <f t="shared" si="15"/>
        <v>0.30096503596008034</v>
      </c>
      <c r="X94">
        <f t="shared" si="15"/>
        <v>8.2147247164504528E-2</v>
      </c>
      <c r="Y94">
        <f t="shared" si="16"/>
        <v>0.21881778879557581</v>
      </c>
      <c r="Z94">
        <f t="shared" si="17"/>
        <v>1.0293707782163652</v>
      </c>
      <c r="AA94">
        <f t="shared" si="18"/>
        <v>-1.7987118632464674</v>
      </c>
      <c r="AB94">
        <f t="shared" si="19"/>
        <v>2.2363474408376192</v>
      </c>
      <c r="AD94">
        <f t="shared" si="22"/>
        <v>87</v>
      </c>
      <c r="AE94">
        <f t="shared" si="23"/>
        <v>0.30096503596008034</v>
      </c>
    </row>
    <row r="95" spans="1:31" x14ac:dyDescent="0.35">
      <c r="A95">
        <f t="shared" si="12"/>
        <v>89</v>
      </c>
      <c r="B95">
        <v>1.503359605306662</v>
      </c>
      <c r="C95">
        <f t="shared" si="13"/>
        <v>1.208496897982166</v>
      </c>
      <c r="E95">
        <f t="shared" si="20"/>
        <v>88</v>
      </c>
      <c r="F95">
        <f t="shared" si="14"/>
        <v>-0.6772883579593133</v>
      </c>
      <c r="G95">
        <f t="shared" si="21"/>
        <v>-0.85086787210772796</v>
      </c>
      <c r="V95">
        <f t="shared" si="15"/>
        <v>88</v>
      </c>
      <c r="W95">
        <f t="shared" si="15"/>
        <v>-0.6772883579593133</v>
      </c>
      <c r="X95">
        <f t="shared" si="15"/>
        <v>-0.85086787210772796</v>
      </c>
      <c r="Y95">
        <f t="shared" si="16"/>
        <v>0.17357951414841466</v>
      </c>
      <c r="Z95">
        <f t="shared" si="17"/>
        <v>1.0293707782163652</v>
      </c>
      <c r="AA95">
        <f t="shared" si="18"/>
        <v>-1.8439501378936285</v>
      </c>
      <c r="AB95">
        <f t="shared" si="19"/>
        <v>2.1911091661904578</v>
      </c>
      <c r="AD95">
        <f t="shared" si="22"/>
        <v>88</v>
      </c>
      <c r="AE95">
        <f t="shared" si="23"/>
        <v>-0.6772883579593133</v>
      </c>
    </row>
    <row r="96" spans="1:31" x14ac:dyDescent="0.35">
      <c r="A96">
        <f t="shared" si="12"/>
        <v>90</v>
      </c>
      <c r="B96">
        <v>-0.71156365631100782</v>
      </c>
      <c r="C96">
        <f t="shared" si="13"/>
        <v>-0.16628774878482411</v>
      </c>
      <c r="E96">
        <f t="shared" si="20"/>
        <v>89</v>
      </c>
      <c r="F96">
        <f t="shared" si="14"/>
        <v>1.208496897982166</v>
      </c>
      <c r="G96">
        <f t="shared" si="21"/>
        <v>1.3306844410040282</v>
      </c>
      <c r="V96">
        <f t="shared" si="15"/>
        <v>89</v>
      </c>
      <c r="W96">
        <f t="shared" si="15"/>
        <v>1.208496897982166</v>
      </c>
      <c r="X96">
        <f t="shared" si="15"/>
        <v>1.3306844410040282</v>
      </c>
      <c r="Y96">
        <f t="shared" si="16"/>
        <v>-0.12218754302186219</v>
      </c>
      <c r="Z96">
        <f t="shared" si="17"/>
        <v>1.0293707782163652</v>
      </c>
      <c r="AA96">
        <f t="shared" si="18"/>
        <v>-2.1397171950639056</v>
      </c>
      <c r="AB96">
        <f t="shared" si="19"/>
        <v>1.895342109020181</v>
      </c>
      <c r="AD96">
        <f t="shared" si="22"/>
        <v>89</v>
      </c>
      <c r="AE96">
        <f t="shared" si="23"/>
        <v>1.208496897982166</v>
      </c>
    </row>
    <row r="97" spans="1:31" x14ac:dyDescent="0.35">
      <c r="A97">
        <f t="shared" si="12"/>
        <v>91</v>
      </c>
      <c r="B97">
        <v>0.98331759725438295</v>
      </c>
      <c r="C97">
        <f t="shared" si="13"/>
        <v>1.0092289043672076</v>
      </c>
      <c r="E97">
        <f t="shared" si="20"/>
        <v>90</v>
      </c>
      <c r="F97">
        <f t="shared" si="14"/>
        <v>-0.16628774878482411</v>
      </c>
      <c r="G97">
        <f t="shared" si="21"/>
        <v>-0.45989449912926894</v>
      </c>
      <c r="V97">
        <f t="shared" si="15"/>
        <v>90</v>
      </c>
      <c r="W97">
        <f t="shared" si="15"/>
        <v>-0.16628774878482411</v>
      </c>
      <c r="X97">
        <f t="shared" si="15"/>
        <v>-0.45989449912926894</v>
      </c>
      <c r="Y97">
        <f t="shared" si="16"/>
        <v>0.29360675034444483</v>
      </c>
      <c r="Z97">
        <f t="shared" si="17"/>
        <v>1.0293707782163652</v>
      </c>
      <c r="AA97">
        <f t="shared" si="18"/>
        <v>-1.7239229016975983</v>
      </c>
      <c r="AB97">
        <f t="shared" si="19"/>
        <v>2.311136402386488</v>
      </c>
      <c r="AD97">
        <f t="shared" si="22"/>
        <v>90</v>
      </c>
      <c r="AE97">
        <f t="shared" si="23"/>
        <v>-0.16628774878482411</v>
      </c>
    </row>
    <row r="98" spans="1:31" x14ac:dyDescent="0.35">
      <c r="A98">
        <f t="shared" si="12"/>
        <v>92</v>
      </c>
      <c r="B98">
        <v>-0.83758504934694755</v>
      </c>
      <c r="C98">
        <f t="shared" si="13"/>
        <v>-0.32778833574077881</v>
      </c>
      <c r="E98">
        <f t="shared" si="20"/>
        <v>91</v>
      </c>
      <c r="F98">
        <f t="shared" si="14"/>
        <v>1.0092289043672076</v>
      </c>
      <c r="G98">
        <f t="shared" si="21"/>
        <v>0.93806678170708646</v>
      </c>
      <c r="V98">
        <f t="shared" si="15"/>
        <v>91</v>
      </c>
      <c r="W98">
        <f t="shared" si="15"/>
        <v>1.0092289043672076</v>
      </c>
      <c r="X98">
        <f t="shared" si="15"/>
        <v>0.93806678170708646</v>
      </c>
      <c r="Y98">
        <f t="shared" si="16"/>
        <v>7.1162122660121119E-2</v>
      </c>
      <c r="Z98">
        <f t="shared" si="17"/>
        <v>1.0293707782163652</v>
      </c>
      <c r="AA98">
        <f t="shared" si="18"/>
        <v>-1.946367529381922</v>
      </c>
      <c r="AB98">
        <f t="shared" si="19"/>
        <v>2.0886917747021645</v>
      </c>
      <c r="AD98">
        <f t="shared" si="22"/>
        <v>91</v>
      </c>
      <c r="AE98">
        <f t="shared" si="23"/>
        <v>1.0092289043672076</v>
      </c>
    </row>
    <row r="99" spans="1:31" x14ac:dyDescent="0.35">
      <c r="A99">
        <f t="shared" si="12"/>
        <v>93</v>
      </c>
      <c r="B99">
        <v>-1.9160100094245356</v>
      </c>
      <c r="C99">
        <f t="shared" si="13"/>
        <v>-1.9779448345736914</v>
      </c>
      <c r="E99">
        <f t="shared" si="20"/>
        <v>92</v>
      </c>
      <c r="F99">
        <f t="shared" si="14"/>
        <v>-0.32778833574077881</v>
      </c>
      <c r="G99">
        <f t="shared" si="21"/>
        <v>-0.64279188165743073</v>
      </c>
      <c r="V99">
        <f t="shared" si="15"/>
        <v>92</v>
      </c>
      <c r="W99">
        <f t="shared" si="15"/>
        <v>-0.32778833574077881</v>
      </c>
      <c r="X99">
        <f t="shared" si="15"/>
        <v>-0.64279188165743073</v>
      </c>
      <c r="Y99">
        <f t="shared" si="16"/>
        <v>0.31500354591665192</v>
      </c>
      <c r="Z99">
        <f t="shared" si="17"/>
        <v>1.0293707782163652</v>
      </c>
      <c r="AA99">
        <f t="shared" si="18"/>
        <v>-1.7025261061253913</v>
      </c>
      <c r="AB99">
        <f t="shared" si="19"/>
        <v>2.332533197958695</v>
      </c>
      <c r="AD99">
        <f t="shared" si="22"/>
        <v>92</v>
      </c>
      <c r="AE99">
        <f t="shared" si="23"/>
        <v>-0.32778833574077881</v>
      </c>
    </row>
    <row r="100" spans="1:31" x14ac:dyDescent="0.35">
      <c r="A100">
        <f t="shared" si="12"/>
        <v>94</v>
      </c>
      <c r="B100">
        <v>0.10151986902498664</v>
      </c>
      <c r="C100">
        <f t="shared" si="13"/>
        <v>-0.8998395132916901</v>
      </c>
      <c r="E100">
        <f t="shared" si="20"/>
        <v>93</v>
      </c>
      <c r="F100">
        <f t="shared" si="14"/>
        <v>-1.9779448345736914</v>
      </c>
      <c r="G100">
        <f t="shared" si="21"/>
        <v>-2.0119127073318519</v>
      </c>
      <c r="V100">
        <f t="shared" si="15"/>
        <v>93</v>
      </c>
      <c r="W100">
        <f t="shared" si="15"/>
        <v>-1.9779448345736914</v>
      </c>
      <c r="X100">
        <f t="shared" si="15"/>
        <v>-2.0119127073318519</v>
      </c>
      <c r="Y100">
        <f t="shared" si="16"/>
        <v>3.3967872758160489E-2</v>
      </c>
      <c r="Z100">
        <f t="shared" si="17"/>
        <v>1.0293707782163652</v>
      </c>
      <c r="AA100">
        <f t="shared" si="18"/>
        <v>-1.9835617792838827</v>
      </c>
      <c r="AB100">
        <f t="shared" si="19"/>
        <v>2.0514975248002036</v>
      </c>
      <c r="AD100">
        <f t="shared" si="22"/>
        <v>93</v>
      </c>
      <c r="AE100">
        <f t="shared" si="23"/>
        <v>-1.9779448345736914</v>
      </c>
    </row>
    <row r="101" spans="1:31" x14ac:dyDescent="0.35">
      <c r="A101">
        <f t="shared" si="12"/>
        <v>95</v>
      </c>
      <c r="B101">
        <v>0.94375520294114768</v>
      </c>
      <c r="C101">
        <f t="shared" si="13"/>
        <v>0.29356356983196735</v>
      </c>
      <c r="E101">
        <f t="shared" si="20"/>
        <v>94</v>
      </c>
      <c r="F101">
        <f t="shared" si="14"/>
        <v>-0.8998395132916901</v>
      </c>
      <c r="G101">
        <f t="shared" si="21"/>
        <v>-0.352380808300089</v>
      </c>
      <c r="V101">
        <f t="shared" si="15"/>
        <v>94</v>
      </c>
      <c r="W101">
        <f t="shared" si="15"/>
        <v>-0.8998395132916901</v>
      </c>
      <c r="X101">
        <f t="shared" si="15"/>
        <v>-0.352380808300089</v>
      </c>
      <c r="Y101">
        <f t="shared" si="16"/>
        <v>-0.5474587049916011</v>
      </c>
      <c r="Z101">
        <f t="shared" si="17"/>
        <v>1.0293707782163652</v>
      </c>
      <c r="AA101">
        <f t="shared" si="18"/>
        <v>-2.564988357033644</v>
      </c>
      <c r="AB101">
        <f t="shared" si="19"/>
        <v>1.4700709470504421</v>
      </c>
      <c r="AD101">
        <f t="shared" si="22"/>
        <v>94</v>
      </c>
      <c r="AE101">
        <f t="shared" si="23"/>
        <v>-0.8998395132916901</v>
      </c>
    </row>
    <row r="102" spans="1:31" x14ac:dyDescent="0.35">
      <c r="A102">
        <f t="shared" si="12"/>
        <v>96</v>
      </c>
      <c r="B102">
        <v>0.85739443406232374</v>
      </c>
      <c r="C102">
        <f t="shared" si="13"/>
        <v>0.87413789235647132</v>
      </c>
      <c r="E102">
        <f t="shared" si="20"/>
        <v>95</v>
      </c>
      <c r="F102">
        <f t="shared" si="14"/>
        <v>0.29356356983196735</v>
      </c>
      <c r="G102">
        <f t="shared" si="21"/>
        <v>0.76950481802130954</v>
      </c>
      <c r="V102">
        <f t="shared" si="15"/>
        <v>95</v>
      </c>
      <c r="W102">
        <f t="shared" si="15"/>
        <v>0.29356356983196735</v>
      </c>
      <c r="X102">
        <f t="shared" si="15"/>
        <v>0.76950481802130954</v>
      </c>
      <c r="Y102">
        <f t="shared" si="16"/>
        <v>-0.47594124818934219</v>
      </c>
      <c r="Z102">
        <f t="shared" si="17"/>
        <v>1.0293707782163652</v>
      </c>
      <c r="AA102">
        <f t="shared" si="18"/>
        <v>-2.4934709002313853</v>
      </c>
      <c r="AB102">
        <f t="shared" si="19"/>
        <v>1.541588403852701</v>
      </c>
      <c r="AD102">
        <f t="shared" si="22"/>
        <v>95</v>
      </c>
      <c r="AE102">
        <f t="shared" si="23"/>
        <v>0.29356356983196735</v>
      </c>
    </row>
    <row r="103" spans="1:31" x14ac:dyDescent="0.35">
      <c r="A103">
        <f t="shared" si="12"/>
        <v>97</v>
      </c>
      <c r="B103">
        <v>0.60817129254501401</v>
      </c>
      <c r="C103">
        <f t="shared" si="13"/>
        <v>1.048588930382079</v>
      </c>
      <c r="E103">
        <f t="shared" si="20"/>
        <v>96</v>
      </c>
      <c r="F103">
        <f t="shared" si="14"/>
        <v>0.87413789235647132</v>
      </c>
      <c r="G103">
        <f t="shared" si="21"/>
        <v>0.98268155317098738</v>
      </c>
      <c r="V103">
        <f t="shared" si="15"/>
        <v>96</v>
      </c>
      <c r="W103">
        <f t="shared" si="15"/>
        <v>0.87413789235647132</v>
      </c>
      <c r="X103">
        <f t="shared" si="15"/>
        <v>0.98268155317098738</v>
      </c>
      <c r="Y103">
        <f t="shared" si="16"/>
        <v>-0.10854366081451605</v>
      </c>
      <c r="Z103">
        <f t="shared" si="17"/>
        <v>1.0293707782163652</v>
      </c>
      <c r="AA103">
        <f t="shared" si="18"/>
        <v>-2.1260733128565592</v>
      </c>
      <c r="AB103">
        <f t="shared" si="19"/>
        <v>1.9089859912275271</v>
      </c>
      <c r="AD103">
        <f t="shared" si="22"/>
        <v>96</v>
      </c>
      <c r="AE103">
        <f t="shared" si="23"/>
        <v>0.87413789235647132</v>
      </c>
    </row>
    <row r="104" spans="1:31" x14ac:dyDescent="0.35">
      <c r="A104">
        <f t="shared" si="12"/>
        <v>98</v>
      </c>
      <c r="B104">
        <v>-0.23527438435259732</v>
      </c>
      <c r="C104">
        <f t="shared" si="13"/>
        <v>0.37710360840585522</v>
      </c>
      <c r="E104">
        <f t="shared" si="20"/>
        <v>97</v>
      </c>
      <c r="F104">
        <f t="shared" si="14"/>
        <v>1.048588930382079</v>
      </c>
      <c r="G104">
        <f t="shared" si="21"/>
        <v>0.84434175485671603</v>
      </c>
      <c r="V104">
        <f t="shared" si="15"/>
        <v>97</v>
      </c>
      <c r="W104">
        <f t="shared" si="15"/>
        <v>1.048588930382079</v>
      </c>
      <c r="X104">
        <f t="shared" si="15"/>
        <v>0.84434175485671603</v>
      </c>
      <c r="Y104">
        <f t="shared" si="16"/>
        <v>0.20424717552536298</v>
      </c>
      <c r="Z104">
        <f t="shared" si="17"/>
        <v>1.0293707782163652</v>
      </c>
      <c r="AA104">
        <f t="shared" si="18"/>
        <v>-1.8132824765166802</v>
      </c>
      <c r="AB104">
        <f t="shared" si="19"/>
        <v>2.2217768275674059</v>
      </c>
      <c r="AD104">
        <f t="shared" si="22"/>
        <v>97</v>
      </c>
      <c r="AE104">
        <f t="shared" si="23"/>
        <v>1.048588930382079</v>
      </c>
    </row>
    <row r="105" spans="1:31" x14ac:dyDescent="0.35">
      <c r="A105">
        <f t="shared" si="12"/>
        <v>99</v>
      </c>
      <c r="B105">
        <v>0.78970600372079702</v>
      </c>
      <c r="C105">
        <f t="shared" si="13"/>
        <v>1.1007334064754151</v>
      </c>
      <c r="E105">
        <f t="shared" si="20"/>
        <v>98</v>
      </c>
      <c r="F105">
        <f t="shared" si="14"/>
        <v>0.37710360840585522</v>
      </c>
      <c r="G105">
        <f t="shared" si="21"/>
        <v>-2.7065764478320098E-3</v>
      </c>
      <c r="V105">
        <f t="shared" si="15"/>
        <v>98</v>
      </c>
      <c r="W105">
        <f t="shared" si="15"/>
        <v>0.37710360840585522</v>
      </c>
      <c r="X105">
        <f t="shared" si="15"/>
        <v>-2.7065764478320098E-3</v>
      </c>
      <c r="Y105">
        <f t="shared" si="16"/>
        <v>0.37981018485368723</v>
      </c>
      <c r="Z105">
        <f t="shared" si="17"/>
        <v>1.0293707782163652</v>
      </c>
      <c r="AA105">
        <f t="shared" si="18"/>
        <v>-1.6377194671883559</v>
      </c>
      <c r="AB105">
        <f t="shared" si="19"/>
        <v>2.3973398368957302</v>
      </c>
      <c r="AD105">
        <f t="shared" si="22"/>
        <v>98</v>
      </c>
      <c r="AE105">
        <f t="shared" si="23"/>
        <v>0.37710360840585522</v>
      </c>
    </row>
    <row r="106" spans="1:31" x14ac:dyDescent="0.35">
      <c r="A106">
        <f t="shared" si="12"/>
        <v>100</v>
      </c>
      <c r="B106">
        <v>-1.0561154940171853</v>
      </c>
      <c r="C106">
        <f t="shared" si="13"/>
        <v>-0.4435433102285542</v>
      </c>
      <c r="E106">
        <f t="shared" si="20"/>
        <v>99</v>
      </c>
      <c r="F106">
        <f t="shared" si="14"/>
        <v>1.1007334064754151</v>
      </c>
      <c r="G106">
        <f t="shared" si="21"/>
        <v>0.8406649743406942</v>
      </c>
      <c r="V106">
        <f t="shared" si="15"/>
        <v>99</v>
      </c>
      <c r="W106">
        <f t="shared" si="15"/>
        <v>1.1007334064754151</v>
      </c>
      <c r="X106">
        <f t="shared" si="15"/>
        <v>0.8406649743406942</v>
      </c>
      <c r="Y106">
        <f t="shared" si="16"/>
        <v>0.26006843213472086</v>
      </c>
      <c r="Z106">
        <f t="shared" si="17"/>
        <v>1.0293707782163652</v>
      </c>
      <c r="AA106">
        <f t="shared" si="18"/>
        <v>-1.7574612199073223</v>
      </c>
      <c r="AB106">
        <f t="shared" si="19"/>
        <v>2.277598084176764</v>
      </c>
      <c r="AD106">
        <f t="shared" si="22"/>
        <v>99</v>
      </c>
      <c r="AE106">
        <f t="shared" si="23"/>
        <v>1.1007334064754151</v>
      </c>
    </row>
    <row r="107" spans="1:31" x14ac:dyDescent="0.35">
      <c r="A107">
        <f t="shared" si="12"/>
        <v>101</v>
      </c>
      <c r="B107">
        <v>0.22586923055446753</v>
      </c>
      <c r="C107">
        <f t="shared" si="13"/>
        <v>0.12661201219791668</v>
      </c>
      <c r="E107">
        <f t="shared" si="20"/>
        <v>100</v>
      </c>
      <c r="F107">
        <f t="shared" si="14"/>
        <v>-0.4435433102285542</v>
      </c>
      <c r="G107">
        <f t="shared" si="21"/>
        <v>-0.86064587111772228</v>
      </c>
      <c r="V107">
        <f t="shared" si="15"/>
        <v>100</v>
      </c>
      <c r="W107">
        <f t="shared" si="15"/>
        <v>-0.4435433102285542</v>
      </c>
      <c r="X107">
        <f t="shared" si="15"/>
        <v>-0.86064587111772228</v>
      </c>
      <c r="Y107">
        <f t="shared" si="16"/>
        <v>0.41710256088916808</v>
      </c>
      <c r="Z107">
        <f t="shared" si="17"/>
        <v>1.0293707782163652</v>
      </c>
      <c r="AA107">
        <f t="shared" si="18"/>
        <v>-1.6004270911528751</v>
      </c>
      <c r="AB107">
        <f t="shared" si="19"/>
        <v>2.434632212931211</v>
      </c>
      <c r="AD107">
        <f t="shared" si="22"/>
        <v>100</v>
      </c>
      <c r="AE107">
        <f t="shared" si="23"/>
        <v>-0.4435433102285542</v>
      </c>
    </row>
    <row r="108" spans="1:31" x14ac:dyDescent="0.35">
      <c r="A108">
        <f t="shared" si="12"/>
        <v>102</v>
      </c>
      <c r="B108">
        <v>0.57520223729110798</v>
      </c>
      <c r="C108">
        <f t="shared" si="13"/>
        <v>0.6186567997187562</v>
      </c>
      <c r="E108">
        <f t="shared" si="20"/>
        <v>101</v>
      </c>
      <c r="F108">
        <f t="shared" si="14"/>
        <v>0.12661201219791668</v>
      </c>
      <c r="G108">
        <f t="shared" si="21"/>
        <v>8.4333094075069615E-2</v>
      </c>
      <c r="V108">
        <f t="shared" si="15"/>
        <v>101</v>
      </c>
      <c r="W108">
        <f t="shared" si="15"/>
        <v>0.12661201219791668</v>
      </c>
      <c r="X108">
        <f t="shared" si="15"/>
        <v>8.4333094075069615E-2</v>
      </c>
      <c r="Y108">
        <f t="shared" si="16"/>
        <v>4.2278918122847065E-2</v>
      </c>
      <c r="Z108">
        <f t="shared" si="17"/>
        <v>1.0293707782163652</v>
      </c>
      <c r="AA108">
        <f t="shared" si="18"/>
        <v>-1.975250733919196</v>
      </c>
      <c r="AB108">
        <f t="shared" si="19"/>
        <v>2.0598085701648903</v>
      </c>
      <c r="AD108">
        <f t="shared" si="22"/>
        <v>101</v>
      </c>
      <c r="AE108">
        <f t="shared" si="23"/>
        <v>0.12661201219791668</v>
      </c>
    </row>
    <row r="109" spans="1:31" x14ac:dyDescent="0.35">
      <c r="A109">
        <f t="shared" si="12"/>
        <v>103</v>
      </c>
      <c r="B109">
        <v>1.051358335168767</v>
      </c>
      <c r="C109">
        <f t="shared" si="13"/>
        <v>1.3693776475136747</v>
      </c>
      <c r="E109">
        <f t="shared" si="20"/>
        <v>102</v>
      </c>
      <c r="F109">
        <f t="shared" si="14"/>
        <v>0.6186567997187562</v>
      </c>
      <c r="G109">
        <f t="shared" si="21"/>
        <v>0.56569599104482493</v>
      </c>
      <c r="V109">
        <f t="shared" si="15"/>
        <v>102</v>
      </c>
      <c r="W109">
        <f t="shared" si="15"/>
        <v>0.6186567997187562</v>
      </c>
      <c r="X109">
        <f t="shared" si="15"/>
        <v>0.56569599104482493</v>
      </c>
      <c r="Y109">
        <f t="shared" si="16"/>
        <v>5.296080867393127E-2</v>
      </c>
      <c r="Z109">
        <f t="shared" si="17"/>
        <v>1.0293707782163652</v>
      </c>
      <c r="AA109">
        <f t="shared" si="18"/>
        <v>-1.9645688433681119</v>
      </c>
      <c r="AB109">
        <f t="shared" si="19"/>
        <v>2.0704904607159742</v>
      </c>
      <c r="AD109">
        <f t="shared" si="22"/>
        <v>102</v>
      </c>
      <c r="AE109">
        <f t="shared" si="23"/>
        <v>0.6186567997187562</v>
      </c>
    </row>
    <row r="110" spans="1:31" x14ac:dyDescent="0.35">
      <c r="A110">
        <f t="shared" si="12"/>
        <v>104</v>
      </c>
      <c r="B110">
        <v>1.3149534009556497E-2</v>
      </c>
      <c r="C110">
        <f t="shared" si="13"/>
        <v>0.76144222023537533</v>
      </c>
      <c r="E110">
        <f t="shared" si="20"/>
        <v>103</v>
      </c>
      <c r="F110">
        <f t="shared" si="14"/>
        <v>1.3693776475136747</v>
      </c>
      <c r="G110">
        <f t="shared" si="21"/>
        <v>1.1725167580740421</v>
      </c>
      <c r="V110">
        <f t="shared" si="15"/>
        <v>103</v>
      </c>
      <c r="W110">
        <f t="shared" si="15"/>
        <v>1.3693776475136747</v>
      </c>
      <c r="X110">
        <f t="shared" si="15"/>
        <v>1.1725167580740421</v>
      </c>
      <c r="Y110">
        <f t="shared" si="16"/>
        <v>0.19686088943963265</v>
      </c>
      <c r="Z110">
        <f t="shared" si="17"/>
        <v>1.0293707782163652</v>
      </c>
      <c r="AA110">
        <f t="shared" si="18"/>
        <v>-1.8206687626024105</v>
      </c>
      <c r="AB110">
        <f t="shared" si="19"/>
        <v>2.2143905414816758</v>
      </c>
      <c r="AD110">
        <f t="shared" si="22"/>
        <v>103</v>
      </c>
      <c r="AE110">
        <f t="shared" si="23"/>
        <v>1.3693776475136747</v>
      </c>
    </row>
    <row r="111" spans="1:31" x14ac:dyDescent="0.35">
      <c r="A111">
        <f t="shared" si="12"/>
        <v>105</v>
      </c>
      <c r="B111" s="4">
        <v>1.4243854081201066</v>
      </c>
      <c r="C111" s="4">
        <f t="shared" si="13"/>
        <v>1.9547650554829581</v>
      </c>
      <c r="E111">
        <f t="shared" si="20"/>
        <v>104</v>
      </c>
      <c r="F111">
        <f t="shared" si="14"/>
        <v>0.76144222023537533</v>
      </c>
      <c r="G111">
        <f t="shared" si="21"/>
        <v>0.29360026564758251</v>
      </c>
      <c r="V111">
        <f t="shared" si="15"/>
        <v>104</v>
      </c>
      <c r="W111">
        <f t="shared" si="15"/>
        <v>0.76144222023537533</v>
      </c>
      <c r="X111">
        <f t="shared" si="15"/>
        <v>0.29360026564758251</v>
      </c>
      <c r="Y111">
        <f t="shared" si="16"/>
        <v>0.46784195458779282</v>
      </c>
      <c r="Z111">
        <f t="shared" si="17"/>
        <v>1.0293707782163652</v>
      </c>
      <c r="AA111">
        <f t="shared" si="18"/>
        <v>-1.5496876974542504</v>
      </c>
      <c r="AB111">
        <f t="shared" si="19"/>
        <v>2.4853716066298359</v>
      </c>
      <c r="AD111">
        <f t="shared" si="22"/>
        <v>104</v>
      </c>
      <c r="AE111">
        <f t="shared" si="23"/>
        <v>0.76144222023537533</v>
      </c>
    </row>
    <row r="112" spans="1:31" x14ac:dyDescent="0.35">
      <c r="E112" s="4">
        <f t="shared" si="20"/>
        <v>105</v>
      </c>
      <c r="F112" s="4">
        <f t="shared" si="14"/>
        <v>1.9547650554829581</v>
      </c>
      <c r="G112" s="4">
        <f t="shared" si="21"/>
        <v>1.5501771913733848</v>
      </c>
      <c r="V112">
        <f t="shared" si="15"/>
        <v>105</v>
      </c>
      <c r="W112">
        <f t="shared" si="15"/>
        <v>1.9547650554829581</v>
      </c>
      <c r="X112">
        <f t="shared" si="15"/>
        <v>1.5501771913733848</v>
      </c>
      <c r="Y112">
        <f t="shared" si="16"/>
        <v>0.40458786410957326</v>
      </c>
      <c r="Z112">
        <f t="shared" si="17"/>
        <v>1.0293707782163652</v>
      </c>
      <c r="AA112">
        <f t="shared" si="18"/>
        <v>-1.6129417879324699</v>
      </c>
      <c r="AB112">
        <f t="shared" si="19"/>
        <v>2.4221175161516166</v>
      </c>
      <c r="AD112" s="4">
        <f t="shared" si="22"/>
        <v>105</v>
      </c>
      <c r="AE112" s="4">
        <f t="shared" si="23"/>
        <v>1.9547650554829581</v>
      </c>
    </row>
    <row r="113" spans="2:31" x14ac:dyDescent="0.35">
      <c r="B113" s="20" t="s">
        <v>226</v>
      </c>
      <c r="V113">
        <f>V112+1</f>
        <v>106</v>
      </c>
      <c r="Y113">
        <f>SUMPRODUCT(W112,J$8)+SUMPRODUCT(X112,K$8)</f>
        <v>0.71764287218835199</v>
      </c>
      <c r="Z113" t="e">
        <f ca="1">K$18*SQRT(SUMSQ(N$18:N18))</f>
        <v>#NAME?</v>
      </c>
      <c r="AA113" t="e">
        <f ca="1">Y113-NORMSINV(1-Z$6/2)*Z113</f>
        <v>#NAME?</v>
      </c>
      <c r="AB113" t="e">
        <f ca="1">Y113+NORMSINV(1-Z$6/2)*Z113</f>
        <v>#NAME?</v>
      </c>
      <c r="AD113">
        <f t="shared" si="22"/>
        <v>106</v>
      </c>
      <c r="AE113">
        <f>Y113</f>
        <v>0.71764287218835199</v>
      </c>
    </row>
    <row r="114" spans="2:31" x14ac:dyDescent="0.35">
      <c r="V114">
        <f>V113+1</f>
        <v>107</v>
      </c>
      <c r="Y114">
        <f>SUMPRODUCT(Y113,J8)</f>
        <v>0.49284436460405701</v>
      </c>
      <c r="Z114" t="e">
        <f ca="1">K$18*SQRT(SUMSQ(N$18:N19))</f>
        <v>#NAME?</v>
      </c>
      <c r="AA114" t="e">
        <f ca="1">Y114-NORMSINV(1-Z$6/2)*Z114</f>
        <v>#NAME?</v>
      </c>
      <c r="AB114" t="e">
        <f ca="1">Y114+NORMSINV(1-Z$6/2)*Z114</f>
        <v>#NAME?</v>
      </c>
      <c r="AD114">
        <f t="shared" si="22"/>
        <v>107</v>
      </c>
      <c r="AE114">
        <f>Y114</f>
        <v>0.49284436460405701</v>
      </c>
    </row>
    <row r="115" spans="2:31" x14ac:dyDescent="0.35">
      <c r="V115">
        <f>V114+1</f>
        <v>108</v>
      </c>
      <c r="Y115">
        <f>SUMPRODUCT(Y114,J8)</f>
        <v>0.33846301152730807</v>
      </c>
      <c r="Z115" t="e">
        <f ca="1">K$18*SQRT(SUMSQ(N$18:N20))</f>
        <v>#NAME?</v>
      </c>
      <c r="AA115" t="e">
        <f ca="1">Y115-NORMSINV(1-Z$6/2)*Z115</f>
        <v>#NAME?</v>
      </c>
      <c r="AB115" t="e">
        <f ca="1">Y115+NORMSINV(1-Z$6/2)*Z115</f>
        <v>#NAME?</v>
      </c>
      <c r="AD115">
        <f t="shared" si="22"/>
        <v>108</v>
      </c>
      <c r="AE115">
        <f>Y115</f>
        <v>0.33846301152730807</v>
      </c>
    </row>
    <row r="116" spans="2:31" x14ac:dyDescent="0.35">
      <c r="V116">
        <f>V115+1</f>
        <v>109</v>
      </c>
      <c r="Y116">
        <f>SUMPRODUCT(Y115,J8)</f>
        <v>0.2324409456607423</v>
      </c>
      <c r="Z116" t="e">
        <f ca="1">K$18*SQRT(SUMSQ(N$18:N21))</f>
        <v>#NAME?</v>
      </c>
      <c r="AA116" t="e">
        <f ca="1">Y116-NORMSINV(1-Z$6/2)*Z116</f>
        <v>#NAME?</v>
      </c>
      <c r="AB116" t="e">
        <f ca="1">Y116+NORMSINV(1-Z$6/2)*Z116</f>
        <v>#NAME?</v>
      </c>
      <c r="AD116">
        <f t="shared" si="22"/>
        <v>109</v>
      </c>
      <c r="AE116">
        <f>Y116</f>
        <v>0.2324409456607423</v>
      </c>
    </row>
    <row r="117" spans="2:31" x14ac:dyDescent="0.35">
      <c r="V117" s="4">
        <f>V116+1</f>
        <v>110</v>
      </c>
      <c r="W117" s="4"/>
      <c r="X117" s="4"/>
      <c r="Y117" s="4">
        <f>SUMPRODUCT(Y116,J8)</f>
        <v>0.15962983067442504</v>
      </c>
      <c r="Z117" s="4" t="e">
        <f ca="1">K$18*SQRT(SUMSQ(N$18:N22))</f>
        <v>#NAME?</v>
      </c>
      <c r="AA117" s="4" t="e">
        <f ca="1">Y117-NORMSINV(1-Z$6/2)*Z117</f>
        <v>#NAME?</v>
      </c>
      <c r="AB117" s="4" t="e">
        <f ca="1">Y117+NORMSINV(1-Z$6/2)*Z117</f>
        <v>#NAME?</v>
      </c>
      <c r="AD117" s="4">
        <f t="shared" si="22"/>
        <v>110</v>
      </c>
      <c r="AE117" s="4">
        <f>Y117</f>
        <v>0.15962983067442504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2"/>
  <dimension ref="A1:AF115"/>
  <sheetViews>
    <sheetView workbookViewId="0"/>
  </sheetViews>
  <sheetFormatPr defaultRowHeight="14.5" x14ac:dyDescent="0.35"/>
  <cols>
    <col min="1" max="1" width="4.81640625" customWidth="1"/>
    <col min="18" max="20" width="9.26953125" bestFit="1" customWidth="1"/>
    <col min="21" max="21" width="9.1796875" customWidth="1"/>
  </cols>
  <sheetData>
    <row r="1" spans="1:32" x14ac:dyDescent="0.35">
      <c r="A1" s="7" t="s">
        <v>224</v>
      </c>
    </row>
    <row r="2" spans="1:32" x14ac:dyDescent="0.35">
      <c r="A2" s="72"/>
      <c r="B2" s="72"/>
      <c r="C2" s="72"/>
    </row>
    <row r="3" spans="1:32" ht="15" customHeight="1" x14ac:dyDescent="0.35">
      <c r="A3" s="72" t="s">
        <v>225</v>
      </c>
      <c r="B3" s="72"/>
      <c r="C3" s="72"/>
      <c r="E3" t="s">
        <v>353</v>
      </c>
      <c r="I3" t="s">
        <v>355</v>
      </c>
      <c r="M3" t="s">
        <v>374</v>
      </c>
      <c r="Q3" t="s">
        <v>379</v>
      </c>
      <c r="W3" t="s">
        <v>383</v>
      </c>
      <c r="AE3" t="s">
        <v>384</v>
      </c>
    </row>
    <row r="4" spans="1:32" ht="15" thickBot="1" x14ac:dyDescent="0.4">
      <c r="A4" s="72"/>
      <c r="B4" s="72"/>
      <c r="C4" s="72"/>
      <c r="Z4" t="s">
        <v>156</v>
      </c>
      <c r="AA4">
        <v>0.05</v>
      </c>
    </row>
    <row r="5" spans="1:32" ht="15" thickTop="1" x14ac:dyDescent="0.35">
      <c r="B5" s="149" t="s">
        <v>107</v>
      </c>
      <c r="C5" s="149" t="s">
        <v>110</v>
      </c>
      <c r="E5" s="45" t="s">
        <v>291</v>
      </c>
      <c r="F5" s="45" t="s">
        <v>194</v>
      </c>
      <c r="G5" s="45" t="s">
        <v>354</v>
      </c>
      <c r="I5" s="45" t="s">
        <v>356</v>
      </c>
      <c r="J5" s="45" t="s">
        <v>357</v>
      </c>
      <c r="K5" s="45" t="s">
        <v>358</v>
      </c>
      <c r="M5" s="45" t="s">
        <v>173</v>
      </c>
      <c r="N5" s="45" t="s">
        <v>174</v>
      </c>
      <c r="O5" s="45" t="s">
        <v>375</v>
      </c>
      <c r="Q5" s="45" t="s">
        <v>380</v>
      </c>
      <c r="R5" s="45" t="s">
        <v>162</v>
      </c>
      <c r="S5" s="45" t="s">
        <v>81</v>
      </c>
      <c r="T5" s="45" t="s">
        <v>392</v>
      </c>
      <c r="U5" s="45" t="s">
        <v>92</v>
      </c>
      <c r="W5" s="45" t="s">
        <v>291</v>
      </c>
      <c r="X5" s="45" t="s">
        <v>194</v>
      </c>
      <c r="Y5" s="45" t="s">
        <v>354</v>
      </c>
      <c r="Z5" s="45" t="s">
        <v>138</v>
      </c>
      <c r="AA5" s="45" t="s">
        <v>81</v>
      </c>
      <c r="AB5" s="45" t="s">
        <v>127</v>
      </c>
      <c r="AC5" s="45" t="s">
        <v>128</v>
      </c>
      <c r="AE5" s="45" t="s">
        <v>291</v>
      </c>
      <c r="AF5" s="45" t="s">
        <v>179</v>
      </c>
    </row>
    <row r="6" spans="1:32" x14ac:dyDescent="0.35">
      <c r="B6" s="137"/>
      <c r="C6" s="137"/>
      <c r="E6">
        <v>1</v>
      </c>
      <c r="F6" t="e">
        <f ca="1">C7-K$7</f>
        <v>#NAME?</v>
      </c>
      <c r="G6">
        <v>0</v>
      </c>
      <c r="I6" s="137">
        <v>1</v>
      </c>
      <c r="J6" t="e">
        <f ca="1">R7</f>
        <v>#NAME?</v>
      </c>
      <c r="K6" t="e">
        <f ca="1">R8</f>
        <v>#NAME?</v>
      </c>
      <c r="M6" s="152" t="e">
        <f t="array" aca="1" ref="M6:O6" ca="1">ARRoots(J6)</f>
        <v>#NAME?</v>
      </c>
      <c r="N6" s="152" t="e">
        <f ca="1"/>
        <v>#NAME?</v>
      </c>
      <c r="O6" s="152" t="e">
        <f ca="1"/>
        <v>#NAME?</v>
      </c>
      <c r="Q6" t="s">
        <v>359</v>
      </c>
      <c r="R6" t="e">
        <f t="array" aca="1" ref="R6:S8" ca="1">ARIMA_Coeff(C7:C111,1,1,0,TRUE)</f>
        <v>#NAME?</v>
      </c>
      <c r="S6" t="e">
        <f ca="1"/>
        <v>#NAME?</v>
      </c>
      <c r="T6" t="e">
        <f ca="1">R6/S6</f>
        <v>#NAME?</v>
      </c>
      <c r="U6" t="e">
        <f ca="1">TDIST(ABS(T6),K$19-K$11-K$12-1,2)</f>
        <v>#NAME?</v>
      </c>
      <c r="W6">
        <f>E6</f>
        <v>1</v>
      </c>
      <c r="X6" t="e">
        <f ca="1">F6</f>
        <v>#NAME?</v>
      </c>
      <c r="Y6">
        <f>G6</f>
        <v>0</v>
      </c>
      <c r="Z6" t="e">
        <f ca="1">X6-Y6</f>
        <v>#NAME?</v>
      </c>
      <c r="AA6" t="e">
        <f ca="1">K$16</f>
        <v>#NAME?</v>
      </c>
      <c r="AB6" t="e">
        <f ca="1">Z6-NORMSINV(1-AA$4/2)*AA6</f>
        <v>#NAME?</v>
      </c>
      <c r="AC6" t="e">
        <f ca="1">Z6+NORMSINV(1-AA$4/2)*AA6</f>
        <v>#NAME?</v>
      </c>
      <c r="AE6">
        <v>1</v>
      </c>
      <c r="AF6">
        <f>C7</f>
        <v>3.1176756475655343</v>
      </c>
    </row>
    <row r="7" spans="1:32" x14ac:dyDescent="0.35">
      <c r="A7">
        <v>1</v>
      </c>
      <c r="B7">
        <v>0.11767564756553417</v>
      </c>
      <c r="C7">
        <f t="shared" ref="C7:C70" si="0">3+0.7*C6+B7-0.2*B6</f>
        <v>3.1176756475655343</v>
      </c>
      <c r="E7">
        <f>E6+1</f>
        <v>2</v>
      </c>
      <c r="F7" t="e">
        <f t="shared" ref="F7:F70" ca="1" si="1">C8-K$7</f>
        <v>#NAME?</v>
      </c>
      <c r="G7" t="e">
        <f ca="1">F7-SUMPRODUCT(F6,J$6)-SUMPRODUCT(G6,K$6)</f>
        <v>#NAME?</v>
      </c>
      <c r="I7" s="10" t="s">
        <v>359</v>
      </c>
      <c r="J7" s="4" t="e">
        <f ca="1">R6</f>
        <v>#NAME?</v>
      </c>
      <c r="K7" s="4" t="e">
        <f ca="1">J7/(1-SUM(J6))</f>
        <v>#NAME?</v>
      </c>
      <c r="Q7" t="s">
        <v>381</v>
      </c>
      <c r="R7" t="e">
        <f ca="1"/>
        <v>#NAME?</v>
      </c>
      <c r="S7" t="e">
        <f ca="1"/>
        <v>#NAME?</v>
      </c>
      <c r="T7" t="e">
        <f ca="1">R7/S7</f>
        <v>#NAME?</v>
      </c>
      <c r="U7" t="e">
        <f ca="1">TDIST(ABS(T7),K$19-K$11-K$12-1,2)</f>
        <v>#NAME?</v>
      </c>
      <c r="W7">
        <f t="shared" ref="W7:W70" si="2">E7</f>
        <v>2</v>
      </c>
      <c r="X7" t="e">
        <f t="shared" ref="X7:X70" ca="1" si="3">F7</f>
        <v>#NAME?</v>
      </c>
      <c r="Y7" t="e">
        <f t="shared" ref="Y7:Y70" ca="1" si="4">G7</f>
        <v>#NAME?</v>
      </c>
      <c r="Z7" t="e">
        <f t="shared" ref="Z7:Z70" ca="1" si="5">X7-Y7</f>
        <v>#NAME?</v>
      </c>
      <c r="AA7" t="e">
        <f t="shared" ref="AA7:AA70" ca="1" si="6">K$16</f>
        <v>#NAME?</v>
      </c>
      <c r="AB7" t="e">
        <f t="shared" ref="AB7:AB70" ca="1" si="7">Z7-NORMSINV(1-AA$4/2)*AA7</f>
        <v>#NAME?</v>
      </c>
      <c r="AC7" t="e">
        <f t="shared" ref="AC7:AC70" ca="1" si="8">Z7+NORMSINV(1-AA$4/2)*AA7</f>
        <v>#NAME?</v>
      </c>
      <c r="AE7">
        <f>AE6+1</f>
        <v>2</v>
      </c>
      <c r="AF7">
        <f>C8</f>
        <v>5.8082510857989273</v>
      </c>
    </row>
    <row r="8" spans="1:32" x14ac:dyDescent="0.35">
      <c r="A8">
        <f t="shared" ref="A8:A71" si="9">A7+1</f>
        <v>2</v>
      </c>
      <c r="B8">
        <v>0.64941326201616068</v>
      </c>
      <c r="C8">
        <f t="shared" si="0"/>
        <v>5.8082510857989273</v>
      </c>
      <c r="E8">
        <f t="shared" ref="E8:E71" si="10">E7+1</f>
        <v>3</v>
      </c>
      <c r="F8" t="e">
        <f t="shared" ca="1" si="1"/>
        <v>#NAME?</v>
      </c>
      <c r="G8" t="e">
        <f t="shared" ref="G8:G71" ca="1" si="11">F8-SUMPRODUCT(F7,J$6)-SUMPRODUCT(G7,K$6)</f>
        <v>#NAME?</v>
      </c>
      <c r="M8" t="s">
        <v>376</v>
      </c>
      <c r="Q8" s="4" t="s">
        <v>382</v>
      </c>
      <c r="R8" s="4" t="e">
        <f ca="1"/>
        <v>#NAME?</v>
      </c>
      <c r="S8" s="4" t="e">
        <f ca="1"/>
        <v>#NAME?</v>
      </c>
      <c r="T8" s="4" t="e">
        <f ca="1">R8/S8</f>
        <v>#NAME?</v>
      </c>
      <c r="U8" s="4" t="e">
        <f ca="1">TDIST(ABS(T8),K$19-K$11-K$12-1,2)</f>
        <v>#NAME?</v>
      </c>
      <c r="W8">
        <f t="shared" si="2"/>
        <v>3</v>
      </c>
      <c r="X8" t="e">
        <f t="shared" ca="1" si="3"/>
        <v>#NAME?</v>
      </c>
      <c r="Y8" t="e">
        <f t="shared" ca="1" si="4"/>
        <v>#NAME?</v>
      </c>
      <c r="Z8" t="e">
        <f t="shared" ca="1" si="5"/>
        <v>#NAME?</v>
      </c>
      <c r="AA8" t="e">
        <f t="shared" ca="1" si="6"/>
        <v>#NAME?</v>
      </c>
      <c r="AB8" t="e">
        <f t="shared" ca="1" si="7"/>
        <v>#NAME?</v>
      </c>
      <c r="AC8" t="e">
        <f t="shared" ca="1" si="8"/>
        <v>#NAME?</v>
      </c>
      <c r="AE8">
        <f t="shared" ref="AE8:AE71" si="12">AE7+1</f>
        <v>3</v>
      </c>
      <c r="AF8">
        <f t="shared" ref="AF8:AF71" si="13">C9</f>
        <v>4.9067685983817757</v>
      </c>
    </row>
    <row r="9" spans="1:32" ht="15" thickBot="1" x14ac:dyDescent="0.4">
      <c r="A9">
        <f t="shared" si="9"/>
        <v>3</v>
      </c>
      <c r="B9">
        <v>-2.0291245092742414</v>
      </c>
      <c r="C9">
        <f t="shared" si="0"/>
        <v>4.9067685983817757</v>
      </c>
      <c r="E9">
        <f t="shared" si="10"/>
        <v>4</v>
      </c>
      <c r="F9" t="e">
        <f t="shared" ca="1" si="1"/>
        <v>#NAME?</v>
      </c>
      <c r="G9" t="e">
        <f t="shared" ca="1" si="11"/>
        <v>#NAME?</v>
      </c>
      <c r="J9" t="s">
        <v>121</v>
      </c>
      <c r="K9" s="150" t="e">
        <f ca="1">SUMSQ(G7:G110)</f>
        <v>#NAME?</v>
      </c>
      <c r="W9">
        <f t="shared" si="2"/>
        <v>4</v>
      </c>
      <c r="X9" t="e">
        <f t="shared" ca="1" si="3"/>
        <v>#NAME?</v>
      </c>
      <c r="Y9" t="e">
        <f t="shared" ca="1" si="4"/>
        <v>#NAME?</v>
      </c>
      <c r="Z9" t="e">
        <f t="shared" ca="1" si="5"/>
        <v>#NAME?</v>
      </c>
      <c r="AA9" t="e">
        <f t="shared" ca="1" si="6"/>
        <v>#NAME?</v>
      </c>
      <c r="AB9" t="e">
        <f t="shared" ca="1" si="7"/>
        <v>#NAME?</v>
      </c>
      <c r="AC9" t="e">
        <f t="shared" ca="1" si="8"/>
        <v>#NAME?</v>
      </c>
      <c r="AE9">
        <f t="shared" si="12"/>
        <v>4</v>
      </c>
      <c r="AF9">
        <f t="shared" si="13"/>
        <v>6.1194744822602427</v>
      </c>
    </row>
    <row r="10" spans="1:32" ht="15" thickTop="1" x14ac:dyDescent="0.35">
      <c r="A10">
        <f t="shared" si="9"/>
        <v>4</v>
      </c>
      <c r="B10">
        <v>-0.72108843846184933</v>
      </c>
      <c r="C10">
        <f t="shared" si="0"/>
        <v>6.1194744822602427</v>
      </c>
      <c r="E10">
        <f t="shared" si="10"/>
        <v>5</v>
      </c>
      <c r="F10" t="e">
        <f t="shared" ca="1" si="1"/>
        <v>#NAME?</v>
      </c>
      <c r="G10" t="e">
        <f t="shared" ca="1" si="11"/>
        <v>#NAME?</v>
      </c>
      <c r="M10" s="45" t="s">
        <v>173</v>
      </c>
      <c r="N10" s="45" t="s">
        <v>174</v>
      </c>
      <c r="O10" s="45" t="s">
        <v>375</v>
      </c>
      <c r="Q10" t="e">
        <f t="array" aca="1" ref="Q10:U13" ca="1">ARIMA_Coeff(C7:C111,1,1,0,TRUE,TRUE)</f>
        <v>#NAME?</v>
      </c>
      <c r="R10" t="e">
        <f ca="1"/>
        <v>#NAME?</v>
      </c>
      <c r="S10" t="e">
        <f ca="1"/>
        <v>#NAME?</v>
      </c>
      <c r="T10" t="e">
        <f ca="1"/>
        <v>#NAME?</v>
      </c>
      <c r="U10" t="e">
        <f ca="1"/>
        <v>#NAME?</v>
      </c>
      <c r="W10">
        <f t="shared" si="2"/>
        <v>5</v>
      </c>
      <c r="X10" t="e">
        <f t="shared" ca="1" si="3"/>
        <v>#NAME?</v>
      </c>
      <c r="Y10" t="e">
        <f t="shared" ca="1" si="4"/>
        <v>#NAME?</v>
      </c>
      <c r="Z10" t="e">
        <f t="shared" ca="1" si="5"/>
        <v>#NAME?</v>
      </c>
      <c r="AA10" t="e">
        <f t="shared" ca="1" si="6"/>
        <v>#NAME?</v>
      </c>
      <c r="AB10" t="e">
        <f t="shared" ca="1" si="7"/>
        <v>#NAME?</v>
      </c>
      <c r="AC10" t="e">
        <f t="shared" ca="1" si="8"/>
        <v>#NAME?</v>
      </c>
      <c r="AE10">
        <f t="shared" si="12"/>
        <v>5</v>
      </c>
      <c r="AF10">
        <f t="shared" si="13"/>
        <v>8.1353263117657075</v>
      </c>
    </row>
    <row r="11" spans="1:32" x14ac:dyDescent="0.35">
      <c r="A11">
        <f t="shared" si="9"/>
        <v>5</v>
      </c>
      <c r="B11">
        <v>0.70747648649116823</v>
      </c>
      <c r="C11">
        <f t="shared" si="0"/>
        <v>8.1353263117657075</v>
      </c>
      <c r="E11">
        <f t="shared" si="10"/>
        <v>6</v>
      </c>
      <c r="F11" t="e">
        <f t="shared" ca="1" si="1"/>
        <v>#NAME?</v>
      </c>
      <c r="G11" t="e">
        <f t="shared" ca="1" si="11"/>
        <v>#NAME?</v>
      </c>
      <c r="J11" t="s">
        <v>361</v>
      </c>
      <c r="K11" s="151">
        <v>1</v>
      </c>
      <c r="M11" s="152" t="e">
        <f t="array" aca="1" ref="M11:O11" ca="1">MARoots(K6)</f>
        <v>#NAME?</v>
      </c>
      <c r="N11" s="152" t="e">
        <f ca="1"/>
        <v>#NAME?</v>
      </c>
      <c r="O11" s="152" t="e">
        <f ca="1"/>
        <v>#NAME?</v>
      </c>
      <c r="Q11" t="e">
        <f ca="1"/>
        <v>#NAME?</v>
      </c>
      <c r="R11" s="155" t="e">
        <f ca="1"/>
        <v>#NAME?</v>
      </c>
      <c r="S11" s="156" t="e">
        <f ca="1"/>
        <v>#NAME?</v>
      </c>
      <c r="T11" s="156" t="e">
        <f ca="1"/>
        <v>#NAME?</v>
      </c>
      <c r="U11" s="157" t="e">
        <f ca="1"/>
        <v>#NAME?</v>
      </c>
      <c r="W11">
        <f t="shared" si="2"/>
        <v>6</v>
      </c>
      <c r="X11" t="e">
        <f t="shared" ca="1" si="3"/>
        <v>#NAME?</v>
      </c>
      <c r="Y11" t="e">
        <f t="shared" ca="1" si="4"/>
        <v>#NAME?</v>
      </c>
      <c r="Z11" t="e">
        <f t="shared" ca="1" si="5"/>
        <v>#NAME?</v>
      </c>
      <c r="AA11" t="e">
        <f t="shared" ca="1" si="6"/>
        <v>#NAME?</v>
      </c>
      <c r="AB11" t="e">
        <f t="shared" ca="1" si="7"/>
        <v>#NAME?</v>
      </c>
      <c r="AC11" t="e">
        <f t="shared" ca="1" si="8"/>
        <v>#NAME?</v>
      </c>
      <c r="AE11">
        <f t="shared" si="12"/>
        <v>6</v>
      </c>
      <c r="AF11">
        <f t="shared" si="13"/>
        <v>9.3448674266459744</v>
      </c>
    </row>
    <row r="12" spans="1:32" x14ac:dyDescent="0.35">
      <c r="A12">
        <f t="shared" si="9"/>
        <v>6</v>
      </c>
      <c r="B12">
        <v>0.79163430570821358</v>
      </c>
      <c r="C12">
        <f t="shared" si="0"/>
        <v>9.3448674266459744</v>
      </c>
      <c r="E12">
        <f t="shared" si="10"/>
        <v>7</v>
      </c>
      <c r="F12" t="e">
        <f t="shared" ca="1" si="1"/>
        <v>#NAME?</v>
      </c>
      <c r="G12" t="e">
        <f t="shared" ca="1" si="11"/>
        <v>#NAME?</v>
      </c>
      <c r="J12" t="s">
        <v>362</v>
      </c>
      <c r="K12" s="107">
        <v>1</v>
      </c>
      <c r="Q12" t="e">
        <f ca="1"/>
        <v>#NAME?</v>
      </c>
      <c r="R12" s="29" t="e">
        <f ca="1"/>
        <v>#NAME?</v>
      </c>
      <c r="S12" s="13" t="e">
        <f ca="1"/>
        <v>#NAME?</v>
      </c>
      <c r="T12" s="13" t="e">
        <f ca="1"/>
        <v>#NAME?</v>
      </c>
      <c r="U12" s="30" t="e">
        <f ca="1"/>
        <v>#NAME?</v>
      </c>
      <c r="W12">
        <f t="shared" si="2"/>
        <v>7</v>
      </c>
      <c r="X12" t="e">
        <f t="shared" ca="1" si="3"/>
        <v>#NAME?</v>
      </c>
      <c r="Y12" t="e">
        <f t="shared" ca="1" si="4"/>
        <v>#NAME?</v>
      </c>
      <c r="Z12" t="e">
        <f t="shared" ca="1" si="5"/>
        <v>#NAME?</v>
      </c>
      <c r="AA12" t="e">
        <f t="shared" ca="1" si="6"/>
        <v>#NAME?</v>
      </c>
      <c r="AB12" t="e">
        <f t="shared" ca="1" si="7"/>
        <v>#NAME?</v>
      </c>
      <c r="AC12" t="e">
        <f t="shared" ca="1" si="8"/>
        <v>#NAME?</v>
      </c>
      <c r="AE12">
        <f t="shared" si="12"/>
        <v>7</v>
      </c>
      <c r="AF12">
        <f t="shared" si="13"/>
        <v>9.147650683887159</v>
      </c>
    </row>
    <row r="13" spans="1:32" x14ac:dyDescent="0.35">
      <c r="A13">
        <f t="shared" si="9"/>
        <v>7</v>
      </c>
      <c r="B13">
        <v>-0.23542965362337992</v>
      </c>
      <c r="C13">
        <f t="shared" si="0"/>
        <v>9.147650683887159</v>
      </c>
      <c r="E13">
        <f t="shared" si="10"/>
        <v>8</v>
      </c>
      <c r="F13" t="e">
        <f t="shared" ca="1" si="1"/>
        <v>#NAME?</v>
      </c>
      <c r="G13" t="e">
        <f t="shared" ca="1" si="11"/>
        <v>#NAME?</v>
      </c>
      <c r="J13" t="s">
        <v>363</v>
      </c>
      <c r="K13" s="107">
        <v>0</v>
      </c>
      <c r="M13" t="s">
        <v>377</v>
      </c>
      <c r="Q13" t="e">
        <f ca="1"/>
        <v>#NAME?</v>
      </c>
      <c r="R13" s="31" t="e">
        <f ca="1"/>
        <v>#NAME?</v>
      </c>
      <c r="S13" s="4" t="e">
        <f ca="1"/>
        <v>#NAME?</v>
      </c>
      <c r="T13" s="4" t="e">
        <f ca="1"/>
        <v>#NAME?</v>
      </c>
      <c r="U13" s="32" t="e">
        <f ca="1"/>
        <v>#NAME?</v>
      </c>
      <c r="W13">
        <f t="shared" si="2"/>
        <v>8</v>
      </c>
      <c r="X13" t="e">
        <f t="shared" ca="1" si="3"/>
        <v>#NAME?</v>
      </c>
      <c r="Y13" t="e">
        <f t="shared" ca="1" si="4"/>
        <v>#NAME?</v>
      </c>
      <c r="Z13" t="e">
        <f t="shared" ca="1" si="5"/>
        <v>#NAME?</v>
      </c>
      <c r="AA13" t="e">
        <f t="shared" ca="1" si="6"/>
        <v>#NAME?</v>
      </c>
      <c r="AB13" t="e">
        <f t="shared" ca="1" si="7"/>
        <v>#NAME?</v>
      </c>
      <c r="AC13" t="e">
        <f t="shared" ca="1" si="8"/>
        <v>#NAME?</v>
      </c>
      <c r="AE13">
        <f t="shared" si="12"/>
        <v>8</v>
      </c>
      <c r="AF13">
        <f t="shared" si="13"/>
        <v>8.1014932813029787</v>
      </c>
    </row>
    <row r="14" spans="1:32" ht="15" thickBot="1" x14ac:dyDescent="0.4">
      <c r="A14">
        <f t="shared" si="9"/>
        <v>8</v>
      </c>
      <c r="B14">
        <v>-1.3489481281427076</v>
      </c>
      <c r="C14">
        <f t="shared" si="0"/>
        <v>8.1014932813029787</v>
      </c>
      <c r="E14">
        <f t="shared" si="10"/>
        <v>9</v>
      </c>
      <c r="F14" t="e">
        <f t="shared" ca="1" si="1"/>
        <v>#NAME?</v>
      </c>
      <c r="G14" t="e">
        <f t="shared" ca="1" si="11"/>
        <v>#NAME?</v>
      </c>
      <c r="J14" t="s">
        <v>364</v>
      </c>
      <c r="K14" s="107" t="e">
        <f ca="1">AVERAGE(G7:G110)</f>
        <v>#NAME?</v>
      </c>
      <c r="W14">
        <f t="shared" si="2"/>
        <v>9</v>
      </c>
      <c r="X14" t="e">
        <f t="shared" ca="1" si="3"/>
        <v>#NAME?</v>
      </c>
      <c r="Y14" t="e">
        <f t="shared" ca="1" si="4"/>
        <v>#NAME?</v>
      </c>
      <c r="Z14" t="e">
        <f t="shared" ca="1" si="5"/>
        <v>#NAME?</v>
      </c>
      <c r="AA14" t="e">
        <f t="shared" ca="1" si="6"/>
        <v>#NAME?</v>
      </c>
      <c r="AB14" t="e">
        <f t="shared" ca="1" si="7"/>
        <v>#NAME?</v>
      </c>
      <c r="AC14" t="e">
        <f t="shared" ca="1" si="8"/>
        <v>#NAME?</v>
      </c>
      <c r="AE14">
        <f t="shared" si="12"/>
        <v>9</v>
      </c>
      <c r="AF14">
        <f t="shared" si="13"/>
        <v>10.146419029172929</v>
      </c>
    </row>
    <row r="15" spans="1:32" ht="15" thickTop="1" x14ac:dyDescent="0.35">
      <c r="A15">
        <f t="shared" si="9"/>
        <v>9</v>
      </c>
      <c r="B15">
        <v>1.2055841066323034</v>
      </c>
      <c r="C15">
        <f t="shared" si="0"/>
        <v>10.146419029172929</v>
      </c>
      <c r="E15">
        <f t="shared" si="10"/>
        <v>10</v>
      </c>
      <c r="F15" t="e">
        <f t="shared" ca="1" si="1"/>
        <v>#NAME?</v>
      </c>
      <c r="G15" t="e">
        <f t="shared" ca="1" si="11"/>
        <v>#NAME?</v>
      </c>
      <c r="J15" t="s">
        <v>365</v>
      </c>
      <c r="K15" s="107" t="e">
        <f ca="1">STDEV(G7:G110)</f>
        <v>#NAME?</v>
      </c>
      <c r="M15" s="45" t="s">
        <v>356</v>
      </c>
      <c r="N15" s="45" t="s">
        <v>378</v>
      </c>
      <c r="Q15" t="e">
        <f t="array" aca="1" ref="Q15:R21" ca="1">ARIMA_Stats(C7:C111,R11:R13,1,1,0,TRUE,TRUE)</f>
        <v>#NAME?</v>
      </c>
      <c r="R15" s="139" t="e">
        <f ca="1"/>
        <v>#NAME?</v>
      </c>
      <c r="W15">
        <f t="shared" si="2"/>
        <v>10</v>
      </c>
      <c r="X15" t="e">
        <f t="shared" ca="1" si="3"/>
        <v>#NAME?</v>
      </c>
      <c r="Y15" t="e">
        <f t="shared" ca="1" si="4"/>
        <v>#NAME?</v>
      </c>
      <c r="Z15" t="e">
        <f t="shared" ca="1" si="5"/>
        <v>#NAME?</v>
      </c>
      <c r="AA15" t="e">
        <f t="shared" ca="1" si="6"/>
        <v>#NAME?</v>
      </c>
      <c r="AB15" t="e">
        <f t="shared" ca="1" si="7"/>
        <v>#NAME?</v>
      </c>
      <c r="AC15" t="e">
        <f t="shared" ca="1" si="8"/>
        <v>#NAME?</v>
      </c>
      <c r="AE15">
        <f t="shared" si="12"/>
        <v>10</v>
      </c>
      <c r="AF15">
        <f t="shared" si="13"/>
        <v>11.045196349004179</v>
      </c>
    </row>
    <row r="16" spans="1:32" x14ac:dyDescent="0.35">
      <c r="A16">
        <f t="shared" si="9"/>
        <v>10</v>
      </c>
      <c r="B16">
        <v>1.1838198499095893</v>
      </c>
      <c r="C16">
        <f t="shared" si="0"/>
        <v>11.045196349004179</v>
      </c>
      <c r="E16">
        <f t="shared" si="10"/>
        <v>11</v>
      </c>
      <c r="F16" t="e">
        <f t="shared" ca="1" si="1"/>
        <v>#NAME?</v>
      </c>
      <c r="G16" t="e">
        <f t="shared" ca="1" si="11"/>
        <v>#NAME?</v>
      </c>
      <c r="J16" t="s">
        <v>366</v>
      </c>
      <c r="K16" s="107" t="e">
        <f ca="1">SQRT(K9/K19)</f>
        <v>#NAME?</v>
      </c>
      <c r="M16" s="59">
        <v>0</v>
      </c>
      <c r="N16" s="59" t="e">
        <f t="array" aca="1" ref="N16:N20" ca="1">PSICoeff(J6,K6)</f>
        <v>#NAME?</v>
      </c>
      <c r="Q16" t="e">
        <f ca="1"/>
        <v>#NAME?</v>
      </c>
      <c r="R16" s="24" t="e">
        <f ca="1"/>
        <v>#NAME?</v>
      </c>
      <c r="W16">
        <f t="shared" si="2"/>
        <v>11</v>
      </c>
      <c r="X16" t="e">
        <f t="shared" ca="1" si="3"/>
        <v>#NAME?</v>
      </c>
      <c r="Y16" t="e">
        <f t="shared" ca="1" si="4"/>
        <v>#NAME?</v>
      </c>
      <c r="Z16" t="e">
        <f t="shared" ca="1" si="5"/>
        <v>#NAME?</v>
      </c>
      <c r="AA16" t="e">
        <f t="shared" ca="1" si="6"/>
        <v>#NAME?</v>
      </c>
      <c r="AB16" t="e">
        <f t="shared" ca="1" si="7"/>
        <v>#NAME?</v>
      </c>
      <c r="AC16" t="e">
        <f t="shared" ca="1" si="8"/>
        <v>#NAME?</v>
      </c>
      <c r="AE16">
        <f t="shared" si="12"/>
        <v>11</v>
      </c>
      <c r="AF16">
        <f t="shared" si="13"/>
        <v>10.122578080182986</v>
      </c>
    </row>
    <row r="17" spans="1:32" x14ac:dyDescent="0.35">
      <c r="A17">
        <f t="shared" si="9"/>
        <v>11</v>
      </c>
      <c r="B17">
        <v>-0.37229539413802176</v>
      </c>
      <c r="C17">
        <f t="shared" si="0"/>
        <v>10.122578080182986</v>
      </c>
      <c r="E17">
        <f t="shared" si="10"/>
        <v>12</v>
      </c>
      <c r="F17" t="e">
        <f t="shared" ca="1" si="1"/>
        <v>#NAME?</v>
      </c>
      <c r="G17" t="e">
        <f t="shared" ca="1" si="11"/>
        <v>#NAME?</v>
      </c>
      <c r="J17" t="s">
        <v>367</v>
      </c>
      <c r="K17" s="107" t="e">
        <f ca="1">AVERAGE(F7:F110)</f>
        <v>#NAME?</v>
      </c>
      <c r="M17" s="13">
        <f>M16+1</f>
        <v>1</v>
      </c>
      <c r="N17" s="13" t="e">
        <f ca="1"/>
        <v>#NAME?</v>
      </c>
      <c r="Q17" t="e">
        <f ca="1"/>
        <v>#NAME?</v>
      </c>
      <c r="R17" s="24" t="e">
        <f ca="1"/>
        <v>#NAME?</v>
      </c>
      <c r="W17">
        <f t="shared" si="2"/>
        <v>12</v>
      </c>
      <c r="X17" t="e">
        <f t="shared" ca="1" si="3"/>
        <v>#NAME?</v>
      </c>
      <c r="Y17" t="e">
        <f t="shared" ca="1" si="4"/>
        <v>#NAME?</v>
      </c>
      <c r="Z17" t="e">
        <f t="shared" ca="1" si="5"/>
        <v>#NAME?</v>
      </c>
      <c r="AA17" t="e">
        <f t="shared" ca="1" si="6"/>
        <v>#NAME?</v>
      </c>
      <c r="AB17" t="e">
        <f t="shared" ca="1" si="7"/>
        <v>#NAME?</v>
      </c>
      <c r="AC17" t="e">
        <f t="shared" ca="1" si="8"/>
        <v>#NAME?</v>
      </c>
      <c r="AE17">
        <f t="shared" si="12"/>
        <v>12</v>
      </c>
      <c r="AF17">
        <f t="shared" si="13"/>
        <v>10.173602244452049</v>
      </c>
    </row>
    <row r="18" spans="1:32" x14ac:dyDescent="0.35">
      <c r="A18">
        <f t="shared" si="9"/>
        <v>12</v>
      </c>
      <c r="B18">
        <v>1.3338509496353779E-2</v>
      </c>
      <c r="C18">
        <f t="shared" si="0"/>
        <v>10.173602244452049</v>
      </c>
      <c r="E18">
        <f t="shared" si="10"/>
        <v>13</v>
      </c>
      <c r="F18" t="e">
        <f t="shared" ca="1" si="1"/>
        <v>#NAME?</v>
      </c>
      <c r="G18" t="e">
        <f t="shared" ca="1" si="11"/>
        <v>#NAME?</v>
      </c>
      <c r="J18" t="s">
        <v>368</v>
      </c>
      <c r="K18" s="107" t="e">
        <f ca="1">STDEV(F7:F110)</f>
        <v>#NAME?</v>
      </c>
      <c r="M18" s="13">
        <f>M17+1</f>
        <v>2</v>
      </c>
      <c r="N18" s="13" t="e">
        <f ca="1"/>
        <v>#NAME?</v>
      </c>
      <c r="Q18" t="e">
        <f ca="1"/>
        <v>#NAME?</v>
      </c>
      <c r="R18" s="24" t="e">
        <f ca="1"/>
        <v>#NAME?</v>
      </c>
      <c r="W18">
        <f t="shared" si="2"/>
        <v>13</v>
      </c>
      <c r="X18" t="e">
        <f t="shared" ca="1" si="3"/>
        <v>#NAME?</v>
      </c>
      <c r="Y18" t="e">
        <f t="shared" ca="1" si="4"/>
        <v>#NAME?</v>
      </c>
      <c r="Z18" t="e">
        <f t="shared" ca="1" si="5"/>
        <v>#NAME?</v>
      </c>
      <c r="AA18" t="e">
        <f t="shared" ca="1" si="6"/>
        <v>#NAME?</v>
      </c>
      <c r="AB18" t="e">
        <f t="shared" ca="1" si="7"/>
        <v>#NAME?</v>
      </c>
      <c r="AC18" t="e">
        <f t="shared" ca="1" si="8"/>
        <v>#NAME?</v>
      </c>
      <c r="AE18">
        <f t="shared" si="12"/>
        <v>13</v>
      </c>
      <c r="AF18">
        <f t="shared" si="13"/>
        <v>10.821309800892813</v>
      </c>
    </row>
    <row r="19" spans="1:32" x14ac:dyDescent="0.35">
      <c r="A19">
        <f t="shared" si="9"/>
        <v>13</v>
      </c>
      <c r="B19">
        <v>0.70245593167564913</v>
      </c>
      <c r="C19">
        <f t="shared" si="0"/>
        <v>10.821309800892813</v>
      </c>
      <c r="E19">
        <f t="shared" si="10"/>
        <v>14</v>
      </c>
      <c r="F19" t="e">
        <f t="shared" ca="1" si="1"/>
        <v>#NAME?</v>
      </c>
      <c r="G19" t="e">
        <f t="shared" ca="1" si="11"/>
        <v>#NAME?</v>
      </c>
      <c r="J19" t="s">
        <v>369</v>
      </c>
      <c r="K19" s="108">
        <f ca="1">COUNT(F7:F110)</f>
        <v>0</v>
      </c>
      <c r="M19" s="13">
        <f>M18+1</f>
        <v>3</v>
      </c>
      <c r="N19" s="13" t="e">
        <f ca="1"/>
        <v>#NAME?</v>
      </c>
      <c r="Q19" t="e">
        <f ca="1"/>
        <v>#NAME?</v>
      </c>
      <c r="R19" s="24" t="e">
        <f ca="1"/>
        <v>#NAME?</v>
      </c>
      <c r="W19">
        <f t="shared" si="2"/>
        <v>14</v>
      </c>
      <c r="X19" t="e">
        <f t="shared" ca="1" si="3"/>
        <v>#NAME?</v>
      </c>
      <c r="Y19" t="e">
        <f t="shared" ca="1" si="4"/>
        <v>#NAME?</v>
      </c>
      <c r="Z19" t="e">
        <f t="shared" ca="1" si="5"/>
        <v>#NAME?</v>
      </c>
      <c r="AA19" t="e">
        <f t="shared" ca="1" si="6"/>
        <v>#NAME?</v>
      </c>
      <c r="AB19" t="e">
        <f t="shared" ca="1" si="7"/>
        <v>#NAME?</v>
      </c>
      <c r="AC19" t="e">
        <f t="shared" ca="1" si="8"/>
        <v>#NAME?</v>
      </c>
      <c r="AE19">
        <f t="shared" si="12"/>
        <v>14</v>
      </c>
      <c r="AF19">
        <f t="shared" si="13"/>
        <v>10.084063249573957</v>
      </c>
    </row>
    <row r="20" spans="1:32" x14ac:dyDescent="0.35">
      <c r="A20">
        <f t="shared" si="9"/>
        <v>14</v>
      </c>
      <c r="B20">
        <v>-0.35036242471588258</v>
      </c>
      <c r="C20">
        <f t="shared" si="0"/>
        <v>10.084063249573957</v>
      </c>
      <c r="E20">
        <f t="shared" si="10"/>
        <v>15</v>
      </c>
      <c r="F20" t="e">
        <f t="shared" ca="1" si="1"/>
        <v>#NAME?</v>
      </c>
      <c r="G20" t="e">
        <f t="shared" ca="1" si="11"/>
        <v>#NAME?</v>
      </c>
      <c r="M20" s="4">
        <f>M19+1</f>
        <v>4</v>
      </c>
      <c r="N20" s="4" t="e">
        <f ca="1"/>
        <v>#NAME?</v>
      </c>
      <c r="Q20" t="e">
        <f ca="1"/>
        <v>#NAME?</v>
      </c>
      <c r="R20" s="24" t="e">
        <f ca="1"/>
        <v>#NAME?</v>
      </c>
      <c r="W20">
        <f t="shared" si="2"/>
        <v>15</v>
      </c>
      <c r="X20" t="e">
        <f t="shared" ca="1" si="3"/>
        <v>#NAME?</v>
      </c>
      <c r="Y20" t="e">
        <f t="shared" ca="1" si="4"/>
        <v>#NAME?</v>
      </c>
      <c r="Z20" t="e">
        <f t="shared" ca="1" si="5"/>
        <v>#NAME?</v>
      </c>
      <c r="AA20" t="e">
        <f t="shared" ca="1" si="6"/>
        <v>#NAME?</v>
      </c>
      <c r="AB20" t="e">
        <f t="shared" ca="1" si="7"/>
        <v>#NAME?</v>
      </c>
      <c r="AC20" t="e">
        <f t="shared" ca="1" si="8"/>
        <v>#NAME?</v>
      </c>
      <c r="AE20">
        <f t="shared" si="12"/>
        <v>15</v>
      </c>
      <c r="AF20">
        <f t="shared" si="13"/>
        <v>10.346054055555477</v>
      </c>
    </row>
    <row r="21" spans="1:32" x14ac:dyDescent="0.35">
      <c r="A21">
        <f t="shared" si="9"/>
        <v>15</v>
      </c>
      <c r="B21">
        <v>0.21713729591053152</v>
      </c>
      <c r="C21">
        <f t="shared" si="0"/>
        <v>10.346054055555477</v>
      </c>
      <c r="E21">
        <f t="shared" si="10"/>
        <v>16</v>
      </c>
      <c r="F21" t="e">
        <f t="shared" ca="1" si="1"/>
        <v>#NAME?</v>
      </c>
      <c r="G21" t="e">
        <f t="shared" ca="1" si="11"/>
        <v>#NAME?</v>
      </c>
      <c r="J21" t="s">
        <v>370</v>
      </c>
      <c r="K21" s="151" t="e">
        <f ca="1">-(K24-2*(K11+K12+2))/2</f>
        <v>#NAME?</v>
      </c>
      <c r="Q21" t="e">
        <f ca="1"/>
        <v>#NAME?</v>
      </c>
      <c r="R21" s="34" t="e">
        <f ca="1"/>
        <v>#NAME?</v>
      </c>
      <c r="W21">
        <f t="shared" si="2"/>
        <v>16</v>
      </c>
      <c r="X21" t="e">
        <f t="shared" ca="1" si="3"/>
        <v>#NAME?</v>
      </c>
      <c r="Y21" t="e">
        <f t="shared" ca="1" si="4"/>
        <v>#NAME?</v>
      </c>
      <c r="Z21" t="e">
        <f t="shared" ca="1" si="5"/>
        <v>#NAME?</v>
      </c>
      <c r="AA21" t="e">
        <f t="shared" ca="1" si="6"/>
        <v>#NAME?</v>
      </c>
      <c r="AB21" t="e">
        <f t="shared" ca="1" si="7"/>
        <v>#NAME?</v>
      </c>
      <c r="AC21" t="e">
        <f t="shared" ca="1" si="8"/>
        <v>#NAME?</v>
      </c>
      <c r="AE21">
        <f t="shared" si="12"/>
        <v>16</v>
      </c>
      <c r="AF21">
        <f t="shared" si="13"/>
        <v>9.6922029393025948</v>
      </c>
    </row>
    <row r="22" spans="1:32" x14ac:dyDescent="0.35">
      <c r="A22">
        <f t="shared" si="9"/>
        <v>16</v>
      </c>
      <c r="B22">
        <v>-0.50660744040413153</v>
      </c>
      <c r="C22">
        <f t="shared" si="0"/>
        <v>9.6922029393025948</v>
      </c>
      <c r="E22">
        <f t="shared" si="10"/>
        <v>17</v>
      </c>
      <c r="F22" t="e">
        <f t="shared" ca="1" si="1"/>
        <v>#NAME?</v>
      </c>
      <c r="G22" t="e">
        <f t="shared" ca="1" si="11"/>
        <v>#NAME?</v>
      </c>
      <c r="J22" t="s">
        <v>145</v>
      </c>
      <c r="K22" s="107" t="e">
        <f ca="1">K19*LN(K9/K19)+2*(K11+K12+2)</f>
        <v>#NAME?</v>
      </c>
      <c r="W22">
        <f t="shared" si="2"/>
        <v>17</v>
      </c>
      <c r="X22" t="e">
        <f t="shared" ca="1" si="3"/>
        <v>#NAME?</v>
      </c>
      <c r="Y22" t="e">
        <f t="shared" ca="1" si="4"/>
        <v>#NAME?</v>
      </c>
      <c r="Z22" t="e">
        <f t="shared" ca="1" si="5"/>
        <v>#NAME?</v>
      </c>
      <c r="AA22" t="e">
        <f t="shared" ca="1" si="6"/>
        <v>#NAME?</v>
      </c>
      <c r="AB22" t="e">
        <f t="shared" ca="1" si="7"/>
        <v>#NAME?</v>
      </c>
      <c r="AC22" t="e">
        <f t="shared" ca="1" si="8"/>
        <v>#NAME?</v>
      </c>
      <c r="AE22">
        <f t="shared" si="12"/>
        <v>17</v>
      </c>
      <c r="AF22">
        <f t="shared" si="13"/>
        <v>11.205574770625867</v>
      </c>
    </row>
    <row r="23" spans="1:32" x14ac:dyDescent="0.35">
      <c r="A23">
        <f t="shared" si="9"/>
        <v>17</v>
      </c>
      <c r="B23">
        <v>1.3197112250332261</v>
      </c>
      <c r="C23">
        <f t="shared" si="0"/>
        <v>11.205574770625867</v>
      </c>
      <c r="E23">
        <f t="shared" si="10"/>
        <v>18</v>
      </c>
      <c r="F23" t="e">
        <f t="shared" ca="1" si="1"/>
        <v>#NAME?</v>
      </c>
      <c r="G23" t="e">
        <f t="shared" ca="1" si="11"/>
        <v>#NAME?</v>
      </c>
      <c r="J23" t="s">
        <v>371</v>
      </c>
      <c r="K23" s="107" t="e">
        <f ca="1">K19*LN(K9/K19)+LN(K19)*(K11+K12+2)</f>
        <v>#NAME?</v>
      </c>
      <c r="W23">
        <f t="shared" si="2"/>
        <v>18</v>
      </c>
      <c r="X23" t="e">
        <f t="shared" ca="1" si="3"/>
        <v>#NAME?</v>
      </c>
      <c r="Y23" t="e">
        <f t="shared" ca="1" si="4"/>
        <v>#NAME?</v>
      </c>
      <c r="Z23" t="e">
        <f t="shared" ca="1" si="5"/>
        <v>#NAME?</v>
      </c>
      <c r="AA23" t="e">
        <f t="shared" ca="1" si="6"/>
        <v>#NAME?</v>
      </c>
      <c r="AB23" t="e">
        <f t="shared" ca="1" si="7"/>
        <v>#NAME?</v>
      </c>
      <c r="AC23" t="e">
        <f t="shared" ca="1" si="8"/>
        <v>#NAME?</v>
      </c>
      <c r="AE23">
        <f t="shared" si="12"/>
        <v>18</v>
      </c>
      <c r="AF23">
        <f t="shared" si="13"/>
        <v>12.652116416514845</v>
      </c>
    </row>
    <row r="24" spans="1:32" x14ac:dyDescent="0.35">
      <c r="A24">
        <f t="shared" si="9"/>
        <v>18</v>
      </c>
      <c r="B24">
        <v>2.0721563220833827</v>
      </c>
      <c r="C24">
        <f t="shared" si="0"/>
        <v>12.652116416514845</v>
      </c>
      <c r="E24">
        <f t="shared" si="10"/>
        <v>19</v>
      </c>
      <c r="F24" t="e">
        <f t="shared" ca="1" si="1"/>
        <v>#NAME?</v>
      </c>
      <c r="G24" t="e">
        <f t="shared" ca="1" si="11"/>
        <v>#NAME?</v>
      </c>
      <c r="J24" t="s">
        <v>372</v>
      </c>
      <c r="K24" s="107" t="e">
        <f ca="1">K19*(1+LN(2*PI()))+K22</f>
        <v>#NAME?</v>
      </c>
      <c r="W24">
        <f t="shared" si="2"/>
        <v>19</v>
      </c>
      <c r="X24" t="e">
        <f t="shared" ca="1" si="3"/>
        <v>#NAME?</v>
      </c>
      <c r="Y24" t="e">
        <f t="shared" ca="1" si="4"/>
        <v>#NAME?</v>
      </c>
      <c r="Z24" t="e">
        <f t="shared" ca="1" si="5"/>
        <v>#NAME?</v>
      </c>
      <c r="AA24" t="e">
        <f t="shared" ca="1" si="6"/>
        <v>#NAME?</v>
      </c>
      <c r="AB24" t="e">
        <f t="shared" ca="1" si="7"/>
        <v>#NAME?</v>
      </c>
      <c r="AC24" t="e">
        <f t="shared" ca="1" si="8"/>
        <v>#NAME?</v>
      </c>
      <c r="AE24">
        <f t="shared" si="12"/>
        <v>19</v>
      </c>
      <c r="AF24">
        <f t="shared" si="13"/>
        <v>13.406329168635398</v>
      </c>
    </row>
    <row r="25" spans="1:32" x14ac:dyDescent="0.35">
      <c r="A25">
        <f t="shared" si="9"/>
        <v>19</v>
      </c>
      <c r="B25">
        <v>1.9642789414916844</v>
      </c>
      <c r="C25">
        <f t="shared" si="0"/>
        <v>13.406329168635398</v>
      </c>
      <c r="E25">
        <f t="shared" si="10"/>
        <v>20</v>
      </c>
      <c r="F25" t="e">
        <f t="shared" ca="1" si="1"/>
        <v>#NAME?</v>
      </c>
      <c r="G25" t="e">
        <f t="shared" ca="1" si="11"/>
        <v>#NAME?</v>
      </c>
      <c r="J25" t="s">
        <v>373</v>
      </c>
      <c r="K25" s="108" t="e">
        <f ca="1">K19*(1+LN(2*PI()))+K23</f>
        <v>#NAME?</v>
      </c>
      <c r="W25">
        <f t="shared" si="2"/>
        <v>20</v>
      </c>
      <c r="X25" t="e">
        <f t="shared" ca="1" si="3"/>
        <v>#NAME?</v>
      </c>
      <c r="Y25" t="e">
        <f t="shared" ca="1" si="4"/>
        <v>#NAME?</v>
      </c>
      <c r="Z25" t="e">
        <f t="shared" ca="1" si="5"/>
        <v>#NAME?</v>
      </c>
      <c r="AA25" t="e">
        <f t="shared" ca="1" si="6"/>
        <v>#NAME?</v>
      </c>
      <c r="AB25" t="e">
        <f t="shared" ca="1" si="7"/>
        <v>#NAME?</v>
      </c>
      <c r="AC25" t="e">
        <f t="shared" ca="1" si="8"/>
        <v>#NAME?</v>
      </c>
      <c r="AE25">
        <f t="shared" si="12"/>
        <v>20</v>
      </c>
      <c r="AF25">
        <f t="shared" si="13"/>
        <v>12.231217930183975</v>
      </c>
    </row>
    <row r="26" spans="1:32" x14ac:dyDescent="0.35">
      <c r="A26">
        <f t="shared" si="9"/>
        <v>20</v>
      </c>
      <c r="B26">
        <v>0.23964330043753548</v>
      </c>
      <c r="C26">
        <f t="shared" si="0"/>
        <v>12.231217930183975</v>
      </c>
      <c r="E26">
        <f t="shared" si="10"/>
        <v>21</v>
      </c>
      <c r="F26" t="e">
        <f t="shared" ca="1" si="1"/>
        <v>#NAME?</v>
      </c>
      <c r="G26" t="e">
        <f t="shared" ca="1" si="11"/>
        <v>#NAME?</v>
      </c>
      <c r="W26">
        <f t="shared" si="2"/>
        <v>21</v>
      </c>
      <c r="X26" t="e">
        <f t="shared" ca="1" si="3"/>
        <v>#NAME?</v>
      </c>
      <c r="Y26" t="e">
        <f t="shared" ca="1" si="4"/>
        <v>#NAME?</v>
      </c>
      <c r="Z26" t="e">
        <f t="shared" ca="1" si="5"/>
        <v>#NAME?</v>
      </c>
      <c r="AA26" t="e">
        <f t="shared" ca="1" si="6"/>
        <v>#NAME?</v>
      </c>
      <c r="AB26" t="e">
        <f t="shared" ca="1" si="7"/>
        <v>#NAME?</v>
      </c>
      <c r="AC26" t="e">
        <f t="shared" ca="1" si="8"/>
        <v>#NAME?</v>
      </c>
      <c r="AE26">
        <f t="shared" si="12"/>
        <v>21</v>
      </c>
      <c r="AF26">
        <f t="shared" si="13"/>
        <v>12.116974455959237</v>
      </c>
    </row>
    <row r="27" spans="1:32" x14ac:dyDescent="0.35">
      <c r="A27">
        <f t="shared" si="9"/>
        <v>21</v>
      </c>
      <c r="B27">
        <v>0.60305056491796249</v>
      </c>
      <c r="C27">
        <f t="shared" si="0"/>
        <v>12.116974455959237</v>
      </c>
      <c r="E27">
        <f t="shared" si="10"/>
        <v>22</v>
      </c>
      <c r="F27" t="e">
        <f t="shared" ca="1" si="1"/>
        <v>#NAME?</v>
      </c>
      <c r="G27" t="e">
        <f t="shared" ca="1" si="11"/>
        <v>#NAME?</v>
      </c>
      <c r="W27">
        <f t="shared" si="2"/>
        <v>22</v>
      </c>
      <c r="X27" t="e">
        <f t="shared" ca="1" si="3"/>
        <v>#NAME?</v>
      </c>
      <c r="Y27" t="e">
        <f t="shared" ca="1" si="4"/>
        <v>#NAME?</v>
      </c>
      <c r="Z27" t="e">
        <f t="shared" ca="1" si="5"/>
        <v>#NAME?</v>
      </c>
      <c r="AA27" t="e">
        <f t="shared" ca="1" si="6"/>
        <v>#NAME?</v>
      </c>
      <c r="AB27" t="e">
        <f t="shared" ca="1" si="7"/>
        <v>#NAME?</v>
      </c>
      <c r="AC27" t="e">
        <f t="shared" ca="1" si="8"/>
        <v>#NAME?</v>
      </c>
      <c r="AE27">
        <f t="shared" si="12"/>
        <v>22</v>
      </c>
      <c r="AF27">
        <f t="shared" si="13"/>
        <v>10.45988889436091</v>
      </c>
    </row>
    <row r="28" spans="1:32" x14ac:dyDescent="0.35">
      <c r="A28">
        <f t="shared" si="9"/>
        <v>22</v>
      </c>
      <c r="B28">
        <v>-0.90138311182696351</v>
      </c>
      <c r="C28">
        <f t="shared" si="0"/>
        <v>10.45988889436091</v>
      </c>
      <c r="E28">
        <f t="shared" si="10"/>
        <v>23</v>
      </c>
      <c r="F28" t="e">
        <f t="shared" ca="1" si="1"/>
        <v>#NAME?</v>
      </c>
      <c r="G28" t="e">
        <f t="shared" ca="1" si="11"/>
        <v>#NAME?</v>
      </c>
      <c r="W28">
        <f t="shared" si="2"/>
        <v>23</v>
      </c>
      <c r="X28" t="e">
        <f t="shared" ca="1" si="3"/>
        <v>#NAME?</v>
      </c>
      <c r="Y28" t="e">
        <f t="shared" ca="1" si="4"/>
        <v>#NAME?</v>
      </c>
      <c r="Z28" t="e">
        <f t="shared" ca="1" si="5"/>
        <v>#NAME?</v>
      </c>
      <c r="AA28" t="e">
        <f t="shared" ca="1" si="6"/>
        <v>#NAME?</v>
      </c>
      <c r="AB28" t="e">
        <f t="shared" ca="1" si="7"/>
        <v>#NAME?</v>
      </c>
      <c r="AC28" t="e">
        <f t="shared" ca="1" si="8"/>
        <v>#NAME?</v>
      </c>
      <c r="AE28">
        <f t="shared" si="12"/>
        <v>23</v>
      </c>
      <c r="AF28">
        <f t="shared" si="13"/>
        <v>9.4464576710812267</v>
      </c>
    </row>
    <row r="29" spans="1:32" x14ac:dyDescent="0.35">
      <c r="A29">
        <f t="shared" si="9"/>
        <v>23</v>
      </c>
      <c r="B29">
        <v>-1.0557411773368031</v>
      </c>
      <c r="C29">
        <f t="shared" si="0"/>
        <v>9.4464576710812267</v>
      </c>
      <c r="E29">
        <f t="shared" si="10"/>
        <v>24</v>
      </c>
      <c r="F29" t="e">
        <f t="shared" ca="1" si="1"/>
        <v>#NAME?</v>
      </c>
      <c r="G29" t="e">
        <f t="shared" ca="1" si="11"/>
        <v>#NAME?</v>
      </c>
      <c r="W29">
        <f t="shared" si="2"/>
        <v>24</v>
      </c>
      <c r="X29" t="e">
        <f t="shared" ca="1" si="3"/>
        <v>#NAME?</v>
      </c>
      <c r="Y29" t="e">
        <f t="shared" ca="1" si="4"/>
        <v>#NAME?</v>
      </c>
      <c r="Z29" t="e">
        <f t="shared" ca="1" si="5"/>
        <v>#NAME?</v>
      </c>
      <c r="AA29" t="e">
        <f t="shared" ca="1" si="6"/>
        <v>#NAME?</v>
      </c>
      <c r="AB29" t="e">
        <f t="shared" ca="1" si="7"/>
        <v>#NAME?</v>
      </c>
      <c r="AC29" t="e">
        <f t="shared" ca="1" si="8"/>
        <v>#NAME?</v>
      </c>
      <c r="AE29">
        <f t="shared" si="12"/>
        <v>24</v>
      </c>
      <c r="AF29">
        <f t="shared" si="13"/>
        <v>11.181030434794321</v>
      </c>
    </row>
    <row r="30" spans="1:32" x14ac:dyDescent="0.35">
      <c r="A30">
        <f t="shared" si="9"/>
        <v>24</v>
      </c>
      <c r="B30">
        <v>1.357361829570102</v>
      </c>
      <c r="C30">
        <f t="shared" si="0"/>
        <v>11.181030434794321</v>
      </c>
      <c r="E30">
        <f t="shared" si="10"/>
        <v>25</v>
      </c>
      <c r="F30" t="e">
        <f t="shared" ca="1" si="1"/>
        <v>#NAME?</v>
      </c>
      <c r="G30" t="e">
        <f t="shared" ca="1" si="11"/>
        <v>#NAME?</v>
      </c>
      <c r="W30">
        <f t="shared" si="2"/>
        <v>25</v>
      </c>
      <c r="X30" t="e">
        <f t="shared" ca="1" si="3"/>
        <v>#NAME?</v>
      </c>
      <c r="Y30" t="e">
        <f t="shared" ca="1" si="4"/>
        <v>#NAME?</v>
      </c>
      <c r="Z30" t="e">
        <f t="shared" ca="1" si="5"/>
        <v>#NAME?</v>
      </c>
      <c r="AA30" t="e">
        <f t="shared" ca="1" si="6"/>
        <v>#NAME?</v>
      </c>
      <c r="AB30" t="e">
        <f t="shared" ca="1" si="7"/>
        <v>#NAME?</v>
      </c>
      <c r="AC30" t="e">
        <f t="shared" ca="1" si="8"/>
        <v>#NAME?</v>
      </c>
      <c r="AE30">
        <f t="shared" si="12"/>
        <v>25</v>
      </c>
      <c r="AF30">
        <f t="shared" si="13"/>
        <v>7.5853602163456753</v>
      </c>
    </row>
    <row r="31" spans="1:32" x14ac:dyDescent="0.35">
      <c r="A31">
        <f t="shared" si="9"/>
        <v>25</v>
      </c>
      <c r="B31">
        <v>-2.969888722096329</v>
      </c>
      <c r="C31">
        <f t="shared" si="0"/>
        <v>7.5853602163456753</v>
      </c>
      <c r="E31">
        <f t="shared" si="10"/>
        <v>26</v>
      </c>
      <c r="F31" t="e">
        <f t="shared" ca="1" si="1"/>
        <v>#NAME?</v>
      </c>
      <c r="G31" t="e">
        <f t="shared" ca="1" si="11"/>
        <v>#NAME?</v>
      </c>
      <c r="W31">
        <f t="shared" si="2"/>
        <v>26</v>
      </c>
      <c r="X31" t="e">
        <f t="shared" ca="1" si="3"/>
        <v>#NAME?</v>
      </c>
      <c r="Y31" t="e">
        <f t="shared" ca="1" si="4"/>
        <v>#NAME?</v>
      </c>
      <c r="Z31" t="e">
        <f t="shared" ca="1" si="5"/>
        <v>#NAME?</v>
      </c>
      <c r="AA31" t="e">
        <f t="shared" ca="1" si="6"/>
        <v>#NAME?</v>
      </c>
      <c r="AB31" t="e">
        <f t="shared" ca="1" si="7"/>
        <v>#NAME?</v>
      </c>
      <c r="AC31" t="e">
        <f t="shared" ca="1" si="8"/>
        <v>#NAME?</v>
      </c>
      <c r="AE31">
        <f t="shared" si="12"/>
        <v>26</v>
      </c>
      <c r="AF31">
        <f t="shared" si="13"/>
        <v>10.978531861411668</v>
      </c>
    </row>
    <row r="32" spans="1:32" x14ac:dyDescent="0.35">
      <c r="A32">
        <f t="shared" si="9"/>
        <v>26</v>
      </c>
      <c r="B32">
        <v>2.0748019655504284</v>
      </c>
      <c r="C32">
        <f t="shared" si="0"/>
        <v>10.978531861411668</v>
      </c>
      <c r="E32">
        <f t="shared" si="10"/>
        <v>27</v>
      </c>
      <c r="F32" t="e">
        <f t="shared" ca="1" si="1"/>
        <v>#NAME?</v>
      </c>
      <c r="G32" t="e">
        <f t="shared" ca="1" si="11"/>
        <v>#NAME?</v>
      </c>
      <c r="W32">
        <f t="shared" si="2"/>
        <v>27</v>
      </c>
      <c r="X32" t="e">
        <f t="shared" ca="1" si="3"/>
        <v>#NAME?</v>
      </c>
      <c r="Y32" t="e">
        <f t="shared" ca="1" si="4"/>
        <v>#NAME?</v>
      </c>
      <c r="Z32" t="e">
        <f t="shared" ca="1" si="5"/>
        <v>#NAME?</v>
      </c>
      <c r="AA32" t="e">
        <f t="shared" ca="1" si="6"/>
        <v>#NAME?</v>
      </c>
      <c r="AB32" t="e">
        <f t="shared" ca="1" si="7"/>
        <v>#NAME?</v>
      </c>
      <c r="AC32" t="e">
        <f t="shared" ca="1" si="8"/>
        <v>#NAME?</v>
      </c>
      <c r="AE32">
        <f t="shared" si="12"/>
        <v>27</v>
      </c>
      <c r="AF32">
        <f t="shared" si="13"/>
        <v>10.550225208625736</v>
      </c>
    </row>
    <row r="33" spans="1:32" x14ac:dyDescent="0.35">
      <c r="A33">
        <f t="shared" si="9"/>
        <v>27</v>
      </c>
      <c r="B33">
        <v>0.28021329874765349</v>
      </c>
      <c r="C33">
        <f t="shared" si="0"/>
        <v>10.550225208625736</v>
      </c>
      <c r="E33">
        <f t="shared" si="10"/>
        <v>28</v>
      </c>
      <c r="F33" t="e">
        <f t="shared" ca="1" si="1"/>
        <v>#NAME?</v>
      </c>
      <c r="G33" t="e">
        <f t="shared" ca="1" si="11"/>
        <v>#NAME?</v>
      </c>
      <c r="W33">
        <f t="shared" si="2"/>
        <v>28</v>
      </c>
      <c r="X33" t="e">
        <f t="shared" ca="1" si="3"/>
        <v>#NAME?</v>
      </c>
      <c r="Y33" t="e">
        <f t="shared" ca="1" si="4"/>
        <v>#NAME?</v>
      </c>
      <c r="Z33" t="e">
        <f t="shared" ca="1" si="5"/>
        <v>#NAME?</v>
      </c>
      <c r="AA33" t="e">
        <f t="shared" ca="1" si="6"/>
        <v>#NAME?</v>
      </c>
      <c r="AB33" t="e">
        <f t="shared" ca="1" si="7"/>
        <v>#NAME?</v>
      </c>
      <c r="AC33" t="e">
        <f t="shared" ca="1" si="8"/>
        <v>#NAME?</v>
      </c>
      <c r="AE33">
        <f t="shared" si="12"/>
        <v>28</v>
      </c>
      <c r="AF33">
        <f t="shared" si="13"/>
        <v>11.227461431044995</v>
      </c>
    </row>
    <row r="34" spans="1:32" x14ac:dyDescent="0.35">
      <c r="A34">
        <f t="shared" si="9"/>
        <v>28</v>
      </c>
      <c r="B34">
        <v>0.89834644475651204</v>
      </c>
      <c r="C34">
        <f t="shared" si="0"/>
        <v>11.227461431044995</v>
      </c>
      <c r="E34">
        <f t="shared" si="10"/>
        <v>29</v>
      </c>
      <c r="F34" t="e">
        <f t="shared" ca="1" si="1"/>
        <v>#NAME?</v>
      </c>
      <c r="G34" t="e">
        <f t="shared" ca="1" si="11"/>
        <v>#NAME?</v>
      </c>
      <c r="W34">
        <f t="shared" si="2"/>
        <v>29</v>
      </c>
      <c r="X34" t="e">
        <f t="shared" ca="1" si="3"/>
        <v>#NAME?</v>
      </c>
      <c r="Y34" t="e">
        <f t="shared" ca="1" si="4"/>
        <v>#NAME?</v>
      </c>
      <c r="Z34" t="e">
        <f t="shared" ca="1" si="5"/>
        <v>#NAME?</v>
      </c>
      <c r="AA34" t="e">
        <f t="shared" ca="1" si="6"/>
        <v>#NAME?</v>
      </c>
      <c r="AB34" t="e">
        <f t="shared" ca="1" si="7"/>
        <v>#NAME?</v>
      </c>
      <c r="AC34" t="e">
        <f t="shared" ca="1" si="8"/>
        <v>#NAME?</v>
      </c>
      <c r="AE34">
        <f t="shared" si="12"/>
        <v>29</v>
      </c>
      <c r="AF34">
        <f t="shared" si="13"/>
        <v>9.0761713255316874</v>
      </c>
    </row>
    <row r="35" spans="1:32" x14ac:dyDescent="0.35">
      <c r="A35">
        <f t="shared" si="9"/>
        <v>29</v>
      </c>
      <c r="B35">
        <v>-1.6033823872485062</v>
      </c>
      <c r="C35">
        <f t="shared" si="0"/>
        <v>9.0761713255316874</v>
      </c>
      <c r="E35">
        <f t="shared" si="10"/>
        <v>30</v>
      </c>
      <c r="F35" t="e">
        <f t="shared" ca="1" si="1"/>
        <v>#NAME?</v>
      </c>
      <c r="G35" t="e">
        <f t="shared" ca="1" si="11"/>
        <v>#NAME?</v>
      </c>
      <c r="W35">
        <f t="shared" si="2"/>
        <v>30</v>
      </c>
      <c r="X35" t="e">
        <f t="shared" ca="1" si="3"/>
        <v>#NAME?</v>
      </c>
      <c r="Y35" t="e">
        <f t="shared" ca="1" si="4"/>
        <v>#NAME?</v>
      </c>
      <c r="Z35" t="e">
        <f t="shared" ca="1" si="5"/>
        <v>#NAME?</v>
      </c>
      <c r="AA35" t="e">
        <f t="shared" ca="1" si="6"/>
        <v>#NAME?</v>
      </c>
      <c r="AB35" t="e">
        <f t="shared" ca="1" si="7"/>
        <v>#NAME?</v>
      </c>
      <c r="AC35" t="e">
        <f t="shared" ca="1" si="8"/>
        <v>#NAME?</v>
      </c>
      <c r="AE35">
        <f t="shared" si="12"/>
        <v>30</v>
      </c>
      <c r="AF35">
        <f t="shared" si="13"/>
        <v>9.9094956509085375</v>
      </c>
    </row>
    <row r="36" spans="1:32" x14ac:dyDescent="0.35">
      <c r="A36">
        <f t="shared" si="9"/>
        <v>30</v>
      </c>
      <c r="B36">
        <v>0.23549924558665486</v>
      </c>
      <c r="C36">
        <f t="shared" si="0"/>
        <v>9.9094956509085375</v>
      </c>
      <c r="E36">
        <f t="shared" si="10"/>
        <v>31</v>
      </c>
      <c r="F36" t="e">
        <f t="shared" ca="1" si="1"/>
        <v>#NAME?</v>
      </c>
      <c r="G36" t="e">
        <f t="shared" ca="1" si="11"/>
        <v>#NAME?</v>
      </c>
      <c r="W36">
        <f t="shared" si="2"/>
        <v>31</v>
      </c>
      <c r="X36" t="e">
        <f t="shared" ca="1" si="3"/>
        <v>#NAME?</v>
      </c>
      <c r="Y36" t="e">
        <f t="shared" ca="1" si="4"/>
        <v>#NAME?</v>
      </c>
      <c r="Z36" t="e">
        <f t="shared" ca="1" si="5"/>
        <v>#NAME?</v>
      </c>
      <c r="AA36" t="e">
        <f t="shared" ca="1" si="6"/>
        <v>#NAME?</v>
      </c>
      <c r="AB36" t="e">
        <f t="shared" ca="1" si="7"/>
        <v>#NAME?</v>
      </c>
      <c r="AC36" t="e">
        <f t="shared" ca="1" si="8"/>
        <v>#NAME?</v>
      </c>
      <c r="AE36">
        <f t="shared" si="12"/>
        <v>31</v>
      </c>
      <c r="AF36">
        <f t="shared" si="13"/>
        <v>11.683635570981139</v>
      </c>
    </row>
    <row r="37" spans="1:32" x14ac:dyDescent="0.35">
      <c r="A37">
        <f t="shared" si="9"/>
        <v>31</v>
      </c>
      <c r="B37">
        <v>1.7940884644624944</v>
      </c>
      <c r="C37">
        <f t="shared" si="0"/>
        <v>11.683635570981139</v>
      </c>
      <c r="E37">
        <f t="shared" si="10"/>
        <v>32</v>
      </c>
      <c r="F37" t="e">
        <f t="shared" ca="1" si="1"/>
        <v>#NAME?</v>
      </c>
      <c r="G37" t="e">
        <f t="shared" ca="1" si="11"/>
        <v>#NAME?</v>
      </c>
      <c r="W37">
        <f t="shared" si="2"/>
        <v>32</v>
      </c>
      <c r="X37" t="e">
        <f t="shared" ca="1" si="3"/>
        <v>#NAME?</v>
      </c>
      <c r="Y37" t="e">
        <f t="shared" ca="1" si="4"/>
        <v>#NAME?</v>
      </c>
      <c r="Z37" t="e">
        <f t="shared" ca="1" si="5"/>
        <v>#NAME?</v>
      </c>
      <c r="AA37" t="e">
        <f t="shared" ca="1" si="6"/>
        <v>#NAME?</v>
      </c>
      <c r="AB37" t="e">
        <f t="shared" ca="1" si="7"/>
        <v>#NAME?</v>
      </c>
      <c r="AC37" t="e">
        <f t="shared" ca="1" si="8"/>
        <v>#NAME?</v>
      </c>
      <c r="AE37">
        <f t="shared" si="12"/>
        <v>32</v>
      </c>
      <c r="AF37">
        <f t="shared" si="13"/>
        <v>9.3891181090456559</v>
      </c>
    </row>
    <row r="38" spans="1:32" x14ac:dyDescent="0.35">
      <c r="A38">
        <f t="shared" si="9"/>
        <v>32</v>
      </c>
      <c r="B38">
        <v>-1.4306090977486423</v>
      </c>
      <c r="C38">
        <f t="shared" si="0"/>
        <v>9.3891181090456559</v>
      </c>
      <c r="E38">
        <f t="shared" si="10"/>
        <v>33</v>
      </c>
      <c r="F38" t="e">
        <f t="shared" ca="1" si="1"/>
        <v>#NAME?</v>
      </c>
      <c r="G38" t="e">
        <f t="shared" ca="1" si="11"/>
        <v>#NAME?</v>
      </c>
      <c r="W38">
        <f t="shared" si="2"/>
        <v>33</v>
      </c>
      <c r="X38" t="e">
        <f t="shared" ca="1" si="3"/>
        <v>#NAME?</v>
      </c>
      <c r="Y38" t="e">
        <f t="shared" ca="1" si="4"/>
        <v>#NAME?</v>
      </c>
      <c r="Z38" t="e">
        <f t="shared" ca="1" si="5"/>
        <v>#NAME?</v>
      </c>
      <c r="AA38" t="e">
        <f t="shared" ca="1" si="6"/>
        <v>#NAME?</v>
      </c>
      <c r="AB38" t="e">
        <f t="shared" ca="1" si="7"/>
        <v>#NAME?</v>
      </c>
      <c r="AC38" t="e">
        <f t="shared" ca="1" si="8"/>
        <v>#NAME?</v>
      </c>
      <c r="AE38">
        <f t="shared" si="12"/>
        <v>33</v>
      </c>
      <c r="AF38">
        <f t="shared" si="13"/>
        <v>11.280967352963561</v>
      </c>
    </row>
    <row r="39" spans="1:32" x14ac:dyDescent="0.35">
      <c r="A39">
        <f t="shared" si="9"/>
        <v>33</v>
      </c>
      <c r="B39">
        <v>1.422462857081874</v>
      </c>
      <c r="C39">
        <f t="shared" si="0"/>
        <v>11.280967352963561</v>
      </c>
      <c r="E39">
        <f t="shared" si="10"/>
        <v>34</v>
      </c>
      <c r="F39" t="e">
        <f t="shared" ca="1" si="1"/>
        <v>#NAME?</v>
      </c>
      <c r="G39" t="e">
        <f t="shared" ca="1" si="11"/>
        <v>#NAME?</v>
      </c>
      <c r="W39">
        <f t="shared" si="2"/>
        <v>34</v>
      </c>
      <c r="X39" t="e">
        <f t="shared" ca="1" si="3"/>
        <v>#NAME?</v>
      </c>
      <c r="Y39" t="e">
        <f t="shared" ca="1" si="4"/>
        <v>#NAME?</v>
      </c>
      <c r="Z39" t="e">
        <f t="shared" ca="1" si="5"/>
        <v>#NAME?</v>
      </c>
      <c r="AA39" t="e">
        <f t="shared" ca="1" si="6"/>
        <v>#NAME?</v>
      </c>
      <c r="AB39" t="e">
        <f t="shared" ca="1" si="7"/>
        <v>#NAME?</v>
      </c>
      <c r="AC39" t="e">
        <f t="shared" ca="1" si="8"/>
        <v>#NAME?</v>
      </c>
      <c r="AE39">
        <f t="shared" si="12"/>
        <v>34</v>
      </c>
      <c r="AF39">
        <f t="shared" si="13"/>
        <v>9.0777000543373685</v>
      </c>
    </row>
    <row r="40" spans="1:32" x14ac:dyDescent="0.35">
      <c r="A40">
        <f t="shared" si="9"/>
        <v>34</v>
      </c>
      <c r="B40">
        <v>-1.5344845213207499</v>
      </c>
      <c r="C40">
        <f t="shared" si="0"/>
        <v>9.0777000543373685</v>
      </c>
      <c r="E40">
        <f t="shared" si="10"/>
        <v>35</v>
      </c>
      <c r="F40" t="e">
        <f t="shared" ca="1" si="1"/>
        <v>#NAME?</v>
      </c>
      <c r="G40" t="e">
        <f t="shared" ca="1" si="11"/>
        <v>#NAME?</v>
      </c>
      <c r="W40">
        <f t="shared" si="2"/>
        <v>35</v>
      </c>
      <c r="X40" t="e">
        <f t="shared" ca="1" si="3"/>
        <v>#NAME?</v>
      </c>
      <c r="Y40" t="e">
        <f t="shared" ca="1" si="4"/>
        <v>#NAME?</v>
      </c>
      <c r="Z40" t="e">
        <f t="shared" ca="1" si="5"/>
        <v>#NAME?</v>
      </c>
      <c r="AA40" t="e">
        <f t="shared" ca="1" si="6"/>
        <v>#NAME?</v>
      </c>
      <c r="AB40" t="e">
        <f t="shared" ca="1" si="7"/>
        <v>#NAME?</v>
      </c>
      <c r="AC40" t="e">
        <f t="shared" ca="1" si="8"/>
        <v>#NAME?</v>
      </c>
      <c r="AE40">
        <f t="shared" si="12"/>
        <v>35</v>
      </c>
      <c r="AF40">
        <f t="shared" si="13"/>
        <v>9.4218520797101899</v>
      </c>
    </row>
    <row r="41" spans="1:32" x14ac:dyDescent="0.35">
      <c r="A41">
        <f t="shared" si="9"/>
        <v>35</v>
      </c>
      <c r="B41">
        <v>-0.23943486259011701</v>
      </c>
      <c r="C41">
        <f t="shared" si="0"/>
        <v>9.4218520797101899</v>
      </c>
      <c r="E41">
        <f t="shared" si="10"/>
        <v>36</v>
      </c>
      <c r="F41" t="e">
        <f t="shared" ca="1" si="1"/>
        <v>#NAME?</v>
      </c>
      <c r="G41" t="e">
        <f t="shared" ca="1" si="11"/>
        <v>#NAME?</v>
      </c>
      <c r="W41">
        <f t="shared" si="2"/>
        <v>36</v>
      </c>
      <c r="X41" t="e">
        <f t="shared" ca="1" si="3"/>
        <v>#NAME?</v>
      </c>
      <c r="Y41" t="e">
        <f t="shared" ca="1" si="4"/>
        <v>#NAME?</v>
      </c>
      <c r="Z41" t="e">
        <f t="shared" ca="1" si="5"/>
        <v>#NAME?</v>
      </c>
      <c r="AA41" t="e">
        <f t="shared" ca="1" si="6"/>
        <v>#NAME?</v>
      </c>
      <c r="AB41" t="e">
        <f t="shared" ca="1" si="7"/>
        <v>#NAME?</v>
      </c>
      <c r="AC41" t="e">
        <f t="shared" ca="1" si="8"/>
        <v>#NAME?</v>
      </c>
      <c r="AE41">
        <f t="shared" si="12"/>
        <v>36</v>
      </c>
      <c r="AF41">
        <f t="shared" si="13"/>
        <v>10.768670766726222</v>
      </c>
    </row>
    <row r="42" spans="1:32" x14ac:dyDescent="0.35">
      <c r="A42">
        <f t="shared" si="9"/>
        <v>36</v>
      </c>
      <c r="B42">
        <v>1.1254873384110666</v>
      </c>
      <c r="C42">
        <f t="shared" si="0"/>
        <v>10.768670766726222</v>
      </c>
      <c r="E42">
        <f t="shared" si="10"/>
        <v>37</v>
      </c>
      <c r="F42" t="e">
        <f t="shared" ca="1" si="1"/>
        <v>#NAME?</v>
      </c>
      <c r="G42" t="e">
        <f t="shared" ca="1" si="11"/>
        <v>#NAME?</v>
      </c>
      <c r="W42">
        <f t="shared" si="2"/>
        <v>37</v>
      </c>
      <c r="X42" t="e">
        <f t="shared" ca="1" si="3"/>
        <v>#NAME?</v>
      </c>
      <c r="Y42" t="e">
        <f t="shared" ca="1" si="4"/>
        <v>#NAME?</v>
      </c>
      <c r="Z42" t="e">
        <f t="shared" ca="1" si="5"/>
        <v>#NAME?</v>
      </c>
      <c r="AA42" t="e">
        <f t="shared" ca="1" si="6"/>
        <v>#NAME?</v>
      </c>
      <c r="AB42" t="e">
        <f t="shared" ca="1" si="7"/>
        <v>#NAME?</v>
      </c>
      <c r="AC42" t="e">
        <f t="shared" ca="1" si="8"/>
        <v>#NAME?</v>
      </c>
      <c r="AE42">
        <f t="shared" si="12"/>
        <v>37</v>
      </c>
      <c r="AF42">
        <f t="shared" si="13"/>
        <v>10.044686426220611</v>
      </c>
    </row>
    <row r="43" spans="1:32" x14ac:dyDescent="0.35">
      <c r="A43">
        <f t="shared" si="9"/>
        <v>37</v>
      </c>
      <c r="B43">
        <v>-0.26828564280553124</v>
      </c>
      <c r="C43">
        <f t="shared" si="0"/>
        <v>10.044686426220611</v>
      </c>
      <c r="E43">
        <f t="shared" si="10"/>
        <v>38</v>
      </c>
      <c r="F43" t="e">
        <f t="shared" ca="1" si="1"/>
        <v>#NAME?</v>
      </c>
      <c r="G43" t="e">
        <f t="shared" ca="1" si="11"/>
        <v>#NAME?</v>
      </c>
      <c r="W43">
        <f t="shared" si="2"/>
        <v>38</v>
      </c>
      <c r="X43" t="e">
        <f t="shared" ca="1" si="3"/>
        <v>#NAME?</v>
      </c>
      <c r="Y43" t="e">
        <f t="shared" ca="1" si="4"/>
        <v>#NAME?</v>
      </c>
      <c r="Z43" t="e">
        <f t="shared" ca="1" si="5"/>
        <v>#NAME?</v>
      </c>
      <c r="AA43" t="e">
        <f t="shared" ca="1" si="6"/>
        <v>#NAME?</v>
      </c>
      <c r="AB43" t="e">
        <f t="shared" ca="1" si="7"/>
        <v>#NAME?</v>
      </c>
      <c r="AC43" t="e">
        <f t="shared" ca="1" si="8"/>
        <v>#NAME?</v>
      </c>
      <c r="AE43">
        <f t="shared" si="12"/>
        <v>38</v>
      </c>
      <c r="AF43">
        <f t="shared" si="13"/>
        <v>9.5026475408720934</v>
      </c>
    </row>
    <row r="44" spans="1:32" x14ac:dyDescent="0.35">
      <c r="A44">
        <f t="shared" si="9"/>
        <v>38</v>
      </c>
      <c r="B44">
        <v>-0.5822900860434399</v>
      </c>
      <c r="C44">
        <f t="shared" si="0"/>
        <v>9.5026475408720934</v>
      </c>
      <c r="E44">
        <f t="shared" si="10"/>
        <v>39</v>
      </c>
      <c r="F44" t="e">
        <f t="shared" ca="1" si="1"/>
        <v>#NAME?</v>
      </c>
      <c r="G44" t="e">
        <f t="shared" ca="1" si="11"/>
        <v>#NAME?</v>
      </c>
      <c r="W44">
        <f t="shared" si="2"/>
        <v>39</v>
      </c>
      <c r="X44" t="e">
        <f t="shared" ca="1" si="3"/>
        <v>#NAME?</v>
      </c>
      <c r="Y44" t="e">
        <f t="shared" ca="1" si="4"/>
        <v>#NAME?</v>
      </c>
      <c r="Z44" t="e">
        <f t="shared" ca="1" si="5"/>
        <v>#NAME?</v>
      </c>
      <c r="AA44" t="e">
        <f t="shared" ca="1" si="6"/>
        <v>#NAME?</v>
      </c>
      <c r="AB44" t="e">
        <f t="shared" ca="1" si="7"/>
        <v>#NAME?</v>
      </c>
      <c r="AC44" t="e">
        <f t="shared" ca="1" si="8"/>
        <v>#NAME?</v>
      </c>
      <c r="AE44">
        <f t="shared" si="12"/>
        <v>39</v>
      </c>
      <c r="AF44">
        <f t="shared" si="13"/>
        <v>12.016635145209889</v>
      </c>
    </row>
    <row r="45" spans="1:32" x14ac:dyDescent="0.35">
      <c r="A45">
        <f t="shared" si="9"/>
        <v>39</v>
      </c>
      <c r="B45">
        <v>2.2483238493907369</v>
      </c>
      <c r="C45">
        <f t="shared" si="0"/>
        <v>12.016635145209889</v>
      </c>
      <c r="E45">
        <f t="shared" si="10"/>
        <v>40</v>
      </c>
      <c r="F45" t="e">
        <f t="shared" ca="1" si="1"/>
        <v>#NAME?</v>
      </c>
      <c r="G45" t="e">
        <f t="shared" ca="1" si="11"/>
        <v>#NAME?</v>
      </c>
      <c r="W45">
        <f t="shared" si="2"/>
        <v>40</v>
      </c>
      <c r="X45" t="e">
        <f t="shared" ca="1" si="3"/>
        <v>#NAME?</v>
      </c>
      <c r="Y45" t="e">
        <f t="shared" ca="1" si="4"/>
        <v>#NAME?</v>
      </c>
      <c r="Z45" t="e">
        <f t="shared" ca="1" si="5"/>
        <v>#NAME?</v>
      </c>
      <c r="AA45" t="e">
        <f t="shared" ca="1" si="6"/>
        <v>#NAME?</v>
      </c>
      <c r="AB45" t="e">
        <f t="shared" ca="1" si="7"/>
        <v>#NAME?</v>
      </c>
      <c r="AC45" t="e">
        <f t="shared" ca="1" si="8"/>
        <v>#NAME?</v>
      </c>
      <c r="AE45">
        <f t="shared" si="12"/>
        <v>40</v>
      </c>
      <c r="AF45">
        <f t="shared" si="13"/>
        <v>9.6075824244635548</v>
      </c>
    </row>
    <row r="46" spans="1:32" x14ac:dyDescent="0.35">
      <c r="A46">
        <f t="shared" si="9"/>
        <v>40</v>
      </c>
      <c r="B46">
        <v>-1.3543974073052196</v>
      </c>
      <c r="C46">
        <f t="shared" si="0"/>
        <v>9.6075824244635548</v>
      </c>
      <c r="E46">
        <f t="shared" si="10"/>
        <v>41</v>
      </c>
      <c r="F46" t="e">
        <f t="shared" ca="1" si="1"/>
        <v>#NAME?</v>
      </c>
      <c r="G46" t="e">
        <f t="shared" ca="1" si="11"/>
        <v>#NAME?</v>
      </c>
      <c r="W46">
        <f t="shared" si="2"/>
        <v>41</v>
      </c>
      <c r="X46" t="e">
        <f t="shared" ca="1" si="3"/>
        <v>#NAME?</v>
      </c>
      <c r="Y46" t="e">
        <f t="shared" ca="1" si="4"/>
        <v>#NAME?</v>
      </c>
      <c r="Z46" t="e">
        <f t="shared" ca="1" si="5"/>
        <v>#NAME?</v>
      </c>
      <c r="AA46" t="e">
        <f t="shared" ca="1" si="6"/>
        <v>#NAME?</v>
      </c>
      <c r="AB46" t="e">
        <f t="shared" ca="1" si="7"/>
        <v>#NAME?</v>
      </c>
      <c r="AC46" t="e">
        <f t="shared" ca="1" si="8"/>
        <v>#NAME?</v>
      </c>
      <c r="AE46">
        <f t="shared" si="12"/>
        <v>41</v>
      </c>
      <c r="AF46">
        <f t="shared" si="13"/>
        <v>10.47879870661002</v>
      </c>
    </row>
    <row r="47" spans="1:32" x14ac:dyDescent="0.35">
      <c r="A47">
        <f t="shared" si="9"/>
        <v>41</v>
      </c>
      <c r="B47">
        <v>0.48261152802448637</v>
      </c>
      <c r="C47">
        <f t="shared" si="0"/>
        <v>10.47879870661002</v>
      </c>
      <c r="E47">
        <f t="shared" si="10"/>
        <v>42</v>
      </c>
      <c r="F47" t="e">
        <f t="shared" ca="1" si="1"/>
        <v>#NAME?</v>
      </c>
      <c r="G47" t="e">
        <f t="shared" ca="1" si="11"/>
        <v>#NAME?</v>
      </c>
      <c r="W47">
        <f t="shared" si="2"/>
        <v>42</v>
      </c>
      <c r="X47" t="e">
        <f t="shared" ca="1" si="3"/>
        <v>#NAME?</v>
      </c>
      <c r="Y47" t="e">
        <f t="shared" ca="1" si="4"/>
        <v>#NAME?</v>
      </c>
      <c r="Z47" t="e">
        <f t="shared" ca="1" si="5"/>
        <v>#NAME?</v>
      </c>
      <c r="AA47" t="e">
        <f t="shared" ca="1" si="6"/>
        <v>#NAME?</v>
      </c>
      <c r="AB47" t="e">
        <f t="shared" ca="1" si="7"/>
        <v>#NAME?</v>
      </c>
      <c r="AC47" t="e">
        <f t="shared" ca="1" si="8"/>
        <v>#NAME?</v>
      </c>
      <c r="AE47">
        <f t="shared" si="12"/>
        <v>42</v>
      </c>
      <c r="AF47">
        <f t="shared" si="13"/>
        <v>10.131145996118137</v>
      </c>
    </row>
    <row r="48" spans="1:32" x14ac:dyDescent="0.35">
      <c r="A48">
        <f t="shared" si="9"/>
        <v>42</v>
      </c>
      <c r="B48">
        <v>-0.10749079290397744</v>
      </c>
      <c r="C48">
        <f t="shared" si="0"/>
        <v>10.131145996118137</v>
      </c>
      <c r="E48">
        <f t="shared" si="10"/>
        <v>43</v>
      </c>
      <c r="F48" t="e">
        <f t="shared" ca="1" si="1"/>
        <v>#NAME?</v>
      </c>
      <c r="G48" t="e">
        <f t="shared" ca="1" si="11"/>
        <v>#NAME?</v>
      </c>
      <c r="W48">
        <f t="shared" si="2"/>
        <v>43</v>
      </c>
      <c r="X48" t="e">
        <f t="shared" ca="1" si="3"/>
        <v>#NAME?</v>
      </c>
      <c r="Y48" t="e">
        <f t="shared" ca="1" si="4"/>
        <v>#NAME?</v>
      </c>
      <c r="Z48" t="e">
        <f t="shared" ca="1" si="5"/>
        <v>#NAME?</v>
      </c>
      <c r="AA48" t="e">
        <f t="shared" ca="1" si="6"/>
        <v>#NAME?</v>
      </c>
      <c r="AB48" t="e">
        <f t="shared" ca="1" si="7"/>
        <v>#NAME?</v>
      </c>
      <c r="AC48" t="e">
        <f t="shared" ca="1" si="8"/>
        <v>#NAME?</v>
      </c>
      <c r="AE48">
        <f t="shared" si="12"/>
        <v>43</v>
      </c>
      <c r="AF48">
        <f t="shared" si="13"/>
        <v>9.3102529930939451</v>
      </c>
    </row>
    <row r="49" spans="1:32" x14ac:dyDescent="0.35">
      <c r="A49">
        <f t="shared" si="9"/>
        <v>43</v>
      </c>
      <c r="B49">
        <v>-0.80304736276954691</v>
      </c>
      <c r="C49">
        <f t="shared" si="0"/>
        <v>9.3102529930939451</v>
      </c>
      <c r="E49">
        <f t="shared" si="10"/>
        <v>44</v>
      </c>
      <c r="F49" t="e">
        <f t="shared" ca="1" si="1"/>
        <v>#NAME?</v>
      </c>
      <c r="G49" t="e">
        <f t="shared" ca="1" si="11"/>
        <v>#NAME?</v>
      </c>
      <c r="W49">
        <f t="shared" si="2"/>
        <v>44</v>
      </c>
      <c r="X49" t="e">
        <f t="shared" ca="1" si="3"/>
        <v>#NAME?</v>
      </c>
      <c r="Y49" t="e">
        <f t="shared" ca="1" si="4"/>
        <v>#NAME?</v>
      </c>
      <c r="Z49" t="e">
        <f t="shared" ca="1" si="5"/>
        <v>#NAME?</v>
      </c>
      <c r="AA49" t="e">
        <f t="shared" ca="1" si="6"/>
        <v>#NAME?</v>
      </c>
      <c r="AB49" t="e">
        <f t="shared" ca="1" si="7"/>
        <v>#NAME?</v>
      </c>
      <c r="AC49" t="e">
        <f t="shared" ca="1" si="8"/>
        <v>#NAME?</v>
      </c>
      <c r="AE49">
        <f t="shared" si="12"/>
        <v>44</v>
      </c>
      <c r="AF49">
        <f t="shared" si="13"/>
        <v>9.9532374569799149</v>
      </c>
    </row>
    <row r="50" spans="1:32" x14ac:dyDescent="0.35">
      <c r="A50">
        <f t="shared" si="9"/>
        <v>44</v>
      </c>
      <c r="B50">
        <v>0.2754508892602448</v>
      </c>
      <c r="C50">
        <f t="shared" si="0"/>
        <v>9.9532374569799149</v>
      </c>
      <c r="E50">
        <f t="shared" si="10"/>
        <v>45</v>
      </c>
      <c r="F50" t="e">
        <f t="shared" ca="1" si="1"/>
        <v>#NAME?</v>
      </c>
      <c r="G50" t="e">
        <f t="shared" ca="1" si="11"/>
        <v>#NAME?</v>
      </c>
      <c r="W50">
        <f t="shared" si="2"/>
        <v>45</v>
      </c>
      <c r="X50" t="e">
        <f t="shared" ca="1" si="3"/>
        <v>#NAME?</v>
      </c>
      <c r="Y50" t="e">
        <f t="shared" ca="1" si="4"/>
        <v>#NAME?</v>
      </c>
      <c r="Z50" t="e">
        <f t="shared" ca="1" si="5"/>
        <v>#NAME?</v>
      </c>
      <c r="AA50" t="e">
        <f t="shared" ca="1" si="6"/>
        <v>#NAME?</v>
      </c>
      <c r="AB50" t="e">
        <f t="shared" ca="1" si="7"/>
        <v>#NAME?</v>
      </c>
      <c r="AC50" t="e">
        <f t="shared" ca="1" si="8"/>
        <v>#NAME?</v>
      </c>
      <c r="AE50">
        <f t="shared" si="12"/>
        <v>45</v>
      </c>
      <c r="AF50">
        <f t="shared" si="13"/>
        <v>9.9320829740295604</v>
      </c>
    </row>
    <row r="51" spans="1:32" x14ac:dyDescent="0.35">
      <c r="A51">
        <f t="shared" si="9"/>
        <v>45</v>
      </c>
      <c r="B51">
        <v>1.9906931995671073E-2</v>
      </c>
      <c r="C51">
        <f t="shared" si="0"/>
        <v>9.9320829740295604</v>
      </c>
      <c r="E51">
        <f t="shared" si="10"/>
        <v>46</v>
      </c>
      <c r="F51" t="e">
        <f t="shared" ca="1" si="1"/>
        <v>#NAME?</v>
      </c>
      <c r="G51" t="e">
        <f t="shared" ca="1" si="11"/>
        <v>#NAME?</v>
      </c>
      <c r="W51">
        <f t="shared" si="2"/>
        <v>46</v>
      </c>
      <c r="X51" t="e">
        <f t="shared" ca="1" si="3"/>
        <v>#NAME?</v>
      </c>
      <c r="Y51" t="e">
        <f t="shared" ca="1" si="4"/>
        <v>#NAME?</v>
      </c>
      <c r="Z51" t="e">
        <f t="shared" ca="1" si="5"/>
        <v>#NAME?</v>
      </c>
      <c r="AA51" t="e">
        <f t="shared" ca="1" si="6"/>
        <v>#NAME?</v>
      </c>
      <c r="AB51" t="e">
        <f t="shared" ca="1" si="7"/>
        <v>#NAME?</v>
      </c>
      <c r="AC51" t="e">
        <f t="shared" ca="1" si="8"/>
        <v>#NAME?</v>
      </c>
      <c r="AE51">
        <f t="shared" si="12"/>
        <v>46</v>
      </c>
      <c r="AF51">
        <f t="shared" si="13"/>
        <v>11.635101979488615</v>
      </c>
    </row>
    <row r="52" spans="1:32" x14ac:dyDescent="0.35">
      <c r="A52">
        <f t="shared" si="9"/>
        <v>46</v>
      </c>
      <c r="B52">
        <v>1.686625284067059</v>
      </c>
      <c r="C52">
        <f t="shared" si="0"/>
        <v>11.635101979488615</v>
      </c>
      <c r="E52">
        <f t="shared" si="10"/>
        <v>47</v>
      </c>
      <c r="F52" t="e">
        <f t="shared" ca="1" si="1"/>
        <v>#NAME?</v>
      </c>
      <c r="G52" t="e">
        <f t="shared" ca="1" si="11"/>
        <v>#NAME?</v>
      </c>
      <c r="W52">
        <f t="shared" si="2"/>
        <v>47</v>
      </c>
      <c r="X52" t="e">
        <f t="shared" ca="1" si="3"/>
        <v>#NAME?</v>
      </c>
      <c r="Y52" t="e">
        <f t="shared" ca="1" si="4"/>
        <v>#NAME?</v>
      </c>
      <c r="Z52" t="e">
        <f t="shared" ca="1" si="5"/>
        <v>#NAME?</v>
      </c>
      <c r="AA52" t="e">
        <f t="shared" ca="1" si="6"/>
        <v>#NAME?</v>
      </c>
      <c r="AB52" t="e">
        <f t="shared" ca="1" si="7"/>
        <v>#NAME?</v>
      </c>
      <c r="AC52" t="e">
        <f t="shared" ca="1" si="8"/>
        <v>#NAME?</v>
      </c>
      <c r="AE52">
        <f t="shared" si="12"/>
        <v>47</v>
      </c>
      <c r="AF52">
        <f t="shared" si="13"/>
        <v>10.428242822398191</v>
      </c>
    </row>
    <row r="53" spans="1:32" x14ac:dyDescent="0.35">
      <c r="A53">
        <f t="shared" si="9"/>
        <v>47</v>
      </c>
      <c r="B53">
        <v>-0.37900350643042602</v>
      </c>
      <c r="C53">
        <f t="shared" si="0"/>
        <v>10.428242822398191</v>
      </c>
      <c r="E53">
        <f t="shared" si="10"/>
        <v>48</v>
      </c>
      <c r="F53" t="e">
        <f t="shared" ca="1" si="1"/>
        <v>#NAME?</v>
      </c>
      <c r="G53" t="e">
        <f t="shared" ca="1" si="11"/>
        <v>#NAME?</v>
      </c>
      <c r="W53">
        <f t="shared" si="2"/>
        <v>48</v>
      </c>
      <c r="X53" t="e">
        <f t="shared" ca="1" si="3"/>
        <v>#NAME?</v>
      </c>
      <c r="Y53" t="e">
        <f t="shared" ca="1" si="4"/>
        <v>#NAME?</v>
      </c>
      <c r="Z53" t="e">
        <f t="shared" ca="1" si="5"/>
        <v>#NAME?</v>
      </c>
      <c r="AA53" t="e">
        <f t="shared" ca="1" si="6"/>
        <v>#NAME?</v>
      </c>
      <c r="AB53" t="e">
        <f t="shared" ca="1" si="7"/>
        <v>#NAME?</v>
      </c>
      <c r="AC53" t="e">
        <f t="shared" ca="1" si="8"/>
        <v>#NAME?</v>
      </c>
      <c r="AE53">
        <f t="shared" si="12"/>
        <v>48</v>
      </c>
      <c r="AF53">
        <f t="shared" si="13"/>
        <v>9.6942306857497602</v>
      </c>
    </row>
    <row r="54" spans="1:32" x14ac:dyDescent="0.35">
      <c r="A54">
        <f t="shared" si="9"/>
        <v>48</v>
      </c>
      <c r="B54">
        <v>-0.68133999121505795</v>
      </c>
      <c r="C54">
        <f t="shared" si="0"/>
        <v>9.6942306857497602</v>
      </c>
      <c r="E54">
        <f t="shared" si="10"/>
        <v>49</v>
      </c>
      <c r="F54" t="e">
        <f t="shared" ca="1" si="1"/>
        <v>#NAME?</v>
      </c>
      <c r="G54" t="e">
        <f t="shared" ca="1" si="11"/>
        <v>#NAME?</v>
      </c>
      <c r="W54">
        <f t="shared" si="2"/>
        <v>49</v>
      </c>
      <c r="X54" t="e">
        <f t="shared" ca="1" si="3"/>
        <v>#NAME?</v>
      </c>
      <c r="Y54" t="e">
        <f t="shared" ca="1" si="4"/>
        <v>#NAME?</v>
      </c>
      <c r="Z54" t="e">
        <f t="shared" ca="1" si="5"/>
        <v>#NAME?</v>
      </c>
      <c r="AA54" t="e">
        <f t="shared" ca="1" si="6"/>
        <v>#NAME?</v>
      </c>
      <c r="AB54" t="e">
        <f t="shared" ca="1" si="7"/>
        <v>#NAME?</v>
      </c>
      <c r="AC54" t="e">
        <f t="shared" ca="1" si="8"/>
        <v>#NAME?</v>
      </c>
      <c r="AE54">
        <f t="shared" si="12"/>
        <v>49</v>
      </c>
      <c r="AF54">
        <f t="shared" si="13"/>
        <v>10.169036752376758</v>
      </c>
    </row>
    <row r="55" spans="1:32" x14ac:dyDescent="0.35">
      <c r="A55">
        <f t="shared" si="9"/>
        <v>49</v>
      </c>
      <c r="B55">
        <v>0.24680727410891506</v>
      </c>
      <c r="C55">
        <f t="shared" si="0"/>
        <v>10.169036752376758</v>
      </c>
      <c r="E55">
        <f t="shared" si="10"/>
        <v>50</v>
      </c>
      <c r="F55" t="e">
        <f t="shared" ca="1" si="1"/>
        <v>#NAME?</v>
      </c>
      <c r="G55" t="e">
        <f t="shared" ca="1" si="11"/>
        <v>#NAME?</v>
      </c>
      <c r="W55">
        <f t="shared" si="2"/>
        <v>50</v>
      </c>
      <c r="X55" t="e">
        <f t="shared" ca="1" si="3"/>
        <v>#NAME?</v>
      </c>
      <c r="Y55" t="e">
        <f t="shared" ca="1" si="4"/>
        <v>#NAME?</v>
      </c>
      <c r="Z55" t="e">
        <f t="shared" ca="1" si="5"/>
        <v>#NAME?</v>
      </c>
      <c r="AA55" t="e">
        <f t="shared" ca="1" si="6"/>
        <v>#NAME?</v>
      </c>
      <c r="AB55" t="e">
        <f t="shared" ca="1" si="7"/>
        <v>#NAME?</v>
      </c>
      <c r="AC55" t="e">
        <f t="shared" ca="1" si="8"/>
        <v>#NAME?</v>
      </c>
      <c r="AE55">
        <f t="shared" si="12"/>
        <v>50</v>
      </c>
      <c r="AF55">
        <f t="shared" si="13"/>
        <v>10.486655712590014</v>
      </c>
    </row>
    <row r="56" spans="1:32" x14ac:dyDescent="0.35">
      <c r="A56">
        <f t="shared" si="9"/>
        <v>50</v>
      </c>
      <c r="B56">
        <v>0.4176914407480673</v>
      </c>
      <c r="C56">
        <f t="shared" si="0"/>
        <v>10.486655712590014</v>
      </c>
      <c r="E56">
        <f t="shared" si="10"/>
        <v>51</v>
      </c>
      <c r="F56" t="e">
        <f t="shared" ca="1" si="1"/>
        <v>#NAME?</v>
      </c>
      <c r="G56" t="e">
        <f t="shared" ca="1" si="11"/>
        <v>#NAME?</v>
      </c>
      <c r="W56">
        <f t="shared" si="2"/>
        <v>51</v>
      </c>
      <c r="X56" t="e">
        <f t="shared" ca="1" si="3"/>
        <v>#NAME?</v>
      </c>
      <c r="Y56" t="e">
        <f t="shared" ca="1" si="4"/>
        <v>#NAME?</v>
      </c>
      <c r="Z56" t="e">
        <f t="shared" ca="1" si="5"/>
        <v>#NAME?</v>
      </c>
      <c r="AA56" t="e">
        <f t="shared" ca="1" si="6"/>
        <v>#NAME?</v>
      </c>
      <c r="AB56" t="e">
        <f t="shared" ca="1" si="7"/>
        <v>#NAME?</v>
      </c>
      <c r="AC56" t="e">
        <f t="shared" ca="1" si="8"/>
        <v>#NAME?</v>
      </c>
      <c r="AE56">
        <f t="shared" si="12"/>
        <v>51</v>
      </c>
      <c r="AF56">
        <f t="shared" si="13"/>
        <v>10.656149640052817</v>
      </c>
    </row>
    <row r="57" spans="1:32" x14ac:dyDescent="0.35">
      <c r="A57">
        <f t="shared" si="9"/>
        <v>51</v>
      </c>
      <c r="B57">
        <v>0.39902892938942136</v>
      </c>
      <c r="C57">
        <f t="shared" si="0"/>
        <v>10.656149640052817</v>
      </c>
      <c r="E57">
        <f t="shared" si="10"/>
        <v>52</v>
      </c>
      <c r="F57" t="e">
        <f t="shared" ca="1" si="1"/>
        <v>#NAME?</v>
      </c>
      <c r="G57" t="e">
        <f t="shared" ca="1" si="11"/>
        <v>#NAME?</v>
      </c>
      <c r="W57">
        <f t="shared" si="2"/>
        <v>52</v>
      </c>
      <c r="X57" t="e">
        <f t="shared" ca="1" si="3"/>
        <v>#NAME?</v>
      </c>
      <c r="Y57" t="e">
        <f t="shared" ca="1" si="4"/>
        <v>#NAME?</v>
      </c>
      <c r="Z57" t="e">
        <f t="shared" ca="1" si="5"/>
        <v>#NAME?</v>
      </c>
      <c r="AA57" t="e">
        <f t="shared" ca="1" si="6"/>
        <v>#NAME?</v>
      </c>
      <c r="AB57" t="e">
        <f t="shared" ca="1" si="7"/>
        <v>#NAME?</v>
      </c>
      <c r="AC57" t="e">
        <f t="shared" ca="1" si="8"/>
        <v>#NAME?</v>
      </c>
      <c r="AE57">
        <f t="shared" si="12"/>
        <v>52</v>
      </c>
      <c r="AF57">
        <f t="shared" si="13"/>
        <v>10.129317566616011</v>
      </c>
    </row>
    <row r="58" spans="1:32" x14ac:dyDescent="0.35">
      <c r="A58">
        <f t="shared" si="9"/>
        <v>52</v>
      </c>
      <c r="B58">
        <v>-0.25018139554307461</v>
      </c>
      <c r="C58">
        <f t="shared" si="0"/>
        <v>10.129317566616011</v>
      </c>
      <c r="E58">
        <f t="shared" si="10"/>
        <v>53</v>
      </c>
      <c r="F58" t="e">
        <f t="shared" ca="1" si="1"/>
        <v>#NAME?</v>
      </c>
      <c r="G58" t="e">
        <f t="shared" ca="1" si="11"/>
        <v>#NAME?</v>
      </c>
      <c r="W58">
        <f t="shared" si="2"/>
        <v>53</v>
      </c>
      <c r="X58" t="e">
        <f t="shared" ca="1" si="3"/>
        <v>#NAME?</v>
      </c>
      <c r="Y58" t="e">
        <f t="shared" ca="1" si="4"/>
        <v>#NAME?</v>
      </c>
      <c r="Z58" t="e">
        <f t="shared" ca="1" si="5"/>
        <v>#NAME?</v>
      </c>
      <c r="AA58" t="e">
        <f t="shared" ca="1" si="6"/>
        <v>#NAME?</v>
      </c>
      <c r="AB58" t="e">
        <f t="shared" ca="1" si="7"/>
        <v>#NAME?</v>
      </c>
      <c r="AC58" t="e">
        <f t="shared" ca="1" si="8"/>
        <v>#NAME?</v>
      </c>
      <c r="AE58">
        <f t="shared" si="12"/>
        <v>53</v>
      </c>
      <c r="AF58">
        <f t="shared" si="13"/>
        <v>8.9663057524182062</v>
      </c>
    </row>
    <row r="59" spans="1:32" x14ac:dyDescent="0.35">
      <c r="A59">
        <f t="shared" si="9"/>
        <v>53</v>
      </c>
      <c r="B59">
        <v>-1.1742528233216154</v>
      </c>
      <c r="C59">
        <f t="shared" si="0"/>
        <v>8.9663057524182062</v>
      </c>
      <c r="E59">
        <f t="shared" si="10"/>
        <v>54</v>
      </c>
      <c r="F59" t="e">
        <f t="shared" ca="1" si="1"/>
        <v>#NAME?</v>
      </c>
      <c r="G59" t="e">
        <f t="shared" ca="1" si="11"/>
        <v>#NAME?</v>
      </c>
      <c r="W59">
        <f t="shared" si="2"/>
        <v>54</v>
      </c>
      <c r="X59" t="e">
        <f t="shared" ca="1" si="3"/>
        <v>#NAME?</v>
      </c>
      <c r="Y59" t="e">
        <f t="shared" ca="1" si="4"/>
        <v>#NAME?</v>
      </c>
      <c r="Z59" t="e">
        <f t="shared" ca="1" si="5"/>
        <v>#NAME?</v>
      </c>
      <c r="AA59" t="e">
        <f t="shared" ca="1" si="6"/>
        <v>#NAME?</v>
      </c>
      <c r="AB59" t="e">
        <f t="shared" ca="1" si="7"/>
        <v>#NAME?</v>
      </c>
      <c r="AC59" t="e">
        <f t="shared" ca="1" si="8"/>
        <v>#NAME?</v>
      </c>
      <c r="AE59">
        <f t="shared" si="12"/>
        <v>54</v>
      </c>
      <c r="AF59">
        <f t="shared" si="13"/>
        <v>8.1067514389924824</v>
      </c>
    </row>
    <row r="60" spans="1:32" x14ac:dyDescent="0.35">
      <c r="A60">
        <f t="shared" si="9"/>
        <v>54</v>
      </c>
      <c r="B60">
        <v>-1.4045131523645842</v>
      </c>
      <c r="C60">
        <f t="shared" si="0"/>
        <v>8.1067514389924824</v>
      </c>
      <c r="E60">
        <f t="shared" si="10"/>
        <v>55</v>
      </c>
      <c r="F60" t="e">
        <f t="shared" ca="1" si="1"/>
        <v>#NAME?</v>
      </c>
      <c r="G60" t="e">
        <f t="shared" ca="1" si="11"/>
        <v>#NAME?</v>
      </c>
      <c r="W60">
        <f t="shared" si="2"/>
        <v>55</v>
      </c>
      <c r="X60" t="e">
        <f t="shared" ca="1" si="3"/>
        <v>#NAME?</v>
      </c>
      <c r="Y60" t="e">
        <f t="shared" ca="1" si="4"/>
        <v>#NAME?</v>
      </c>
      <c r="Z60" t="e">
        <f t="shared" ca="1" si="5"/>
        <v>#NAME?</v>
      </c>
      <c r="AA60" t="e">
        <f t="shared" ca="1" si="6"/>
        <v>#NAME?</v>
      </c>
      <c r="AB60" t="e">
        <f t="shared" ca="1" si="7"/>
        <v>#NAME?</v>
      </c>
      <c r="AC60" t="e">
        <f t="shared" ca="1" si="8"/>
        <v>#NAME?</v>
      </c>
      <c r="AE60">
        <f t="shared" si="12"/>
        <v>55</v>
      </c>
      <c r="AF60">
        <f t="shared" si="13"/>
        <v>8.6738987578515037</v>
      </c>
    </row>
    <row r="61" spans="1:32" x14ac:dyDescent="0.35">
      <c r="A61">
        <f t="shared" si="9"/>
        <v>55</v>
      </c>
      <c r="B61">
        <v>-0.28172987991615117</v>
      </c>
      <c r="C61">
        <f t="shared" si="0"/>
        <v>8.6738987578515037</v>
      </c>
      <c r="E61">
        <f t="shared" si="10"/>
        <v>56</v>
      </c>
      <c r="F61" t="e">
        <f t="shared" ca="1" si="1"/>
        <v>#NAME?</v>
      </c>
      <c r="G61" t="e">
        <f t="shared" ca="1" si="11"/>
        <v>#NAME?</v>
      </c>
      <c r="W61">
        <f t="shared" si="2"/>
        <v>56</v>
      </c>
      <c r="X61" t="e">
        <f t="shared" ca="1" si="3"/>
        <v>#NAME?</v>
      </c>
      <c r="Y61" t="e">
        <f t="shared" ca="1" si="4"/>
        <v>#NAME?</v>
      </c>
      <c r="Z61" t="e">
        <f t="shared" ca="1" si="5"/>
        <v>#NAME?</v>
      </c>
      <c r="AA61" t="e">
        <f t="shared" ca="1" si="6"/>
        <v>#NAME?</v>
      </c>
      <c r="AB61" t="e">
        <f t="shared" ca="1" si="7"/>
        <v>#NAME?</v>
      </c>
      <c r="AC61" t="e">
        <f t="shared" ca="1" si="8"/>
        <v>#NAME?</v>
      </c>
      <c r="AE61">
        <f t="shared" si="12"/>
        <v>56</v>
      </c>
      <c r="AF61">
        <f t="shared" si="13"/>
        <v>8.7398621237592646</v>
      </c>
    </row>
    <row r="62" spans="1:32" x14ac:dyDescent="0.35">
      <c r="A62">
        <f t="shared" si="9"/>
        <v>56</v>
      </c>
      <c r="B62">
        <v>-0.38821298272001864</v>
      </c>
      <c r="C62">
        <f t="shared" si="0"/>
        <v>8.7398621237592646</v>
      </c>
      <c r="E62">
        <f t="shared" si="10"/>
        <v>57</v>
      </c>
      <c r="F62" t="e">
        <f t="shared" ca="1" si="1"/>
        <v>#NAME?</v>
      </c>
      <c r="G62" t="e">
        <f t="shared" ca="1" si="11"/>
        <v>#NAME?</v>
      </c>
      <c r="W62">
        <f t="shared" si="2"/>
        <v>57</v>
      </c>
      <c r="X62" t="e">
        <f t="shared" ca="1" si="3"/>
        <v>#NAME?</v>
      </c>
      <c r="Y62" t="e">
        <f t="shared" ca="1" si="4"/>
        <v>#NAME?</v>
      </c>
      <c r="Z62" t="e">
        <f t="shared" ca="1" si="5"/>
        <v>#NAME?</v>
      </c>
      <c r="AA62" t="e">
        <f t="shared" ca="1" si="6"/>
        <v>#NAME?</v>
      </c>
      <c r="AB62" t="e">
        <f t="shared" ca="1" si="7"/>
        <v>#NAME?</v>
      </c>
      <c r="AC62" t="e">
        <f t="shared" ca="1" si="8"/>
        <v>#NAME?</v>
      </c>
      <c r="AE62">
        <f t="shared" si="12"/>
        <v>57</v>
      </c>
      <c r="AF62">
        <f t="shared" si="13"/>
        <v>8.7639760975280581</v>
      </c>
    </row>
    <row r="63" spans="1:32" x14ac:dyDescent="0.35">
      <c r="A63">
        <f t="shared" si="9"/>
        <v>57</v>
      </c>
      <c r="B63">
        <v>-0.43156998564742921</v>
      </c>
      <c r="C63">
        <f t="shared" si="0"/>
        <v>8.7639760975280581</v>
      </c>
      <c r="E63">
        <f t="shared" si="10"/>
        <v>58</v>
      </c>
      <c r="F63" t="e">
        <f t="shared" ca="1" si="1"/>
        <v>#NAME?</v>
      </c>
      <c r="G63" t="e">
        <f t="shared" ca="1" si="11"/>
        <v>#NAME?</v>
      </c>
      <c r="W63">
        <f t="shared" si="2"/>
        <v>58</v>
      </c>
      <c r="X63" t="e">
        <f t="shared" ca="1" si="3"/>
        <v>#NAME?</v>
      </c>
      <c r="Y63" t="e">
        <f t="shared" ca="1" si="4"/>
        <v>#NAME?</v>
      </c>
      <c r="Z63" t="e">
        <f t="shared" ca="1" si="5"/>
        <v>#NAME?</v>
      </c>
      <c r="AA63" t="e">
        <f t="shared" ca="1" si="6"/>
        <v>#NAME?</v>
      </c>
      <c r="AB63" t="e">
        <f t="shared" ca="1" si="7"/>
        <v>#NAME?</v>
      </c>
      <c r="AC63" t="e">
        <f t="shared" ca="1" si="8"/>
        <v>#NAME?</v>
      </c>
      <c r="AE63">
        <f t="shared" si="12"/>
        <v>58</v>
      </c>
      <c r="AF63">
        <f t="shared" si="13"/>
        <v>10.607632270250908</v>
      </c>
    </row>
    <row r="64" spans="1:32" x14ac:dyDescent="0.35">
      <c r="A64">
        <f t="shared" si="9"/>
        <v>58</v>
      </c>
      <c r="B64">
        <v>1.386535004851783</v>
      </c>
      <c r="C64">
        <f t="shared" si="0"/>
        <v>10.607632270250908</v>
      </c>
      <c r="E64">
        <f t="shared" si="10"/>
        <v>59</v>
      </c>
      <c r="F64" t="e">
        <f t="shared" ca="1" si="1"/>
        <v>#NAME?</v>
      </c>
      <c r="G64" t="e">
        <f t="shared" ca="1" si="11"/>
        <v>#NAME?</v>
      </c>
      <c r="W64">
        <f t="shared" si="2"/>
        <v>59</v>
      </c>
      <c r="X64" t="e">
        <f t="shared" ca="1" si="3"/>
        <v>#NAME?</v>
      </c>
      <c r="Y64" t="e">
        <f t="shared" ca="1" si="4"/>
        <v>#NAME?</v>
      </c>
      <c r="Z64" t="e">
        <f t="shared" ca="1" si="5"/>
        <v>#NAME?</v>
      </c>
      <c r="AA64" t="e">
        <f t="shared" ca="1" si="6"/>
        <v>#NAME?</v>
      </c>
      <c r="AB64" t="e">
        <f t="shared" ca="1" si="7"/>
        <v>#NAME?</v>
      </c>
      <c r="AC64" t="e">
        <f t="shared" ca="1" si="8"/>
        <v>#NAME?</v>
      </c>
      <c r="AE64">
        <f t="shared" si="12"/>
        <v>59</v>
      </c>
      <c r="AF64">
        <f t="shared" si="13"/>
        <v>8.8462843661117905</v>
      </c>
    </row>
    <row r="65" spans="1:32" x14ac:dyDescent="0.35">
      <c r="A65">
        <f t="shared" si="9"/>
        <v>59</v>
      </c>
      <c r="B65">
        <v>-1.3017512220934879</v>
      </c>
      <c r="C65">
        <f t="shared" si="0"/>
        <v>8.8462843661117905</v>
      </c>
      <c r="E65">
        <f t="shared" si="10"/>
        <v>60</v>
      </c>
      <c r="F65" t="e">
        <f t="shared" ca="1" si="1"/>
        <v>#NAME?</v>
      </c>
      <c r="G65" t="e">
        <f t="shared" ca="1" si="11"/>
        <v>#NAME?</v>
      </c>
      <c r="W65">
        <f t="shared" si="2"/>
        <v>60</v>
      </c>
      <c r="X65" t="e">
        <f t="shared" ca="1" si="3"/>
        <v>#NAME?</v>
      </c>
      <c r="Y65" t="e">
        <f t="shared" ca="1" si="4"/>
        <v>#NAME?</v>
      </c>
      <c r="Z65" t="e">
        <f t="shared" ca="1" si="5"/>
        <v>#NAME?</v>
      </c>
      <c r="AA65" t="e">
        <f t="shared" ca="1" si="6"/>
        <v>#NAME?</v>
      </c>
      <c r="AB65" t="e">
        <f t="shared" ca="1" si="7"/>
        <v>#NAME?</v>
      </c>
      <c r="AC65" t="e">
        <f t="shared" ca="1" si="8"/>
        <v>#NAME?</v>
      </c>
      <c r="AE65">
        <f t="shared" si="12"/>
        <v>60</v>
      </c>
      <c r="AF65">
        <f t="shared" si="13"/>
        <v>8.197430472078814</v>
      </c>
    </row>
    <row r="66" spans="1:32" x14ac:dyDescent="0.35">
      <c r="A66">
        <f t="shared" si="9"/>
        <v>60</v>
      </c>
      <c r="B66">
        <v>-1.2553188286181356</v>
      </c>
      <c r="C66">
        <f t="shared" si="0"/>
        <v>8.197430472078814</v>
      </c>
      <c r="E66">
        <f t="shared" si="10"/>
        <v>61</v>
      </c>
      <c r="F66" t="e">
        <f t="shared" ca="1" si="1"/>
        <v>#NAME?</v>
      </c>
      <c r="G66" t="e">
        <f t="shared" ca="1" si="11"/>
        <v>#NAME?</v>
      </c>
      <c r="W66">
        <f t="shared" si="2"/>
        <v>61</v>
      </c>
      <c r="X66" t="e">
        <f t="shared" ca="1" si="3"/>
        <v>#NAME?</v>
      </c>
      <c r="Y66" t="e">
        <f t="shared" ca="1" si="4"/>
        <v>#NAME?</v>
      </c>
      <c r="Z66" t="e">
        <f t="shared" ca="1" si="5"/>
        <v>#NAME?</v>
      </c>
      <c r="AA66" t="e">
        <f t="shared" ca="1" si="6"/>
        <v>#NAME?</v>
      </c>
      <c r="AB66" t="e">
        <f t="shared" ca="1" si="7"/>
        <v>#NAME?</v>
      </c>
      <c r="AC66" t="e">
        <f t="shared" ca="1" si="8"/>
        <v>#NAME?</v>
      </c>
      <c r="AE66">
        <f t="shared" si="12"/>
        <v>61</v>
      </c>
      <c r="AF66">
        <f t="shared" si="13"/>
        <v>9.7004678107933984</v>
      </c>
    </row>
    <row r="67" spans="1:32" x14ac:dyDescent="0.35">
      <c r="A67">
        <f t="shared" si="9"/>
        <v>61</v>
      </c>
      <c r="B67">
        <v>0.71120271461460161</v>
      </c>
      <c r="C67">
        <f t="shared" si="0"/>
        <v>9.7004678107933984</v>
      </c>
      <c r="E67">
        <f t="shared" si="10"/>
        <v>62</v>
      </c>
      <c r="F67" t="e">
        <f t="shared" ca="1" si="1"/>
        <v>#NAME?</v>
      </c>
      <c r="G67" t="e">
        <f t="shared" ca="1" si="11"/>
        <v>#NAME?</v>
      </c>
      <c r="W67">
        <f t="shared" si="2"/>
        <v>62</v>
      </c>
      <c r="X67" t="e">
        <f t="shared" ca="1" si="3"/>
        <v>#NAME?</v>
      </c>
      <c r="Y67" t="e">
        <f t="shared" ca="1" si="4"/>
        <v>#NAME?</v>
      </c>
      <c r="Z67" t="e">
        <f t="shared" ca="1" si="5"/>
        <v>#NAME?</v>
      </c>
      <c r="AA67" t="e">
        <f t="shared" ca="1" si="6"/>
        <v>#NAME?</v>
      </c>
      <c r="AB67" t="e">
        <f t="shared" ca="1" si="7"/>
        <v>#NAME?</v>
      </c>
      <c r="AC67" t="e">
        <f t="shared" ca="1" si="8"/>
        <v>#NAME?</v>
      </c>
      <c r="AE67">
        <f t="shared" si="12"/>
        <v>62</v>
      </c>
      <c r="AF67">
        <f t="shared" si="13"/>
        <v>9.4988084630262453</v>
      </c>
    </row>
    <row r="68" spans="1:32" x14ac:dyDescent="0.35">
      <c r="A68">
        <f t="shared" si="9"/>
        <v>62</v>
      </c>
      <c r="B68">
        <v>-0.14927846160621394</v>
      </c>
      <c r="C68">
        <f t="shared" si="0"/>
        <v>9.4988084630262453</v>
      </c>
      <c r="E68">
        <f t="shared" si="10"/>
        <v>63</v>
      </c>
      <c r="F68" t="e">
        <f t="shared" ca="1" si="1"/>
        <v>#NAME?</v>
      </c>
      <c r="G68" t="e">
        <f t="shared" ca="1" si="11"/>
        <v>#NAME?</v>
      </c>
      <c r="W68">
        <f t="shared" si="2"/>
        <v>63</v>
      </c>
      <c r="X68" t="e">
        <f t="shared" ca="1" si="3"/>
        <v>#NAME?</v>
      </c>
      <c r="Y68" t="e">
        <f t="shared" ca="1" si="4"/>
        <v>#NAME?</v>
      </c>
      <c r="Z68" t="e">
        <f t="shared" ca="1" si="5"/>
        <v>#NAME?</v>
      </c>
      <c r="AA68" t="e">
        <f t="shared" ca="1" si="6"/>
        <v>#NAME?</v>
      </c>
      <c r="AB68" t="e">
        <f t="shared" ca="1" si="7"/>
        <v>#NAME?</v>
      </c>
      <c r="AC68" t="e">
        <f t="shared" ca="1" si="8"/>
        <v>#NAME?</v>
      </c>
      <c r="AE68">
        <f t="shared" si="12"/>
        <v>63</v>
      </c>
      <c r="AF68">
        <f t="shared" si="13"/>
        <v>9.7003857789385908</v>
      </c>
    </row>
    <row r="69" spans="1:32" x14ac:dyDescent="0.35">
      <c r="A69">
        <f t="shared" si="9"/>
        <v>63</v>
      </c>
      <c r="B69">
        <v>2.1364162498976984E-2</v>
      </c>
      <c r="C69">
        <f t="shared" si="0"/>
        <v>9.7003857789385908</v>
      </c>
      <c r="E69">
        <f t="shared" si="10"/>
        <v>64</v>
      </c>
      <c r="F69" t="e">
        <f t="shared" ca="1" si="1"/>
        <v>#NAME?</v>
      </c>
      <c r="G69" t="e">
        <f t="shared" ca="1" si="11"/>
        <v>#NAME?</v>
      </c>
      <c r="W69">
        <f t="shared" si="2"/>
        <v>64</v>
      </c>
      <c r="X69" t="e">
        <f t="shared" ca="1" si="3"/>
        <v>#NAME?</v>
      </c>
      <c r="Y69" t="e">
        <f t="shared" ca="1" si="4"/>
        <v>#NAME?</v>
      </c>
      <c r="Z69" t="e">
        <f t="shared" ca="1" si="5"/>
        <v>#NAME?</v>
      </c>
      <c r="AA69" t="e">
        <f t="shared" ca="1" si="6"/>
        <v>#NAME?</v>
      </c>
      <c r="AB69" t="e">
        <f t="shared" ca="1" si="7"/>
        <v>#NAME?</v>
      </c>
      <c r="AC69" t="e">
        <f t="shared" ca="1" si="8"/>
        <v>#NAME?</v>
      </c>
      <c r="AE69">
        <f t="shared" si="12"/>
        <v>64</v>
      </c>
      <c r="AF69">
        <f t="shared" si="13"/>
        <v>9.8196279939384326</v>
      </c>
    </row>
    <row r="70" spans="1:32" x14ac:dyDescent="0.35">
      <c r="A70">
        <f t="shared" si="9"/>
        <v>64</v>
      </c>
      <c r="B70">
        <v>3.3630781181214632E-2</v>
      </c>
      <c r="C70">
        <f t="shared" si="0"/>
        <v>9.8196279939384326</v>
      </c>
      <c r="E70">
        <f t="shared" si="10"/>
        <v>65</v>
      </c>
      <c r="F70" t="e">
        <f t="shared" ca="1" si="1"/>
        <v>#NAME?</v>
      </c>
      <c r="G70" t="e">
        <f t="shared" ca="1" si="11"/>
        <v>#NAME?</v>
      </c>
      <c r="W70">
        <f t="shared" si="2"/>
        <v>65</v>
      </c>
      <c r="X70" t="e">
        <f t="shared" ca="1" si="3"/>
        <v>#NAME?</v>
      </c>
      <c r="Y70" t="e">
        <f t="shared" ca="1" si="4"/>
        <v>#NAME?</v>
      </c>
      <c r="Z70" t="e">
        <f t="shared" ca="1" si="5"/>
        <v>#NAME?</v>
      </c>
      <c r="AA70" t="e">
        <f t="shared" ca="1" si="6"/>
        <v>#NAME?</v>
      </c>
      <c r="AB70" t="e">
        <f t="shared" ca="1" si="7"/>
        <v>#NAME?</v>
      </c>
      <c r="AC70" t="e">
        <f t="shared" ca="1" si="8"/>
        <v>#NAME?</v>
      </c>
      <c r="AE70">
        <f t="shared" si="12"/>
        <v>65</v>
      </c>
      <c r="AF70">
        <f t="shared" si="13"/>
        <v>12.357045585234705</v>
      </c>
    </row>
    <row r="71" spans="1:32" x14ac:dyDescent="0.35">
      <c r="A71">
        <f t="shared" si="9"/>
        <v>65</v>
      </c>
      <c r="B71">
        <v>2.4900321457140446</v>
      </c>
      <c r="C71">
        <f>3+0.7*C70+B71-0.2*B70</f>
        <v>12.357045585234705</v>
      </c>
      <c r="E71">
        <f t="shared" si="10"/>
        <v>66</v>
      </c>
      <c r="F71" t="e">
        <f t="shared" ref="F71:F110" ca="1" si="14">C72-K$7</f>
        <v>#NAME?</v>
      </c>
      <c r="G71" t="e">
        <f t="shared" ca="1" si="11"/>
        <v>#NAME?</v>
      </c>
      <c r="W71">
        <f t="shared" ref="W71:W110" si="15">E71</f>
        <v>66</v>
      </c>
      <c r="X71" t="e">
        <f t="shared" ref="X71:X110" ca="1" si="16">F71</f>
        <v>#NAME?</v>
      </c>
      <c r="Y71" t="e">
        <f t="shared" ref="Y71:Y110" ca="1" si="17">G71</f>
        <v>#NAME?</v>
      </c>
      <c r="Z71" t="e">
        <f t="shared" ref="Z71:Z110" ca="1" si="18">X71-Y71</f>
        <v>#NAME?</v>
      </c>
      <c r="AA71" t="e">
        <f t="shared" ref="AA71:AA110" ca="1" si="19">K$16</f>
        <v>#NAME?</v>
      </c>
      <c r="AB71" t="e">
        <f t="shared" ref="AB71:AB110" ca="1" si="20">Z71-NORMSINV(1-AA$4/2)*AA71</f>
        <v>#NAME?</v>
      </c>
      <c r="AC71" t="e">
        <f t="shared" ref="AC71:AC110" ca="1" si="21">Z71+NORMSINV(1-AA$4/2)*AA71</f>
        <v>#NAME?</v>
      </c>
      <c r="AE71">
        <f t="shared" si="12"/>
        <v>66</v>
      </c>
      <c r="AF71">
        <f t="shared" si="13"/>
        <v>10.923604414101041</v>
      </c>
    </row>
    <row r="72" spans="1:32" x14ac:dyDescent="0.35">
      <c r="A72">
        <f t="shared" ref="A72:A111" si="22">A71+1</f>
        <v>66</v>
      </c>
      <c r="B72">
        <v>-0.22832106642044353</v>
      </c>
      <c r="C72">
        <f t="shared" ref="C72:C111" si="23">3+0.7*C71+B72-0.2*B71</f>
        <v>10.923604414101041</v>
      </c>
      <c r="E72">
        <f t="shared" ref="E72:E110" si="24">E71+1</f>
        <v>67</v>
      </c>
      <c r="F72" t="e">
        <f t="shared" ca="1" si="14"/>
        <v>#NAME?</v>
      </c>
      <c r="G72" t="e">
        <f t="shared" ref="G72:G110" ca="1" si="25">F72-SUMPRODUCT(F71,J$6)-SUMPRODUCT(G71,K$6)</f>
        <v>#NAME?</v>
      </c>
      <c r="W72">
        <f t="shared" si="15"/>
        <v>67</v>
      </c>
      <c r="X72" t="e">
        <f t="shared" ca="1" si="16"/>
        <v>#NAME?</v>
      </c>
      <c r="Y72" t="e">
        <f t="shared" ca="1" si="17"/>
        <v>#NAME?</v>
      </c>
      <c r="Z72" t="e">
        <f t="shared" ca="1" si="18"/>
        <v>#NAME?</v>
      </c>
      <c r="AA72" t="e">
        <f t="shared" ca="1" si="19"/>
        <v>#NAME?</v>
      </c>
      <c r="AB72" t="e">
        <f t="shared" ca="1" si="20"/>
        <v>#NAME?</v>
      </c>
      <c r="AC72" t="e">
        <f t="shared" ca="1" si="21"/>
        <v>#NAME?</v>
      </c>
      <c r="AE72">
        <f t="shared" ref="AE72:AE115" si="26">AE71+1</f>
        <v>67</v>
      </c>
      <c r="AF72">
        <f t="shared" ref="AF72:AF110" si="27">C73</f>
        <v>9.7007658466065791</v>
      </c>
    </row>
    <row r="73" spans="1:32" x14ac:dyDescent="0.35">
      <c r="A73">
        <f t="shared" si="22"/>
        <v>67</v>
      </c>
      <c r="B73">
        <v>-0.99142145654823743</v>
      </c>
      <c r="C73">
        <f t="shared" si="23"/>
        <v>9.7007658466065791</v>
      </c>
      <c r="E73">
        <f t="shared" si="24"/>
        <v>68</v>
      </c>
      <c r="F73" t="e">
        <f t="shared" ca="1" si="14"/>
        <v>#NAME?</v>
      </c>
      <c r="G73" t="e">
        <f t="shared" ca="1" si="25"/>
        <v>#NAME?</v>
      </c>
      <c r="W73">
        <f t="shared" si="15"/>
        <v>68</v>
      </c>
      <c r="X73" t="e">
        <f t="shared" ca="1" si="16"/>
        <v>#NAME?</v>
      </c>
      <c r="Y73" t="e">
        <f t="shared" ca="1" si="17"/>
        <v>#NAME?</v>
      </c>
      <c r="Z73" t="e">
        <f t="shared" ca="1" si="18"/>
        <v>#NAME?</v>
      </c>
      <c r="AA73" t="e">
        <f t="shared" ca="1" si="19"/>
        <v>#NAME?</v>
      </c>
      <c r="AB73" t="e">
        <f t="shared" ca="1" si="20"/>
        <v>#NAME?</v>
      </c>
      <c r="AC73" t="e">
        <f t="shared" ca="1" si="21"/>
        <v>#NAME?</v>
      </c>
      <c r="AE73">
        <f t="shared" si="26"/>
        <v>68</v>
      </c>
      <c r="AF73">
        <f t="shared" si="27"/>
        <v>10.274161064714084</v>
      </c>
    </row>
    <row r="74" spans="1:32" x14ac:dyDescent="0.35">
      <c r="A74">
        <f t="shared" si="22"/>
        <v>68</v>
      </c>
      <c r="B74">
        <v>0.28534068077982988</v>
      </c>
      <c r="C74">
        <f t="shared" si="23"/>
        <v>10.274161064714084</v>
      </c>
      <c r="E74">
        <f t="shared" si="24"/>
        <v>69</v>
      </c>
      <c r="F74" t="e">
        <f t="shared" ca="1" si="14"/>
        <v>#NAME?</v>
      </c>
      <c r="G74" t="e">
        <f t="shared" ca="1" si="25"/>
        <v>#NAME?</v>
      </c>
      <c r="W74">
        <f t="shared" si="15"/>
        <v>69</v>
      </c>
      <c r="X74" t="e">
        <f t="shared" ca="1" si="16"/>
        <v>#NAME?</v>
      </c>
      <c r="Y74" t="e">
        <f t="shared" ca="1" si="17"/>
        <v>#NAME?</v>
      </c>
      <c r="Z74" t="e">
        <f t="shared" ca="1" si="18"/>
        <v>#NAME?</v>
      </c>
      <c r="AA74" t="e">
        <f t="shared" ca="1" si="19"/>
        <v>#NAME?</v>
      </c>
      <c r="AB74" t="e">
        <f t="shared" ca="1" si="20"/>
        <v>#NAME?</v>
      </c>
      <c r="AC74" t="e">
        <f t="shared" ca="1" si="21"/>
        <v>#NAME?</v>
      </c>
      <c r="AE74">
        <f t="shared" si="26"/>
        <v>69</v>
      </c>
      <c r="AF74">
        <f t="shared" si="27"/>
        <v>9.7560808735560016</v>
      </c>
    </row>
    <row r="75" spans="1:32" x14ac:dyDescent="0.35">
      <c r="A75">
        <f t="shared" si="22"/>
        <v>69</v>
      </c>
      <c r="B75">
        <v>-0.37876373558789145</v>
      </c>
      <c r="C75">
        <f t="shared" si="23"/>
        <v>9.7560808735560016</v>
      </c>
      <c r="E75">
        <f t="shared" si="24"/>
        <v>70</v>
      </c>
      <c r="F75" t="e">
        <f t="shared" ca="1" si="14"/>
        <v>#NAME?</v>
      </c>
      <c r="G75" t="e">
        <f t="shared" ca="1" si="25"/>
        <v>#NAME?</v>
      </c>
      <c r="W75">
        <f t="shared" si="15"/>
        <v>70</v>
      </c>
      <c r="X75" t="e">
        <f t="shared" ca="1" si="16"/>
        <v>#NAME?</v>
      </c>
      <c r="Y75" t="e">
        <f t="shared" ca="1" si="17"/>
        <v>#NAME?</v>
      </c>
      <c r="Z75" t="e">
        <f t="shared" ca="1" si="18"/>
        <v>#NAME?</v>
      </c>
      <c r="AA75" t="e">
        <f t="shared" ca="1" si="19"/>
        <v>#NAME?</v>
      </c>
      <c r="AB75" t="e">
        <f t="shared" ca="1" si="20"/>
        <v>#NAME?</v>
      </c>
      <c r="AC75" t="e">
        <f t="shared" ca="1" si="21"/>
        <v>#NAME?</v>
      </c>
      <c r="AE75">
        <f t="shared" si="26"/>
        <v>70</v>
      </c>
      <c r="AF75">
        <f t="shared" si="27"/>
        <v>9.287731842051576</v>
      </c>
    </row>
    <row r="76" spans="1:32" x14ac:dyDescent="0.35">
      <c r="A76">
        <f t="shared" si="22"/>
        <v>70</v>
      </c>
      <c r="B76">
        <v>-0.61727751655520191</v>
      </c>
      <c r="C76">
        <f t="shared" si="23"/>
        <v>9.287731842051576</v>
      </c>
      <c r="E76">
        <f t="shared" si="24"/>
        <v>71</v>
      </c>
      <c r="F76" t="e">
        <f t="shared" ca="1" si="14"/>
        <v>#NAME?</v>
      </c>
      <c r="G76" t="e">
        <f t="shared" ca="1" si="25"/>
        <v>#NAME?</v>
      </c>
      <c r="W76">
        <f t="shared" si="15"/>
        <v>71</v>
      </c>
      <c r="X76" t="e">
        <f t="shared" ca="1" si="16"/>
        <v>#NAME?</v>
      </c>
      <c r="Y76" t="e">
        <f t="shared" ca="1" si="17"/>
        <v>#NAME?</v>
      </c>
      <c r="Z76" t="e">
        <f t="shared" ca="1" si="18"/>
        <v>#NAME?</v>
      </c>
      <c r="AA76" t="e">
        <f t="shared" ca="1" si="19"/>
        <v>#NAME?</v>
      </c>
      <c r="AB76" t="e">
        <f t="shared" ca="1" si="20"/>
        <v>#NAME?</v>
      </c>
      <c r="AC76" t="e">
        <f t="shared" ca="1" si="21"/>
        <v>#NAME?</v>
      </c>
      <c r="AE76">
        <f t="shared" si="26"/>
        <v>71</v>
      </c>
      <c r="AF76">
        <f t="shared" si="27"/>
        <v>8.7948076969057745</v>
      </c>
    </row>
    <row r="77" spans="1:32" x14ac:dyDescent="0.35">
      <c r="A77">
        <f t="shared" si="22"/>
        <v>71</v>
      </c>
      <c r="B77">
        <v>-0.83006009584137008</v>
      </c>
      <c r="C77">
        <f t="shared" si="23"/>
        <v>8.7948076969057745</v>
      </c>
      <c r="E77">
        <f t="shared" si="24"/>
        <v>72</v>
      </c>
      <c r="F77" t="e">
        <f t="shared" ca="1" si="14"/>
        <v>#NAME?</v>
      </c>
      <c r="G77" t="e">
        <f t="shared" ca="1" si="25"/>
        <v>#NAME?</v>
      </c>
      <c r="W77">
        <f t="shared" si="15"/>
        <v>72</v>
      </c>
      <c r="X77" t="e">
        <f t="shared" ca="1" si="16"/>
        <v>#NAME?</v>
      </c>
      <c r="Y77" t="e">
        <f t="shared" ca="1" si="17"/>
        <v>#NAME?</v>
      </c>
      <c r="Z77" t="e">
        <f t="shared" ca="1" si="18"/>
        <v>#NAME?</v>
      </c>
      <c r="AA77" t="e">
        <f t="shared" ca="1" si="19"/>
        <v>#NAME?</v>
      </c>
      <c r="AB77" t="e">
        <f t="shared" ca="1" si="20"/>
        <v>#NAME?</v>
      </c>
      <c r="AC77" t="e">
        <f t="shared" ca="1" si="21"/>
        <v>#NAME?</v>
      </c>
      <c r="AE77">
        <f t="shared" si="26"/>
        <v>72</v>
      </c>
      <c r="AF77">
        <f t="shared" si="27"/>
        <v>9.9521659452576507</v>
      </c>
    </row>
    <row r="78" spans="1:32" x14ac:dyDescent="0.35">
      <c r="A78">
        <f t="shared" si="22"/>
        <v>72</v>
      </c>
      <c r="B78">
        <v>0.6297885382553351</v>
      </c>
      <c r="C78">
        <f t="shared" si="23"/>
        <v>9.9521659452576507</v>
      </c>
      <c r="E78">
        <f t="shared" si="24"/>
        <v>73</v>
      </c>
      <c r="F78" t="e">
        <f t="shared" ca="1" si="14"/>
        <v>#NAME?</v>
      </c>
      <c r="G78" t="e">
        <f t="shared" ca="1" si="25"/>
        <v>#NAME?</v>
      </c>
      <c r="W78">
        <f t="shared" si="15"/>
        <v>73</v>
      </c>
      <c r="X78" t="e">
        <f t="shared" ca="1" si="16"/>
        <v>#NAME?</v>
      </c>
      <c r="Y78" t="e">
        <f t="shared" ca="1" si="17"/>
        <v>#NAME?</v>
      </c>
      <c r="Z78" t="e">
        <f t="shared" ca="1" si="18"/>
        <v>#NAME?</v>
      </c>
      <c r="AA78" t="e">
        <f t="shared" ca="1" si="19"/>
        <v>#NAME?</v>
      </c>
      <c r="AB78" t="e">
        <f t="shared" ca="1" si="20"/>
        <v>#NAME?</v>
      </c>
      <c r="AC78" t="e">
        <f t="shared" ca="1" si="21"/>
        <v>#NAME?</v>
      </c>
      <c r="AE78">
        <f t="shared" si="26"/>
        <v>73</v>
      </c>
      <c r="AF78">
        <f t="shared" si="27"/>
        <v>9.1465177932835431</v>
      </c>
    </row>
    <row r="79" spans="1:32" x14ac:dyDescent="0.35">
      <c r="A79">
        <f t="shared" si="22"/>
        <v>73</v>
      </c>
      <c r="B79">
        <v>-0.694040660745746</v>
      </c>
      <c r="C79">
        <f t="shared" si="23"/>
        <v>9.1465177932835431</v>
      </c>
      <c r="E79">
        <f t="shared" si="24"/>
        <v>74</v>
      </c>
      <c r="F79" t="e">
        <f t="shared" ca="1" si="14"/>
        <v>#NAME?</v>
      </c>
      <c r="G79" t="e">
        <f t="shared" ca="1" si="25"/>
        <v>#NAME?</v>
      </c>
      <c r="W79">
        <f t="shared" si="15"/>
        <v>74</v>
      </c>
      <c r="X79" t="e">
        <f t="shared" ca="1" si="16"/>
        <v>#NAME?</v>
      </c>
      <c r="Y79" t="e">
        <f t="shared" ca="1" si="17"/>
        <v>#NAME?</v>
      </c>
      <c r="Z79" t="e">
        <f t="shared" ca="1" si="18"/>
        <v>#NAME?</v>
      </c>
      <c r="AA79" t="e">
        <f t="shared" ca="1" si="19"/>
        <v>#NAME?</v>
      </c>
      <c r="AB79" t="e">
        <f t="shared" ca="1" si="20"/>
        <v>#NAME?</v>
      </c>
      <c r="AC79" t="e">
        <f t="shared" ca="1" si="21"/>
        <v>#NAME?</v>
      </c>
      <c r="AE79">
        <f t="shared" si="26"/>
        <v>74</v>
      </c>
      <c r="AF79">
        <f t="shared" si="27"/>
        <v>8.4120728228094741</v>
      </c>
    </row>
    <row r="80" spans="1:32" x14ac:dyDescent="0.35">
      <c r="A80">
        <f t="shared" si="22"/>
        <v>74</v>
      </c>
      <c r="B80">
        <v>-1.1292977646381548</v>
      </c>
      <c r="C80">
        <f t="shared" si="23"/>
        <v>8.4120728228094741</v>
      </c>
      <c r="E80">
        <f t="shared" si="24"/>
        <v>75</v>
      </c>
      <c r="F80" t="e">
        <f t="shared" ca="1" si="14"/>
        <v>#NAME?</v>
      </c>
      <c r="G80" t="e">
        <f t="shared" ca="1" si="25"/>
        <v>#NAME?</v>
      </c>
      <c r="W80">
        <f t="shared" si="15"/>
        <v>75</v>
      </c>
      <c r="X80" t="e">
        <f t="shared" ca="1" si="16"/>
        <v>#NAME?</v>
      </c>
      <c r="Y80" t="e">
        <f t="shared" ca="1" si="17"/>
        <v>#NAME?</v>
      </c>
      <c r="Z80" t="e">
        <f t="shared" ca="1" si="18"/>
        <v>#NAME?</v>
      </c>
      <c r="AA80" t="e">
        <f t="shared" ca="1" si="19"/>
        <v>#NAME?</v>
      </c>
      <c r="AB80" t="e">
        <f t="shared" ca="1" si="20"/>
        <v>#NAME?</v>
      </c>
      <c r="AC80" t="e">
        <f t="shared" ca="1" si="21"/>
        <v>#NAME?</v>
      </c>
      <c r="AE80">
        <f t="shared" si="26"/>
        <v>75</v>
      </c>
      <c r="AF80">
        <f t="shared" si="27"/>
        <v>9.723847340624749</v>
      </c>
    </row>
    <row r="81" spans="1:32" x14ac:dyDescent="0.35">
      <c r="A81">
        <f t="shared" si="22"/>
        <v>75</v>
      </c>
      <c r="B81">
        <v>0.6095368117304879</v>
      </c>
      <c r="C81">
        <f t="shared" si="23"/>
        <v>9.723847340624749</v>
      </c>
      <c r="E81">
        <f t="shared" si="24"/>
        <v>76</v>
      </c>
      <c r="F81" t="e">
        <f t="shared" ca="1" si="14"/>
        <v>#NAME?</v>
      </c>
      <c r="G81" t="e">
        <f t="shared" ca="1" si="25"/>
        <v>#NAME?</v>
      </c>
      <c r="W81">
        <f t="shared" si="15"/>
        <v>76</v>
      </c>
      <c r="X81" t="e">
        <f t="shared" ca="1" si="16"/>
        <v>#NAME?</v>
      </c>
      <c r="Y81" t="e">
        <f t="shared" ca="1" si="17"/>
        <v>#NAME?</v>
      </c>
      <c r="Z81" t="e">
        <f t="shared" ca="1" si="18"/>
        <v>#NAME?</v>
      </c>
      <c r="AA81" t="e">
        <f t="shared" ca="1" si="19"/>
        <v>#NAME?</v>
      </c>
      <c r="AB81" t="e">
        <f t="shared" ca="1" si="20"/>
        <v>#NAME?</v>
      </c>
      <c r="AC81" t="e">
        <f t="shared" ca="1" si="21"/>
        <v>#NAME?</v>
      </c>
      <c r="AE81">
        <f t="shared" si="26"/>
        <v>76</v>
      </c>
      <c r="AF81">
        <f t="shared" si="27"/>
        <v>8.4487887533605939</v>
      </c>
    </row>
    <row r="82" spans="1:32" x14ac:dyDescent="0.35">
      <c r="A82">
        <f t="shared" si="22"/>
        <v>76</v>
      </c>
      <c r="B82">
        <v>-1.2359970227306327</v>
      </c>
      <c r="C82">
        <f t="shared" si="23"/>
        <v>8.4487887533605939</v>
      </c>
      <c r="E82">
        <f t="shared" si="24"/>
        <v>77</v>
      </c>
      <c r="F82" t="e">
        <f t="shared" ca="1" si="14"/>
        <v>#NAME?</v>
      </c>
      <c r="G82" t="e">
        <f t="shared" ca="1" si="25"/>
        <v>#NAME?</v>
      </c>
      <c r="W82">
        <f t="shared" si="15"/>
        <v>77</v>
      </c>
      <c r="X82" t="e">
        <f t="shared" ca="1" si="16"/>
        <v>#NAME?</v>
      </c>
      <c r="Y82" t="e">
        <f t="shared" ca="1" si="17"/>
        <v>#NAME?</v>
      </c>
      <c r="Z82" t="e">
        <f t="shared" ca="1" si="18"/>
        <v>#NAME?</v>
      </c>
      <c r="AA82" t="e">
        <f t="shared" ca="1" si="19"/>
        <v>#NAME?</v>
      </c>
      <c r="AB82" t="e">
        <f t="shared" ca="1" si="20"/>
        <v>#NAME?</v>
      </c>
      <c r="AC82" t="e">
        <f t="shared" ca="1" si="21"/>
        <v>#NAME?</v>
      </c>
      <c r="AE82">
        <f t="shared" si="26"/>
        <v>77</v>
      </c>
      <c r="AF82">
        <f t="shared" si="27"/>
        <v>9.3091696279858951</v>
      </c>
    </row>
    <row r="83" spans="1:32" x14ac:dyDescent="0.35">
      <c r="A83">
        <f t="shared" si="22"/>
        <v>77</v>
      </c>
      <c r="B83">
        <v>0.14781809608735161</v>
      </c>
      <c r="C83">
        <f t="shared" si="23"/>
        <v>9.3091696279858951</v>
      </c>
      <c r="E83">
        <f t="shared" si="24"/>
        <v>78</v>
      </c>
      <c r="F83" t="e">
        <f t="shared" ca="1" si="14"/>
        <v>#NAME?</v>
      </c>
      <c r="G83" t="e">
        <f t="shared" ca="1" si="25"/>
        <v>#NAME?</v>
      </c>
      <c r="W83">
        <f t="shared" si="15"/>
        <v>78</v>
      </c>
      <c r="X83" t="e">
        <f t="shared" ca="1" si="16"/>
        <v>#NAME?</v>
      </c>
      <c r="Y83" t="e">
        <f t="shared" ca="1" si="17"/>
        <v>#NAME?</v>
      </c>
      <c r="Z83" t="e">
        <f t="shared" ca="1" si="18"/>
        <v>#NAME?</v>
      </c>
      <c r="AA83" t="e">
        <f t="shared" ca="1" si="19"/>
        <v>#NAME?</v>
      </c>
      <c r="AB83" t="e">
        <f t="shared" ca="1" si="20"/>
        <v>#NAME?</v>
      </c>
      <c r="AC83" t="e">
        <f t="shared" ca="1" si="21"/>
        <v>#NAME?</v>
      </c>
      <c r="AE83">
        <f t="shared" si="26"/>
        <v>78</v>
      </c>
      <c r="AF83">
        <f t="shared" si="27"/>
        <v>9.6290950722323778</v>
      </c>
    </row>
    <row r="84" spans="1:32" x14ac:dyDescent="0.35">
      <c r="A84">
        <f t="shared" si="22"/>
        <v>78</v>
      </c>
      <c r="B84">
        <v>0.14223995185972241</v>
      </c>
      <c r="C84">
        <f t="shared" si="23"/>
        <v>9.6290950722323778</v>
      </c>
      <c r="E84">
        <f t="shared" si="24"/>
        <v>79</v>
      </c>
      <c r="F84" t="e">
        <f t="shared" ca="1" si="14"/>
        <v>#NAME?</v>
      </c>
      <c r="G84" t="e">
        <f t="shared" ca="1" si="25"/>
        <v>#NAME?</v>
      </c>
      <c r="W84">
        <f t="shared" si="15"/>
        <v>79</v>
      </c>
      <c r="X84" t="e">
        <f t="shared" ca="1" si="16"/>
        <v>#NAME?</v>
      </c>
      <c r="Y84" t="e">
        <f t="shared" ca="1" si="17"/>
        <v>#NAME?</v>
      </c>
      <c r="Z84" t="e">
        <f t="shared" ca="1" si="18"/>
        <v>#NAME?</v>
      </c>
      <c r="AA84" t="e">
        <f t="shared" ca="1" si="19"/>
        <v>#NAME?</v>
      </c>
      <c r="AB84" t="e">
        <f t="shared" ca="1" si="20"/>
        <v>#NAME?</v>
      </c>
      <c r="AC84" t="e">
        <f t="shared" ca="1" si="21"/>
        <v>#NAME?</v>
      </c>
      <c r="AE84">
        <f t="shared" si="26"/>
        <v>79</v>
      </c>
      <c r="AF84">
        <f t="shared" si="27"/>
        <v>10.498754342121549</v>
      </c>
    </row>
    <row r="85" spans="1:32" x14ac:dyDescent="0.35">
      <c r="A85">
        <f t="shared" si="22"/>
        <v>79</v>
      </c>
      <c r="B85">
        <v>0.78683578193082926</v>
      </c>
      <c r="C85">
        <f t="shared" si="23"/>
        <v>10.498754342121549</v>
      </c>
      <c r="E85">
        <f t="shared" si="24"/>
        <v>80</v>
      </c>
      <c r="F85" t="e">
        <f t="shared" ca="1" si="14"/>
        <v>#NAME?</v>
      </c>
      <c r="G85" t="e">
        <f t="shared" ca="1" si="25"/>
        <v>#NAME?</v>
      </c>
      <c r="W85">
        <f t="shared" si="15"/>
        <v>80</v>
      </c>
      <c r="X85" t="e">
        <f t="shared" ca="1" si="16"/>
        <v>#NAME?</v>
      </c>
      <c r="Y85" t="e">
        <f t="shared" ca="1" si="17"/>
        <v>#NAME?</v>
      </c>
      <c r="Z85" t="e">
        <f t="shared" ca="1" si="18"/>
        <v>#NAME?</v>
      </c>
      <c r="AA85" t="e">
        <f t="shared" ca="1" si="19"/>
        <v>#NAME?</v>
      </c>
      <c r="AB85" t="e">
        <f t="shared" ca="1" si="20"/>
        <v>#NAME?</v>
      </c>
      <c r="AC85" t="e">
        <f t="shared" ca="1" si="21"/>
        <v>#NAME?</v>
      </c>
      <c r="AE85">
        <f t="shared" si="26"/>
        <v>80</v>
      </c>
      <c r="AF85">
        <f t="shared" si="27"/>
        <v>8.1345560346257617</v>
      </c>
    </row>
    <row r="86" spans="1:32" x14ac:dyDescent="0.35">
      <c r="A86">
        <f t="shared" si="22"/>
        <v>80</v>
      </c>
      <c r="B86">
        <v>-2.0572048484731567</v>
      </c>
      <c r="C86">
        <f t="shared" si="23"/>
        <v>8.1345560346257617</v>
      </c>
      <c r="E86">
        <f t="shared" si="24"/>
        <v>81</v>
      </c>
      <c r="F86" t="e">
        <f t="shared" ca="1" si="14"/>
        <v>#NAME?</v>
      </c>
      <c r="G86" t="e">
        <f t="shared" ca="1" si="25"/>
        <v>#NAME?</v>
      </c>
      <c r="W86">
        <f t="shared" si="15"/>
        <v>81</v>
      </c>
      <c r="X86" t="e">
        <f t="shared" ca="1" si="16"/>
        <v>#NAME?</v>
      </c>
      <c r="Y86" t="e">
        <f t="shared" ca="1" si="17"/>
        <v>#NAME?</v>
      </c>
      <c r="Z86" t="e">
        <f t="shared" ca="1" si="18"/>
        <v>#NAME?</v>
      </c>
      <c r="AA86" t="e">
        <f t="shared" ca="1" si="19"/>
        <v>#NAME?</v>
      </c>
      <c r="AB86" t="e">
        <f t="shared" ca="1" si="20"/>
        <v>#NAME?</v>
      </c>
      <c r="AC86" t="e">
        <f t="shared" ca="1" si="21"/>
        <v>#NAME?</v>
      </c>
      <c r="AE86">
        <f t="shared" si="26"/>
        <v>81</v>
      </c>
      <c r="AF86">
        <f t="shared" si="27"/>
        <v>9.155183562363236</v>
      </c>
    </row>
    <row r="87" spans="1:32" x14ac:dyDescent="0.35">
      <c r="A87">
        <f t="shared" si="22"/>
        <v>81</v>
      </c>
      <c r="B87">
        <v>4.9553368430570136E-2</v>
      </c>
      <c r="C87">
        <f t="shared" si="23"/>
        <v>9.155183562363236</v>
      </c>
      <c r="E87">
        <f t="shared" si="24"/>
        <v>82</v>
      </c>
      <c r="F87" t="e">
        <f t="shared" ca="1" si="14"/>
        <v>#NAME?</v>
      </c>
      <c r="G87" t="e">
        <f t="shared" ca="1" si="25"/>
        <v>#NAME?</v>
      </c>
      <c r="W87">
        <f t="shared" si="15"/>
        <v>82</v>
      </c>
      <c r="X87" t="e">
        <f t="shared" ca="1" si="16"/>
        <v>#NAME?</v>
      </c>
      <c r="Y87" t="e">
        <f t="shared" ca="1" si="17"/>
        <v>#NAME?</v>
      </c>
      <c r="Z87" t="e">
        <f t="shared" ca="1" si="18"/>
        <v>#NAME?</v>
      </c>
      <c r="AA87" t="e">
        <f t="shared" ca="1" si="19"/>
        <v>#NAME?</v>
      </c>
      <c r="AB87" t="e">
        <f t="shared" ca="1" si="20"/>
        <v>#NAME?</v>
      </c>
      <c r="AC87" t="e">
        <f t="shared" ca="1" si="21"/>
        <v>#NAME?</v>
      </c>
      <c r="AE87">
        <f t="shared" si="26"/>
        <v>82</v>
      </c>
      <c r="AF87">
        <f t="shared" si="27"/>
        <v>7.9920854400738497</v>
      </c>
    </row>
    <row r="88" spans="1:32" x14ac:dyDescent="0.35">
      <c r="A88">
        <f t="shared" si="22"/>
        <v>82</v>
      </c>
      <c r="B88">
        <v>-1.4066323798943021</v>
      </c>
      <c r="C88">
        <f t="shared" si="23"/>
        <v>7.9920854400738497</v>
      </c>
      <c r="E88">
        <f t="shared" si="24"/>
        <v>83</v>
      </c>
      <c r="F88" t="e">
        <f t="shared" ca="1" si="14"/>
        <v>#NAME?</v>
      </c>
      <c r="G88" t="e">
        <f t="shared" ca="1" si="25"/>
        <v>#NAME?</v>
      </c>
      <c r="W88">
        <f t="shared" si="15"/>
        <v>83</v>
      </c>
      <c r="X88" t="e">
        <f t="shared" ca="1" si="16"/>
        <v>#NAME?</v>
      </c>
      <c r="Y88" t="e">
        <f t="shared" ca="1" si="17"/>
        <v>#NAME?</v>
      </c>
      <c r="Z88" t="e">
        <f t="shared" ca="1" si="18"/>
        <v>#NAME?</v>
      </c>
      <c r="AA88" t="e">
        <f t="shared" ca="1" si="19"/>
        <v>#NAME?</v>
      </c>
      <c r="AB88" t="e">
        <f t="shared" ca="1" si="20"/>
        <v>#NAME?</v>
      </c>
      <c r="AC88" t="e">
        <f t="shared" ca="1" si="21"/>
        <v>#NAME?</v>
      </c>
      <c r="AE88">
        <f t="shared" si="26"/>
        <v>83</v>
      </c>
      <c r="AF88">
        <f t="shared" si="27"/>
        <v>10.439526996669359</v>
      </c>
    </row>
    <row r="89" spans="1:32" x14ac:dyDescent="0.35">
      <c r="A89">
        <f t="shared" si="22"/>
        <v>83</v>
      </c>
      <c r="B89">
        <v>1.5637407126388045</v>
      </c>
      <c r="C89">
        <f t="shared" si="23"/>
        <v>10.439526996669359</v>
      </c>
      <c r="E89">
        <f t="shared" si="24"/>
        <v>84</v>
      </c>
      <c r="F89" t="e">
        <f t="shared" ca="1" si="14"/>
        <v>#NAME?</v>
      </c>
      <c r="G89" t="e">
        <f t="shared" ca="1" si="25"/>
        <v>#NAME?</v>
      </c>
      <c r="W89">
        <f t="shared" si="15"/>
        <v>84</v>
      </c>
      <c r="X89" t="e">
        <f t="shared" ca="1" si="16"/>
        <v>#NAME?</v>
      </c>
      <c r="Y89" t="e">
        <f t="shared" ca="1" si="17"/>
        <v>#NAME?</v>
      </c>
      <c r="Z89" t="e">
        <f t="shared" ca="1" si="18"/>
        <v>#NAME?</v>
      </c>
      <c r="AA89" t="e">
        <f t="shared" ca="1" si="19"/>
        <v>#NAME?</v>
      </c>
      <c r="AB89" t="e">
        <f t="shared" ca="1" si="20"/>
        <v>#NAME?</v>
      </c>
      <c r="AC89" t="e">
        <f t="shared" ca="1" si="21"/>
        <v>#NAME?</v>
      </c>
      <c r="AE89">
        <f t="shared" si="26"/>
        <v>84</v>
      </c>
      <c r="AF89">
        <f t="shared" si="27"/>
        <v>11.175252728421926</v>
      </c>
    </row>
    <row r="90" spans="1:32" x14ac:dyDescent="0.35">
      <c r="A90">
        <f t="shared" si="22"/>
        <v>84</v>
      </c>
      <c r="B90">
        <v>1.1803319732811373</v>
      </c>
      <c r="C90">
        <f t="shared" si="23"/>
        <v>11.175252728421926</v>
      </c>
      <c r="E90">
        <f t="shared" si="24"/>
        <v>85</v>
      </c>
      <c r="F90" t="e">
        <f t="shared" ca="1" si="14"/>
        <v>#NAME?</v>
      </c>
      <c r="G90" t="e">
        <f t="shared" ca="1" si="25"/>
        <v>#NAME?</v>
      </c>
      <c r="W90">
        <f t="shared" si="15"/>
        <v>85</v>
      </c>
      <c r="X90" t="e">
        <f t="shared" ca="1" si="16"/>
        <v>#NAME?</v>
      </c>
      <c r="Y90" t="e">
        <f t="shared" ca="1" si="17"/>
        <v>#NAME?</v>
      </c>
      <c r="Z90" t="e">
        <f t="shared" ca="1" si="18"/>
        <v>#NAME?</v>
      </c>
      <c r="AA90" t="e">
        <f t="shared" ca="1" si="19"/>
        <v>#NAME?</v>
      </c>
      <c r="AB90" t="e">
        <f t="shared" ca="1" si="20"/>
        <v>#NAME?</v>
      </c>
      <c r="AC90" t="e">
        <f t="shared" ca="1" si="21"/>
        <v>#NAME?</v>
      </c>
      <c r="AE90">
        <f t="shared" si="26"/>
        <v>85</v>
      </c>
      <c r="AF90">
        <f t="shared" si="27"/>
        <v>9.9215034890634719</v>
      </c>
    </row>
    <row r="91" spans="1:32" x14ac:dyDescent="0.35">
      <c r="A91">
        <f t="shared" si="22"/>
        <v>85</v>
      </c>
      <c r="B91">
        <v>-0.66510702617564998</v>
      </c>
      <c r="C91">
        <f t="shared" si="23"/>
        <v>9.9215034890634719</v>
      </c>
      <c r="E91">
        <f t="shared" si="24"/>
        <v>86</v>
      </c>
      <c r="F91" t="e">
        <f t="shared" ca="1" si="14"/>
        <v>#NAME?</v>
      </c>
      <c r="G91" t="e">
        <f t="shared" ca="1" si="25"/>
        <v>#NAME?</v>
      </c>
      <c r="W91">
        <f t="shared" si="15"/>
        <v>86</v>
      </c>
      <c r="X91" t="e">
        <f t="shared" ca="1" si="16"/>
        <v>#NAME?</v>
      </c>
      <c r="Y91" t="e">
        <f t="shared" ca="1" si="17"/>
        <v>#NAME?</v>
      </c>
      <c r="Z91" t="e">
        <f t="shared" ca="1" si="18"/>
        <v>#NAME?</v>
      </c>
      <c r="AA91" t="e">
        <f t="shared" ca="1" si="19"/>
        <v>#NAME?</v>
      </c>
      <c r="AB91" t="e">
        <f t="shared" ca="1" si="20"/>
        <v>#NAME?</v>
      </c>
      <c r="AC91" t="e">
        <f t="shared" ca="1" si="21"/>
        <v>#NAME?</v>
      </c>
      <c r="AE91">
        <f t="shared" si="26"/>
        <v>86</v>
      </c>
      <c r="AF91">
        <f t="shared" si="27"/>
        <v>10.653018863925139</v>
      </c>
    </row>
    <row r="92" spans="1:32" x14ac:dyDescent="0.35">
      <c r="A92">
        <f t="shared" si="22"/>
        <v>86</v>
      </c>
      <c r="B92">
        <v>0.57494501634557904</v>
      </c>
      <c r="C92">
        <f t="shared" si="23"/>
        <v>10.653018863925139</v>
      </c>
      <c r="E92">
        <f t="shared" si="24"/>
        <v>87</v>
      </c>
      <c r="F92" t="e">
        <f t="shared" ca="1" si="14"/>
        <v>#NAME?</v>
      </c>
      <c r="G92" t="e">
        <f t="shared" ca="1" si="25"/>
        <v>#NAME?</v>
      </c>
      <c r="W92">
        <f t="shared" si="15"/>
        <v>87</v>
      </c>
      <c r="X92" t="e">
        <f t="shared" ca="1" si="16"/>
        <v>#NAME?</v>
      </c>
      <c r="Y92" t="e">
        <f t="shared" ca="1" si="17"/>
        <v>#NAME?</v>
      </c>
      <c r="Z92" t="e">
        <f t="shared" ca="1" si="18"/>
        <v>#NAME?</v>
      </c>
      <c r="AA92" t="e">
        <f t="shared" ca="1" si="19"/>
        <v>#NAME?</v>
      </c>
      <c r="AB92" t="e">
        <f t="shared" ca="1" si="20"/>
        <v>#NAME?</v>
      </c>
      <c r="AC92" t="e">
        <f t="shared" ca="1" si="21"/>
        <v>#NAME?</v>
      </c>
      <c r="AE92">
        <f t="shared" si="26"/>
        <v>87</v>
      </c>
      <c r="AF92">
        <f t="shared" si="27"/>
        <v>10.300965035959745</v>
      </c>
    </row>
    <row r="93" spans="1:32" x14ac:dyDescent="0.35">
      <c r="A93">
        <f t="shared" si="22"/>
        <v>87</v>
      </c>
      <c r="B93">
        <v>-4.1159165518735157E-2</v>
      </c>
      <c r="C93">
        <f t="shared" si="23"/>
        <v>10.300965035959745</v>
      </c>
      <c r="E93">
        <f t="shared" si="24"/>
        <v>88</v>
      </c>
      <c r="F93" t="e">
        <f t="shared" ca="1" si="14"/>
        <v>#NAME?</v>
      </c>
      <c r="G93" t="e">
        <f t="shared" ca="1" si="25"/>
        <v>#NAME?</v>
      </c>
      <c r="W93">
        <f t="shared" si="15"/>
        <v>88</v>
      </c>
      <c r="X93" t="e">
        <f t="shared" ca="1" si="16"/>
        <v>#NAME?</v>
      </c>
      <c r="Y93" t="e">
        <f t="shared" ca="1" si="17"/>
        <v>#NAME?</v>
      </c>
      <c r="Z93" t="e">
        <f t="shared" ca="1" si="18"/>
        <v>#NAME?</v>
      </c>
      <c r="AA93" t="e">
        <f t="shared" ca="1" si="19"/>
        <v>#NAME?</v>
      </c>
      <c r="AB93" t="e">
        <f t="shared" ca="1" si="20"/>
        <v>#NAME?</v>
      </c>
      <c r="AC93" t="e">
        <f t="shared" ca="1" si="21"/>
        <v>#NAME?</v>
      </c>
      <c r="AE93">
        <f t="shared" si="26"/>
        <v>88</v>
      </c>
      <c r="AF93">
        <f t="shared" si="27"/>
        <v>9.322711642040451</v>
      </c>
    </row>
    <row r="94" spans="1:32" x14ac:dyDescent="0.35">
      <c r="A94">
        <f t="shared" si="22"/>
        <v>88</v>
      </c>
      <c r="B94">
        <v>-0.89619571623511651</v>
      </c>
      <c r="C94">
        <f t="shared" si="23"/>
        <v>9.322711642040451</v>
      </c>
      <c r="E94">
        <f t="shared" si="24"/>
        <v>89</v>
      </c>
      <c r="F94" t="e">
        <f t="shared" ca="1" si="14"/>
        <v>#NAME?</v>
      </c>
      <c r="G94" t="e">
        <f t="shared" ca="1" si="25"/>
        <v>#NAME?</v>
      </c>
      <c r="W94">
        <f t="shared" si="15"/>
        <v>89</v>
      </c>
      <c r="X94" t="e">
        <f t="shared" ca="1" si="16"/>
        <v>#NAME?</v>
      </c>
      <c r="Y94" t="e">
        <f t="shared" ca="1" si="17"/>
        <v>#NAME?</v>
      </c>
      <c r="Z94" t="e">
        <f t="shared" ca="1" si="18"/>
        <v>#NAME?</v>
      </c>
      <c r="AA94" t="e">
        <f t="shared" ca="1" si="19"/>
        <v>#NAME?</v>
      </c>
      <c r="AB94" t="e">
        <f t="shared" ca="1" si="20"/>
        <v>#NAME?</v>
      </c>
      <c r="AC94" t="e">
        <f t="shared" ca="1" si="21"/>
        <v>#NAME?</v>
      </c>
      <c r="AE94">
        <f t="shared" si="26"/>
        <v>89</v>
      </c>
      <c r="AF94">
        <f t="shared" si="27"/>
        <v>11.208496897982</v>
      </c>
    </row>
    <row r="95" spans="1:32" x14ac:dyDescent="0.35">
      <c r="A95">
        <f t="shared" si="22"/>
        <v>89</v>
      </c>
      <c r="B95">
        <v>1.503359605306662</v>
      </c>
      <c r="C95">
        <f t="shared" si="23"/>
        <v>11.208496897982</v>
      </c>
      <c r="E95">
        <f t="shared" si="24"/>
        <v>90</v>
      </c>
      <c r="F95" t="e">
        <f t="shared" ca="1" si="14"/>
        <v>#NAME?</v>
      </c>
      <c r="G95" t="e">
        <f t="shared" ca="1" si="25"/>
        <v>#NAME?</v>
      </c>
      <c r="W95">
        <f t="shared" si="15"/>
        <v>90</v>
      </c>
      <c r="X95" t="e">
        <f t="shared" ca="1" si="16"/>
        <v>#NAME?</v>
      </c>
      <c r="Y95" t="e">
        <f t="shared" ca="1" si="17"/>
        <v>#NAME?</v>
      </c>
      <c r="Z95" t="e">
        <f t="shared" ca="1" si="18"/>
        <v>#NAME?</v>
      </c>
      <c r="AA95" t="e">
        <f t="shared" ca="1" si="19"/>
        <v>#NAME?</v>
      </c>
      <c r="AB95" t="e">
        <f t="shared" ca="1" si="20"/>
        <v>#NAME?</v>
      </c>
      <c r="AC95" t="e">
        <f t="shared" ca="1" si="21"/>
        <v>#NAME?</v>
      </c>
      <c r="AE95">
        <f t="shared" si="26"/>
        <v>90</v>
      </c>
      <c r="AF95">
        <f t="shared" si="27"/>
        <v>9.8337122512150579</v>
      </c>
    </row>
    <row r="96" spans="1:32" x14ac:dyDescent="0.35">
      <c r="A96">
        <f t="shared" si="22"/>
        <v>90</v>
      </c>
      <c r="B96">
        <v>-0.71156365631100782</v>
      </c>
      <c r="C96">
        <f t="shared" si="23"/>
        <v>9.8337122512150579</v>
      </c>
      <c r="E96">
        <f t="shared" si="24"/>
        <v>91</v>
      </c>
      <c r="F96" t="e">
        <f t="shared" ca="1" si="14"/>
        <v>#NAME?</v>
      </c>
      <c r="G96" t="e">
        <f t="shared" ca="1" si="25"/>
        <v>#NAME?</v>
      </c>
      <c r="W96">
        <f t="shared" si="15"/>
        <v>91</v>
      </c>
      <c r="X96" t="e">
        <f t="shared" ca="1" si="16"/>
        <v>#NAME?</v>
      </c>
      <c r="Y96" t="e">
        <f t="shared" ca="1" si="17"/>
        <v>#NAME?</v>
      </c>
      <c r="Z96" t="e">
        <f t="shared" ca="1" si="18"/>
        <v>#NAME?</v>
      </c>
      <c r="AA96" t="e">
        <f t="shared" ca="1" si="19"/>
        <v>#NAME?</v>
      </c>
      <c r="AB96" t="e">
        <f t="shared" ca="1" si="20"/>
        <v>#NAME?</v>
      </c>
      <c r="AC96" t="e">
        <f t="shared" ca="1" si="21"/>
        <v>#NAME?</v>
      </c>
      <c r="AE96">
        <f t="shared" si="26"/>
        <v>91</v>
      </c>
      <c r="AF96">
        <f t="shared" si="27"/>
        <v>11.009228904367124</v>
      </c>
    </row>
    <row r="97" spans="1:32" x14ac:dyDescent="0.35">
      <c r="A97">
        <f t="shared" si="22"/>
        <v>91</v>
      </c>
      <c r="B97">
        <v>0.98331759725438295</v>
      </c>
      <c r="C97">
        <f t="shared" si="23"/>
        <v>11.009228904367124</v>
      </c>
      <c r="E97">
        <f t="shared" si="24"/>
        <v>92</v>
      </c>
      <c r="F97" t="e">
        <f t="shared" ca="1" si="14"/>
        <v>#NAME?</v>
      </c>
      <c r="G97" t="e">
        <f t="shared" ca="1" si="25"/>
        <v>#NAME?</v>
      </c>
      <c r="W97">
        <f t="shared" si="15"/>
        <v>92</v>
      </c>
      <c r="X97" t="e">
        <f t="shared" ca="1" si="16"/>
        <v>#NAME?</v>
      </c>
      <c r="Y97" t="e">
        <f t="shared" ca="1" si="17"/>
        <v>#NAME?</v>
      </c>
      <c r="Z97" t="e">
        <f t="shared" ca="1" si="18"/>
        <v>#NAME?</v>
      </c>
      <c r="AA97" t="e">
        <f t="shared" ca="1" si="19"/>
        <v>#NAME?</v>
      </c>
      <c r="AB97" t="e">
        <f t="shared" ca="1" si="20"/>
        <v>#NAME?</v>
      </c>
      <c r="AC97" t="e">
        <f t="shared" ca="1" si="21"/>
        <v>#NAME?</v>
      </c>
      <c r="AE97">
        <f t="shared" si="26"/>
        <v>92</v>
      </c>
      <c r="AF97">
        <f t="shared" si="27"/>
        <v>9.672211664259164</v>
      </c>
    </row>
    <row r="98" spans="1:32" x14ac:dyDescent="0.35">
      <c r="A98">
        <f t="shared" si="22"/>
        <v>92</v>
      </c>
      <c r="B98">
        <v>-0.83758504934694755</v>
      </c>
      <c r="C98">
        <f t="shared" si="23"/>
        <v>9.672211664259164</v>
      </c>
      <c r="E98">
        <f t="shared" si="24"/>
        <v>93</v>
      </c>
      <c r="F98" t="e">
        <f t="shared" ca="1" si="14"/>
        <v>#NAME?</v>
      </c>
      <c r="G98" t="e">
        <f t="shared" ca="1" si="25"/>
        <v>#NAME?</v>
      </c>
      <c r="W98">
        <f t="shared" si="15"/>
        <v>93</v>
      </c>
      <c r="X98" t="e">
        <f t="shared" ca="1" si="16"/>
        <v>#NAME?</v>
      </c>
      <c r="Y98" t="e">
        <f t="shared" ca="1" si="17"/>
        <v>#NAME?</v>
      </c>
      <c r="Z98" t="e">
        <f t="shared" ca="1" si="18"/>
        <v>#NAME?</v>
      </c>
      <c r="AA98" t="e">
        <f t="shared" ca="1" si="19"/>
        <v>#NAME?</v>
      </c>
      <c r="AB98" t="e">
        <f t="shared" ca="1" si="20"/>
        <v>#NAME?</v>
      </c>
      <c r="AC98" t="e">
        <f t="shared" ca="1" si="21"/>
        <v>#NAME?</v>
      </c>
      <c r="AE98">
        <f t="shared" si="26"/>
        <v>93</v>
      </c>
      <c r="AF98">
        <f t="shared" si="27"/>
        <v>8.0220551654262664</v>
      </c>
    </row>
    <row r="99" spans="1:32" x14ac:dyDescent="0.35">
      <c r="A99">
        <f t="shared" si="22"/>
        <v>93</v>
      </c>
      <c r="B99">
        <v>-1.9160100094245356</v>
      </c>
      <c r="C99">
        <f t="shared" si="23"/>
        <v>8.0220551654262664</v>
      </c>
      <c r="E99">
        <f t="shared" si="24"/>
        <v>94</v>
      </c>
      <c r="F99" t="e">
        <f t="shared" ca="1" si="14"/>
        <v>#NAME?</v>
      </c>
      <c r="G99" t="e">
        <f t="shared" ca="1" si="25"/>
        <v>#NAME?</v>
      </c>
      <c r="W99">
        <f t="shared" si="15"/>
        <v>94</v>
      </c>
      <c r="X99" t="e">
        <f t="shared" ca="1" si="16"/>
        <v>#NAME?</v>
      </c>
      <c r="Y99" t="e">
        <f t="shared" ca="1" si="17"/>
        <v>#NAME?</v>
      </c>
      <c r="Z99" t="e">
        <f t="shared" ca="1" si="18"/>
        <v>#NAME?</v>
      </c>
      <c r="AA99" t="e">
        <f t="shared" ca="1" si="19"/>
        <v>#NAME?</v>
      </c>
      <c r="AB99" t="e">
        <f t="shared" ca="1" si="20"/>
        <v>#NAME?</v>
      </c>
      <c r="AC99" t="e">
        <f t="shared" ca="1" si="21"/>
        <v>#NAME?</v>
      </c>
      <c r="AE99">
        <f t="shared" si="26"/>
        <v>94</v>
      </c>
      <c r="AF99">
        <f t="shared" si="27"/>
        <v>9.1001604867082797</v>
      </c>
    </row>
    <row r="100" spans="1:32" x14ac:dyDescent="0.35">
      <c r="A100">
        <f t="shared" si="22"/>
        <v>94</v>
      </c>
      <c r="B100">
        <v>0.10151986902498664</v>
      </c>
      <c r="C100">
        <f t="shared" si="23"/>
        <v>9.1001604867082797</v>
      </c>
      <c r="E100">
        <f t="shared" si="24"/>
        <v>95</v>
      </c>
      <c r="F100" t="e">
        <f t="shared" ca="1" si="14"/>
        <v>#NAME?</v>
      </c>
      <c r="G100" t="e">
        <f t="shared" ca="1" si="25"/>
        <v>#NAME?</v>
      </c>
      <c r="W100">
        <f t="shared" si="15"/>
        <v>95</v>
      </c>
      <c r="X100" t="e">
        <f t="shared" ca="1" si="16"/>
        <v>#NAME?</v>
      </c>
      <c r="Y100" t="e">
        <f t="shared" ca="1" si="17"/>
        <v>#NAME?</v>
      </c>
      <c r="Z100" t="e">
        <f t="shared" ca="1" si="18"/>
        <v>#NAME?</v>
      </c>
      <c r="AA100" t="e">
        <f t="shared" ca="1" si="19"/>
        <v>#NAME?</v>
      </c>
      <c r="AB100" t="e">
        <f t="shared" ca="1" si="20"/>
        <v>#NAME?</v>
      </c>
      <c r="AC100" t="e">
        <f t="shared" ca="1" si="21"/>
        <v>#NAME?</v>
      </c>
      <c r="AE100">
        <f t="shared" si="26"/>
        <v>95</v>
      </c>
      <c r="AF100">
        <f t="shared" si="27"/>
        <v>10.293563569831946</v>
      </c>
    </row>
    <row r="101" spans="1:32" x14ac:dyDescent="0.35">
      <c r="A101">
        <f t="shared" si="22"/>
        <v>95</v>
      </c>
      <c r="B101">
        <v>0.94375520294114768</v>
      </c>
      <c r="C101">
        <f t="shared" si="23"/>
        <v>10.293563569831946</v>
      </c>
      <c r="E101">
        <f t="shared" si="24"/>
        <v>96</v>
      </c>
      <c r="F101" t="e">
        <f t="shared" ca="1" si="14"/>
        <v>#NAME?</v>
      </c>
      <c r="G101" t="e">
        <f t="shared" ca="1" si="25"/>
        <v>#NAME?</v>
      </c>
      <c r="W101">
        <f t="shared" si="15"/>
        <v>96</v>
      </c>
      <c r="X101" t="e">
        <f t="shared" ca="1" si="16"/>
        <v>#NAME?</v>
      </c>
      <c r="Y101" t="e">
        <f t="shared" ca="1" si="17"/>
        <v>#NAME?</v>
      </c>
      <c r="Z101" t="e">
        <f t="shared" ca="1" si="18"/>
        <v>#NAME?</v>
      </c>
      <c r="AA101" t="e">
        <f t="shared" ca="1" si="19"/>
        <v>#NAME?</v>
      </c>
      <c r="AB101" t="e">
        <f t="shared" ca="1" si="20"/>
        <v>#NAME?</v>
      </c>
      <c r="AC101" t="e">
        <f t="shared" ca="1" si="21"/>
        <v>#NAME?</v>
      </c>
      <c r="AE101">
        <f t="shared" si="26"/>
        <v>96</v>
      </c>
      <c r="AF101">
        <f t="shared" si="27"/>
        <v>10.874137892356456</v>
      </c>
    </row>
    <row r="102" spans="1:32" x14ac:dyDescent="0.35">
      <c r="A102">
        <f t="shared" si="22"/>
        <v>96</v>
      </c>
      <c r="B102">
        <v>0.85739443406232374</v>
      </c>
      <c r="C102">
        <f t="shared" si="23"/>
        <v>10.874137892356456</v>
      </c>
      <c r="E102">
        <f t="shared" si="24"/>
        <v>97</v>
      </c>
      <c r="F102" t="e">
        <f t="shared" ca="1" si="14"/>
        <v>#NAME?</v>
      </c>
      <c r="G102" t="e">
        <f t="shared" ca="1" si="25"/>
        <v>#NAME?</v>
      </c>
      <c r="W102">
        <f t="shared" si="15"/>
        <v>97</v>
      </c>
      <c r="X102" t="e">
        <f t="shared" ca="1" si="16"/>
        <v>#NAME?</v>
      </c>
      <c r="Y102" t="e">
        <f t="shared" ca="1" si="17"/>
        <v>#NAME?</v>
      </c>
      <c r="Z102" t="e">
        <f t="shared" ca="1" si="18"/>
        <v>#NAME?</v>
      </c>
      <c r="AA102" t="e">
        <f t="shared" ca="1" si="19"/>
        <v>#NAME?</v>
      </c>
      <c r="AB102" t="e">
        <f t="shared" ca="1" si="20"/>
        <v>#NAME?</v>
      </c>
      <c r="AC102" t="e">
        <f t="shared" ca="1" si="21"/>
        <v>#NAME?</v>
      </c>
      <c r="AE102">
        <f t="shared" si="26"/>
        <v>97</v>
      </c>
      <c r="AF102">
        <f t="shared" si="27"/>
        <v>11.048588930382071</v>
      </c>
    </row>
    <row r="103" spans="1:32" x14ac:dyDescent="0.35">
      <c r="A103">
        <f t="shared" si="22"/>
        <v>97</v>
      </c>
      <c r="B103">
        <v>0.60817129254501401</v>
      </c>
      <c r="C103">
        <f t="shared" si="23"/>
        <v>11.048588930382071</v>
      </c>
      <c r="E103">
        <f t="shared" si="24"/>
        <v>98</v>
      </c>
      <c r="F103" t="e">
        <f t="shared" ca="1" si="14"/>
        <v>#NAME?</v>
      </c>
      <c r="G103" t="e">
        <f t="shared" ca="1" si="25"/>
        <v>#NAME?</v>
      </c>
      <c r="W103">
        <f t="shared" si="15"/>
        <v>98</v>
      </c>
      <c r="X103" t="e">
        <f t="shared" ca="1" si="16"/>
        <v>#NAME?</v>
      </c>
      <c r="Y103" t="e">
        <f t="shared" ca="1" si="17"/>
        <v>#NAME?</v>
      </c>
      <c r="Z103" t="e">
        <f t="shared" ca="1" si="18"/>
        <v>#NAME?</v>
      </c>
      <c r="AA103" t="e">
        <f t="shared" ca="1" si="19"/>
        <v>#NAME?</v>
      </c>
      <c r="AB103" t="e">
        <f t="shared" ca="1" si="20"/>
        <v>#NAME?</v>
      </c>
      <c r="AC103" t="e">
        <f t="shared" ca="1" si="21"/>
        <v>#NAME?</v>
      </c>
      <c r="AE103">
        <f t="shared" si="26"/>
        <v>98</v>
      </c>
      <c r="AF103">
        <f t="shared" si="27"/>
        <v>10.377103608405847</v>
      </c>
    </row>
    <row r="104" spans="1:32" x14ac:dyDescent="0.35">
      <c r="A104">
        <f t="shared" si="22"/>
        <v>98</v>
      </c>
      <c r="B104">
        <v>-0.23527438435259732</v>
      </c>
      <c r="C104">
        <f t="shared" si="23"/>
        <v>10.377103608405847</v>
      </c>
      <c r="E104">
        <f t="shared" si="24"/>
        <v>99</v>
      </c>
      <c r="F104" t="e">
        <f t="shared" ca="1" si="14"/>
        <v>#NAME?</v>
      </c>
      <c r="G104" t="e">
        <f t="shared" ca="1" si="25"/>
        <v>#NAME?</v>
      </c>
      <c r="W104">
        <f t="shared" si="15"/>
        <v>99</v>
      </c>
      <c r="X104" t="e">
        <f t="shared" ca="1" si="16"/>
        <v>#NAME?</v>
      </c>
      <c r="Y104" t="e">
        <f t="shared" ca="1" si="17"/>
        <v>#NAME?</v>
      </c>
      <c r="Z104" t="e">
        <f t="shared" ca="1" si="18"/>
        <v>#NAME?</v>
      </c>
      <c r="AA104" t="e">
        <f t="shared" ca="1" si="19"/>
        <v>#NAME?</v>
      </c>
      <c r="AB104" t="e">
        <f t="shared" ca="1" si="20"/>
        <v>#NAME?</v>
      </c>
      <c r="AC104" t="e">
        <f t="shared" ca="1" si="21"/>
        <v>#NAME?</v>
      </c>
      <c r="AE104">
        <f t="shared" si="26"/>
        <v>99</v>
      </c>
      <c r="AF104">
        <f t="shared" si="27"/>
        <v>11.10073340647541</v>
      </c>
    </row>
    <row r="105" spans="1:32" x14ac:dyDescent="0.35">
      <c r="A105">
        <f t="shared" si="22"/>
        <v>99</v>
      </c>
      <c r="B105">
        <v>0.78970600372079702</v>
      </c>
      <c r="C105">
        <f t="shared" si="23"/>
        <v>11.10073340647541</v>
      </c>
      <c r="E105">
        <f t="shared" si="24"/>
        <v>100</v>
      </c>
      <c r="F105" t="e">
        <f t="shared" ca="1" si="14"/>
        <v>#NAME?</v>
      </c>
      <c r="G105" t="e">
        <f t="shared" ca="1" si="25"/>
        <v>#NAME?</v>
      </c>
      <c r="W105">
        <f t="shared" si="15"/>
        <v>100</v>
      </c>
      <c r="X105" t="e">
        <f t="shared" ca="1" si="16"/>
        <v>#NAME?</v>
      </c>
      <c r="Y105" t="e">
        <f t="shared" ca="1" si="17"/>
        <v>#NAME?</v>
      </c>
      <c r="Z105" t="e">
        <f t="shared" ca="1" si="18"/>
        <v>#NAME?</v>
      </c>
      <c r="AA105" t="e">
        <f t="shared" ca="1" si="19"/>
        <v>#NAME?</v>
      </c>
      <c r="AB105" t="e">
        <f t="shared" ca="1" si="20"/>
        <v>#NAME?</v>
      </c>
      <c r="AC105" t="e">
        <f t="shared" ca="1" si="21"/>
        <v>#NAME?</v>
      </c>
      <c r="AE105">
        <f t="shared" si="26"/>
        <v>100</v>
      </c>
      <c r="AF105">
        <f t="shared" si="27"/>
        <v>9.5564566897714425</v>
      </c>
    </row>
    <row r="106" spans="1:32" x14ac:dyDescent="0.35">
      <c r="A106">
        <f t="shared" si="22"/>
        <v>100</v>
      </c>
      <c r="B106">
        <v>-1.0561154940171853</v>
      </c>
      <c r="C106">
        <f t="shared" si="23"/>
        <v>9.5564566897714425</v>
      </c>
      <c r="E106">
        <f t="shared" si="24"/>
        <v>101</v>
      </c>
      <c r="F106" t="e">
        <f t="shared" ca="1" si="14"/>
        <v>#NAME?</v>
      </c>
      <c r="G106" t="e">
        <f t="shared" ca="1" si="25"/>
        <v>#NAME?</v>
      </c>
      <c r="W106">
        <f t="shared" si="15"/>
        <v>101</v>
      </c>
      <c r="X106" t="e">
        <f t="shared" ca="1" si="16"/>
        <v>#NAME?</v>
      </c>
      <c r="Y106" t="e">
        <f t="shared" ca="1" si="17"/>
        <v>#NAME?</v>
      </c>
      <c r="Z106" t="e">
        <f t="shared" ca="1" si="18"/>
        <v>#NAME?</v>
      </c>
      <c r="AA106" t="e">
        <f t="shared" ca="1" si="19"/>
        <v>#NAME?</v>
      </c>
      <c r="AB106" t="e">
        <f t="shared" ca="1" si="20"/>
        <v>#NAME?</v>
      </c>
      <c r="AC106" t="e">
        <f t="shared" ca="1" si="21"/>
        <v>#NAME?</v>
      </c>
      <c r="AE106">
        <f t="shared" si="26"/>
        <v>101</v>
      </c>
      <c r="AF106">
        <f t="shared" si="27"/>
        <v>10.126612012197914</v>
      </c>
    </row>
    <row r="107" spans="1:32" x14ac:dyDescent="0.35">
      <c r="A107">
        <f t="shared" si="22"/>
        <v>101</v>
      </c>
      <c r="B107">
        <v>0.22586923055446753</v>
      </c>
      <c r="C107">
        <f t="shared" si="23"/>
        <v>10.126612012197914</v>
      </c>
      <c r="E107">
        <f t="shared" si="24"/>
        <v>102</v>
      </c>
      <c r="F107" t="e">
        <f t="shared" ca="1" si="14"/>
        <v>#NAME?</v>
      </c>
      <c r="G107" t="e">
        <f t="shared" ca="1" si="25"/>
        <v>#NAME?</v>
      </c>
      <c r="W107">
        <f t="shared" si="15"/>
        <v>102</v>
      </c>
      <c r="X107" t="e">
        <f t="shared" ca="1" si="16"/>
        <v>#NAME?</v>
      </c>
      <c r="Y107" t="e">
        <f t="shared" ca="1" si="17"/>
        <v>#NAME?</v>
      </c>
      <c r="Z107" t="e">
        <f t="shared" ca="1" si="18"/>
        <v>#NAME?</v>
      </c>
      <c r="AA107" t="e">
        <f t="shared" ca="1" si="19"/>
        <v>#NAME?</v>
      </c>
      <c r="AB107" t="e">
        <f t="shared" ca="1" si="20"/>
        <v>#NAME?</v>
      </c>
      <c r="AC107" t="e">
        <f t="shared" ca="1" si="21"/>
        <v>#NAME?</v>
      </c>
      <c r="AE107">
        <f t="shared" si="26"/>
        <v>102</v>
      </c>
      <c r="AF107">
        <f t="shared" si="27"/>
        <v>10.618656799718755</v>
      </c>
    </row>
    <row r="108" spans="1:32" x14ac:dyDescent="0.35">
      <c r="A108">
        <f t="shared" si="22"/>
        <v>102</v>
      </c>
      <c r="B108">
        <v>0.57520223729110798</v>
      </c>
      <c r="C108">
        <f t="shared" si="23"/>
        <v>10.618656799718755</v>
      </c>
      <c r="E108">
        <f t="shared" si="24"/>
        <v>103</v>
      </c>
      <c r="F108" t="e">
        <f t="shared" ca="1" si="14"/>
        <v>#NAME?</v>
      </c>
      <c r="G108" t="e">
        <f t="shared" ca="1" si="25"/>
        <v>#NAME?</v>
      </c>
      <c r="W108">
        <f t="shared" si="15"/>
        <v>103</v>
      </c>
      <c r="X108" t="e">
        <f t="shared" ca="1" si="16"/>
        <v>#NAME?</v>
      </c>
      <c r="Y108" t="e">
        <f t="shared" ca="1" si="17"/>
        <v>#NAME?</v>
      </c>
      <c r="Z108" t="e">
        <f t="shared" ca="1" si="18"/>
        <v>#NAME?</v>
      </c>
      <c r="AA108" t="e">
        <f t="shared" ca="1" si="19"/>
        <v>#NAME?</v>
      </c>
      <c r="AB108" t="e">
        <f t="shared" ca="1" si="20"/>
        <v>#NAME?</v>
      </c>
      <c r="AC108" t="e">
        <f t="shared" ca="1" si="21"/>
        <v>#NAME?</v>
      </c>
      <c r="AE108">
        <f t="shared" si="26"/>
        <v>103</v>
      </c>
      <c r="AF108">
        <f t="shared" si="27"/>
        <v>11.369377647513675</v>
      </c>
    </row>
    <row r="109" spans="1:32" x14ac:dyDescent="0.35">
      <c r="A109">
        <f t="shared" si="22"/>
        <v>103</v>
      </c>
      <c r="B109">
        <v>1.051358335168767</v>
      </c>
      <c r="C109">
        <f t="shared" si="23"/>
        <v>11.369377647513675</v>
      </c>
      <c r="E109">
        <f t="shared" si="24"/>
        <v>104</v>
      </c>
      <c r="F109" t="e">
        <f t="shared" ca="1" si="14"/>
        <v>#NAME?</v>
      </c>
      <c r="G109" t="e">
        <f t="shared" ca="1" si="25"/>
        <v>#NAME?</v>
      </c>
      <c r="W109">
        <f t="shared" si="15"/>
        <v>104</v>
      </c>
      <c r="X109" t="e">
        <f t="shared" ca="1" si="16"/>
        <v>#NAME?</v>
      </c>
      <c r="Y109" t="e">
        <f t="shared" ca="1" si="17"/>
        <v>#NAME?</v>
      </c>
      <c r="Z109" t="e">
        <f t="shared" ca="1" si="18"/>
        <v>#NAME?</v>
      </c>
      <c r="AA109" t="e">
        <f t="shared" ca="1" si="19"/>
        <v>#NAME?</v>
      </c>
      <c r="AB109" t="e">
        <f t="shared" ca="1" si="20"/>
        <v>#NAME?</v>
      </c>
      <c r="AC109" t="e">
        <f t="shared" ca="1" si="21"/>
        <v>#NAME?</v>
      </c>
      <c r="AE109">
        <f t="shared" si="26"/>
        <v>104</v>
      </c>
      <c r="AF109">
        <f t="shared" si="27"/>
        <v>10.761442220235375</v>
      </c>
    </row>
    <row r="110" spans="1:32" x14ac:dyDescent="0.35">
      <c r="A110">
        <f t="shared" si="22"/>
        <v>104</v>
      </c>
      <c r="B110">
        <v>1.3149534009556497E-2</v>
      </c>
      <c r="C110">
        <f t="shared" si="23"/>
        <v>10.761442220235375</v>
      </c>
      <c r="E110" s="4">
        <f t="shared" si="24"/>
        <v>105</v>
      </c>
      <c r="F110" s="4" t="e">
        <f t="shared" ca="1" si="14"/>
        <v>#NAME?</v>
      </c>
      <c r="G110" s="4" t="e">
        <f t="shared" ca="1" si="25"/>
        <v>#NAME?</v>
      </c>
      <c r="W110">
        <f t="shared" si="15"/>
        <v>105</v>
      </c>
      <c r="X110" t="e">
        <f t="shared" ca="1" si="16"/>
        <v>#NAME?</v>
      </c>
      <c r="Y110" t="e">
        <f t="shared" ca="1" si="17"/>
        <v>#NAME?</v>
      </c>
      <c r="Z110" t="e">
        <f t="shared" ca="1" si="18"/>
        <v>#NAME?</v>
      </c>
      <c r="AA110" t="e">
        <f t="shared" ca="1" si="19"/>
        <v>#NAME?</v>
      </c>
      <c r="AB110" t="e">
        <f t="shared" ca="1" si="20"/>
        <v>#NAME?</v>
      </c>
      <c r="AC110" t="e">
        <f t="shared" ca="1" si="21"/>
        <v>#NAME?</v>
      </c>
      <c r="AE110" s="4">
        <f t="shared" si="26"/>
        <v>105</v>
      </c>
      <c r="AF110" s="4">
        <f t="shared" si="27"/>
        <v>11.954765055482959</v>
      </c>
    </row>
    <row r="111" spans="1:32" x14ac:dyDescent="0.35">
      <c r="A111">
        <f t="shared" si="22"/>
        <v>105</v>
      </c>
      <c r="B111" s="4">
        <v>1.4243854081201066</v>
      </c>
      <c r="C111" s="4">
        <f t="shared" si="23"/>
        <v>11.954765055482959</v>
      </c>
      <c r="W111">
        <f>W110+1</f>
        <v>106</v>
      </c>
      <c r="Z111" t="e">
        <f ca="1">SUMPRODUCT(X110,J$6)+SUMPRODUCT(Y110,K$6)</f>
        <v>#NAME?</v>
      </c>
      <c r="AA111" t="e">
        <f ca="1">K$16*SQRT(SUMSQ(N$16:N16))</f>
        <v>#NAME?</v>
      </c>
      <c r="AB111" t="e">
        <f ca="1">Z111-NORMSINV(1-AA$4/2)*AA111</f>
        <v>#NAME?</v>
      </c>
      <c r="AC111" t="e">
        <f ca="1">Z111+NORMSINV(1-AA$4/2)*AA111</f>
        <v>#NAME?</v>
      </c>
      <c r="AE111">
        <f t="shared" si="26"/>
        <v>106</v>
      </c>
      <c r="AF111" t="e">
        <f ca="1">Z111+K$7</f>
        <v>#NAME?</v>
      </c>
    </row>
    <row r="112" spans="1:32" x14ac:dyDescent="0.35">
      <c r="W112">
        <f>W111+1</f>
        <v>107</v>
      </c>
      <c r="Z112" t="e">
        <f ca="1">SUMPRODUCT(Z111,J6)</f>
        <v>#NAME?</v>
      </c>
      <c r="AA112" t="e">
        <f ca="1">K$16*SQRT(SUMSQ(N$16:N17))</f>
        <v>#NAME?</v>
      </c>
      <c r="AB112" t="e">
        <f ca="1">Z112-NORMSINV(1-AA$4/2)*AA112</f>
        <v>#NAME?</v>
      </c>
      <c r="AC112" t="e">
        <f ca="1">Z112+NORMSINV(1-AA$4/2)*AA112</f>
        <v>#NAME?</v>
      </c>
      <c r="AE112">
        <f t="shared" si="26"/>
        <v>107</v>
      </c>
      <c r="AF112" t="e">
        <f ca="1">Z112+K$7</f>
        <v>#NAME?</v>
      </c>
    </row>
    <row r="113" spans="2:32" x14ac:dyDescent="0.35">
      <c r="B113" s="20" t="s">
        <v>226</v>
      </c>
      <c r="W113">
        <f>W112+1</f>
        <v>108</v>
      </c>
      <c r="Z113" t="e">
        <f ca="1">SUMPRODUCT(Z112,J6)</f>
        <v>#NAME?</v>
      </c>
      <c r="AA113" t="e">
        <f ca="1">K$16*SQRT(SUMSQ(N$16:N18))</f>
        <v>#NAME?</v>
      </c>
      <c r="AB113" t="e">
        <f ca="1">Z113-NORMSINV(1-AA$4/2)*AA113</f>
        <v>#NAME?</v>
      </c>
      <c r="AC113" t="e">
        <f ca="1">Z113+NORMSINV(1-AA$4/2)*AA113</f>
        <v>#NAME?</v>
      </c>
      <c r="AE113">
        <f t="shared" si="26"/>
        <v>108</v>
      </c>
      <c r="AF113" t="e">
        <f ca="1">Z113+K$7</f>
        <v>#NAME?</v>
      </c>
    </row>
    <row r="114" spans="2:32" x14ac:dyDescent="0.35">
      <c r="W114">
        <f>W113+1</f>
        <v>109</v>
      </c>
      <c r="Z114" t="e">
        <f ca="1">SUMPRODUCT(Z113,J6)</f>
        <v>#NAME?</v>
      </c>
      <c r="AA114" t="e">
        <f ca="1">K$16*SQRT(SUMSQ(N$16:N19))</f>
        <v>#NAME?</v>
      </c>
      <c r="AB114" t="e">
        <f ca="1">Z114-NORMSINV(1-AA$4/2)*AA114</f>
        <v>#NAME?</v>
      </c>
      <c r="AC114" t="e">
        <f ca="1">Z114+NORMSINV(1-AA$4/2)*AA114</f>
        <v>#NAME?</v>
      </c>
      <c r="AE114">
        <f t="shared" si="26"/>
        <v>109</v>
      </c>
      <c r="AF114" t="e">
        <f ca="1">Z114+K$7</f>
        <v>#NAME?</v>
      </c>
    </row>
    <row r="115" spans="2:32" x14ac:dyDescent="0.35">
      <c r="W115" s="4">
        <f>W114+1</f>
        <v>110</v>
      </c>
      <c r="X115" s="4"/>
      <c r="Y115" s="4"/>
      <c r="Z115" s="4" t="e">
        <f ca="1">SUMPRODUCT(Z114,J6)</f>
        <v>#NAME?</v>
      </c>
      <c r="AA115" s="4" t="e">
        <f ca="1">K$16*SQRT(SUMSQ(N$16:N20))</f>
        <v>#NAME?</v>
      </c>
      <c r="AB115" s="4" t="e">
        <f ca="1">Z115-NORMSINV(1-AA$4/2)*AA115</f>
        <v>#NAME?</v>
      </c>
      <c r="AC115" s="4" t="e">
        <f ca="1">Z115+NORMSINV(1-AA$4/2)*AA115</f>
        <v>#NAME?</v>
      </c>
      <c r="AE115" s="4">
        <f t="shared" si="26"/>
        <v>110</v>
      </c>
      <c r="AF115" s="4" t="e">
        <f ca="1">Z115+K$7</f>
        <v>#NAME?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44"/>
  <dimension ref="A1:AE115"/>
  <sheetViews>
    <sheetView workbookViewId="0"/>
  </sheetViews>
  <sheetFormatPr defaultRowHeight="14.5" x14ac:dyDescent="0.35"/>
  <cols>
    <col min="1" max="1" width="4.81640625" customWidth="1"/>
    <col min="10" max="11" width="9.81640625" customWidth="1"/>
  </cols>
  <sheetData>
    <row r="1" spans="1:31" x14ac:dyDescent="0.35">
      <c r="A1" s="7" t="s">
        <v>224</v>
      </c>
    </row>
    <row r="2" spans="1:31" s="72" customFormat="1" x14ac:dyDescent="0.35"/>
    <row r="3" spans="1:31" s="72" customFormat="1" ht="15" customHeight="1" x14ac:dyDescent="0.35">
      <c r="A3" s="72" t="s">
        <v>225</v>
      </c>
      <c r="E3" s="72" t="s">
        <v>353</v>
      </c>
      <c r="I3" s="72" t="s">
        <v>355</v>
      </c>
      <c r="M3" s="72" t="s">
        <v>374</v>
      </c>
      <c r="Q3" s="72" t="s">
        <v>379</v>
      </c>
      <c r="V3" s="72" t="s">
        <v>383</v>
      </c>
      <c r="AD3" s="72" t="s">
        <v>384</v>
      </c>
    </row>
    <row r="4" spans="1:31" s="72" customFormat="1" ht="15" thickBot="1" x14ac:dyDescent="0.4">
      <c r="Y4" s="72" t="s">
        <v>156</v>
      </c>
      <c r="Z4" s="72">
        <v>0.05</v>
      </c>
    </row>
    <row r="5" spans="1:31" ht="15" thickTop="1" x14ac:dyDescent="0.35">
      <c r="B5" s="114" t="s">
        <v>107</v>
      </c>
      <c r="C5" s="114" t="s">
        <v>110</v>
      </c>
      <c r="E5" s="45" t="s">
        <v>291</v>
      </c>
      <c r="F5" s="45" t="s">
        <v>194</v>
      </c>
      <c r="G5" s="45" t="s">
        <v>354</v>
      </c>
      <c r="I5" s="45" t="s">
        <v>356</v>
      </c>
      <c r="J5" s="45" t="s">
        <v>357</v>
      </c>
      <c r="K5" s="45" t="s">
        <v>358</v>
      </c>
      <c r="M5" s="45" t="s">
        <v>173</v>
      </c>
      <c r="N5" s="45" t="s">
        <v>174</v>
      </c>
      <c r="O5" s="45" t="s">
        <v>375</v>
      </c>
      <c r="Q5" s="45" t="s">
        <v>380</v>
      </c>
      <c r="R5" s="45" t="s">
        <v>167</v>
      </c>
      <c r="S5" s="45" t="s">
        <v>297</v>
      </c>
      <c r="T5" s="45" t="s">
        <v>92</v>
      </c>
      <c r="V5" s="45" t="s">
        <v>291</v>
      </c>
      <c r="W5" s="45" t="s">
        <v>194</v>
      </c>
      <c r="X5" s="45" t="s">
        <v>354</v>
      </c>
      <c r="Y5" s="45" t="s">
        <v>138</v>
      </c>
      <c r="Z5" s="45" t="s">
        <v>81</v>
      </c>
      <c r="AA5" s="45" t="s">
        <v>127</v>
      </c>
      <c r="AB5" s="45" t="s">
        <v>128</v>
      </c>
      <c r="AD5" s="45" t="s">
        <v>291</v>
      </c>
      <c r="AE5" s="45" t="s">
        <v>179</v>
      </c>
    </row>
    <row r="6" spans="1:31" x14ac:dyDescent="0.35">
      <c r="B6" s="115"/>
      <c r="C6" s="115"/>
      <c r="E6">
        <v>1</v>
      </c>
      <c r="F6">
        <f>C7-K$7</f>
        <v>-7.030007746961946</v>
      </c>
      <c r="G6">
        <v>0</v>
      </c>
      <c r="I6" s="115">
        <v>1</v>
      </c>
      <c r="J6">
        <v>0.75099344092444753</v>
      </c>
      <c r="K6">
        <v>-0.48632527191137559</v>
      </c>
      <c r="M6" s="104" t="e">
        <f t="array" aca="1" ref="M6:O6" ca="1">ARRoots(J6)</f>
        <v>#NAME?</v>
      </c>
      <c r="N6" s="104" t="e">
        <f ca="1"/>
        <v>#NAME?</v>
      </c>
      <c r="O6" s="104" t="e">
        <f ca="1"/>
        <v>#NAME?</v>
      </c>
      <c r="Q6" t="s">
        <v>381</v>
      </c>
      <c r="R6">
        <f>J6</f>
        <v>0.75099344092444753</v>
      </c>
      <c r="S6" t="e" cm="1">
        <f t="array" aca="1" ref="S6" ca="1">ARMA_SSE(F6:F110,R6,R7,0,1)</f>
        <v>#NAME?</v>
      </c>
      <c r="T6" t="e">
        <f ca="1">CHIDIST(K19*(LN(S6)-LN(K9)),1)</f>
        <v>#NAME?</v>
      </c>
      <c r="V6">
        <f>E6</f>
        <v>1</v>
      </c>
      <c r="W6">
        <f>F6</f>
        <v>-7.030007746961946</v>
      </c>
      <c r="X6">
        <f>G6</f>
        <v>0</v>
      </c>
      <c r="Y6">
        <f>W6-X6</f>
        <v>-7.030007746961946</v>
      </c>
      <c r="Z6">
        <f>K$16</f>
        <v>1.024464433991406</v>
      </c>
      <c r="AA6">
        <f>Y6-NORMSINV(1-Z$4/2)*Z6</f>
        <v>-9.0379211410273133</v>
      </c>
      <c r="AB6">
        <f>Y6+NORMSINV(1-Z$4/2)*Z6</f>
        <v>-5.0220943528965787</v>
      </c>
      <c r="AD6">
        <v>1</v>
      </c>
      <c r="AE6">
        <f>C7</f>
        <v>3.1176756475655343</v>
      </c>
    </row>
    <row r="7" spans="1:31" x14ac:dyDescent="0.35">
      <c r="A7">
        <v>1</v>
      </c>
      <c r="B7">
        <v>0.11767564756553417</v>
      </c>
      <c r="C7">
        <f>3+0.7*C6+B7-0.2*B6</f>
        <v>3.1176756475655343</v>
      </c>
      <c r="E7">
        <f>E6+1</f>
        <v>2</v>
      </c>
      <c r="F7">
        <f t="shared" ref="F7:F70" si="0">C8-K$7</f>
        <v>-4.3394323087285525</v>
      </c>
      <c r="G7">
        <f>F7-SUMPRODUCT(F6,J$6)-SUMPRODUCT(G6,K$6)</f>
        <v>0.94005739888792217</v>
      </c>
      <c r="I7" s="10" t="s">
        <v>359</v>
      </c>
      <c r="J7" s="4">
        <f>K7*(1-SUM(J6))</f>
        <v>2.5268397246594096</v>
      </c>
      <c r="K7" s="4">
        <v>10.14768339452748</v>
      </c>
      <c r="Q7" t="s">
        <v>382</v>
      </c>
      <c r="R7">
        <f>K6</f>
        <v>-0.48632527191137559</v>
      </c>
      <c r="S7" t="e" cm="1">
        <f t="array" aca="1" ref="S7" ca="1">ARMA_SSE(F6:F110,R6,R7,0,,1)</f>
        <v>#NAME?</v>
      </c>
      <c r="T7" t="e">
        <f ca="1">CHIDIST(K19*(LN(S7)-LN(K9)),1)</f>
        <v>#NAME?</v>
      </c>
      <c r="V7">
        <f t="shared" ref="V7:V70" si="1">E7</f>
        <v>2</v>
      </c>
      <c r="W7">
        <f t="shared" ref="W7:W70" si="2">F7</f>
        <v>-4.3394323087285525</v>
      </c>
      <c r="X7">
        <f t="shared" ref="X7:X70" si="3">G7</f>
        <v>0.94005739888792217</v>
      </c>
      <c r="Y7">
        <f t="shared" ref="Y7:Y70" si="4">W7-X7</f>
        <v>-5.2794897076164746</v>
      </c>
      <c r="Z7">
        <f t="shared" ref="Z7:Z70" si="5">K$16</f>
        <v>1.024464433991406</v>
      </c>
      <c r="AA7">
        <f t="shared" ref="AA7:AA70" si="6">Y7-NORMSINV(1-Z$4/2)*Z7</f>
        <v>-7.287403101681841</v>
      </c>
      <c r="AB7">
        <f t="shared" ref="AB7:AB70" si="7">Y7+NORMSINV(1-Z$4/2)*Z7</f>
        <v>-3.2715763135511078</v>
      </c>
      <c r="AD7">
        <f>AD6+1</f>
        <v>2</v>
      </c>
      <c r="AE7">
        <f>C8</f>
        <v>5.8082510857989273</v>
      </c>
    </row>
    <row r="8" spans="1:31" x14ac:dyDescent="0.35">
      <c r="A8">
        <f t="shared" ref="A8:A71" si="8">A7+1</f>
        <v>2</v>
      </c>
      <c r="B8">
        <v>0.64941326201616068</v>
      </c>
      <c r="C8">
        <f t="shared" ref="C8:C71" si="9">3+0.7*C7+B8-0.2*B7</f>
        <v>5.8082510857989273</v>
      </c>
      <c r="E8">
        <f t="shared" ref="E8:E71" si="10">E7+1</f>
        <v>3</v>
      </c>
      <c r="F8">
        <f t="shared" si="0"/>
        <v>-5.2409147961457041</v>
      </c>
      <c r="G8">
        <f t="shared" ref="G8:G71" si="11">F8-SUMPRODUCT(F7,J$6)-SUMPRODUCT(G7,K$6)</f>
        <v>-1.5248559248284599</v>
      </c>
      <c r="M8" t="s">
        <v>376</v>
      </c>
      <c r="Q8" t="s">
        <v>359</v>
      </c>
      <c r="R8">
        <f>J7</f>
        <v>2.5268397246594096</v>
      </c>
      <c r="S8" t="e" cm="1">
        <f t="array" aca="1" ref="S8" ca="1">ARMA_SSE(F6:F110,R6,R7,K7)</f>
        <v>#NAME?</v>
      </c>
      <c r="T8" t="e">
        <f ca="1">CHIDIST(K19*(LN(S8)-LN(K9)),1)</f>
        <v>#NAME?</v>
      </c>
      <c r="V8">
        <f t="shared" si="1"/>
        <v>3</v>
      </c>
      <c r="W8">
        <f t="shared" si="2"/>
        <v>-5.2409147961457041</v>
      </c>
      <c r="X8">
        <f t="shared" si="3"/>
        <v>-1.5248559248284599</v>
      </c>
      <c r="Y8">
        <f t="shared" si="4"/>
        <v>-3.7160588713172444</v>
      </c>
      <c r="Z8">
        <f t="shared" si="5"/>
        <v>1.024464433991406</v>
      </c>
      <c r="AA8">
        <f t="shared" si="6"/>
        <v>-5.7239722653826117</v>
      </c>
      <c r="AB8">
        <f t="shared" si="7"/>
        <v>-1.7081454772518776</v>
      </c>
      <c r="AD8">
        <f t="shared" ref="AD8:AD71" si="12">AD7+1</f>
        <v>3</v>
      </c>
      <c r="AE8">
        <f t="shared" ref="AE8:AE71" si="13">C9</f>
        <v>4.9067685983817757</v>
      </c>
    </row>
    <row r="9" spans="1:31" ht="15" thickBot="1" x14ac:dyDescent="0.4">
      <c r="A9">
        <f t="shared" si="8"/>
        <v>3</v>
      </c>
      <c r="B9">
        <v>-2.0291245092742414</v>
      </c>
      <c r="C9">
        <f t="shared" si="9"/>
        <v>4.9067685983817757</v>
      </c>
      <c r="E9">
        <f t="shared" si="10"/>
        <v>4</v>
      </c>
      <c r="F9">
        <f t="shared" si="0"/>
        <v>-4.0282089122672371</v>
      </c>
      <c r="G9">
        <f t="shared" si="11"/>
        <v>-0.8338922481857981</v>
      </c>
      <c r="J9" t="s">
        <v>121</v>
      </c>
      <c r="K9" s="49">
        <f>SUMSQ(G7:G110)</f>
        <v>109.15084715738651</v>
      </c>
      <c r="Q9" s="4" t="s">
        <v>120</v>
      </c>
      <c r="R9" s="4">
        <f>K17</f>
        <v>-0.22770272959628904</v>
      </c>
      <c r="S9" s="4">
        <f>-R9/(K18/SQRT(K19))</f>
        <v>1.7419814194640035</v>
      </c>
      <c r="T9" s="4">
        <f>TDIST(ABS(S9),K19-1,2)</f>
        <v>8.4496862986639151E-2</v>
      </c>
      <c r="V9">
        <f t="shared" si="1"/>
        <v>4</v>
      </c>
      <c r="W9">
        <f t="shared" si="2"/>
        <v>-4.0282089122672371</v>
      </c>
      <c r="X9">
        <f t="shared" si="3"/>
        <v>-0.8338922481857981</v>
      </c>
      <c r="Y9">
        <f t="shared" si="4"/>
        <v>-3.1943166640814389</v>
      </c>
      <c r="Z9">
        <f t="shared" si="5"/>
        <v>1.024464433991406</v>
      </c>
      <c r="AA9">
        <f t="shared" si="6"/>
        <v>-5.2022300581468057</v>
      </c>
      <c r="AB9">
        <f t="shared" si="7"/>
        <v>-1.186403270016072</v>
      </c>
      <c r="AD9">
        <f t="shared" si="12"/>
        <v>4</v>
      </c>
      <c r="AE9">
        <f t="shared" si="13"/>
        <v>6.1194744822602427</v>
      </c>
    </row>
    <row r="10" spans="1:31" ht="15" thickTop="1" x14ac:dyDescent="0.35">
      <c r="A10">
        <f t="shared" si="8"/>
        <v>4</v>
      </c>
      <c r="B10">
        <v>-0.72108843846184933</v>
      </c>
      <c r="C10">
        <f t="shared" si="9"/>
        <v>6.1194744822602427</v>
      </c>
      <c r="E10">
        <f t="shared" si="10"/>
        <v>5</v>
      </c>
      <c r="F10">
        <f t="shared" si="0"/>
        <v>-2.0123570827617723</v>
      </c>
      <c r="G10">
        <f t="shared" si="11"/>
        <v>0.60725851468057956</v>
      </c>
      <c r="M10" s="45" t="s">
        <v>173</v>
      </c>
      <c r="N10" s="45" t="s">
        <v>174</v>
      </c>
      <c r="O10" s="45" t="s">
        <v>375</v>
      </c>
      <c r="V10">
        <f t="shared" si="1"/>
        <v>5</v>
      </c>
      <c r="W10">
        <f t="shared" si="2"/>
        <v>-2.0123570827617723</v>
      </c>
      <c r="X10">
        <f t="shared" si="3"/>
        <v>0.60725851468057956</v>
      </c>
      <c r="Y10">
        <f t="shared" si="4"/>
        <v>-2.6196155974423521</v>
      </c>
      <c r="Z10">
        <f t="shared" si="5"/>
        <v>1.024464433991406</v>
      </c>
      <c r="AA10">
        <f t="shared" si="6"/>
        <v>-4.6275289915077185</v>
      </c>
      <c r="AB10">
        <f t="shared" si="7"/>
        <v>-0.61170220337698522</v>
      </c>
      <c r="AD10">
        <f t="shared" si="12"/>
        <v>5</v>
      </c>
      <c r="AE10">
        <f t="shared" si="13"/>
        <v>8.1353263117657075</v>
      </c>
    </row>
    <row r="11" spans="1:31" x14ac:dyDescent="0.35">
      <c r="A11">
        <f t="shared" si="8"/>
        <v>5</v>
      </c>
      <c r="B11">
        <v>0.70747648649116823</v>
      </c>
      <c r="C11">
        <f t="shared" si="9"/>
        <v>8.1353263117657075</v>
      </c>
      <c r="E11">
        <f t="shared" si="10"/>
        <v>6</v>
      </c>
      <c r="F11">
        <f t="shared" si="0"/>
        <v>-0.80281596788150544</v>
      </c>
      <c r="G11">
        <f t="shared" si="11"/>
        <v>1.0037761643429719</v>
      </c>
      <c r="J11" t="s">
        <v>361</v>
      </c>
      <c r="K11" s="109">
        <v>1</v>
      </c>
      <c r="M11" s="104" t="e">
        <f t="array" aca="1" ref="M11:O11" ca="1">MARoots(K6)</f>
        <v>#NAME?</v>
      </c>
      <c r="N11" s="104" t="e">
        <f ca="1"/>
        <v>#NAME?</v>
      </c>
      <c r="O11" s="104" t="e">
        <f ca="1"/>
        <v>#NAME?</v>
      </c>
      <c r="Q11" t="s">
        <v>360</v>
      </c>
      <c r="R11" s="116" t="s">
        <v>304</v>
      </c>
      <c r="V11">
        <f t="shared" si="1"/>
        <v>6</v>
      </c>
      <c r="W11">
        <f t="shared" si="2"/>
        <v>-0.80281596788150544</v>
      </c>
      <c r="X11">
        <f t="shared" si="3"/>
        <v>1.0037761643429719</v>
      </c>
      <c r="Y11">
        <f t="shared" si="4"/>
        <v>-1.8065921322244773</v>
      </c>
      <c r="Z11">
        <f t="shared" si="5"/>
        <v>1.024464433991406</v>
      </c>
      <c r="AA11">
        <f t="shared" si="6"/>
        <v>-3.8145055262898442</v>
      </c>
      <c r="AB11">
        <f t="shared" si="7"/>
        <v>0.2013212618408895</v>
      </c>
      <c r="AD11">
        <f t="shared" si="12"/>
        <v>6</v>
      </c>
      <c r="AE11">
        <f t="shared" si="13"/>
        <v>9.3448674266459744</v>
      </c>
    </row>
    <row r="12" spans="1:31" x14ac:dyDescent="0.35">
      <c r="A12">
        <f t="shared" si="8"/>
        <v>6</v>
      </c>
      <c r="B12">
        <v>0.79163430570821358</v>
      </c>
      <c r="C12">
        <f t="shared" si="9"/>
        <v>9.3448674266459744</v>
      </c>
      <c r="E12">
        <f t="shared" si="10"/>
        <v>7</v>
      </c>
      <c r="F12">
        <f t="shared" si="0"/>
        <v>-1.0000327106403208</v>
      </c>
      <c r="G12">
        <f t="shared" si="11"/>
        <v>9.103853157035513E-2</v>
      </c>
      <c r="J12" t="s">
        <v>362</v>
      </c>
      <c r="K12" s="107">
        <v>1</v>
      </c>
      <c r="V12">
        <f t="shared" si="1"/>
        <v>7</v>
      </c>
      <c r="W12">
        <f t="shared" si="2"/>
        <v>-1.0000327106403208</v>
      </c>
      <c r="X12">
        <f t="shared" si="3"/>
        <v>9.103853157035513E-2</v>
      </c>
      <c r="Y12">
        <f t="shared" si="4"/>
        <v>-1.0910712422106759</v>
      </c>
      <c r="Z12">
        <f t="shared" si="5"/>
        <v>1.024464433991406</v>
      </c>
      <c r="AA12">
        <f t="shared" si="6"/>
        <v>-3.0989846362760427</v>
      </c>
      <c r="AB12">
        <f t="shared" si="7"/>
        <v>0.91684215185469098</v>
      </c>
      <c r="AD12">
        <f t="shared" si="12"/>
        <v>7</v>
      </c>
      <c r="AE12">
        <f t="shared" si="13"/>
        <v>9.147650683887159</v>
      </c>
    </row>
    <row r="13" spans="1:31" x14ac:dyDescent="0.35">
      <c r="A13">
        <f t="shared" si="8"/>
        <v>7</v>
      </c>
      <c r="B13">
        <v>-0.23542965362337992</v>
      </c>
      <c r="C13">
        <f t="shared" si="9"/>
        <v>9.147650683887159</v>
      </c>
      <c r="E13">
        <f t="shared" si="10"/>
        <v>8</v>
      </c>
      <c r="F13">
        <f t="shared" si="0"/>
        <v>-2.0461901132245011</v>
      </c>
      <c r="G13">
        <f t="shared" si="11"/>
        <v>-1.2508977682033589</v>
      </c>
      <c r="J13" t="s">
        <v>363</v>
      </c>
      <c r="K13" s="107">
        <v>0</v>
      </c>
      <c r="M13" t="s">
        <v>377</v>
      </c>
      <c r="V13">
        <f t="shared" si="1"/>
        <v>8</v>
      </c>
      <c r="W13">
        <f t="shared" si="2"/>
        <v>-2.0461901132245011</v>
      </c>
      <c r="X13">
        <f t="shared" si="3"/>
        <v>-1.2508977682033589</v>
      </c>
      <c r="Y13">
        <f t="shared" si="4"/>
        <v>-0.79529234502114221</v>
      </c>
      <c r="Z13">
        <f t="shared" si="5"/>
        <v>1.024464433991406</v>
      </c>
      <c r="AA13">
        <f t="shared" si="6"/>
        <v>-2.8032057390865091</v>
      </c>
      <c r="AB13">
        <f t="shared" si="7"/>
        <v>1.2126210490442246</v>
      </c>
      <c r="AD13">
        <f t="shared" si="12"/>
        <v>8</v>
      </c>
      <c r="AE13">
        <f t="shared" si="13"/>
        <v>8.1014932813029787</v>
      </c>
    </row>
    <row r="14" spans="1:31" ht="15" thickBot="1" x14ac:dyDescent="0.4">
      <c r="A14">
        <f t="shared" si="8"/>
        <v>8</v>
      </c>
      <c r="B14">
        <v>-1.3489481281427076</v>
      </c>
      <c r="C14">
        <f t="shared" si="9"/>
        <v>8.1014932813029787</v>
      </c>
      <c r="E14">
        <f t="shared" si="10"/>
        <v>9</v>
      </c>
      <c r="F14">
        <f t="shared" si="0"/>
        <v>-1.2643653545509892E-3</v>
      </c>
      <c r="G14">
        <f t="shared" si="11"/>
        <v>0.92706779130667061</v>
      </c>
      <c r="J14" t="s">
        <v>364</v>
      </c>
      <c r="K14" s="107">
        <f>AVERAGE(G7:G110)</f>
        <v>5.7767720864881911E-4</v>
      </c>
      <c r="V14">
        <f t="shared" si="1"/>
        <v>9</v>
      </c>
      <c r="W14">
        <f t="shared" si="2"/>
        <v>-1.2643653545509892E-3</v>
      </c>
      <c r="X14">
        <f t="shared" si="3"/>
        <v>0.92706779130667061</v>
      </c>
      <c r="Y14">
        <f t="shared" si="4"/>
        <v>-0.9283321566612216</v>
      </c>
      <c r="Z14">
        <f t="shared" si="5"/>
        <v>1.024464433991406</v>
      </c>
      <c r="AA14">
        <f t="shared" si="6"/>
        <v>-2.9362455507265883</v>
      </c>
      <c r="AB14">
        <f t="shared" si="7"/>
        <v>1.0795812374041454</v>
      </c>
      <c r="AD14">
        <f t="shared" si="12"/>
        <v>9</v>
      </c>
      <c r="AE14">
        <f t="shared" si="13"/>
        <v>10.146419029172929</v>
      </c>
    </row>
    <row r="15" spans="1:31" ht="15" thickTop="1" x14ac:dyDescent="0.35">
      <c r="A15">
        <f t="shared" si="8"/>
        <v>9</v>
      </c>
      <c r="B15">
        <v>1.2055841066323034</v>
      </c>
      <c r="C15">
        <f t="shared" si="9"/>
        <v>10.146419029172929</v>
      </c>
      <c r="E15">
        <f t="shared" si="10"/>
        <v>10</v>
      </c>
      <c r="F15">
        <f t="shared" si="0"/>
        <v>0.89751295447669932</v>
      </c>
      <c r="G15">
        <f t="shared" si="11"/>
        <v>1.3493189802523942</v>
      </c>
      <c r="J15" t="s">
        <v>365</v>
      </c>
      <c r="K15" s="107">
        <f>STDEV(G7:G110)</f>
        <v>1.0294253861947467</v>
      </c>
      <c r="M15" s="45" t="s">
        <v>356</v>
      </c>
      <c r="N15" s="45" t="s">
        <v>378</v>
      </c>
      <c r="V15">
        <f t="shared" si="1"/>
        <v>10</v>
      </c>
      <c r="W15">
        <f t="shared" si="2"/>
        <v>0.89751295447669932</v>
      </c>
      <c r="X15">
        <f t="shared" si="3"/>
        <v>1.3493189802523942</v>
      </c>
      <c r="Y15">
        <f t="shared" si="4"/>
        <v>-0.45180602577569484</v>
      </c>
      <c r="Z15">
        <f t="shared" si="5"/>
        <v>1.024464433991406</v>
      </c>
      <c r="AA15">
        <f t="shared" si="6"/>
        <v>-2.4597194198410617</v>
      </c>
      <c r="AB15">
        <f t="shared" si="7"/>
        <v>1.556107368289672</v>
      </c>
      <c r="AD15">
        <f t="shared" si="12"/>
        <v>10</v>
      </c>
      <c r="AE15">
        <f t="shared" si="13"/>
        <v>11.045196349004179</v>
      </c>
    </row>
    <row r="16" spans="1:31" x14ac:dyDescent="0.35">
      <c r="A16">
        <f t="shared" si="8"/>
        <v>10</v>
      </c>
      <c r="B16">
        <v>1.1838198499095893</v>
      </c>
      <c r="C16">
        <f t="shared" si="9"/>
        <v>11.045196349004179</v>
      </c>
      <c r="E16">
        <f t="shared" si="10"/>
        <v>11</v>
      </c>
      <c r="F16">
        <f t="shared" si="0"/>
        <v>-2.5105314344493479E-2</v>
      </c>
      <c r="G16">
        <f t="shared" si="11"/>
        <v>-4.2923736334791407E-2</v>
      </c>
      <c r="J16" t="s">
        <v>366</v>
      </c>
      <c r="K16" s="107">
        <f>SQRT(K9/K19)</f>
        <v>1.024464433991406</v>
      </c>
      <c r="M16" s="59">
        <v>0</v>
      </c>
      <c r="N16" s="59" t="e">
        <f t="array" aca="1" ref="N16:N20" ca="1">PSICoeff(J6,K6)</f>
        <v>#NAME?</v>
      </c>
      <c r="V16">
        <f t="shared" si="1"/>
        <v>11</v>
      </c>
      <c r="W16">
        <f t="shared" si="2"/>
        <v>-2.5105314344493479E-2</v>
      </c>
      <c r="X16">
        <f t="shared" si="3"/>
        <v>-4.2923736334791407E-2</v>
      </c>
      <c r="Y16">
        <f t="shared" si="4"/>
        <v>1.7818421990297928E-2</v>
      </c>
      <c r="Z16">
        <f t="shared" si="5"/>
        <v>1.024464433991406</v>
      </c>
      <c r="AA16">
        <f t="shared" si="6"/>
        <v>-1.9900949720750689</v>
      </c>
      <c r="AB16">
        <f t="shared" si="7"/>
        <v>2.0257318160556648</v>
      </c>
      <c r="AD16">
        <f t="shared" si="12"/>
        <v>11</v>
      </c>
      <c r="AE16">
        <f t="shared" si="13"/>
        <v>10.122578080182986</v>
      </c>
    </row>
    <row r="17" spans="1:31" x14ac:dyDescent="0.35">
      <c r="A17">
        <f t="shared" si="8"/>
        <v>11</v>
      </c>
      <c r="B17">
        <v>-0.37229539413802176</v>
      </c>
      <c r="C17">
        <f t="shared" si="9"/>
        <v>10.122578080182986</v>
      </c>
      <c r="E17">
        <f t="shared" si="10"/>
        <v>12</v>
      </c>
      <c r="F17">
        <f t="shared" si="0"/>
        <v>2.5918849924568832E-2</v>
      </c>
      <c r="G17">
        <f t="shared" si="11"/>
        <v>2.3897878585160254E-2</v>
      </c>
      <c r="J17" t="s">
        <v>367</v>
      </c>
      <c r="K17" s="107">
        <f>AVERAGE(F7:F110)</f>
        <v>-0.22770272959628904</v>
      </c>
      <c r="M17" s="13">
        <f>M16+1</f>
        <v>1</v>
      </c>
      <c r="N17" s="13" t="e">
        <f ca="1"/>
        <v>#NAME?</v>
      </c>
      <c r="V17">
        <f t="shared" si="1"/>
        <v>12</v>
      </c>
      <c r="W17">
        <f t="shared" si="2"/>
        <v>2.5918849924568832E-2</v>
      </c>
      <c r="X17">
        <f t="shared" si="3"/>
        <v>2.3897878585160254E-2</v>
      </c>
      <c r="Y17">
        <f t="shared" si="4"/>
        <v>2.0209713394085775E-3</v>
      </c>
      <c r="Z17">
        <f t="shared" si="5"/>
        <v>1.024464433991406</v>
      </c>
      <c r="AA17">
        <f t="shared" si="6"/>
        <v>-2.0058924227259585</v>
      </c>
      <c r="AB17">
        <f t="shared" si="7"/>
        <v>2.0099343654047752</v>
      </c>
      <c r="AD17">
        <f t="shared" si="12"/>
        <v>12</v>
      </c>
      <c r="AE17">
        <f t="shared" si="13"/>
        <v>10.173602244452049</v>
      </c>
    </row>
    <row r="18" spans="1:31" x14ac:dyDescent="0.35">
      <c r="A18">
        <f t="shared" si="8"/>
        <v>12</v>
      </c>
      <c r="B18">
        <v>1.3338509496353779E-2</v>
      </c>
      <c r="C18">
        <f t="shared" si="9"/>
        <v>10.173602244452049</v>
      </c>
      <c r="E18">
        <f t="shared" si="10"/>
        <v>13</v>
      </c>
      <c r="F18">
        <f t="shared" si="0"/>
        <v>0.673626406365333</v>
      </c>
      <c r="G18">
        <f t="shared" si="11"/>
        <v>0.66578366237670983</v>
      </c>
      <c r="J18" t="s">
        <v>368</v>
      </c>
      <c r="K18" s="107">
        <f>STDEV(F7:F110)</f>
        <v>1.3330344957032549</v>
      </c>
      <c r="M18" s="13">
        <f>M17+1</f>
        <v>2</v>
      </c>
      <c r="N18" s="13" t="e">
        <f ca="1"/>
        <v>#NAME?</v>
      </c>
      <c r="V18">
        <f t="shared" si="1"/>
        <v>13</v>
      </c>
      <c r="W18">
        <f t="shared" si="2"/>
        <v>0.673626406365333</v>
      </c>
      <c r="X18">
        <f t="shared" si="3"/>
        <v>0.66578366237670983</v>
      </c>
      <c r="Y18">
        <f t="shared" si="4"/>
        <v>7.8427439886231687E-3</v>
      </c>
      <c r="Z18">
        <f t="shared" si="5"/>
        <v>1.024464433991406</v>
      </c>
      <c r="AA18">
        <f t="shared" si="6"/>
        <v>-2.0000706500767436</v>
      </c>
      <c r="AB18">
        <f t="shared" si="7"/>
        <v>2.0157561380539901</v>
      </c>
      <c r="AD18">
        <f t="shared" si="12"/>
        <v>13</v>
      </c>
      <c r="AE18">
        <f t="shared" si="13"/>
        <v>10.821309800892813</v>
      </c>
    </row>
    <row r="19" spans="1:31" x14ac:dyDescent="0.35">
      <c r="A19">
        <f t="shared" si="8"/>
        <v>13</v>
      </c>
      <c r="B19">
        <v>0.70245593167564913</v>
      </c>
      <c r="C19">
        <f t="shared" si="9"/>
        <v>10.821309800892813</v>
      </c>
      <c r="E19">
        <f t="shared" si="10"/>
        <v>14</v>
      </c>
      <c r="F19">
        <f t="shared" si="0"/>
        <v>-6.3620144953523194E-2</v>
      </c>
      <c r="G19">
        <f t="shared" si="11"/>
        <v>-0.24572173712788986</v>
      </c>
      <c r="J19" t="s">
        <v>369</v>
      </c>
      <c r="K19" s="108">
        <f>COUNT(F7:F110)</f>
        <v>104</v>
      </c>
      <c r="M19" s="13">
        <f>M18+1</f>
        <v>3</v>
      </c>
      <c r="N19" s="13" t="e">
        <f ca="1"/>
        <v>#NAME?</v>
      </c>
      <c r="V19">
        <f t="shared" si="1"/>
        <v>14</v>
      </c>
      <c r="W19">
        <f t="shared" si="2"/>
        <v>-6.3620144953523194E-2</v>
      </c>
      <c r="X19">
        <f t="shared" si="3"/>
        <v>-0.24572173712788986</v>
      </c>
      <c r="Y19">
        <f t="shared" si="4"/>
        <v>0.18210159217436667</v>
      </c>
      <c r="Z19">
        <f t="shared" si="5"/>
        <v>1.024464433991406</v>
      </c>
      <c r="AA19">
        <f t="shared" si="6"/>
        <v>-1.8258118018910001</v>
      </c>
      <c r="AB19">
        <f t="shared" si="7"/>
        <v>2.1900149862397336</v>
      </c>
      <c r="AD19">
        <f t="shared" si="12"/>
        <v>14</v>
      </c>
      <c r="AE19">
        <f t="shared" si="13"/>
        <v>10.084063249573957</v>
      </c>
    </row>
    <row r="20" spans="1:31" x14ac:dyDescent="0.35">
      <c r="A20">
        <f t="shared" si="8"/>
        <v>14</v>
      </c>
      <c r="B20">
        <v>-0.35036242471588258</v>
      </c>
      <c r="C20">
        <f t="shared" si="9"/>
        <v>10.084063249573957</v>
      </c>
      <c r="E20">
        <f t="shared" si="10"/>
        <v>15</v>
      </c>
      <c r="F20">
        <f t="shared" si="0"/>
        <v>0.19837066102799739</v>
      </c>
      <c r="G20">
        <f t="shared" si="11"/>
        <v>0.12664828197549932</v>
      </c>
      <c r="M20" s="4">
        <f>M19+1</f>
        <v>4</v>
      </c>
      <c r="N20" s="4" t="e">
        <f ca="1"/>
        <v>#NAME?</v>
      </c>
      <c r="V20">
        <f t="shared" si="1"/>
        <v>15</v>
      </c>
      <c r="W20">
        <f t="shared" si="2"/>
        <v>0.19837066102799739</v>
      </c>
      <c r="X20">
        <f t="shared" si="3"/>
        <v>0.12664828197549932</v>
      </c>
      <c r="Y20">
        <f t="shared" si="4"/>
        <v>7.1722379052498064E-2</v>
      </c>
      <c r="Z20">
        <f t="shared" si="5"/>
        <v>1.024464433991406</v>
      </c>
      <c r="AA20">
        <f t="shared" si="6"/>
        <v>-1.9361910150128687</v>
      </c>
      <c r="AB20">
        <f t="shared" si="7"/>
        <v>2.079635773117865</v>
      </c>
      <c r="AD20">
        <f t="shared" si="12"/>
        <v>15</v>
      </c>
      <c r="AE20">
        <f t="shared" si="13"/>
        <v>10.346054055555477</v>
      </c>
    </row>
    <row r="21" spans="1:31" x14ac:dyDescent="0.35">
      <c r="A21">
        <f t="shared" si="8"/>
        <v>15</v>
      </c>
      <c r="B21">
        <v>0.21713729591053152</v>
      </c>
      <c r="C21">
        <f t="shared" si="9"/>
        <v>10.346054055555477</v>
      </c>
      <c r="E21">
        <f t="shared" si="10"/>
        <v>16</v>
      </c>
      <c r="F21">
        <f t="shared" si="0"/>
        <v>-0.45548045522488501</v>
      </c>
      <c r="G21">
        <f t="shared" si="11"/>
        <v>-0.54286326035991472</v>
      </c>
      <c r="J21" t="s">
        <v>370</v>
      </c>
      <c r="K21" s="109">
        <f>-(K24-2*(K11+K12+2))/2</f>
        <v>-150.08328460523256</v>
      </c>
      <c r="V21">
        <f t="shared" si="1"/>
        <v>16</v>
      </c>
      <c r="W21">
        <f t="shared" si="2"/>
        <v>-0.45548045522488501</v>
      </c>
      <c r="X21">
        <f t="shared" si="3"/>
        <v>-0.54286326035991472</v>
      </c>
      <c r="Y21">
        <f t="shared" si="4"/>
        <v>8.7382805135029717E-2</v>
      </c>
      <c r="Z21">
        <f t="shared" si="5"/>
        <v>1.024464433991406</v>
      </c>
      <c r="AA21">
        <f t="shared" si="6"/>
        <v>-1.9205305889303372</v>
      </c>
      <c r="AB21">
        <f t="shared" si="7"/>
        <v>2.0952961992003964</v>
      </c>
      <c r="AD21">
        <f t="shared" si="12"/>
        <v>16</v>
      </c>
      <c r="AE21">
        <f t="shared" si="13"/>
        <v>9.6922029393025948</v>
      </c>
    </row>
    <row r="22" spans="1:31" x14ac:dyDescent="0.35">
      <c r="A22">
        <f t="shared" si="8"/>
        <v>16</v>
      </c>
      <c r="B22">
        <v>-0.50660744040413153</v>
      </c>
      <c r="C22">
        <f t="shared" si="9"/>
        <v>9.6922029393025948</v>
      </c>
      <c r="E22">
        <f t="shared" si="10"/>
        <v>17</v>
      </c>
      <c r="F22">
        <f t="shared" si="0"/>
        <v>1.0578913760983877</v>
      </c>
      <c r="G22">
        <f t="shared" si="11"/>
        <v>1.1359460877363265</v>
      </c>
      <c r="J22" t="s">
        <v>145</v>
      </c>
      <c r="K22" s="107">
        <f>K19*LN(K9/K19)+2*(K11+K12+2)</f>
        <v>13.02735430389321</v>
      </c>
      <c r="V22">
        <f t="shared" si="1"/>
        <v>17</v>
      </c>
      <c r="W22">
        <f t="shared" si="2"/>
        <v>1.0578913760983877</v>
      </c>
      <c r="X22">
        <f t="shared" si="3"/>
        <v>1.1359460877363265</v>
      </c>
      <c r="Y22">
        <f t="shared" si="4"/>
        <v>-7.8054711637938867E-2</v>
      </c>
      <c r="Z22">
        <f t="shared" si="5"/>
        <v>1.024464433991406</v>
      </c>
      <c r="AA22">
        <f t="shared" si="6"/>
        <v>-2.0859681057033059</v>
      </c>
      <c r="AB22">
        <f t="shared" si="7"/>
        <v>1.929858682427428</v>
      </c>
      <c r="AD22">
        <f t="shared" si="12"/>
        <v>17</v>
      </c>
      <c r="AE22">
        <f t="shared" si="13"/>
        <v>11.205574770625867</v>
      </c>
    </row>
    <row r="23" spans="1:31" x14ac:dyDescent="0.35">
      <c r="A23">
        <f t="shared" si="8"/>
        <v>17</v>
      </c>
      <c r="B23">
        <v>1.3197112250332261</v>
      </c>
      <c r="C23">
        <f t="shared" si="9"/>
        <v>11.205574770625867</v>
      </c>
      <c r="E23">
        <f t="shared" si="10"/>
        <v>18</v>
      </c>
      <c r="F23">
        <f t="shared" si="0"/>
        <v>2.5044330219873654</v>
      </c>
      <c r="G23">
        <f t="shared" si="11"/>
        <v>2.2624028273219707</v>
      </c>
      <c r="J23" t="s">
        <v>371</v>
      </c>
      <c r="K23" s="107">
        <f>K19*LN(K9/K19)+LN(K19)*(K11+K12+2)</f>
        <v>23.604917900458702</v>
      </c>
      <c r="V23">
        <f t="shared" si="1"/>
        <v>18</v>
      </c>
      <c r="W23">
        <f t="shared" si="2"/>
        <v>2.5044330219873654</v>
      </c>
      <c r="X23">
        <f t="shared" si="3"/>
        <v>2.2624028273219707</v>
      </c>
      <c r="Y23">
        <f t="shared" si="4"/>
        <v>0.24203019466539466</v>
      </c>
      <c r="Z23">
        <f t="shared" si="5"/>
        <v>1.024464433991406</v>
      </c>
      <c r="AA23">
        <f t="shared" si="6"/>
        <v>-1.7658831993999722</v>
      </c>
      <c r="AB23">
        <f t="shared" si="7"/>
        <v>2.2499435887307615</v>
      </c>
      <c r="AD23">
        <f t="shared" si="12"/>
        <v>18</v>
      </c>
      <c r="AE23">
        <f t="shared" si="13"/>
        <v>12.652116416514845</v>
      </c>
    </row>
    <row r="24" spans="1:31" x14ac:dyDescent="0.35">
      <c r="A24">
        <f t="shared" si="8"/>
        <v>18</v>
      </c>
      <c r="B24">
        <v>2.0721563220833827</v>
      </c>
      <c r="C24">
        <f t="shared" si="9"/>
        <v>12.652116416514845</v>
      </c>
      <c r="E24">
        <f t="shared" si="10"/>
        <v>19</v>
      </c>
      <c r="F24">
        <f t="shared" si="0"/>
        <v>3.2586457741079187</v>
      </c>
      <c r="G24">
        <f t="shared" si="11"/>
        <v>2.4780966715312367</v>
      </c>
      <c r="J24" t="s">
        <v>372</v>
      </c>
      <c r="K24" s="107">
        <f>K19*(1+LN(2*PI()))+K22</f>
        <v>308.16656921046513</v>
      </c>
      <c r="V24">
        <f t="shared" si="1"/>
        <v>19</v>
      </c>
      <c r="W24">
        <f t="shared" si="2"/>
        <v>3.2586457741079187</v>
      </c>
      <c r="X24">
        <f t="shared" si="3"/>
        <v>2.4780966715312367</v>
      </c>
      <c r="Y24">
        <f t="shared" si="4"/>
        <v>0.78054910257668197</v>
      </c>
      <c r="Z24">
        <f t="shared" si="5"/>
        <v>1.024464433991406</v>
      </c>
      <c r="AA24">
        <f t="shared" si="6"/>
        <v>-1.2273642914886849</v>
      </c>
      <c r="AB24">
        <f t="shared" si="7"/>
        <v>2.7884624966420488</v>
      </c>
      <c r="AD24">
        <f t="shared" si="12"/>
        <v>19</v>
      </c>
      <c r="AE24">
        <f t="shared" si="13"/>
        <v>13.406329168635398</v>
      </c>
    </row>
    <row r="25" spans="1:31" x14ac:dyDescent="0.35">
      <c r="A25">
        <f t="shared" si="8"/>
        <v>19</v>
      </c>
      <c r="B25">
        <v>1.9642789414916844</v>
      </c>
      <c r="C25">
        <f t="shared" si="9"/>
        <v>13.406329168635398</v>
      </c>
      <c r="E25">
        <f t="shared" si="10"/>
        <v>20</v>
      </c>
      <c r="F25">
        <f t="shared" si="0"/>
        <v>2.0835345356564954</v>
      </c>
      <c r="G25">
        <f t="shared" si="11"/>
        <v>0.84147397061038287</v>
      </c>
      <c r="J25" t="s">
        <v>373</v>
      </c>
      <c r="K25" s="108">
        <f>K19*(1+LN(2*PI()))+K23</f>
        <v>318.74413280703061</v>
      </c>
      <c r="V25">
        <f t="shared" si="1"/>
        <v>20</v>
      </c>
      <c r="W25">
        <f t="shared" si="2"/>
        <v>2.0835345356564954</v>
      </c>
      <c r="X25">
        <f t="shared" si="3"/>
        <v>0.84147397061038287</v>
      </c>
      <c r="Y25">
        <f t="shared" si="4"/>
        <v>1.2420605650461125</v>
      </c>
      <c r="Z25">
        <f t="shared" si="5"/>
        <v>1.024464433991406</v>
      </c>
      <c r="AA25">
        <f t="shared" si="6"/>
        <v>-0.76585282901925433</v>
      </c>
      <c r="AB25">
        <f t="shared" si="7"/>
        <v>3.2499739591114793</v>
      </c>
      <c r="AD25">
        <f t="shared" si="12"/>
        <v>20</v>
      </c>
      <c r="AE25">
        <f t="shared" si="13"/>
        <v>12.231217930183975</v>
      </c>
    </row>
    <row r="26" spans="1:31" x14ac:dyDescent="0.35">
      <c r="A26">
        <f t="shared" si="8"/>
        <v>20</v>
      </c>
      <c r="B26">
        <v>0.23964330043753548</v>
      </c>
      <c r="C26">
        <f t="shared" si="9"/>
        <v>12.231217930183975</v>
      </c>
      <c r="E26">
        <f t="shared" si="10"/>
        <v>21</v>
      </c>
      <c r="F26">
        <f t="shared" si="0"/>
        <v>1.9692910614317576</v>
      </c>
      <c r="G26">
        <f t="shared" si="11"/>
        <v>0.81380034877760443</v>
      </c>
      <c r="V26">
        <f t="shared" si="1"/>
        <v>21</v>
      </c>
      <c r="W26">
        <f t="shared" si="2"/>
        <v>1.9692910614317576</v>
      </c>
      <c r="X26">
        <f t="shared" si="3"/>
        <v>0.81380034877760443</v>
      </c>
      <c r="Y26">
        <f t="shared" si="4"/>
        <v>1.1554907126541532</v>
      </c>
      <c r="Z26">
        <f t="shared" si="5"/>
        <v>1.024464433991406</v>
      </c>
      <c r="AA26">
        <f t="shared" si="6"/>
        <v>-0.85242268141121369</v>
      </c>
      <c r="AB26">
        <f t="shared" si="7"/>
        <v>3.1634041067195202</v>
      </c>
      <c r="AD26">
        <f t="shared" si="12"/>
        <v>21</v>
      </c>
      <c r="AE26">
        <f t="shared" si="13"/>
        <v>12.116974455959237</v>
      </c>
    </row>
    <row r="27" spans="1:31" x14ac:dyDescent="0.35">
      <c r="A27">
        <f t="shared" si="8"/>
        <v>21</v>
      </c>
      <c r="B27">
        <v>0.60305056491796249</v>
      </c>
      <c r="C27">
        <f t="shared" si="9"/>
        <v>12.116974455959237</v>
      </c>
      <c r="E27">
        <f t="shared" si="10"/>
        <v>22</v>
      </c>
      <c r="F27">
        <f t="shared" si="0"/>
        <v>0.31220549983343027</v>
      </c>
      <c r="G27">
        <f t="shared" si="11"/>
        <v>-0.7709474946721222</v>
      </c>
      <c r="V27">
        <f t="shared" si="1"/>
        <v>22</v>
      </c>
      <c r="W27">
        <f t="shared" si="2"/>
        <v>0.31220549983343027</v>
      </c>
      <c r="X27">
        <f t="shared" si="3"/>
        <v>-0.7709474946721222</v>
      </c>
      <c r="Y27">
        <f t="shared" si="4"/>
        <v>1.0831529945055525</v>
      </c>
      <c r="Z27">
        <f t="shared" si="5"/>
        <v>1.024464433991406</v>
      </c>
      <c r="AA27">
        <f t="shared" si="6"/>
        <v>-0.92476039955981437</v>
      </c>
      <c r="AB27">
        <f t="shared" si="7"/>
        <v>3.0910663885709191</v>
      </c>
      <c r="AD27">
        <f t="shared" si="12"/>
        <v>22</v>
      </c>
      <c r="AE27">
        <f t="shared" si="13"/>
        <v>10.45988889436091</v>
      </c>
    </row>
    <row r="28" spans="1:31" x14ac:dyDescent="0.35">
      <c r="A28">
        <f t="shared" si="8"/>
        <v>22</v>
      </c>
      <c r="B28">
        <v>-0.90138311182696351</v>
      </c>
      <c r="C28">
        <f t="shared" si="9"/>
        <v>10.45988889436091</v>
      </c>
      <c r="E28">
        <f t="shared" si="10"/>
        <v>23</v>
      </c>
      <c r="F28">
        <f t="shared" si="0"/>
        <v>-0.70122572344625311</v>
      </c>
      <c r="G28">
        <f t="shared" si="11"/>
        <v>-1.3106212560175114</v>
      </c>
      <c r="V28">
        <f t="shared" si="1"/>
        <v>23</v>
      </c>
      <c r="W28">
        <f t="shared" si="2"/>
        <v>-0.70122572344625311</v>
      </c>
      <c r="X28">
        <f t="shared" si="3"/>
        <v>-1.3106212560175114</v>
      </c>
      <c r="Y28">
        <f t="shared" si="4"/>
        <v>0.60939553257125834</v>
      </c>
      <c r="Z28">
        <f t="shared" si="5"/>
        <v>1.024464433991406</v>
      </c>
      <c r="AA28">
        <f t="shared" si="6"/>
        <v>-1.3985178614941085</v>
      </c>
      <c r="AB28">
        <f t="shared" si="7"/>
        <v>2.6173089266366252</v>
      </c>
      <c r="AD28">
        <f t="shared" si="12"/>
        <v>23</v>
      </c>
      <c r="AE28">
        <f t="shared" si="13"/>
        <v>9.4464576710812267</v>
      </c>
    </row>
    <row r="29" spans="1:31" x14ac:dyDescent="0.35">
      <c r="A29">
        <f t="shared" si="8"/>
        <v>23</v>
      </c>
      <c r="B29">
        <v>-1.0557411773368031</v>
      </c>
      <c r="C29">
        <f t="shared" si="9"/>
        <v>9.4464576710812267</v>
      </c>
      <c r="E29">
        <f t="shared" si="10"/>
        <v>24</v>
      </c>
      <c r="F29">
        <f t="shared" si="0"/>
        <v>1.0333470402668414</v>
      </c>
      <c r="G29">
        <f t="shared" si="11"/>
        <v>0.92257472047693312</v>
      </c>
      <c r="V29">
        <f t="shared" si="1"/>
        <v>24</v>
      </c>
      <c r="W29">
        <f t="shared" si="2"/>
        <v>1.0333470402668414</v>
      </c>
      <c r="X29">
        <f t="shared" si="3"/>
        <v>0.92257472047693312</v>
      </c>
      <c r="Y29">
        <f t="shared" si="4"/>
        <v>0.11077231978990831</v>
      </c>
      <c r="Z29">
        <f t="shared" si="5"/>
        <v>1.024464433991406</v>
      </c>
      <c r="AA29">
        <f t="shared" si="6"/>
        <v>-1.8971410742754586</v>
      </c>
      <c r="AB29">
        <f t="shared" si="7"/>
        <v>2.118685713855275</v>
      </c>
      <c r="AD29">
        <f t="shared" si="12"/>
        <v>24</v>
      </c>
      <c r="AE29">
        <f t="shared" si="13"/>
        <v>11.181030434794321</v>
      </c>
    </row>
    <row r="30" spans="1:31" x14ac:dyDescent="0.35">
      <c r="A30">
        <f t="shared" si="8"/>
        <v>24</v>
      </c>
      <c r="B30">
        <v>1.357361829570102</v>
      </c>
      <c r="C30">
        <f t="shared" si="9"/>
        <v>11.181030434794321</v>
      </c>
      <c r="E30">
        <f t="shared" si="10"/>
        <v>25</v>
      </c>
      <c r="F30">
        <f t="shared" si="0"/>
        <v>-2.5623231781818046</v>
      </c>
      <c r="G30">
        <f t="shared" si="11"/>
        <v>-2.8896886258263876</v>
      </c>
      <c r="V30">
        <f t="shared" si="1"/>
        <v>25</v>
      </c>
      <c r="W30">
        <f t="shared" si="2"/>
        <v>-2.5623231781818046</v>
      </c>
      <c r="X30">
        <f t="shared" si="3"/>
        <v>-2.8896886258263876</v>
      </c>
      <c r="Y30">
        <f t="shared" si="4"/>
        <v>0.32736544764458309</v>
      </c>
      <c r="Z30">
        <f t="shared" si="5"/>
        <v>1.024464433991406</v>
      </c>
      <c r="AA30">
        <f t="shared" si="6"/>
        <v>-1.6805479464207838</v>
      </c>
      <c r="AB30">
        <f t="shared" si="7"/>
        <v>2.3352788417099499</v>
      </c>
      <c r="AD30">
        <f t="shared" si="12"/>
        <v>25</v>
      </c>
      <c r="AE30">
        <f t="shared" si="13"/>
        <v>7.5853602163456753</v>
      </c>
    </row>
    <row r="31" spans="1:31" x14ac:dyDescent="0.35">
      <c r="A31">
        <f t="shared" si="8"/>
        <v>25</v>
      </c>
      <c r="B31">
        <v>-2.969888722096329</v>
      </c>
      <c r="C31">
        <f t="shared" si="9"/>
        <v>7.5853602163456753</v>
      </c>
      <c r="E31">
        <f t="shared" si="10"/>
        <v>26</v>
      </c>
      <c r="F31">
        <f t="shared" si="0"/>
        <v>0.83084846688418779</v>
      </c>
      <c r="G31">
        <f t="shared" si="11"/>
        <v>1.3498077605331802</v>
      </c>
      <c r="V31">
        <f t="shared" si="1"/>
        <v>26</v>
      </c>
      <c r="W31">
        <f t="shared" si="2"/>
        <v>0.83084846688418779</v>
      </c>
      <c r="X31">
        <f t="shared" si="3"/>
        <v>1.3498077605331802</v>
      </c>
      <c r="Y31">
        <f t="shared" si="4"/>
        <v>-0.5189592936489924</v>
      </c>
      <c r="Z31">
        <f t="shared" si="5"/>
        <v>1.024464433991406</v>
      </c>
      <c r="AA31">
        <f t="shared" si="6"/>
        <v>-2.5268726877143592</v>
      </c>
      <c r="AB31">
        <f t="shared" si="7"/>
        <v>1.4889541004163744</v>
      </c>
      <c r="AD31">
        <f t="shared" si="12"/>
        <v>26</v>
      </c>
      <c r="AE31">
        <f t="shared" si="13"/>
        <v>10.978531861411668</v>
      </c>
    </row>
    <row r="32" spans="1:31" x14ac:dyDescent="0.35">
      <c r="A32">
        <f t="shared" si="8"/>
        <v>26</v>
      </c>
      <c r="B32">
        <v>2.0748019655504284</v>
      </c>
      <c r="C32">
        <f t="shared" si="9"/>
        <v>10.978531861411668</v>
      </c>
      <c r="E32">
        <f t="shared" si="10"/>
        <v>27</v>
      </c>
      <c r="F32">
        <f t="shared" si="0"/>
        <v>0.40254181409825662</v>
      </c>
      <c r="G32">
        <f t="shared" si="11"/>
        <v>0.4350256912354824</v>
      </c>
      <c r="V32">
        <f t="shared" si="1"/>
        <v>27</v>
      </c>
      <c r="W32">
        <f t="shared" si="2"/>
        <v>0.40254181409825662</v>
      </c>
      <c r="X32">
        <f t="shared" si="3"/>
        <v>0.4350256912354824</v>
      </c>
      <c r="Y32">
        <f t="shared" si="4"/>
        <v>-3.2483877137225781E-2</v>
      </c>
      <c r="Z32">
        <f t="shared" si="5"/>
        <v>1.024464433991406</v>
      </c>
      <c r="AA32">
        <f t="shared" si="6"/>
        <v>-2.0403972712025924</v>
      </c>
      <c r="AB32">
        <f t="shared" si="7"/>
        <v>1.9754295169281411</v>
      </c>
      <c r="AD32">
        <f t="shared" si="12"/>
        <v>27</v>
      </c>
      <c r="AE32">
        <f t="shared" si="13"/>
        <v>10.550225208625736</v>
      </c>
    </row>
    <row r="33" spans="1:31" x14ac:dyDescent="0.35">
      <c r="A33">
        <f t="shared" si="8"/>
        <v>27</v>
      </c>
      <c r="B33">
        <v>0.28021329874765349</v>
      </c>
      <c r="C33">
        <f t="shared" si="9"/>
        <v>10.550225208625736</v>
      </c>
      <c r="E33">
        <f t="shared" si="10"/>
        <v>28</v>
      </c>
      <c r="F33">
        <f t="shared" si="0"/>
        <v>1.0797780365175154</v>
      </c>
      <c r="G33">
        <f t="shared" si="11"/>
        <v>0.98903576201042653</v>
      </c>
      <c r="V33">
        <f t="shared" si="1"/>
        <v>28</v>
      </c>
      <c r="W33">
        <f t="shared" si="2"/>
        <v>1.0797780365175154</v>
      </c>
      <c r="X33">
        <f t="shared" si="3"/>
        <v>0.98903576201042653</v>
      </c>
      <c r="Y33">
        <f t="shared" si="4"/>
        <v>9.0742274507088827E-2</v>
      </c>
      <c r="Z33">
        <f t="shared" si="5"/>
        <v>1.024464433991406</v>
      </c>
      <c r="AA33">
        <f t="shared" si="6"/>
        <v>-1.9171711195582781</v>
      </c>
      <c r="AB33">
        <f t="shared" si="7"/>
        <v>2.0986556685724556</v>
      </c>
      <c r="AD33">
        <f t="shared" si="12"/>
        <v>28</v>
      </c>
      <c r="AE33">
        <f t="shared" si="13"/>
        <v>11.227461431044995</v>
      </c>
    </row>
    <row r="34" spans="1:31" x14ac:dyDescent="0.35">
      <c r="A34">
        <f t="shared" si="8"/>
        <v>28</v>
      </c>
      <c r="B34">
        <v>0.89834644475651204</v>
      </c>
      <c r="C34">
        <f t="shared" si="9"/>
        <v>11.227461431044995</v>
      </c>
      <c r="E34">
        <f t="shared" si="10"/>
        <v>29</v>
      </c>
      <c r="F34">
        <f t="shared" si="0"/>
        <v>-1.0715120689957924</v>
      </c>
      <c r="G34">
        <f t="shared" si="11"/>
        <v>-1.4014252061849299</v>
      </c>
      <c r="V34">
        <f t="shared" si="1"/>
        <v>29</v>
      </c>
      <c r="W34">
        <f t="shared" si="2"/>
        <v>-1.0715120689957924</v>
      </c>
      <c r="X34">
        <f t="shared" si="3"/>
        <v>-1.4014252061849299</v>
      </c>
      <c r="Y34">
        <f t="shared" si="4"/>
        <v>0.32991313718913751</v>
      </c>
      <c r="Z34">
        <f t="shared" si="5"/>
        <v>1.024464433991406</v>
      </c>
      <c r="AA34">
        <f t="shared" si="6"/>
        <v>-1.6780002568762293</v>
      </c>
      <c r="AB34">
        <f t="shared" si="7"/>
        <v>2.3378265312545041</v>
      </c>
      <c r="AD34">
        <f t="shared" si="12"/>
        <v>29</v>
      </c>
      <c r="AE34">
        <f t="shared" si="13"/>
        <v>9.0761713255316874</v>
      </c>
    </row>
    <row r="35" spans="1:31" x14ac:dyDescent="0.35">
      <c r="A35">
        <f t="shared" si="8"/>
        <v>29</v>
      </c>
      <c r="B35">
        <v>-1.6033823872485062</v>
      </c>
      <c r="C35">
        <f t="shared" si="9"/>
        <v>9.0761713255316874</v>
      </c>
      <c r="E35">
        <f t="shared" si="10"/>
        <v>30</v>
      </c>
      <c r="F35">
        <f t="shared" si="0"/>
        <v>-0.23818774361894235</v>
      </c>
      <c r="G35">
        <f t="shared" si="11"/>
        <v>-0.11503770239305988</v>
      </c>
      <c r="V35">
        <f t="shared" si="1"/>
        <v>30</v>
      </c>
      <c r="W35">
        <f t="shared" si="2"/>
        <v>-0.23818774361894235</v>
      </c>
      <c r="X35">
        <f t="shared" si="3"/>
        <v>-0.11503770239305988</v>
      </c>
      <c r="Y35">
        <f t="shared" si="4"/>
        <v>-0.12315004122588247</v>
      </c>
      <c r="Z35">
        <f t="shared" si="5"/>
        <v>1.024464433991406</v>
      </c>
      <c r="AA35">
        <f t="shared" si="6"/>
        <v>-2.1310634352912494</v>
      </c>
      <c r="AB35">
        <f t="shared" si="7"/>
        <v>1.8847633528394843</v>
      </c>
      <c r="AD35">
        <f t="shared" si="12"/>
        <v>30</v>
      </c>
      <c r="AE35">
        <f t="shared" si="13"/>
        <v>9.9094956509085375</v>
      </c>
    </row>
    <row r="36" spans="1:31" x14ac:dyDescent="0.35">
      <c r="A36">
        <f t="shared" si="8"/>
        <v>30</v>
      </c>
      <c r="B36">
        <v>0.23549924558665486</v>
      </c>
      <c r="C36">
        <f t="shared" si="9"/>
        <v>9.9094956509085375</v>
      </c>
      <c r="E36">
        <f t="shared" si="10"/>
        <v>31</v>
      </c>
      <c r="F36">
        <f t="shared" si="0"/>
        <v>1.5359521764536588</v>
      </c>
      <c r="G36">
        <f t="shared" si="11"/>
        <v>1.6588838677237137</v>
      </c>
      <c r="V36">
        <f t="shared" si="1"/>
        <v>31</v>
      </c>
      <c r="W36">
        <f t="shared" si="2"/>
        <v>1.5359521764536588</v>
      </c>
      <c r="X36">
        <f t="shared" si="3"/>
        <v>1.6588838677237137</v>
      </c>
      <c r="Y36">
        <f t="shared" si="4"/>
        <v>-0.12293169127005488</v>
      </c>
      <c r="Z36">
        <f t="shared" si="5"/>
        <v>1.024464433991406</v>
      </c>
      <c r="AA36">
        <f t="shared" si="6"/>
        <v>-2.1308450853354217</v>
      </c>
      <c r="AB36">
        <f t="shared" si="7"/>
        <v>1.884981702795312</v>
      </c>
      <c r="AD36">
        <f t="shared" si="12"/>
        <v>31</v>
      </c>
      <c r="AE36">
        <f t="shared" si="13"/>
        <v>11.683635570981139</v>
      </c>
    </row>
    <row r="37" spans="1:31" x14ac:dyDescent="0.35">
      <c r="A37">
        <f t="shared" si="8"/>
        <v>31</v>
      </c>
      <c r="B37">
        <v>1.7940884644624944</v>
      </c>
      <c r="C37">
        <f t="shared" si="9"/>
        <v>11.683635570981139</v>
      </c>
      <c r="E37">
        <f t="shared" si="10"/>
        <v>32</v>
      </c>
      <c r="F37">
        <f t="shared" si="0"/>
        <v>-0.75856528548182389</v>
      </c>
      <c r="G37">
        <f t="shared" si="11"/>
        <v>-1.1052981475320218</v>
      </c>
      <c r="V37">
        <f t="shared" si="1"/>
        <v>32</v>
      </c>
      <c r="W37">
        <f t="shared" si="2"/>
        <v>-0.75856528548182389</v>
      </c>
      <c r="X37">
        <f t="shared" si="3"/>
        <v>-1.1052981475320218</v>
      </c>
      <c r="Y37">
        <f t="shared" si="4"/>
        <v>0.34673286205019793</v>
      </c>
      <c r="Z37">
        <f t="shared" si="5"/>
        <v>1.024464433991406</v>
      </c>
      <c r="AA37">
        <f t="shared" si="6"/>
        <v>-1.6611805320151689</v>
      </c>
      <c r="AB37">
        <f t="shared" si="7"/>
        <v>2.354646256115565</v>
      </c>
      <c r="AD37">
        <f t="shared" si="12"/>
        <v>32</v>
      </c>
      <c r="AE37">
        <f t="shared" si="13"/>
        <v>9.3891181090456559</v>
      </c>
    </row>
    <row r="38" spans="1:31" x14ac:dyDescent="0.35">
      <c r="A38">
        <f t="shared" si="8"/>
        <v>32</v>
      </c>
      <c r="B38">
        <v>-1.4306090977486423</v>
      </c>
      <c r="C38">
        <f t="shared" si="9"/>
        <v>9.3891181090456559</v>
      </c>
      <c r="E38">
        <f t="shared" si="10"/>
        <v>33</v>
      </c>
      <c r="F38">
        <f t="shared" si="0"/>
        <v>1.1332839584360812</v>
      </c>
      <c r="G38">
        <f t="shared" si="11"/>
        <v>1.1654270902042618</v>
      </c>
      <c r="V38">
        <f t="shared" si="1"/>
        <v>33</v>
      </c>
      <c r="W38">
        <f t="shared" si="2"/>
        <v>1.1332839584360812</v>
      </c>
      <c r="X38">
        <f t="shared" si="3"/>
        <v>1.1654270902042618</v>
      </c>
      <c r="Y38">
        <f t="shared" si="4"/>
        <v>-3.2143131768180622E-2</v>
      </c>
      <c r="Z38">
        <f t="shared" si="5"/>
        <v>1.024464433991406</v>
      </c>
      <c r="AA38">
        <f t="shared" si="6"/>
        <v>-2.0400565258335472</v>
      </c>
      <c r="AB38">
        <f t="shared" si="7"/>
        <v>1.9757702622971862</v>
      </c>
      <c r="AD38">
        <f t="shared" si="12"/>
        <v>33</v>
      </c>
      <c r="AE38">
        <f t="shared" si="13"/>
        <v>11.280967352963561</v>
      </c>
    </row>
    <row r="39" spans="1:31" x14ac:dyDescent="0.35">
      <c r="A39">
        <f t="shared" si="8"/>
        <v>33</v>
      </c>
      <c r="B39">
        <v>1.422462857081874</v>
      </c>
      <c r="C39">
        <f t="shared" si="9"/>
        <v>11.280967352963561</v>
      </c>
      <c r="E39">
        <f t="shared" si="10"/>
        <v>34</v>
      </c>
      <c r="F39">
        <f t="shared" si="0"/>
        <v>-1.0699833401901113</v>
      </c>
      <c r="G39">
        <f t="shared" si="11"/>
        <v>-1.3542955131440317</v>
      </c>
      <c r="V39">
        <f t="shared" si="1"/>
        <v>34</v>
      </c>
      <c r="W39">
        <f t="shared" si="2"/>
        <v>-1.0699833401901113</v>
      </c>
      <c r="X39">
        <f t="shared" si="3"/>
        <v>-1.3542955131440317</v>
      </c>
      <c r="Y39">
        <f t="shared" si="4"/>
        <v>0.28431217295392042</v>
      </c>
      <c r="Z39">
        <f t="shared" si="5"/>
        <v>1.024464433991406</v>
      </c>
      <c r="AA39">
        <f t="shared" si="6"/>
        <v>-1.7236012211114464</v>
      </c>
      <c r="AB39">
        <f t="shared" si="7"/>
        <v>2.2922255670192873</v>
      </c>
      <c r="AD39">
        <f t="shared" si="12"/>
        <v>34</v>
      </c>
      <c r="AE39">
        <f t="shared" si="13"/>
        <v>9.0777000543373685</v>
      </c>
    </row>
    <row r="40" spans="1:31" x14ac:dyDescent="0.35">
      <c r="A40">
        <f t="shared" si="8"/>
        <v>34</v>
      </c>
      <c r="B40">
        <v>-1.5344845213207499</v>
      </c>
      <c r="C40">
        <f t="shared" si="9"/>
        <v>9.0777000543373685</v>
      </c>
      <c r="E40">
        <f t="shared" si="10"/>
        <v>35</v>
      </c>
      <c r="F40">
        <f t="shared" si="0"/>
        <v>-0.72583131481728991</v>
      </c>
      <c r="G40">
        <f t="shared" si="11"/>
        <v>-0.5809089781142116</v>
      </c>
      <c r="V40">
        <f t="shared" si="1"/>
        <v>35</v>
      </c>
      <c r="W40">
        <f t="shared" si="2"/>
        <v>-0.72583131481728991</v>
      </c>
      <c r="X40">
        <f t="shared" si="3"/>
        <v>-0.5809089781142116</v>
      </c>
      <c r="Y40">
        <f t="shared" si="4"/>
        <v>-0.1449223367030783</v>
      </c>
      <c r="Z40">
        <f t="shared" si="5"/>
        <v>1.024464433991406</v>
      </c>
      <c r="AA40">
        <f t="shared" si="6"/>
        <v>-2.1528357307684454</v>
      </c>
      <c r="AB40">
        <f t="shared" si="7"/>
        <v>1.8629910573622885</v>
      </c>
      <c r="AD40">
        <f t="shared" si="12"/>
        <v>35</v>
      </c>
      <c r="AE40">
        <f t="shared" si="13"/>
        <v>9.4218520797101899</v>
      </c>
    </row>
    <row r="41" spans="1:31" x14ac:dyDescent="0.35">
      <c r="A41">
        <f t="shared" si="8"/>
        <v>35</v>
      </c>
      <c r="B41">
        <v>-0.23943486259011701</v>
      </c>
      <c r="C41">
        <f t="shared" si="9"/>
        <v>9.4218520797101899</v>
      </c>
      <c r="E41">
        <f t="shared" si="10"/>
        <v>36</v>
      </c>
      <c r="F41">
        <f t="shared" si="0"/>
        <v>0.62098737219874245</v>
      </c>
      <c r="G41">
        <f t="shared" si="11"/>
        <v>0.88357121210694167</v>
      </c>
      <c r="V41">
        <f t="shared" si="1"/>
        <v>36</v>
      </c>
      <c r="W41">
        <f t="shared" si="2"/>
        <v>0.62098737219874245</v>
      </c>
      <c r="X41">
        <f t="shared" si="3"/>
        <v>0.88357121210694167</v>
      </c>
      <c r="Y41">
        <f t="shared" si="4"/>
        <v>-0.26258383990819922</v>
      </c>
      <c r="Z41">
        <f t="shared" si="5"/>
        <v>1.024464433991406</v>
      </c>
      <c r="AA41">
        <f t="shared" si="6"/>
        <v>-2.2704972339735661</v>
      </c>
      <c r="AB41">
        <f t="shared" si="7"/>
        <v>1.7453295541571676</v>
      </c>
      <c r="AD41">
        <f t="shared" si="12"/>
        <v>36</v>
      </c>
      <c r="AE41">
        <f t="shared" si="13"/>
        <v>10.768670766726222</v>
      </c>
    </row>
    <row r="42" spans="1:31" x14ac:dyDescent="0.35">
      <c r="A42">
        <f t="shared" si="8"/>
        <v>36</v>
      </c>
      <c r="B42">
        <v>1.1254873384110666</v>
      </c>
      <c r="C42">
        <f t="shared" si="9"/>
        <v>10.768670766726222</v>
      </c>
      <c r="E42">
        <f t="shared" si="10"/>
        <v>37</v>
      </c>
      <c r="F42">
        <f t="shared" si="0"/>
        <v>-0.10299696830686855</v>
      </c>
      <c r="G42">
        <f t="shared" si="11"/>
        <v>-0.13965140174406065</v>
      </c>
      <c r="V42">
        <f t="shared" si="1"/>
        <v>37</v>
      </c>
      <c r="W42">
        <f t="shared" si="2"/>
        <v>-0.10299696830686855</v>
      </c>
      <c r="X42">
        <f t="shared" si="3"/>
        <v>-0.13965140174406065</v>
      </c>
      <c r="Y42">
        <f t="shared" si="4"/>
        <v>3.6654433437192102E-2</v>
      </c>
      <c r="Z42">
        <f t="shared" si="5"/>
        <v>1.024464433991406</v>
      </c>
      <c r="AA42">
        <f t="shared" si="6"/>
        <v>-1.9712589606281747</v>
      </c>
      <c r="AB42">
        <f t="shared" si="7"/>
        <v>2.0445678275025587</v>
      </c>
      <c r="AD42">
        <f t="shared" si="12"/>
        <v>37</v>
      </c>
      <c r="AE42">
        <f t="shared" si="13"/>
        <v>10.044686426220611</v>
      </c>
    </row>
    <row r="43" spans="1:31" x14ac:dyDescent="0.35">
      <c r="A43">
        <f t="shared" si="8"/>
        <v>37</v>
      </c>
      <c r="B43">
        <v>-0.26828564280553124</v>
      </c>
      <c r="C43">
        <f t="shared" si="9"/>
        <v>10.044686426220611</v>
      </c>
      <c r="E43">
        <f t="shared" si="10"/>
        <v>38</v>
      </c>
      <c r="F43">
        <f t="shared" si="0"/>
        <v>-0.6450358536553864</v>
      </c>
      <c r="G43">
        <f t="shared" si="11"/>
        <v>-0.63560181194780996</v>
      </c>
      <c r="V43">
        <f t="shared" si="1"/>
        <v>38</v>
      </c>
      <c r="W43">
        <f t="shared" si="2"/>
        <v>-0.6450358536553864</v>
      </c>
      <c r="X43">
        <f t="shared" si="3"/>
        <v>-0.63560181194780996</v>
      </c>
      <c r="Y43">
        <f t="shared" si="4"/>
        <v>-9.434041707576446E-3</v>
      </c>
      <c r="Z43">
        <f t="shared" si="5"/>
        <v>1.024464433991406</v>
      </c>
      <c r="AA43">
        <f t="shared" si="6"/>
        <v>-2.0173474357729431</v>
      </c>
      <c r="AB43">
        <f t="shared" si="7"/>
        <v>1.9984793523577904</v>
      </c>
      <c r="AD43">
        <f t="shared" si="12"/>
        <v>38</v>
      </c>
      <c r="AE43">
        <f t="shared" si="13"/>
        <v>9.5026475408720934</v>
      </c>
    </row>
    <row r="44" spans="1:31" x14ac:dyDescent="0.35">
      <c r="A44">
        <f t="shared" si="8"/>
        <v>38</v>
      </c>
      <c r="B44">
        <v>-0.5822900860434399</v>
      </c>
      <c r="C44">
        <f t="shared" si="9"/>
        <v>9.5026475408720934</v>
      </c>
      <c r="E44">
        <f t="shared" si="10"/>
        <v>39</v>
      </c>
      <c r="F44">
        <f t="shared" si="0"/>
        <v>1.8689517506824096</v>
      </c>
      <c r="G44">
        <f t="shared" si="11"/>
        <v>2.0442602219158248</v>
      </c>
      <c r="V44">
        <f t="shared" si="1"/>
        <v>39</v>
      </c>
      <c r="W44">
        <f t="shared" si="2"/>
        <v>1.8689517506824096</v>
      </c>
      <c r="X44">
        <f t="shared" si="3"/>
        <v>2.0442602219158248</v>
      </c>
      <c r="Y44">
        <f t="shared" si="4"/>
        <v>-0.1753084712334152</v>
      </c>
      <c r="Z44">
        <f t="shared" si="5"/>
        <v>1.024464433991406</v>
      </c>
      <c r="AA44">
        <f t="shared" si="6"/>
        <v>-2.183221865298782</v>
      </c>
      <c r="AB44">
        <f t="shared" si="7"/>
        <v>1.8326049228319516</v>
      </c>
      <c r="AD44">
        <f t="shared" si="12"/>
        <v>39</v>
      </c>
      <c r="AE44">
        <f t="shared" si="13"/>
        <v>12.016635145209889</v>
      </c>
    </row>
    <row r="45" spans="1:31" x14ac:dyDescent="0.35">
      <c r="A45">
        <f t="shared" si="8"/>
        <v>39</v>
      </c>
      <c r="B45">
        <v>2.2483238493907369</v>
      </c>
      <c r="C45">
        <f t="shared" si="9"/>
        <v>12.016635145209889</v>
      </c>
      <c r="E45">
        <f t="shared" si="10"/>
        <v>40</v>
      </c>
      <c r="F45">
        <f t="shared" si="0"/>
        <v>-0.54010097006392499</v>
      </c>
      <c r="G45">
        <f t="shared" si="11"/>
        <v>-0.94949606794985542</v>
      </c>
      <c r="V45">
        <f t="shared" si="1"/>
        <v>40</v>
      </c>
      <c r="W45">
        <f t="shared" si="2"/>
        <v>-0.54010097006392499</v>
      </c>
      <c r="X45">
        <f t="shared" si="3"/>
        <v>-0.94949606794985542</v>
      </c>
      <c r="Y45">
        <f t="shared" si="4"/>
        <v>0.40939509788593043</v>
      </c>
      <c r="Z45">
        <f t="shared" si="5"/>
        <v>1.024464433991406</v>
      </c>
      <c r="AA45">
        <f t="shared" si="6"/>
        <v>-1.5985182961794364</v>
      </c>
      <c r="AB45">
        <f t="shared" si="7"/>
        <v>2.4173084919512973</v>
      </c>
      <c r="AD45">
        <f t="shared" si="12"/>
        <v>40</v>
      </c>
      <c r="AE45">
        <f t="shared" si="13"/>
        <v>9.6075824244635548</v>
      </c>
    </row>
    <row r="46" spans="1:31" x14ac:dyDescent="0.35">
      <c r="A46">
        <f t="shared" si="8"/>
        <v>40</v>
      </c>
      <c r="B46">
        <v>-1.3543974073052196</v>
      </c>
      <c r="C46">
        <f t="shared" si="9"/>
        <v>9.6075824244635548</v>
      </c>
      <c r="E46">
        <f t="shared" si="10"/>
        <v>41</v>
      </c>
      <c r="F46">
        <f t="shared" si="0"/>
        <v>0.33111531208253986</v>
      </c>
      <c r="G46">
        <f t="shared" si="11"/>
        <v>0.27496366461298349</v>
      </c>
      <c r="V46">
        <f t="shared" si="1"/>
        <v>41</v>
      </c>
      <c r="W46">
        <f t="shared" si="2"/>
        <v>0.33111531208253986</v>
      </c>
      <c r="X46">
        <f t="shared" si="3"/>
        <v>0.27496366461298349</v>
      </c>
      <c r="Y46">
        <f t="shared" si="4"/>
        <v>5.6151647469556365E-2</v>
      </c>
      <c r="Z46">
        <f t="shared" si="5"/>
        <v>1.024464433991406</v>
      </c>
      <c r="AA46">
        <f t="shared" si="6"/>
        <v>-1.9517617465958104</v>
      </c>
      <c r="AB46">
        <f t="shared" si="7"/>
        <v>2.0640650415349233</v>
      </c>
      <c r="AD46">
        <f t="shared" si="12"/>
        <v>41</v>
      </c>
      <c r="AE46">
        <f t="shared" si="13"/>
        <v>10.47879870661002</v>
      </c>
    </row>
    <row r="47" spans="1:31" x14ac:dyDescent="0.35">
      <c r="A47">
        <f t="shared" si="8"/>
        <v>41</v>
      </c>
      <c r="B47">
        <v>0.48261152802448637</v>
      </c>
      <c r="C47">
        <f t="shared" si="9"/>
        <v>10.47879870661002</v>
      </c>
      <c r="E47">
        <f t="shared" si="10"/>
        <v>42</v>
      </c>
      <c r="F47">
        <f t="shared" si="0"/>
        <v>-1.653739840934243E-2</v>
      </c>
      <c r="G47">
        <f t="shared" si="11"/>
        <v>-0.13148104701432387</v>
      </c>
      <c r="V47">
        <f t="shared" si="1"/>
        <v>42</v>
      </c>
      <c r="W47">
        <f t="shared" si="2"/>
        <v>-1.653739840934243E-2</v>
      </c>
      <c r="X47">
        <f t="shared" si="3"/>
        <v>-0.13148104701432387</v>
      </c>
      <c r="Y47">
        <f t="shared" si="4"/>
        <v>0.11494364860498144</v>
      </c>
      <c r="Z47">
        <f t="shared" si="5"/>
        <v>1.024464433991406</v>
      </c>
      <c r="AA47">
        <f t="shared" si="6"/>
        <v>-1.8929697454603853</v>
      </c>
      <c r="AB47">
        <f t="shared" si="7"/>
        <v>2.1228570426703484</v>
      </c>
      <c r="AD47">
        <f t="shared" si="12"/>
        <v>42</v>
      </c>
      <c r="AE47">
        <f t="shared" si="13"/>
        <v>10.131145996118137</v>
      </c>
    </row>
    <row r="48" spans="1:31" x14ac:dyDescent="0.35">
      <c r="A48">
        <f t="shared" si="8"/>
        <v>42</v>
      </c>
      <c r="B48">
        <v>-0.10749079290397744</v>
      </c>
      <c r="C48">
        <f t="shared" si="9"/>
        <v>10.131145996118137</v>
      </c>
      <c r="E48">
        <f t="shared" si="10"/>
        <v>43</v>
      </c>
      <c r="F48">
        <f t="shared" si="0"/>
        <v>-0.83743040143353475</v>
      </c>
      <c r="G48">
        <f t="shared" si="11"/>
        <v>-0.88895347963859761</v>
      </c>
      <c r="V48">
        <f t="shared" si="1"/>
        <v>43</v>
      </c>
      <c r="W48">
        <f t="shared" si="2"/>
        <v>-0.83743040143353475</v>
      </c>
      <c r="X48">
        <f t="shared" si="3"/>
        <v>-0.88895347963859761</v>
      </c>
      <c r="Y48">
        <f t="shared" si="4"/>
        <v>5.1523078205062856E-2</v>
      </c>
      <c r="Z48">
        <f t="shared" si="5"/>
        <v>1.024464433991406</v>
      </c>
      <c r="AA48">
        <f t="shared" si="6"/>
        <v>-1.956390315860304</v>
      </c>
      <c r="AB48">
        <f t="shared" si="7"/>
        <v>2.0594364722704297</v>
      </c>
      <c r="AD48">
        <f t="shared" si="12"/>
        <v>43</v>
      </c>
      <c r="AE48">
        <f t="shared" si="13"/>
        <v>9.3102529930939451</v>
      </c>
    </row>
    <row r="49" spans="1:31" x14ac:dyDescent="0.35">
      <c r="A49">
        <f t="shared" si="8"/>
        <v>43</v>
      </c>
      <c r="B49">
        <v>-0.80304736276954691</v>
      </c>
      <c r="C49">
        <f t="shared" si="9"/>
        <v>9.3102529930939451</v>
      </c>
      <c r="E49">
        <f t="shared" si="10"/>
        <v>44</v>
      </c>
      <c r="F49">
        <f t="shared" si="0"/>
        <v>-0.1944459375475649</v>
      </c>
      <c r="G49">
        <f t="shared" si="11"/>
        <v>2.1382584579422992E-3</v>
      </c>
      <c r="V49">
        <f t="shared" si="1"/>
        <v>44</v>
      </c>
      <c r="W49">
        <f t="shared" si="2"/>
        <v>-0.1944459375475649</v>
      </c>
      <c r="X49">
        <f t="shared" si="3"/>
        <v>2.1382584579422992E-3</v>
      </c>
      <c r="Y49">
        <f t="shared" si="4"/>
        <v>-0.19658419600550719</v>
      </c>
      <c r="Z49">
        <f t="shared" si="5"/>
        <v>1.024464433991406</v>
      </c>
      <c r="AA49">
        <f t="shared" si="6"/>
        <v>-2.2044975900708739</v>
      </c>
      <c r="AB49">
        <f t="shared" si="7"/>
        <v>1.8113291980598596</v>
      </c>
      <c r="AD49">
        <f t="shared" si="12"/>
        <v>44</v>
      </c>
      <c r="AE49">
        <f t="shared" si="13"/>
        <v>9.9532374569799149</v>
      </c>
    </row>
    <row r="50" spans="1:31" x14ac:dyDescent="0.35">
      <c r="A50">
        <f t="shared" si="8"/>
        <v>44</v>
      </c>
      <c r="B50">
        <v>0.2754508892602448</v>
      </c>
      <c r="C50">
        <f t="shared" si="9"/>
        <v>9.9532374569799149</v>
      </c>
      <c r="E50">
        <f t="shared" si="10"/>
        <v>45</v>
      </c>
      <c r="F50">
        <f t="shared" si="0"/>
        <v>-0.21560042049791939</v>
      </c>
      <c r="G50">
        <f t="shared" si="11"/>
        <v>-6.8532907659317813E-2</v>
      </c>
      <c r="V50">
        <f t="shared" si="1"/>
        <v>45</v>
      </c>
      <c r="W50">
        <f t="shared" si="2"/>
        <v>-0.21560042049791939</v>
      </c>
      <c r="X50">
        <f t="shared" si="3"/>
        <v>-6.8532907659317813E-2</v>
      </c>
      <c r="Y50">
        <f t="shared" si="4"/>
        <v>-0.14706751283860159</v>
      </c>
      <c r="Z50">
        <f t="shared" si="5"/>
        <v>1.024464433991406</v>
      </c>
      <c r="AA50">
        <f t="shared" si="6"/>
        <v>-2.1549809069039685</v>
      </c>
      <c r="AB50">
        <f t="shared" si="7"/>
        <v>1.8608458812267652</v>
      </c>
      <c r="AD50">
        <f t="shared" si="12"/>
        <v>45</v>
      </c>
      <c r="AE50">
        <f t="shared" si="13"/>
        <v>9.9320829740295604</v>
      </c>
    </row>
    <row r="51" spans="1:31" x14ac:dyDescent="0.35">
      <c r="A51">
        <f t="shared" si="8"/>
        <v>45</v>
      </c>
      <c r="B51">
        <v>1.9906931995671073E-2</v>
      </c>
      <c r="C51">
        <f t="shared" si="9"/>
        <v>9.9320829740295604</v>
      </c>
      <c r="E51">
        <f t="shared" si="10"/>
        <v>46</v>
      </c>
      <c r="F51">
        <f t="shared" si="0"/>
        <v>1.4874185849611354</v>
      </c>
      <c r="G51">
        <f t="shared" si="11"/>
        <v>1.6160038016633307</v>
      </c>
      <c r="V51">
        <f t="shared" si="1"/>
        <v>46</v>
      </c>
      <c r="W51">
        <f t="shared" si="2"/>
        <v>1.4874185849611354</v>
      </c>
      <c r="X51">
        <f t="shared" si="3"/>
        <v>1.6160038016633307</v>
      </c>
      <c r="Y51">
        <f t="shared" si="4"/>
        <v>-0.12858521670219525</v>
      </c>
      <c r="Z51">
        <f t="shared" si="5"/>
        <v>1.024464433991406</v>
      </c>
      <c r="AA51">
        <f t="shared" si="6"/>
        <v>-2.1364986107675623</v>
      </c>
      <c r="AB51">
        <f t="shared" si="7"/>
        <v>1.8793281773631716</v>
      </c>
      <c r="AD51">
        <f t="shared" si="12"/>
        <v>46</v>
      </c>
      <c r="AE51">
        <f t="shared" si="13"/>
        <v>11.635101979488615</v>
      </c>
    </row>
    <row r="52" spans="1:31" x14ac:dyDescent="0.35">
      <c r="A52">
        <f t="shared" si="8"/>
        <v>46</v>
      </c>
      <c r="B52">
        <v>1.686625284067059</v>
      </c>
      <c r="C52">
        <f t="shared" si="9"/>
        <v>11.635101979488615</v>
      </c>
      <c r="E52">
        <f t="shared" si="10"/>
        <v>47</v>
      </c>
      <c r="F52">
        <f t="shared" si="0"/>
        <v>0.28055942787071153</v>
      </c>
      <c r="G52">
        <f t="shared" si="11"/>
        <v>-5.057868509048824E-2</v>
      </c>
      <c r="V52">
        <f t="shared" si="1"/>
        <v>47</v>
      </c>
      <c r="W52">
        <f t="shared" si="2"/>
        <v>0.28055942787071153</v>
      </c>
      <c r="X52">
        <f t="shared" si="3"/>
        <v>-5.057868509048824E-2</v>
      </c>
      <c r="Y52">
        <f t="shared" si="4"/>
        <v>0.33113811296119977</v>
      </c>
      <c r="Z52">
        <f t="shared" si="5"/>
        <v>1.024464433991406</v>
      </c>
      <c r="AA52">
        <f t="shared" si="6"/>
        <v>-1.6767752811041672</v>
      </c>
      <c r="AB52">
        <f t="shared" si="7"/>
        <v>2.3390515070265665</v>
      </c>
      <c r="AD52">
        <f t="shared" si="12"/>
        <v>47</v>
      </c>
      <c r="AE52">
        <f t="shared" si="13"/>
        <v>10.428242822398191</v>
      </c>
    </row>
    <row r="53" spans="1:31" x14ac:dyDescent="0.35">
      <c r="A53">
        <f t="shared" si="8"/>
        <v>47</v>
      </c>
      <c r="B53">
        <v>-0.37900350643042602</v>
      </c>
      <c r="C53">
        <f t="shared" si="9"/>
        <v>10.428242822398191</v>
      </c>
      <c r="E53">
        <f t="shared" si="10"/>
        <v>48</v>
      </c>
      <c r="F53">
        <f t="shared" si="0"/>
        <v>-0.45345270877771959</v>
      </c>
      <c r="G53">
        <f t="shared" si="11"/>
        <v>-0.68874869167769104</v>
      </c>
      <c r="V53">
        <f t="shared" si="1"/>
        <v>48</v>
      </c>
      <c r="W53">
        <f t="shared" si="2"/>
        <v>-0.45345270877771959</v>
      </c>
      <c r="X53">
        <f t="shared" si="3"/>
        <v>-0.68874869167769104</v>
      </c>
      <c r="Y53">
        <f t="shared" si="4"/>
        <v>0.23529598289997145</v>
      </c>
      <c r="Z53">
        <f t="shared" si="5"/>
        <v>1.024464433991406</v>
      </c>
      <c r="AA53">
        <f t="shared" si="6"/>
        <v>-1.7726174111653954</v>
      </c>
      <c r="AB53">
        <f t="shared" si="7"/>
        <v>2.2432093769653383</v>
      </c>
      <c r="AD53">
        <f t="shared" si="12"/>
        <v>48</v>
      </c>
      <c r="AE53">
        <f t="shared" si="13"/>
        <v>9.6942306857497602</v>
      </c>
    </row>
    <row r="54" spans="1:31" x14ac:dyDescent="0.35">
      <c r="A54">
        <f t="shared" si="8"/>
        <v>48</v>
      </c>
      <c r="B54">
        <v>-0.68133999121505795</v>
      </c>
      <c r="C54">
        <f t="shared" si="9"/>
        <v>9.6942306857497602</v>
      </c>
      <c r="E54">
        <f t="shared" si="10"/>
        <v>49</v>
      </c>
      <c r="F54">
        <f t="shared" si="0"/>
        <v>2.1353357849278609E-2</v>
      </c>
      <c r="G54">
        <f t="shared" si="11"/>
        <v>2.6937473152012392E-2</v>
      </c>
      <c r="V54">
        <f t="shared" si="1"/>
        <v>49</v>
      </c>
      <c r="W54">
        <f t="shared" si="2"/>
        <v>2.1353357849278609E-2</v>
      </c>
      <c r="X54">
        <f t="shared" si="3"/>
        <v>2.6937473152012392E-2</v>
      </c>
      <c r="Y54">
        <f t="shared" si="4"/>
        <v>-5.5841153027337831E-3</v>
      </c>
      <c r="Z54">
        <f t="shared" si="5"/>
        <v>1.024464433991406</v>
      </c>
      <c r="AA54">
        <f t="shared" si="6"/>
        <v>-2.0134975093681007</v>
      </c>
      <c r="AB54">
        <f t="shared" si="7"/>
        <v>2.002329278762633</v>
      </c>
      <c r="AD54">
        <f t="shared" si="12"/>
        <v>49</v>
      </c>
      <c r="AE54">
        <f t="shared" si="13"/>
        <v>10.169036752376758</v>
      </c>
    </row>
    <row r="55" spans="1:31" x14ac:dyDescent="0.35">
      <c r="A55">
        <f t="shared" si="8"/>
        <v>49</v>
      </c>
      <c r="B55">
        <v>0.24680727410891506</v>
      </c>
      <c r="C55">
        <f t="shared" si="9"/>
        <v>10.169036752376758</v>
      </c>
      <c r="E55">
        <f t="shared" si="10"/>
        <v>50</v>
      </c>
      <c r="F55">
        <f t="shared" si="0"/>
        <v>0.33897231806253458</v>
      </c>
      <c r="G55">
        <f t="shared" si="11"/>
        <v>0.3360364603312716</v>
      </c>
      <c r="V55">
        <f t="shared" si="1"/>
        <v>50</v>
      </c>
      <c r="W55">
        <f t="shared" si="2"/>
        <v>0.33897231806253458</v>
      </c>
      <c r="X55">
        <f t="shared" si="3"/>
        <v>0.3360364603312716</v>
      </c>
      <c r="Y55">
        <f t="shared" si="4"/>
        <v>2.9358577312629808E-3</v>
      </c>
      <c r="Z55">
        <f t="shared" si="5"/>
        <v>1.024464433991406</v>
      </c>
      <c r="AA55">
        <f t="shared" si="6"/>
        <v>-2.004977536334104</v>
      </c>
      <c r="AB55">
        <f t="shared" si="7"/>
        <v>2.0108492517966297</v>
      </c>
      <c r="AD55">
        <f t="shared" si="12"/>
        <v>50</v>
      </c>
      <c r="AE55">
        <f t="shared" si="13"/>
        <v>10.486655712590014</v>
      </c>
    </row>
    <row r="56" spans="1:31" x14ac:dyDescent="0.35">
      <c r="A56">
        <f t="shared" si="8"/>
        <v>50</v>
      </c>
      <c r="B56">
        <v>0.4176914407480673</v>
      </c>
      <c r="C56">
        <f t="shared" si="9"/>
        <v>10.486655712590014</v>
      </c>
      <c r="E56">
        <f t="shared" si="10"/>
        <v>51</v>
      </c>
      <c r="F56">
        <f t="shared" si="0"/>
        <v>0.50846624552533726</v>
      </c>
      <c r="G56">
        <f t="shared" si="11"/>
        <v>0.41732328094815996</v>
      </c>
      <c r="V56">
        <f t="shared" si="1"/>
        <v>51</v>
      </c>
      <c r="W56">
        <f t="shared" si="2"/>
        <v>0.50846624552533726</v>
      </c>
      <c r="X56">
        <f t="shared" si="3"/>
        <v>0.41732328094815996</v>
      </c>
      <c r="Y56">
        <f t="shared" si="4"/>
        <v>9.1142964577177299E-2</v>
      </c>
      <c r="Z56">
        <f t="shared" si="5"/>
        <v>1.024464433991406</v>
      </c>
      <c r="AA56">
        <f t="shared" si="6"/>
        <v>-1.9167704294881895</v>
      </c>
      <c r="AB56">
        <f t="shared" si="7"/>
        <v>2.0990563586425441</v>
      </c>
      <c r="AD56">
        <f t="shared" si="12"/>
        <v>51</v>
      </c>
      <c r="AE56">
        <f t="shared" si="13"/>
        <v>10.656149640052817</v>
      </c>
    </row>
    <row r="57" spans="1:31" x14ac:dyDescent="0.35">
      <c r="A57">
        <f t="shared" si="8"/>
        <v>51</v>
      </c>
      <c r="B57">
        <v>0.39902892938942136</v>
      </c>
      <c r="C57">
        <f t="shared" si="9"/>
        <v>10.656149640052817</v>
      </c>
      <c r="E57">
        <f t="shared" si="10"/>
        <v>52</v>
      </c>
      <c r="F57">
        <f t="shared" si="0"/>
        <v>-1.8365827911468458E-2</v>
      </c>
      <c r="G57">
        <f t="shared" si="11"/>
        <v>-0.19726578515041518</v>
      </c>
      <c r="V57">
        <f t="shared" si="1"/>
        <v>52</v>
      </c>
      <c r="W57">
        <f t="shared" si="2"/>
        <v>-1.8365827911468458E-2</v>
      </c>
      <c r="X57">
        <f t="shared" si="3"/>
        <v>-0.19726578515041518</v>
      </c>
      <c r="Y57">
        <f t="shared" si="4"/>
        <v>0.17889995723894672</v>
      </c>
      <c r="Z57">
        <f t="shared" si="5"/>
        <v>1.024464433991406</v>
      </c>
      <c r="AA57">
        <f t="shared" si="6"/>
        <v>-1.8290134368264201</v>
      </c>
      <c r="AB57">
        <f t="shared" si="7"/>
        <v>2.1868133513043135</v>
      </c>
      <c r="AD57">
        <f t="shared" si="12"/>
        <v>52</v>
      </c>
      <c r="AE57">
        <f t="shared" si="13"/>
        <v>10.129317566616011</v>
      </c>
    </row>
    <row r="58" spans="1:31" x14ac:dyDescent="0.35">
      <c r="A58">
        <f t="shared" si="8"/>
        <v>52</v>
      </c>
      <c r="B58">
        <v>-0.25018139554307461</v>
      </c>
      <c r="C58">
        <f t="shared" si="9"/>
        <v>10.129317566616011</v>
      </c>
      <c r="E58">
        <f t="shared" si="10"/>
        <v>53</v>
      </c>
      <c r="F58">
        <f t="shared" si="0"/>
        <v>-1.1813776421092737</v>
      </c>
      <c r="G58">
        <f t="shared" si="11"/>
        <v>-1.2635203624127005</v>
      </c>
      <c r="V58">
        <f t="shared" si="1"/>
        <v>53</v>
      </c>
      <c r="W58">
        <f t="shared" si="2"/>
        <v>-1.1813776421092737</v>
      </c>
      <c r="X58">
        <f t="shared" si="3"/>
        <v>-1.2635203624127005</v>
      </c>
      <c r="Y58">
        <f t="shared" si="4"/>
        <v>8.2142720303426842E-2</v>
      </c>
      <c r="Z58">
        <f t="shared" si="5"/>
        <v>1.024464433991406</v>
      </c>
      <c r="AA58">
        <f t="shared" si="6"/>
        <v>-1.92577067376194</v>
      </c>
      <c r="AB58">
        <f t="shared" si="7"/>
        <v>2.0900561143687937</v>
      </c>
      <c r="AD58">
        <f t="shared" si="12"/>
        <v>53</v>
      </c>
      <c r="AE58">
        <f t="shared" si="13"/>
        <v>8.9663057524182062</v>
      </c>
    </row>
    <row r="59" spans="1:31" x14ac:dyDescent="0.35">
      <c r="A59">
        <f t="shared" si="8"/>
        <v>53</v>
      </c>
      <c r="B59">
        <v>-1.1742528233216154</v>
      </c>
      <c r="C59">
        <f t="shared" si="9"/>
        <v>8.9663057524182062</v>
      </c>
      <c r="E59">
        <f t="shared" si="10"/>
        <v>54</v>
      </c>
      <c r="F59">
        <f t="shared" si="0"/>
        <v>-2.0409319555349974</v>
      </c>
      <c r="G59">
        <f t="shared" si="11"/>
        <v>-1.76820697887206</v>
      </c>
      <c r="V59">
        <f t="shared" si="1"/>
        <v>54</v>
      </c>
      <c r="W59">
        <f t="shared" si="2"/>
        <v>-2.0409319555349974</v>
      </c>
      <c r="X59">
        <f t="shared" si="3"/>
        <v>-1.76820697887206</v>
      </c>
      <c r="Y59">
        <f t="shared" si="4"/>
        <v>-0.27272497666293738</v>
      </c>
      <c r="Z59">
        <f t="shared" si="5"/>
        <v>1.024464433991406</v>
      </c>
      <c r="AA59">
        <f t="shared" si="6"/>
        <v>-2.2806383707283042</v>
      </c>
      <c r="AB59">
        <f t="shared" si="7"/>
        <v>1.7351884174024295</v>
      </c>
      <c r="AD59">
        <f t="shared" si="12"/>
        <v>54</v>
      </c>
      <c r="AE59">
        <f t="shared" si="13"/>
        <v>8.1067514389924824</v>
      </c>
    </row>
    <row r="60" spans="1:31" x14ac:dyDescent="0.35">
      <c r="A60">
        <f t="shared" si="8"/>
        <v>54</v>
      </c>
      <c r="B60">
        <v>-1.4045131523645842</v>
      </c>
      <c r="C60">
        <f t="shared" si="9"/>
        <v>8.1067514389924824</v>
      </c>
      <c r="E60">
        <f t="shared" si="10"/>
        <v>55</v>
      </c>
      <c r="F60">
        <f t="shared" si="0"/>
        <v>-1.4737846366759761</v>
      </c>
      <c r="G60">
        <f t="shared" si="11"/>
        <v>-0.80098186449163356</v>
      </c>
      <c r="V60">
        <f t="shared" si="1"/>
        <v>55</v>
      </c>
      <c r="W60">
        <f t="shared" si="2"/>
        <v>-1.4737846366759761</v>
      </c>
      <c r="X60">
        <f t="shared" si="3"/>
        <v>-0.80098186449163356</v>
      </c>
      <c r="Y60">
        <f t="shared" si="4"/>
        <v>-0.67280277218434259</v>
      </c>
      <c r="Z60">
        <f t="shared" si="5"/>
        <v>1.024464433991406</v>
      </c>
      <c r="AA60">
        <f t="shared" si="6"/>
        <v>-2.6807161662497094</v>
      </c>
      <c r="AB60">
        <f t="shared" si="7"/>
        <v>1.3351106218810243</v>
      </c>
      <c r="AD60">
        <f t="shared" si="12"/>
        <v>55</v>
      </c>
      <c r="AE60">
        <f t="shared" si="13"/>
        <v>8.6738987578515037</v>
      </c>
    </row>
    <row r="61" spans="1:31" x14ac:dyDescent="0.35">
      <c r="A61">
        <f t="shared" si="8"/>
        <v>55</v>
      </c>
      <c r="B61">
        <v>-0.28172987991615117</v>
      </c>
      <c r="C61">
        <f t="shared" si="9"/>
        <v>8.6738987578515037</v>
      </c>
      <c r="E61">
        <f t="shared" si="10"/>
        <v>56</v>
      </c>
      <c r="F61">
        <f t="shared" si="0"/>
        <v>-1.4078212707682152</v>
      </c>
      <c r="G61">
        <f t="shared" si="11"/>
        <v>-0.69055639833431148</v>
      </c>
      <c r="V61">
        <f t="shared" si="1"/>
        <v>56</v>
      </c>
      <c r="W61">
        <f t="shared" si="2"/>
        <v>-1.4078212707682152</v>
      </c>
      <c r="X61">
        <f t="shared" si="3"/>
        <v>-0.69055639833431148</v>
      </c>
      <c r="Y61">
        <f t="shared" si="4"/>
        <v>-0.71726487243390369</v>
      </c>
      <c r="Z61">
        <f t="shared" si="5"/>
        <v>1.024464433991406</v>
      </c>
      <c r="AA61">
        <f t="shared" si="6"/>
        <v>-2.7251782664992703</v>
      </c>
      <c r="AB61">
        <f t="shared" si="7"/>
        <v>1.2906485216314632</v>
      </c>
      <c r="AD61">
        <f t="shared" si="12"/>
        <v>56</v>
      </c>
      <c r="AE61">
        <f t="shared" si="13"/>
        <v>8.7398621237592646</v>
      </c>
    </row>
    <row r="62" spans="1:31" x14ac:dyDescent="0.35">
      <c r="A62">
        <f t="shared" si="8"/>
        <v>56</v>
      </c>
      <c r="B62">
        <v>-0.38821298272001864</v>
      </c>
      <c r="C62">
        <f t="shared" si="9"/>
        <v>8.7398621237592646</v>
      </c>
      <c r="E62">
        <f t="shared" si="10"/>
        <v>57</v>
      </c>
      <c r="F62">
        <f t="shared" si="0"/>
        <v>-1.3837072969994217</v>
      </c>
      <c r="G62">
        <f t="shared" si="11"/>
        <v>-0.66227778484864563</v>
      </c>
      <c r="V62">
        <f t="shared" si="1"/>
        <v>57</v>
      </c>
      <c r="W62">
        <f t="shared" si="2"/>
        <v>-1.3837072969994217</v>
      </c>
      <c r="X62">
        <f t="shared" si="3"/>
        <v>-0.66227778484864563</v>
      </c>
      <c r="Y62">
        <f t="shared" si="4"/>
        <v>-0.72142951215077611</v>
      </c>
      <c r="Z62">
        <f t="shared" si="5"/>
        <v>1.024464433991406</v>
      </c>
      <c r="AA62">
        <f t="shared" si="6"/>
        <v>-2.7293429062161429</v>
      </c>
      <c r="AB62">
        <f t="shared" si="7"/>
        <v>1.2864838819145907</v>
      </c>
      <c r="AD62">
        <f t="shared" si="12"/>
        <v>57</v>
      </c>
      <c r="AE62">
        <f t="shared" si="13"/>
        <v>8.7639760975280581</v>
      </c>
    </row>
    <row r="63" spans="1:31" x14ac:dyDescent="0.35">
      <c r="A63">
        <f t="shared" si="8"/>
        <v>57</v>
      </c>
      <c r="B63">
        <v>-0.43156998564742921</v>
      </c>
      <c r="C63">
        <f t="shared" si="9"/>
        <v>8.7639760975280581</v>
      </c>
      <c r="E63">
        <f t="shared" si="10"/>
        <v>58</v>
      </c>
      <c r="F63">
        <f t="shared" si="0"/>
        <v>0.45994887572342869</v>
      </c>
      <c r="G63">
        <f t="shared" si="11"/>
        <v>1.1770215561319097</v>
      </c>
      <c r="V63">
        <f t="shared" si="1"/>
        <v>58</v>
      </c>
      <c r="W63">
        <f t="shared" si="2"/>
        <v>0.45994887572342869</v>
      </c>
      <c r="X63">
        <f t="shared" si="3"/>
        <v>1.1770215561319097</v>
      </c>
      <c r="Y63">
        <f t="shared" si="4"/>
        <v>-0.71707268040848104</v>
      </c>
      <c r="Z63">
        <f t="shared" si="5"/>
        <v>1.024464433991406</v>
      </c>
      <c r="AA63">
        <f t="shared" si="6"/>
        <v>-2.7249860744738479</v>
      </c>
      <c r="AB63">
        <f t="shared" si="7"/>
        <v>1.2908407136568858</v>
      </c>
      <c r="AD63">
        <f t="shared" si="12"/>
        <v>58</v>
      </c>
      <c r="AE63">
        <f t="shared" si="13"/>
        <v>10.607632270250908</v>
      </c>
    </row>
    <row r="64" spans="1:31" x14ac:dyDescent="0.35">
      <c r="A64">
        <f t="shared" si="8"/>
        <v>58</v>
      </c>
      <c r="B64">
        <v>1.386535004851783</v>
      </c>
      <c r="C64">
        <f t="shared" si="9"/>
        <v>10.607632270250908</v>
      </c>
      <c r="E64">
        <f t="shared" si="10"/>
        <v>59</v>
      </c>
      <c r="F64">
        <f t="shared" si="0"/>
        <v>-1.3013990284156893</v>
      </c>
      <c r="G64">
        <f t="shared" si="11"/>
        <v>-1.0744022889131566</v>
      </c>
      <c r="V64">
        <f t="shared" si="1"/>
        <v>59</v>
      </c>
      <c r="W64">
        <f t="shared" si="2"/>
        <v>-1.3013990284156893</v>
      </c>
      <c r="X64">
        <f t="shared" si="3"/>
        <v>-1.0744022889131566</v>
      </c>
      <c r="Y64">
        <f t="shared" si="4"/>
        <v>-0.22699673950253274</v>
      </c>
      <c r="Z64">
        <f t="shared" si="5"/>
        <v>1.024464433991406</v>
      </c>
      <c r="AA64">
        <f t="shared" si="6"/>
        <v>-2.2349101335678996</v>
      </c>
      <c r="AB64">
        <f t="shared" si="7"/>
        <v>1.7809166545628341</v>
      </c>
      <c r="AD64">
        <f t="shared" si="12"/>
        <v>59</v>
      </c>
      <c r="AE64">
        <f t="shared" si="13"/>
        <v>8.8462843661117905</v>
      </c>
    </row>
    <row r="65" spans="1:31" x14ac:dyDescent="0.35">
      <c r="A65">
        <f t="shared" si="8"/>
        <v>59</v>
      </c>
      <c r="B65">
        <v>-1.3017512220934879</v>
      </c>
      <c r="C65">
        <f t="shared" si="9"/>
        <v>8.8462843661117905</v>
      </c>
      <c r="E65">
        <f t="shared" si="10"/>
        <v>60</v>
      </c>
      <c r="F65">
        <f t="shared" si="0"/>
        <v>-1.9502529224486658</v>
      </c>
      <c r="G65">
        <f t="shared" si="11"/>
        <v>-1.4954197733809296</v>
      </c>
      <c r="V65">
        <f t="shared" si="1"/>
        <v>60</v>
      </c>
      <c r="W65">
        <f t="shared" si="2"/>
        <v>-1.9502529224486658</v>
      </c>
      <c r="X65">
        <f t="shared" si="3"/>
        <v>-1.4954197733809296</v>
      </c>
      <c r="Y65">
        <f t="shared" si="4"/>
        <v>-0.4548331490677362</v>
      </c>
      <c r="Z65">
        <f t="shared" si="5"/>
        <v>1.024464433991406</v>
      </c>
      <c r="AA65">
        <f t="shared" si="6"/>
        <v>-2.462746543133103</v>
      </c>
      <c r="AB65">
        <f t="shared" si="7"/>
        <v>1.5530802449976306</v>
      </c>
      <c r="AD65">
        <f t="shared" si="12"/>
        <v>60</v>
      </c>
      <c r="AE65">
        <f t="shared" si="13"/>
        <v>8.197430472078814</v>
      </c>
    </row>
    <row r="66" spans="1:31" x14ac:dyDescent="0.35">
      <c r="A66">
        <f t="shared" si="8"/>
        <v>60</v>
      </c>
      <c r="B66">
        <v>-1.2553188286181356</v>
      </c>
      <c r="C66">
        <f t="shared" si="9"/>
        <v>8.197430472078814</v>
      </c>
      <c r="E66">
        <f t="shared" si="10"/>
        <v>61</v>
      </c>
      <c r="F66">
        <f t="shared" si="0"/>
        <v>-0.44721558373408143</v>
      </c>
      <c r="G66">
        <f t="shared" si="11"/>
        <v>0.29015114125747365</v>
      </c>
      <c r="V66">
        <f t="shared" si="1"/>
        <v>61</v>
      </c>
      <c r="W66">
        <f t="shared" si="2"/>
        <v>-0.44721558373408143</v>
      </c>
      <c r="X66">
        <f t="shared" si="3"/>
        <v>0.29015114125747365</v>
      </c>
      <c r="Y66">
        <f t="shared" si="4"/>
        <v>-0.73736672499155509</v>
      </c>
      <c r="Z66">
        <f t="shared" si="5"/>
        <v>1.024464433991406</v>
      </c>
      <c r="AA66">
        <f t="shared" si="6"/>
        <v>-2.7452801190569218</v>
      </c>
      <c r="AB66">
        <f t="shared" si="7"/>
        <v>1.2705466690738119</v>
      </c>
      <c r="AD66">
        <f t="shared" si="12"/>
        <v>61</v>
      </c>
      <c r="AE66">
        <f t="shared" si="13"/>
        <v>9.7004678107933984</v>
      </c>
    </row>
    <row r="67" spans="1:31" x14ac:dyDescent="0.35">
      <c r="A67">
        <f t="shared" si="8"/>
        <v>61</v>
      </c>
      <c r="B67">
        <v>0.71120271461460161</v>
      </c>
      <c r="C67">
        <f t="shared" si="9"/>
        <v>9.7004678107933984</v>
      </c>
      <c r="E67">
        <f t="shared" si="10"/>
        <v>62</v>
      </c>
      <c r="F67">
        <f t="shared" si="0"/>
        <v>-0.64887493150123454</v>
      </c>
      <c r="G67">
        <f t="shared" si="11"/>
        <v>-0.17191112877030451</v>
      </c>
      <c r="V67">
        <f t="shared" si="1"/>
        <v>62</v>
      </c>
      <c r="W67">
        <f t="shared" si="2"/>
        <v>-0.64887493150123454</v>
      </c>
      <c r="X67">
        <f t="shared" si="3"/>
        <v>-0.17191112877030451</v>
      </c>
      <c r="Y67">
        <f t="shared" si="4"/>
        <v>-0.47696380273093003</v>
      </c>
      <c r="Z67">
        <f t="shared" si="5"/>
        <v>1.024464433991406</v>
      </c>
      <c r="AA67">
        <f t="shared" si="6"/>
        <v>-2.484877196796297</v>
      </c>
      <c r="AB67">
        <f t="shared" si="7"/>
        <v>1.5309495913344369</v>
      </c>
      <c r="AD67">
        <f t="shared" si="12"/>
        <v>62</v>
      </c>
      <c r="AE67">
        <f t="shared" si="13"/>
        <v>9.4988084630262453</v>
      </c>
    </row>
    <row r="68" spans="1:31" x14ac:dyDescent="0.35">
      <c r="A68">
        <f t="shared" si="8"/>
        <v>62</v>
      </c>
      <c r="B68">
        <v>-0.14927846160621394</v>
      </c>
      <c r="C68">
        <f t="shared" si="9"/>
        <v>9.4988084630262453</v>
      </c>
      <c r="E68">
        <f t="shared" si="10"/>
        <v>63</v>
      </c>
      <c r="F68">
        <f t="shared" si="0"/>
        <v>-0.44729761558888903</v>
      </c>
      <c r="G68">
        <f t="shared" si="11"/>
        <v>-4.3601524494971566E-2</v>
      </c>
      <c r="V68">
        <f t="shared" si="1"/>
        <v>63</v>
      </c>
      <c r="W68">
        <f t="shared" si="2"/>
        <v>-0.44729761558888903</v>
      </c>
      <c r="X68">
        <f t="shared" si="3"/>
        <v>-4.3601524494971566E-2</v>
      </c>
      <c r="Y68">
        <f t="shared" si="4"/>
        <v>-0.40369609109391746</v>
      </c>
      <c r="Z68">
        <f t="shared" si="5"/>
        <v>1.024464433991406</v>
      </c>
      <c r="AA68">
        <f t="shared" si="6"/>
        <v>-2.4116094851592842</v>
      </c>
      <c r="AB68">
        <f t="shared" si="7"/>
        <v>1.6042173029714495</v>
      </c>
      <c r="AD68">
        <f t="shared" si="12"/>
        <v>63</v>
      </c>
      <c r="AE68">
        <f t="shared" si="13"/>
        <v>9.7003857789385908</v>
      </c>
    </row>
    <row r="69" spans="1:31" x14ac:dyDescent="0.35">
      <c r="A69">
        <f t="shared" si="8"/>
        <v>63</v>
      </c>
      <c r="B69">
        <v>2.1364162498976984E-2</v>
      </c>
      <c r="C69">
        <f t="shared" si="9"/>
        <v>9.7003857789385908</v>
      </c>
      <c r="E69">
        <f t="shared" si="10"/>
        <v>64</v>
      </c>
      <c r="F69">
        <f t="shared" si="0"/>
        <v>-0.32805540058904725</v>
      </c>
      <c r="G69">
        <f t="shared" si="11"/>
        <v>-1.3342348396414239E-2</v>
      </c>
      <c r="V69">
        <f t="shared" si="1"/>
        <v>64</v>
      </c>
      <c r="W69">
        <f t="shared" si="2"/>
        <v>-0.32805540058904725</v>
      </c>
      <c r="X69">
        <f t="shared" si="3"/>
        <v>-1.3342348396414239E-2</v>
      </c>
      <c r="Y69">
        <f t="shared" si="4"/>
        <v>-0.31471305219263301</v>
      </c>
      <c r="Z69">
        <f t="shared" si="5"/>
        <v>1.024464433991406</v>
      </c>
      <c r="AA69">
        <f t="shared" si="6"/>
        <v>-2.322626446258</v>
      </c>
      <c r="AB69">
        <f t="shared" si="7"/>
        <v>1.6932003418727337</v>
      </c>
      <c r="AD69">
        <f t="shared" si="12"/>
        <v>64</v>
      </c>
      <c r="AE69">
        <f t="shared" si="13"/>
        <v>9.8196279939384326</v>
      </c>
    </row>
    <row r="70" spans="1:31" x14ac:dyDescent="0.35">
      <c r="A70">
        <f t="shared" si="8"/>
        <v>64</v>
      </c>
      <c r="B70">
        <v>3.3630781181214632E-2</v>
      </c>
      <c r="C70">
        <f t="shared" si="9"/>
        <v>9.8196279939384326</v>
      </c>
      <c r="E70">
        <f t="shared" si="10"/>
        <v>65</v>
      </c>
      <c r="F70">
        <f t="shared" si="0"/>
        <v>2.2093621907072247</v>
      </c>
      <c r="G70">
        <f t="shared" si="11"/>
        <v>2.4492409235976189</v>
      </c>
      <c r="V70">
        <f t="shared" si="1"/>
        <v>65</v>
      </c>
      <c r="W70">
        <f t="shared" si="2"/>
        <v>2.2093621907072247</v>
      </c>
      <c r="X70">
        <f t="shared" si="3"/>
        <v>2.4492409235976189</v>
      </c>
      <c r="Y70">
        <f t="shared" si="4"/>
        <v>-0.23987873289039419</v>
      </c>
      <c r="Z70">
        <f t="shared" si="5"/>
        <v>1.024464433991406</v>
      </c>
      <c r="AA70">
        <f t="shared" si="6"/>
        <v>-2.247792126955761</v>
      </c>
      <c r="AB70">
        <f t="shared" si="7"/>
        <v>1.7680346611749727</v>
      </c>
      <c r="AD70">
        <f t="shared" si="12"/>
        <v>65</v>
      </c>
      <c r="AE70">
        <f t="shared" si="13"/>
        <v>12.357045585234705</v>
      </c>
    </row>
    <row r="71" spans="1:31" x14ac:dyDescent="0.35">
      <c r="A71">
        <f t="shared" si="8"/>
        <v>65</v>
      </c>
      <c r="B71">
        <v>2.4900321457140446</v>
      </c>
      <c r="C71">
        <f t="shared" si="9"/>
        <v>12.357045585234705</v>
      </c>
      <c r="E71">
        <f t="shared" si="10"/>
        <v>66</v>
      </c>
      <c r="F71">
        <f t="shared" ref="F71:F110" si="14">C72-K$7</f>
        <v>0.77592101957356086</v>
      </c>
      <c r="G71">
        <f t="shared" si="11"/>
        <v>0.30783226387104756</v>
      </c>
      <c r="V71">
        <f t="shared" ref="V71:V110" si="15">E71</f>
        <v>66</v>
      </c>
      <c r="W71">
        <f t="shared" ref="W71:W110" si="16">F71</f>
        <v>0.77592101957356086</v>
      </c>
      <c r="X71">
        <f t="shared" ref="X71:X110" si="17">G71</f>
        <v>0.30783226387104756</v>
      </c>
      <c r="Y71">
        <f t="shared" ref="Y71:Y110" si="18">W71-X71</f>
        <v>0.46808875570251329</v>
      </c>
      <c r="Z71">
        <f t="shared" ref="Z71:Z110" si="19">K$16</f>
        <v>1.024464433991406</v>
      </c>
      <c r="AA71">
        <f t="shared" ref="AA71:AA110" si="20">Y71-NORMSINV(1-Z$4/2)*Z71</f>
        <v>-1.5398246383628535</v>
      </c>
      <c r="AB71">
        <f t="shared" ref="AB71:AB110" si="21">Y71+NORMSINV(1-Z$4/2)*Z71</f>
        <v>2.4760021497678801</v>
      </c>
      <c r="AD71">
        <f t="shared" si="12"/>
        <v>66</v>
      </c>
      <c r="AE71">
        <f t="shared" si="13"/>
        <v>10.923604414101041</v>
      </c>
    </row>
    <row r="72" spans="1:31" x14ac:dyDescent="0.35">
      <c r="A72">
        <f t="shared" ref="A72:A111" si="22">A71+1</f>
        <v>66</v>
      </c>
      <c r="B72">
        <v>-0.22832106642044353</v>
      </c>
      <c r="C72">
        <f t="shared" ref="C72:C111" si="23">3+0.7*C71+B72-0.2*B71</f>
        <v>10.923604414101041</v>
      </c>
      <c r="E72">
        <f t="shared" ref="E72:E110" si="24">E71+1</f>
        <v>67</v>
      </c>
      <c r="F72">
        <f t="shared" si="14"/>
        <v>-0.44691754792090066</v>
      </c>
      <c r="G72">
        <f t="shared" ref="G72:G110" si="25">F72-SUMPRODUCT(F71,J$6)-SUMPRODUCT(G71,K$6)</f>
        <v>-0.87992253486587302</v>
      </c>
      <c r="V72">
        <f t="shared" si="15"/>
        <v>67</v>
      </c>
      <c r="W72">
        <f t="shared" si="16"/>
        <v>-0.44691754792090066</v>
      </c>
      <c r="X72">
        <f t="shared" si="17"/>
        <v>-0.87992253486587302</v>
      </c>
      <c r="Y72">
        <f t="shared" si="18"/>
        <v>0.43300498694497236</v>
      </c>
      <c r="Z72">
        <f t="shared" si="19"/>
        <v>1.024464433991406</v>
      </c>
      <c r="AA72">
        <f t="shared" si="20"/>
        <v>-1.5749084071203945</v>
      </c>
      <c r="AB72">
        <f t="shared" si="21"/>
        <v>2.4409183810103392</v>
      </c>
      <c r="AD72">
        <f t="shared" ref="AD72:AD115" si="26">AD71+1</f>
        <v>67</v>
      </c>
      <c r="AE72">
        <f t="shared" ref="AE72:AE110" si="27">C73</f>
        <v>9.7007658466065791</v>
      </c>
    </row>
    <row r="73" spans="1:31" x14ac:dyDescent="0.35">
      <c r="A73">
        <f t="shared" si="22"/>
        <v>67</v>
      </c>
      <c r="B73">
        <v>-0.99142145654823743</v>
      </c>
      <c r="C73">
        <f t="shared" si="23"/>
        <v>9.7007658466065791</v>
      </c>
      <c r="E73">
        <f t="shared" si="24"/>
        <v>68</v>
      </c>
      <c r="F73">
        <f t="shared" si="14"/>
        <v>0.12647767018660439</v>
      </c>
      <c r="G73">
        <f t="shared" si="25"/>
        <v>3.4181251279645664E-2</v>
      </c>
      <c r="V73">
        <f t="shared" si="15"/>
        <v>68</v>
      </c>
      <c r="W73">
        <f t="shared" si="16"/>
        <v>0.12647767018660439</v>
      </c>
      <c r="X73">
        <f t="shared" si="17"/>
        <v>3.4181251279645664E-2</v>
      </c>
      <c r="Y73">
        <f t="shared" si="18"/>
        <v>9.2296418906958722E-2</v>
      </c>
      <c r="Z73">
        <f t="shared" si="19"/>
        <v>1.024464433991406</v>
      </c>
      <c r="AA73">
        <f t="shared" si="20"/>
        <v>-1.9156169751584082</v>
      </c>
      <c r="AB73">
        <f t="shared" si="21"/>
        <v>2.1002098129723255</v>
      </c>
      <c r="AD73">
        <f t="shared" si="26"/>
        <v>68</v>
      </c>
      <c r="AE73">
        <f t="shared" si="27"/>
        <v>10.274161064714084</v>
      </c>
    </row>
    <row r="74" spans="1:31" x14ac:dyDescent="0.35">
      <c r="A74">
        <f t="shared" si="22"/>
        <v>68</v>
      </c>
      <c r="B74">
        <v>0.28534068077982988</v>
      </c>
      <c r="C74">
        <f t="shared" si="23"/>
        <v>10.274161064714084</v>
      </c>
      <c r="E74">
        <f t="shared" si="24"/>
        <v>69</v>
      </c>
      <c r="F74">
        <f t="shared" si="14"/>
        <v>-0.39160252097147819</v>
      </c>
      <c r="G74">
        <f t="shared" si="25"/>
        <v>-0.46996321538217889</v>
      </c>
      <c r="V74">
        <f t="shared" si="15"/>
        <v>69</v>
      </c>
      <c r="W74">
        <f t="shared" si="16"/>
        <v>-0.39160252097147819</v>
      </c>
      <c r="X74">
        <f t="shared" si="17"/>
        <v>-0.46996321538217889</v>
      </c>
      <c r="Y74">
        <f t="shared" si="18"/>
        <v>7.8360694410700704E-2</v>
      </c>
      <c r="Z74">
        <f t="shared" si="19"/>
        <v>1.024464433991406</v>
      </c>
      <c r="AA74">
        <f t="shared" si="20"/>
        <v>-1.9295526996546661</v>
      </c>
      <c r="AB74">
        <f t="shared" si="21"/>
        <v>2.0862740884760678</v>
      </c>
      <c r="AD74">
        <f t="shared" si="26"/>
        <v>69</v>
      </c>
      <c r="AE74">
        <f t="shared" si="27"/>
        <v>9.7560808735560016</v>
      </c>
    </row>
    <row r="75" spans="1:31" x14ac:dyDescent="0.35">
      <c r="A75">
        <f t="shared" si="22"/>
        <v>69</v>
      </c>
      <c r="B75">
        <v>-0.37876373558789145</v>
      </c>
      <c r="C75">
        <f t="shared" si="23"/>
        <v>9.7560808735560016</v>
      </c>
      <c r="E75">
        <f t="shared" si="24"/>
        <v>70</v>
      </c>
      <c r="F75">
        <f t="shared" si="14"/>
        <v>-0.85995155247590382</v>
      </c>
      <c r="G75">
        <f t="shared" si="25"/>
        <v>-0.79441561628592783</v>
      </c>
      <c r="V75">
        <f t="shared" si="15"/>
        <v>70</v>
      </c>
      <c r="W75">
        <f t="shared" si="16"/>
        <v>-0.85995155247590382</v>
      </c>
      <c r="X75">
        <f t="shared" si="17"/>
        <v>-0.79441561628592783</v>
      </c>
      <c r="Y75">
        <f t="shared" si="18"/>
        <v>-6.5535936189975996E-2</v>
      </c>
      <c r="Z75">
        <f t="shared" si="19"/>
        <v>1.024464433991406</v>
      </c>
      <c r="AA75">
        <f t="shared" si="20"/>
        <v>-2.0734493302553427</v>
      </c>
      <c r="AB75">
        <f t="shared" si="21"/>
        <v>1.942377457875391</v>
      </c>
      <c r="AD75">
        <f t="shared" si="26"/>
        <v>70</v>
      </c>
      <c r="AE75">
        <f t="shared" si="27"/>
        <v>9.287731842051576</v>
      </c>
    </row>
    <row r="76" spans="1:31" x14ac:dyDescent="0.35">
      <c r="A76">
        <f t="shared" si="22"/>
        <v>70</v>
      </c>
      <c r="B76">
        <v>-0.61727751655520191</v>
      </c>
      <c r="C76">
        <f t="shared" si="23"/>
        <v>9.287731842051576</v>
      </c>
      <c r="E76">
        <f t="shared" si="24"/>
        <v>71</v>
      </c>
      <c r="F76">
        <f t="shared" si="14"/>
        <v>-1.3528756976217053</v>
      </c>
      <c r="G76">
        <f t="shared" si="25"/>
        <v>-1.0934021128004026</v>
      </c>
      <c r="V76">
        <f t="shared" si="15"/>
        <v>71</v>
      </c>
      <c r="W76">
        <f t="shared" si="16"/>
        <v>-1.3528756976217053</v>
      </c>
      <c r="X76">
        <f t="shared" si="17"/>
        <v>-1.0934021128004026</v>
      </c>
      <c r="Y76">
        <f t="shared" si="18"/>
        <v>-0.25947358482130278</v>
      </c>
      <c r="Z76">
        <f t="shared" si="19"/>
        <v>1.024464433991406</v>
      </c>
      <c r="AA76">
        <f t="shared" si="20"/>
        <v>-2.2673869788866696</v>
      </c>
      <c r="AB76">
        <f t="shared" si="21"/>
        <v>1.7484398092440641</v>
      </c>
      <c r="AD76">
        <f t="shared" si="26"/>
        <v>71</v>
      </c>
      <c r="AE76">
        <f t="shared" si="27"/>
        <v>8.7948076969057745</v>
      </c>
    </row>
    <row r="77" spans="1:31" x14ac:dyDescent="0.35">
      <c r="A77">
        <f t="shared" si="22"/>
        <v>71</v>
      </c>
      <c r="B77">
        <v>-0.83006009584137008</v>
      </c>
      <c r="C77">
        <f t="shared" si="23"/>
        <v>8.7948076969057745</v>
      </c>
      <c r="E77">
        <f t="shared" si="24"/>
        <v>72</v>
      </c>
      <c r="F77">
        <f t="shared" si="14"/>
        <v>-0.19551744926982906</v>
      </c>
      <c r="G77">
        <f t="shared" si="25"/>
        <v>0.28873424621402954</v>
      </c>
      <c r="V77">
        <f t="shared" si="15"/>
        <v>72</v>
      </c>
      <c r="W77">
        <f t="shared" si="16"/>
        <v>-0.19551744926982906</v>
      </c>
      <c r="X77">
        <f t="shared" si="17"/>
        <v>0.28873424621402954</v>
      </c>
      <c r="Y77">
        <f t="shared" si="18"/>
        <v>-0.4842516954838586</v>
      </c>
      <c r="Z77">
        <f t="shared" si="19"/>
        <v>1.024464433991406</v>
      </c>
      <c r="AA77">
        <f t="shared" si="20"/>
        <v>-2.4921650895492253</v>
      </c>
      <c r="AB77">
        <f t="shared" si="21"/>
        <v>1.5236616985815084</v>
      </c>
      <c r="AD77">
        <f t="shared" si="26"/>
        <v>72</v>
      </c>
      <c r="AE77">
        <f t="shared" si="27"/>
        <v>9.9521659452576507</v>
      </c>
    </row>
    <row r="78" spans="1:31" x14ac:dyDescent="0.35">
      <c r="A78">
        <f t="shared" si="22"/>
        <v>72</v>
      </c>
      <c r="B78">
        <v>0.6297885382553351</v>
      </c>
      <c r="C78">
        <f t="shared" si="23"/>
        <v>9.9521659452576507</v>
      </c>
      <c r="E78">
        <f t="shared" si="24"/>
        <v>73</v>
      </c>
      <c r="F78">
        <f t="shared" si="14"/>
        <v>-1.0011656012439367</v>
      </c>
      <c r="G78">
        <f t="shared" si="25"/>
        <v>-0.71391451845585263</v>
      </c>
      <c r="V78">
        <f t="shared" si="15"/>
        <v>73</v>
      </c>
      <c r="W78">
        <f t="shared" si="16"/>
        <v>-1.0011656012439367</v>
      </c>
      <c r="X78">
        <f t="shared" si="17"/>
        <v>-0.71391451845585263</v>
      </c>
      <c r="Y78">
        <f t="shared" si="18"/>
        <v>-0.28725108278808409</v>
      </c>
      <c r="Z78">
        <f t="shared" si="19"/>
        <v>1.024464433991406</v>
      </c>
      <c r="AA78">
        <f t="shared" si="20"/>
        <v>-2.2951644768534507</v>
      </c>
      <c r="AB78">
        <f t="shared" si="21"/>
        <v>1.7206623112772828</v>
      </c>
      <c r="AD78">
        <f t="shared" si="26"/>
        <v>73</v>
      </c>
      <c r="AE78">
        <f t="shared" si="27"/>
        <v>9.1465177932835431</v>
      </c>
    </row>
    <row r="79" spans="1:31" x14ac:dyDescent="0.35">
      <c r="A79">
        <f t="shared" si="22"/>
        <v>73</v>
      </c>
      <c r="B79">
        <v>-0.694040660745746</v>
      </c>
      <c r="C79">
        <f t="shared" si="23"/>
        <v>9.1465177932835431</v>
      </c>
      <c r="E79">
        <f t="shared" si="24"/>
        <v>74</v>
      </c>
      <c r="F79">
        <f t="shared" si="14"/>
        <v>-1.7356105717180057</v>
      </c>
      <c r="G79">
        <f t="shared" si="25"/>
        <v>-1.3309364442141496</v>
      </c>
      <c r="V79">
        <f t="shared" si="15"/>
        <v>74</v>
      </c>
      <c r="W79">
        <f t="shared" si="16"/>
        <v>-1.7356105717180057</v>
      </c>
      <c r="X79">
        <f t="shared" si="17"/>
        <v>-1.3309364442141496</v>
      </c>
      <c r="Y79">
        <f t="shared" si="18"/>
        <v>-0.40467412750385612</v>
      </c>
      <c r="Z79">
        <f t="shared" si="19"/>
        <v>1.024464433991406</v>
      </c>
      <c r="AA79">
        <f t="shared" si="20"/>
        <v>-2.4125875215692227</v>
      </c>
      <c r="AB79">
        <f t="shared" si="21"/>
        <v>1.6032392665615107</v>
      </c>
      <c r="AD79">
        <f t="shared" si="26"/>
        <v>74</v>
      </c>
      <c r="AE79">
        <f t="shared" si="27"/>
        <v>8.4120728228094741</v>
      </c>
    </row>
    <row r="80" spans="1:31" x14ac:dyDescent="0.35">
      <c r="A80">
        <f t="shared" si="22"/>
        <v>74</v>
      </c>
      <c r="B80">
        <v>-1.1292977646381548</v>
      </c>
      <c r="C80">
        <f t="shared" si="23"/>
        <v>8.4120728228094741</v>
      </c>
      <c r="E80">
        <f t="shared" si="24"/>
        <v>75</v>
      </c>
      <c r="F80">
        <f t="shared" si="14"/>
        <v>-0.42383605390273082</v>
      </c>
      <c r="G80">
        <f t="shared" si="25"/>
        <v>0.23232807332741612</v>
      </c>
      <c r="V80">
        <f t="shared" si="15"/>
        <v>75</v>
      </c>
      <c r="W80">
        <f t="shared" si="16"/>
        <v>-0.42383605390273082</v>
      </c>
      <c r="X80">
        <f t="shared" si="17"/>
        <v>0.23232807332741612</v>
      </c>
      <c r="Y80">
        <f t="shared" si="18"/>
        <v>-0.65616412723014694</v>
      </c>
      <c r="Z80">
        <f t="shared" si="19"/>
        <v>1.024464433991406</v>
      </c>
      <c r="AA80">
        <f t="shared" si="20"/>
        <v>-2.6640775212955137</v>
      </c>
      <c r="AB80">
        <f t="shared" si="21"/>
        <v>1.35174926683522</v>
      </c>
      <c r="AD80">
        <f t="shared" si="26"/>
        <v>75</v>
      </c>
      <c r="AE80">
        <f t="shared" si="27"/>
        <v>9.723847340624749</v>
      </c>
    </row>
    <row r="81" spans="1:31" x14ac:dyDescent="0.35">
      <c r="A81">
        <f t="shared" si="22"/>
        <v>75</v>
      </c>
      <c r="B81">
        <v>0.6095368117304879</v>
      </c>
      <c r="C81">
        <f t="shared" si="23"/>
        <v>9.723847340624749</v>
      </c>
      <c r="E81">
        <f t="shared" si="24"/>
        <v>76</v>
      </c>
      <c r="F81">
        <f t="shared" si="14"/>
        <v>-1.6988946411668859</v>
      </c>
      <c r="G81">
        <f t="shared" si="25"/>
        <v>-1.2676095312250328</v>
      </c>
      <c r="V81">
        <f t="shared" si="15"/>
        <v>76</v>
      </c>
      <c r="W81">
        <f t="shared" si="16"/>
        <v>-1.6988946411668859</v>
      </c>
      <c r="X81">
        <f t="shared" si="17"/>
        <v>-1.2676095312250328</v>
      </c>
      <c r="Y81">
        <f t="shared" si="18"/>
        <v>-0.4312851099418531</v>
      </c>
      <c r="Z81">
        <f t="shared" si="19"/>
        <v>1.024464433991406</v>
      </c>
      <c r="AA81">
        <f t="shared" si="20"/>
        <v>-2.4391985040072202</v>
      </c>
      <c r="AB81">
        <f t="shared" si="21"/>
        <v>1.5766282841235137</v>
      </c>
      <c r="AD81">
        <f t="shared" si="26"/>
        <v>76</v>
      </c>
      <c r="AE81">
        <f t="shared" si="27"/>
        <v>8.4487887533605939</v>
      </c>
    </row>
    <row r="82" spans="1:31" x14ac:dyDescent="0.35">
      <c r="A82">
        <f t="shared" si="22"/>
        <v>76</v>
      </c>
      <c r="B82">
        <v>-1.2359970227306327</v>
      </c>
      <c r="C82">
        <f t="shared" si="23"/>
        <v>8.4487887533605939</v>
      </c>
      <c r="E82">
        <f t="shared" si="24"/>
        <v>77</v>
      </c>
      <c r="F82">
        <f t="shared" si="14"/>
        <v>-0.83851376654158472</v>
      </c>
      <c r="G82">
        <f t="shared" si="25"/>
        <v>-0.17912558415402602</v>
      </c>
      <c r="V82">
        <f t="shared" si="15"/>
        <v>77</v>
      </c>
      <c r="W82">
        <f t="shared" si="16"/>
        <v>-0.83851376654158472</v>
      </c>
      <c r="X82">
        <f t="shared" si="17"/>
        <v>-0.17912558415402602</v>
      </c>
      <c r="Y82">
        <f t="shared" si="18"/>
        <v>-0.6593881823875587</v>
      </c>
      <c r="Z82">
        <f t="shared" si="19"/>
        <v>1.024464433991406</v>
      </c>
      <c r="AA82">
        <f t="shared" si="20"/>
        <v>-2.6673015764529255</v>
      </c>
      <c r="AB82">
        <f t="shared" si="21"/>
        <v>1.3485252116778081</v>
      </c>
      <c r="AD82">
        <f t="shared" si="26"/>
        <v>77</v>
      </c>
      <c r="AE82">
        <f t="shared" si="27"/>
        <v>9.3091696279858951</v>
      </c>
    </row>
    <row r="83" spans="1:31" x14ac:dyDescent="0.35">
      <c r="A83">
        <f t="shared" si="22"/>
        <v>77</v>
      </c>
      <c r="B83">
        <v>0.14781809608735161</v>
      </c>
      <c r="C83">
        <f t="shared" si="23"/>
        <v>9.3091696279858951</v>
      </c>
      <c r="E83">
        <f t="shared" si="24"/>
        <v>78</v>
      </c>
      <c r="F83">
        <f t="shared" si="14"/>
        <v>-0.51858832229510199</v>
      </c>
      <c r="G83">
        <f t="shared" si="25"/>
        <v>2.4016718082490854E-2</v>
      </c>
      <c r="V83">
        <f t="shared" si="15"/>
        <v>78</v>
      </c>
      <c r="W83">
        <f t="shared" si="16"/>
        <v>-0.51858832229510199</v>
      </c>
      <c r="X83">
        <f t="shared" si="17"/>
        <v>2.4016718082490854E-2</v>
      </c>
      <c r="Y83">
        <f t="shared" si="18"/>
        <v>-0.54260504037759283</v>
      </c>
      <c r="Z83">
        <f t="shared" si="19"/>
        <v>1.024464433991406</v>
      </c>
      <c r="AA83">
        <f t="shared" si="20"/>
        <v>-2.5505184344429597</v>
      </c>
      <c r="AB83">
        <f t="shared" si="21"/>
        <v>1.465308353687774</v>
      </c>
      <c r="AD83">
        <f t="shared" si="26"/>
        <v>78</v>
      </c>
      <c r="AE83">
        <f t="shared" si="27"/>
        <v>9.6290950722323778</v>
      </c>
    </row>
    <row r="84" spans="1:31" x14ac:dyDescent="0.35">
      <c r="A84">
        <f t="shared" si="22"/>
        <v>78</v>
      </c>
      <c r="B84">
        <v>0.14223995185972241</v>
      </c>
      <c r="C84">
        <f t="shared" si="23"/>
        <v>9.6290950722323778</v>
      </c>
      <c r="E84">
        <f t="shared" si="24"/>
        <v>79</v>
      </c>
      <c r="F84">
        <f t="shared" si="14"/>
        <v>0.35107094759406898</v>
      </c>
      <c r="G84">
        <f t="shared" si="25"/>
        <v>0.75220731312959022</v>
      </c>
      <c r="V84">
        <f t="shared" si="15"/>
        <v>79</v>
      </c>
      <c r="W84">
        <f t="shared" si="16"/>
        <v>0.35107094759406898</v>
      </c>
      <c r="X84">
        <f t="shared" si="17"/>
        <v>0.75220731312959022</v>
      </c>
      <c r="Y84">
        <f t="shared" si="18"/>
        <v>-0.40113636553552123</v>
      </c>
      <c r="Z84">
        <f t="shared" si="19"/>
        <v>1.024464433991406</v>
      </c>
      <c r="AA84">
        <f t="shared" si="20"/>
        <v>-2.409049759600888</v>
      </c>
      <c r="AB84">
        <f t="shared" si="21"/>
        <v>1.6067770285298457</v>
      </c>
      <c r="AD84">
        <f t="shared" si="26"/>
        <v>79</v>
      </c>
      <c r="AE84">
        <f t="shared" si="27"/>
        <v>10.498754342121549</v>
      </c>
    </row>
    <row r="85" spans="1:31" x14ac:dyDescent="0.35">
      <c r="A85">
        <f t="shared" si="22"/>
        <v>79</v>
      </c>
      <c r="B85">
        <v>0.78683578193082926</v>
      </c>
      <c r="C85">
        <f t="shared" si="23"/>
        <v>10.498754342121549</v>
      </c>
      <c r="E85">
        <f t="shared" si="24"/>
        <v>80</v>
      </c>
      <c r="F85">
        <f t="shared" si="14"/>
        <v>-2.0131273599017181</v>
      </c>
      <c r="G85">
        <f t="shared" si="25"/>
        <v>-1.9109619127525213</v>
      </c>
      <c r="V85">
        <f t="shared" si="15"/>
        <v>80</v>
      </c>
      <c r="W85">
        <f t="shared" si="16"/>
        <v>-2.0131273599017181</v>
      </c>
      <c r="X85">
        <f t="shared" si="17"/>
        <v>-1.9109619127525213</v>
      </c>
      <c r="Y85">
        <f t="shared" si="18"/>
        <v>-0.10216544714919684</v>
      </c>
      <c r="Z85">
        <f t="shared" si="19"/>
        <v>1.024464433991406</v>
      </c>
      <c r="AA85">
        <f t="shared" si="20"/>
        <v>-2.1100788412145635</v>
      </c>
      <c r="AB85">
        <f t="shared" si="21"/>
        <v>1.90574794691617</v>
      </c>
      <c r="AD85">
        <f t="shared" si="26"/>
        <v>80</v>
      </c>
      <c r="AE85">
        <f t="shared" si="27"/>
        <v>8.1345560346257617</v>
      </c>
    </row>
    <row r="86" spans="1:31" x14ac:dyDescent="0.35">
      <c r="A86">
        <f t="shared" si="22"/>
        <v>80</v>
      </c>
      <c r="B86">
        <v>-2.0572048484731567</v>
      </c>
      <c r="C86">
        <f t="shared" si="23"/>
        <v>8.1345560346257617</v>
      </c>
      <c r="E86">
        <f t="shared" si="24"/>
        <v>81</v>
      </c>
      <c r="F86">
        <f t="shared" si="14"/>
        <v>-0.99249983216424376</v>
      </c>
      <c r="G86">
        <f t="shared" si="25"/>
        <v>-0.41000346096415619</v>
      </c>
      <c r="V86">
        <f t="shared" si="15"/>
        <v>81</v>
      </c>
      <c r="W86">
        <f t="shared" si="16"/>
        <v>-0.99249983216424376</v>
      </c>
      <c r="X86">
        <f t="shared" si="17"/>
        <v>-0.41000346096415619</v>
      </c>
      <c r="Y86">
        <f t="shared" si="18"/>
        <v>-0.58249637120008757</v>
      </c>
      <c r="Z86">
        <f t="shared" si="19"/>
        <v>1.024464433991406</v>
      </c>
      <c r="AA86">
        <f t="shared" si="20"/>
        <v>-2.5904097652654543</v>
      </c>
      <c r="AB86">
        <f t="shared" si="21"/>
        <v>1.4254170228652794</v>
      </c>
      <c r="AD86">
        <f t="shared" si="26"/>
        <v>81</v>
      </c>
      <c r="AE86">
        <f t="shared" si="27"/>
        <v>9.155183562363236</v>
      </c>
    </row>
    <row r="87" spans="1:31" x14ac:dyDescent="0.35">
      <c r="A87">
        <f t="shared" si="22"/>
        <v>81</v>
      </c>
      <c r="B87">
        <v>4.9553368430570136E-2</v>
      </c>
      <c r="C87">
        <f t="shared" si="23"/>
        <v>9.155183562363236</v>
      </c>
      <c r="E87">
        <f t="shared" si="24"/>
        <v>82</v>
      </c>
      <c r="F87">
        <f t="shared" si="14"/>
        <v>-2.1555979544536301</v>
      </c>
      <c r="G87">
        <f t="shared" si="25"/>
        <v>-1.6096321350176666</v>
      </c>
      <c r="V87">
        <f t="shared" si="15"/>
        <v>82</v>
      </c>
      <c r="W87">
        <f t="shared" si="16"/>
        <v>-2.1555979544536301</v>
      </c>
      <c r="X87">
        <f t="shared" si="17"/>
        <v>-1.6096321350176666</v>
      </c>
      <c r="Y87">
        <f t="shared" si="18"/>
        <v>-0.54596581943596356</v>
      </c>
      <c r="Z87">
        <f t="shared" si="19"/>
        <v>1.024464433991406</v>
      </c>
      <c r="AA87">
        <f t="shared" si="20"/>
        <v>-2.5538792135013306</v>
      </c>
      <c r="AB87">
        <f t="shared" si="21"/>
        <v>1.4619475746294033</v>
      </c>
      <c r="AD87">
        <f t="shared" si="26"/>
        <v>82</v>
      </c>
      <c r="AE87">
        <f t="shared" si="27"/>
        <v>7.9920854400738497</v>
      </c>
    </row>
    <row r="88" spans="1:31" x14ac:dyDescent="0.35">
      <c r="A88">
        <f t="shared" si="22"/>
        <v>82</v>
      </c>
      <c r="B88">
        <v>-1.4066323798943021</v>
      </c>
      <c r="C88">
        <f t="shared" si="23"/>
        <v>7.9920854400738497</v>
      </c>
      <c r="E88">
        <f t="shared" si="24"/>
        <v>83</v>
      </c>
      <c r="F88">
        <f t="shared" si="14"/>
        <v>0.29184360214187954</v>
      </c>
      <c r="G88">
        <f t="shared" si="25"/>
        <v>1.1278787414669571</v>
      </c>
      <c r="V88">
        <f t="shared" si="15"/>
        <v>83</v>
      </c>
      <c r="W88">
        <f t="shared" si="16"/>
        <v>0.29184360214187954</v>
      </c>
      <c r="X88">
        <f t="shared" si="17"/>
        <v>1.1278787414669571</v>
      </c>
      <c r="Y88">
        <f t="shared" si="18"/>
        <v>-0.83603513932507756</v>
      </c>
      <c r="Z88">
        <f t="shared" si="19"/>
        <v>1.024464433991406</v>
      </c>
      <c r="AA88">
        <f t="shared" si="20"/>
        <v>-2.8439485333904444</v>
      </c>
      <c r="AB88">
        <f t="shared" si="21"/>
        <v>1.1718782547402893</v>
      </c>
      <c r="AD88">
        <f t="shared" si="26"/>
        <v>83</v>
      </c>
      <c r="AE88">
        <f t="shared" si="27"/>
        <v>10.439526996669359</v>
      </c>
    </row>
    <row r="89" spans="1:31" x14ac:dyDescent="0.35">
      <c r="A89">
        <f t="shared" si="22"/>
        <v>83</v>
      </c>
      <c r="B89">
        <v>1.5637407126388045</v>
      </c>
      <c r="C89">
        <f t="shared" si="23"/>
        <v>10.439526996669359</v>
      </c>
      <c r="E89">
        <f t="shared" si="24"/>
        <v>84</v>
      </c>
      <c r="F89">
        <f t="shared" si="14"/>
        <v>1.027569333894446</v>
      </c>
      <c r="G89">
        <f t="shared" si="25"/>
        <v>1.3569126385371084</v>
      </c>
      <c r="V89">
        <f t="shared" si="15"/>
        <v>84</v>
      </c>
      <c r="W89">
        <f t="shared" si="16"/>
        <v>1.027569333894446</v>
      </c>
      <c r="X89">
        <f t="shared" si="17"/>
        <v>1.3569126385371084</v>
      </c>
      <c r="Y89">
        <f t="shared" si="18"/>
        <v>-0.32934330464266237</v>
      </c>
      <c r="Z89">
        <f t="shared" si="19"/>
        <v>1.024464433991406</v>
      </c>
      <c r="AA89">
        <f t="shared" si="20"/>
        <v>-2.3372566987080292</v>
      </c>
      <c r="AB89">
        <f t="shared" si="21"/>
        <v>1.6785700894227045</v>
      </c>
      <c r="AD89">
        <f t="shared" si="26"/>
        <v>84</v>
      </c>
      <c r="AE89">
        <f t="shared" si="27"/>
        <v>11.175252728421926</v>
      </c>
    </row>
    <row r="90" spans="1:31" x14ac:dyDescent="0.35">
      <c r="A90">
        <f t="shared" si="22"/>
        <v>84</v>
      </c>
      <c r="B90">
        <v>1.1803319732811373</v>
      </c>
      <c r="C90">
        <f t="shared" si="23"/>
        <v>11.175252728421926</v>
      </c>
      <c r="E90">
        <f t="shared" si="24"/>
        <v>85</v>
      </c>
      <c r="F90">
        <f t="shared" si="14"/>
        <v>-0.2261799054640079</v>
      </c>
      <c r="G90">
        <f t="shared" si="25"/>
        <v>-0.33797682741729917</v>
      </c>
      <c r="V90">
        <f t="shared" si="15"/>
        <v>85</v>
      </c>
      <c r="W90">
        <f t="shared" si="16"/>
        <v>-0.2261799054640079</v>
      </c>
      <c r="X90">
        <f t="shared" si="17"/>
        <v>-0.33797682741729917</v>
      </c>
      <c r="Y90">
        <f t="shared" si="18"/>
        <v>0.11179692195329127</v>
      </c>
      <c r="Z90">
        <f t="shared" si="19"/>
        <v>1.024464433991406</v>
      </c>
      <c r="AA90">
        <f t="shared" si="20"/>
        <v>-1.8961164721120756</v>
      </c>
      <c r="AB90">
        <f t="shared" si="21"/>
        <v>2.1197103160186579</v>
      </c>
      <c r="AD90">
        <f t="shared" si="26"/>
        <v>85</v>
      </c>
      <c r="AE90">
        <f t="shared" si="27"/>
        <v>9.9215034890634719</v>
      </c>
    </row>
    <row r="91" spans="1:31" x14ac:dyDescent="0.35">
      <c r="A91">
        <f t="shared" si="22"/>
        <v>85</v>
      </c>
      <c r="B91">
        <v>-0.66510702617564998</v>
      </c>
      <c r="C91">
        <f t="shared" si="23"/>
        <v>9.9215034890634719</v>
      </c>
      <c r="E91">
        <f t="shared" si="24"/>
        <v>86</v>
      </c>
      <c r="F91">
        <f t="shared" si="14"/>
        <v>0.50533546939765905</v>
      </c>
      <c r="G91">
        <f t="shared" si="25"/>
        <v>0.51082842237657855</v>
      </c>
      <c r="V91">
        <f t="shared" si="15"/>
        <v>86</v>
      </c>
      <c r="W91">
        <f t="shared" si="16"/>
        <v>0.50533546939765905</v>
      </c>
      <c r="X91">
        <f t="shared" si="17"/>
        <v>0.51082842237657855</v>
      </c>
      <c r="Y91">
        <f t="shared" si="18"/>
        <v>-5.4929529789194964E-3</v>
      </c>
      <c r="Z91">
        <f t="shared" si="19"/>
        <v>1.024464433991406</v>
      </c>
      <c r="AA91">
        <f t="shared" si="20"/>
        <v>-2.0134063470442864</v>
      </c>
      <c r="AB91">
        <f t="shared" si="21"/>
        <v>2.0024204410864472</v>
      </c>
      <c r="AD91">
        <f t="shared" si="26"/>
        <v>86</v>
      </c>
      <c r="AE91">
        <f t="shared" si="27"/>
        <v>10.653018863925139</v>
      </c>
    </row>
    <row r="92" spans="1:31" x14ac:dyDescent="0.35">
      <c r="A92">
        <f t="shared" si="22"/>
        <v>86</v>
      </c>
      <c r="B92">
        <v>0.57494501634557904</v>
      </c>
      <c r="C92">
        <f t="shared" si="23"/>
        <v>10.653018863925139</v>
      </c>
      <c r="E92">
        <f t="shared" si="24"/>
        <v>87</v>
      </c>
      <c r="F92">
        <f t="shared" si="14"/>
        <v>0.1532816414322653</v>
      </c>
      <c r="G92">
        <f t="shared" si="25"/>
        <v>2.2206789860495069E-2</v>
      </c>
      <c r="V92">
        <f t="shared" si="15"/>
        <v>87</v>
      </c>
      <c r="W92">
        <f t="shared" si="16"/>
        <v>0.1532816414322653</v>
      </c>
      <c r="X92">
        <f t="shared" si="17"/>
        <v>2.2206789860495069E-2</v>
      </c>
      <c r="Y92">
        <f t="shared" si="18"/>
        <v>0.13107485157177023</v>
      </c>
      <c r="Z92">
        <f t="shared" si="19"/>
        <v>1.024464433991406</v>
      </c>
      <c r="AA92">
        <f t="shared" si="20"/>
        <v>-1.8768385424935965</v>
      </c>
      <c r="AB92">
        <f t="shared" si="21"/>
        <v>2.1389882456371372</v>
      </c>
      <c r="AD92">
        <f t="shared" si="26"/>
        <v>87</v>
      </c>
      <c r="AE92">
        <f t="shared" si="27"/>
        <v>10.300965035959745</v>
      </c>
    </row>
    <row r="93" spans="1:31" x14ac:dyDescent="0.35">
      <c r="A93">
        <f t="shared" si="22"/>
        <v>87</v>
      </c>
      <c r="B93">
        <v>-4.1159165518735157E-2</v>
      </c>
      <c r="C93">
        <f t="shared" si="23"/>
        <v>10.300965035959745</v>
      </c>
      <c r="E93">
        <f t="shared" si="24"/>
        <v>88</v>
      </c>
      <c r="F93">
        <f t="shared" si="14"/>
        <v>-0.82497175248702881</v>
      </c>
      <c r="G93">
        <f t="shared" si="25"/>
        <v>-0.929285536699609</v>
      </c>
      <c r="V93">
        <f t="shared" si="15"/>
        <v>88</v>
      </c>
      <c r="W93">
        <f t="shared" si="16"/>
        <v>-0.82497175248702881</v>
      </c>
      <c r="X93">
        <f t="shared" si="17"/>
        <v>-0.929285536699609</v>
      </c>
      <c r="Y93">
        <f t="shared" si="18"/>
        <v>0.1043137842125802</v>
      </c>
      <c r="Z93">
        <f t="shared" si="19"/>
        <v>1.024464433991406</v>
      </c>
      <c r="AA93">
        <f t="shared" si="20"/>
        <v>-1.9035996098527868</v>
      </c>
      <c r="AB93">
        <f t="shared" si="21"/>
        <v>2.1122271782779469</v>
      </c>
      <c r="AD93">
        <f t="shared" si="26"/>
        <v>88</v>
      </c>
      <c r="AE93">
        <f t="shared" si="27"/>
        <v>9.322711642040451</v>
      </c>
    </row>
    <row r="94" spans="1:31" x14ac:dyDescent="0.35">
      <c r="A94">
        <f t="shared" si="22"/>
        <v>88</v>
      </c>
      <c r="B94">
        <v>-0.89619571623511651</v>
      </c>
      <c r="C94">
        <f t="shared" si="23"/>
        <v>9.322711642040451</v>
      </c>
      <c r="E94">
        <f t="shared" si="24"/>
        <v>89</v>
      </c>
      <c r="F94">
        <f t="shared" si="14"/>
        <v>1.0608135034545203</v>
      </c>
      <c r="G94">
        <f t="shared" si="25"/>
        <v>1.2284268372014797</v>
      </c>
      <c r="V94">
        <f t="shared" si="15"/>
        <v>89</v>
      </c>
      <c r="W94">
        <f t="shared" si="16"/>
        <v>1.0608135034545203</v>
      </c>
      <c r="X94">
        <f t="shared" si="17"/>
        <v>1.2284268372014797</v>
      </c>
      <c r="Y94">
        <f t="shared" si="18"/>
        <v>-0.16761333374695941</v>
      </c>
      <c r="Z94">
        <f t="shared" si="19"/>
        <v>1.024464433991406</v>
      </c>
      <c r="AA94">
        <f t="shared" si="20"/>
        <v>-2.1755267278123265</v>
      </c>
      <c r="AB94">
        <f t="shared" si="21"/>
        <v>1.8403000603184074</v>
      </c>
      <c r="AD94">
        <f t="shared" si="26"/>
        <v>89</v>
      </c>
      <c r="AE94">
        <f t="shared" si="27"/>
        <v>11.208496897982</v>
      </c>
    </row>
    <row r="95" spans="1:31" x14ac:dyDescent="0.35">
      <c r="A95">
        <f t="shared" si="22"/>
        <v>89</v>
      </c>
      <c r="B95">
        <v>1.503359605306662</v>
      </c>
      <c r="C95">
        <f t="shared" si="23"/>
        <v>11.208496897982</v>
      </c>
      <c r="E95">
        <f t="shared" si="24"/>
        <v>90</v>
      </c>
      <c r="F95">
        <f t="shared" si="14"/>
        <v>-0.31397114331242193</v>
      </c>
      <c r="G95">
        <f t="shared" si="25"/>
        <v>-0.51322011082560981</v>
      </c>
      <c r="V95">
        <f t="shared" si="15"/>
        <v>90</v>
      </c>
      <c r="W95">
        <f t="shared" si="16"/>
        <v>-0.31397114331242193</v>
      </c>
      <c r="X95">
        <f t="shared" si="17"/>
        <v>-0.51322011082560981</v>
      </c>
      <c r="Y95">
        <f t="shared" si="18"/>
        <v>0.19924896751318788</v>
      </c>
      <c r="Z95">
        <f t="shared" si="19"/>
        <v>1.024464433991406</v>
      </c>
      <c r="AA95">
        <f t="shared" si="20"/>
        <v>-1.808664426552179</v>
      </c>
      <c r="AB95">
        <f t="shared" si="21"/>
        <v>2.2071623615785549</v>
      </c>
      <c r="AD95">
        <f t="shared" si="26"/>
        <v>90</v>
      </c>
      <c r="AE95">
        <f t="shared" si="27"/>
        <v>9.8337122512150579</v>
      </c>
    </row>
    <row r="96" spans="1:31" x14ac:dyDescent="0.35">
      <c r="A96">
        <f t="shared" si="22"/>
        <v>90</v>
      </c>
      <c r="B96">
        <v>-0.71156365631100782</v>
      </c>
      <c r="C96">
        <f t="shared" si="23"/>
        <v>9.8337122512150579</v>
      </c>
      <c r="E96">
        <f t="shared" si="24"/>
        <v>91</v>
      </c>
      <c r="F96">
        <f t="shared" si="14"/>
        <v>0.86154550983964384</v>
      </c>
      <c r="G96">
        <f t="shared" si="25"/>
        <v>0.84774386915917133</v>
      </c>
      <c r="V96">
        <f t="shared" si="15"/>
        <v>91</v>
      </c>
      <c r="W96">
        <f t="shared" si="16"/>
        <v>0.86154550983964384</v>
      </c>
      <c r="X96">
        <f t="shared" si="17"/>
        <v>0.84774386915917133</v>
      </c>
      <c r="Y96">
        <f t="shared" si="18"/>
        <v>1.3801640680472516E-2</v>
      </c>
      <c r="Z96">
        <f t="shared" si="19"/>
        <v>1.024464433991406</v>
      </c>
      <c r="AA96">
        <f t="shared" si="20"/>
        <v>-1.9941117533848942</v>
      </c>
      <c r="AB96">
        <f t="shared" si="21"/>
        <v>2.0217150347458395</v>
      </c>
      <c r="AD96">
        <f t="shared" si="26"/>
        <v>91</v>
      </c>
      <c r="AE96">
        <f t="shared" si="27"/>
        <v>11.009228904367124</v>
      </c>
    </row>
    <row r="97" spans="1:31" x14ac:dyDescent="0.35">
      <c r="A97">
        <f t="shared" si="22"/>
        <v>91</v>
      </c>
      <c r="B97">
        <v>0.98331759725438295</v>
      </c>
      <c r="C97">
        <f t="shared" si="23"/>
        <v>11.009228904367124</v>
      </c>
      <c r="E97">
        <f t="shared" si="24"/>
        <v>92</v>
      </c>
      <c r="F97">
        <f t="shared" si="14"/>
        <v>-0.4754717302683158</v>
      </c>
      <c r="G97">
        <f t="shared" si="25"/>
        <v>-0.71020748953576196</v>
      </c>
      <c r="V97">
        <f t="shared" si="15"/>
        <v>92</v>
      </c>
      <c r="W97">
        <f t="shared" si="16"/>
        <v>-0.4754717302683158</v>
      </c>
      <c r="X97">
        <f t="shared" si="17"/>
        <v>-0.71020748953576196</v>
      </c>
      <c r="Y97">
        <f t="shared" si="18"/>
        <v>0.23473575926744616</v>
      </c>
      <c r="Z97">
        <f t="shared" si="19"/>
        <v>1.024464433991406</v>
      </c>
      <c r="AA97">
        <f t="shared" si="20"/>
        <v>-1.7731776347979207</v>
      </c>
      <c r="AB97">
        <f t="shared" si="21"/>
        <v>2.2426491533328132</v>
      </c>
      <c r="AD97">
        <f t="shared" si="26"/>
        <v>92</v>
      </c>
      <c r="AE97">
        <f t="shared" si="27"/>
        <v>9.672211664259164</v>
      </c>
    </row>
    <row r="98" spans="1:31" x14ac:dyDescent="0.35">
      <c r="A98">
        <f t="shared" si="22"/>
        <v>92</v>
      </c>
      <c r="B98">
        <v>-0.83758504934694755</v>
      </c>
      <c r="C98">
        <f t="shared" si="23"/>
        <v>9.672211664259164</v>
      </c>
      <c r="E98">
        <f t="shared" si="24"/>
        <v>93</v>
      </c>
      <c r="F98">
        <f t="shared" si="14"/>
        <v>-2.1256282291012134</v>
      </c>
      <c r="G98">
        <f t="shared" si="25"/>
        <v>-2.1139439287866848</v>
      </c>
      <c r="V98">
        <f t="shared" si="15"/>
        <v>93</v>
      </c>
      <c r="W98">
        <f t="shared" si="16"/>
        <v>-2.1256282291012134</v>
      </c>
      <c r="X98">
        <f t="shared" si="17"/>
        <v>-2.1139439287866848</v>
      </c>
      <c r="Y98">
        <f t="shared" si="18"/>
        <v>-1.1684300314528606E-2</v>
      </c>
      <c r="Z98">
        <f t="shared" si="19"/>
        <v>1.024464433991406</v>
      </c>
      <c r="AA98">
        <f t="shared" si="20"/>
        <v>-2.0195976943798954</v>
      </c>
      <c r="AB98">
        <f t="shared" si="21"/>
        <v>1.9962290937508382</v>
      </c>
      <c r="AD98">
        <f t="shared" si="26"/>
        <v>93</v>
      </c>
      <c r="AE98">
        <f t="shared" si="27"/>
        <v>8.0220551654262664</v>
      </c>
    </row>
    <row r="99" spans="1:31" x14ac:dyDescent="0.35">
      <c r="A99">
        <f t="shared" si="22"/>
        <v>93</v>
      </c>
      <c r="B99">
        <v>-1.9160100094245356</v>
      </c>
      <c r="C99">
        <f t="shared" si="23"/>
        <v>8.0220551654262664</v>
      </c>
      <c r="E99">
        <f t="shared" si="24"/>
        <v>94</v>
      </c>
      <c r="F99">
        <f t="shared" si="14"/>
        <v>-1.0475229078192001</v>
      </c>
      <c r="G99">
        <f t="shared" si="25"/>
        <v>-0.47925440589292623</v>
      </c>
      <c r="V99">
        <f t="shared" si="15"/>
        <v>94</v>
      </c>
      <c r="W99">
        <f t="shared" si="16"/>
        <v>-1.0475229078192001</v>
      </c>
      <c r="X99">
        <f t="shared" si="17"/>
        <v>-0.47925440589292623</v>
      </c>
      <c r="Y99">
        <f t="shared" si="18"/>
        <v>-0.56826850192627387</v>
      </c>
      <c r="Z99">
        <f t="shared" si="19"/>
        <v>1.024464433991406</v>
      </c>
      <c r="AA99">
        <f t="shared" si="20"/>
        <v>-2.5761818959916409</v>
      </c>
      <c r="AB99">
        <f t="shared" si="21"/>
        <v>1.439644892139093</v>
      </c>
      <c r="AD99">
        <f t="shared" si="26"/>
        <v>94</v>
      </c>
      <c r="AE99">
        <f t="shared" si="27"/>
        <v>9.1001604867082797</v>
      </c>
    </row>
    <row r="100" spans="1:31" x14ac:dyDescent="0.35">
      <c r="A100">
        <f t="shared" si="22"/>
        <v>94</v>
      </c>
      <c r="B100">
        <v>0.10151986902498664</v>
      </c>
      <c r="C100">
        <f t="shared" si="23"/>
        <v>9.1001604867082797</v>
      </c>
      <c r="E100">
        <f t="shared" si="24"/>
        <v>95</v>
      </c>
      <c r="F100">
        <f t="shared" si="14"/>
        <v>0.14588017530446606</v>
      </c>
      <c r="G100">
        <f t="shared" si="25"/>
        <v>0.6994894790341879</v>
      </c>
      <c r="V100">
        <f t="shared" si="15"/>
        <v>95</v>
      </c>
      <c r="W100">
        <f t="shared" si="16"/>
        <v>0.14588017530446606</v>
      </c>
      <c r="X100">
        <f t="shared" si="17"/>
        <v>0.6994894790341879</v>
      </c>
      <c r="Y100">
        <f t="shared" si="18"/>
        <v>-0.55360930372972184</v>
      </c>
      <c r="Z100">
        <f t="shared" si="19"/>
        <v>1.024464433991406</v>
      </c>
      <c r="AA100">
        <f t="shared" si="20"/>
        <v>-2.5615226977950885</v>
      </c>
      <c r="AB100">
        <f t="shared" si="21"/>
        <v>1.454304090335645</v>
      </c>
      <c r="AD100">
        <f t="shared" si="26"/>
        <v>95</v>
      </c>
      <c r="AE100">
        <f t="shared" si="27"/>
        <v>10.293563569831946</v>
      </c>
    </row>
    <row r="101" spans="1:31" x14ac:dyDescent="0.35">
      <c r="A101">
        <f t="shared" si="22"/>
        <v>95</v>
      </c>
      <c r="B101">
        <v>0.94375520294114768</v>
      </c>
      <c r="C101">
        <f t="shared" si="23"/>
        <v>10.293563569831946</v>
      </c>
      <c r="E101">
        <f t="shared" si="24"/>
        <v>96</v>
      </c>
      <c r="F101">
        <f t="shared" si="14"/>
        <v>0.72645449782897664</v>
      </c>
      <c r="G101">
        <f t="shared" si="25"/>
        <v>0.95707885410486182</v>
      </c>
      <c r="V101">
        <f t="shared" si="15"/>
        <v>96</v>
      </c>
      <c r="W101">
        <f t="shared" si="16"/>
        <v>0.72645449782897664</v>
      </c>
      <c r="X101">
        <f t="shared" si="17"/>
        <v>0.95707885410486182</v>
      </c>
      <c r="Y101">
        <f t="shared" si="18"/>
        <v>-0.23062435627588518</v>
      </c>
      <c r="Z101">
        <f t="shared" si="19"/>
        <v>1.024464433991406</v>
      </c>
      <c r="AA101">
        <f t="shared" si="20"/>
        <v>-2.2385377503412522</v>
      </c>
      <c r="AB101">
        <f t="shared" si="21"/>
        <v>1.7772890377894817</v>
      </c>
      <c r="AD101">
        <f t="shared" si="26"/>
        <v>96</v>
      </c>
      <c r="AE101">
        <f t="shared" si="27"/>
        <v>10.874137892356456</v>
      </c>
    </row>
    <row r="102" spans="1:31" x14ac:dyDescent="0.35">
      <c r="A102">
        <f t="shared" si="22"/>
        <v>96</v>
      </c>
      <c r="B102">
        <v>0.85739443406232374</v>
      </c>
      <c r="C102">
        <f t="shared" si="23"/>
        <v>10.874137892356456</v>
      </c>
      <c r="E102">
        <f t="shared" si="24"/>
        <v>97</v>
      </c>
      <c r="F102">
        <f t="shared" si="14"/>
        <v>0.90090553585459077</v>
      </c>
      <c r="G102">
        <f t="shared" si="25"/>
        <v>0.82079460681814065</v>
      </c>
      <c r="V102">
        <f t="shared" si="15"/>
        <v>97</v>
      </c>
      <c r="W102">
        <f t="shared" si="16"/>
        <v>0.90090553585459077</v>
      </c>
      <c r="X102">
        <f t="shared" si="17"/>
        <v>0.82079460681814065</v>
      </c>
      <c r="Y102">
        <f t="shared" si="18"/>
        <v>8.0110929036450118E-2</v>
      </c>
      <c r="Z102">
        <f t="shared" si="19"/>
        <v>1.024464433991406</v>
      </c>
      <c r="AA102">
        <f t="shared" si="20"/>
        <v>-1.9278024650289167</v>
      </c>
      <c r="AB102">
        <f t="shared" si="21"/>
        <v>2.0880243231018172</v>
      </c>
      <c r="AD102">
        <f t="shared" si="26"/>
        <v>97</v>
      </c>
      <c r="AE102">
        <f t="shared" si="27"/>
        <v>11.048588930382071</v>
      </c>
    </row>
    <row r="103" spans="1:31" x14ac:dyDescent="0.35">
      <c r="A103">
        <f t="shared" si="22"/>
        <v>97</v>
      </c>
      <c r="B103">
        <v>0.60817129254501401</v>
      </c>
      <c r="C103">
        <f t="shared" si="23"/>
        <v>11.048588930382071</v>
      </c>
      <c r="E103">
        <f t="shared" si="24"/>
        <v>98</v>
      </c>
      <c r="F103">
        <f t="shared" si="14"/>
        <v>0.22942021387836675</v>
      </c>
      <c r="G103">
        <f t="shared" si="25"/>
        <v>-4.7980774096732792E-2</v>
      </c>
      <c r="V103">
        <f t="shared" si="15"/>
        <v>98</v>
      </c>
      <c r="W103">
        <f t="shared" si="16"/>
        <v>0.22942021387836675</v>
      </c>
      <c r="X103">
        <f t="shared" si="17"/>
        <v>-4.7980774096732792E-2</v>
      </c>
      <c r="Y103">
        <f t="shared" si="18"/>
        <v>0.27740098797509954</v>
      </c>
      <c r="Z103">
        <f t="shared" si="19"/>
        <v>1.024464433991406</v>
      </c>
      <c r="AA103">
        <f t="shared" si="20"/>
        <v>-1.7305124060902672</v>
      </c>
      <c r="AB103">
        <f t="shared" si="21"/>
        <v>2.2853143820404664</v>
      </c>
      <c r="AD103">
        <f t="shared" si="26"/>
        <v>98</v>
      </c>
      <c r="AE103">
        <f t="shared" si="27"/>
        <v>10.377103608405847</v>
      </c>
    </row>
    <row r="104" spans="1:31" x14ac:dyDescent="0.35">
      <c r="A104">
        <f t="shared" si="22"/>
        <v>98</v>
      </c>
      <c r="B104">
        <v>-0.23527438435259732</v>
      </c>
      <c r="C104">
        <f t="shared" si="23"/>
        <v>10.377103608405847</v>
      </c>
      <c r="E104">
        <f t="shared" si="24"/>
        <v>99</v>
      </c>
      <c r="F104">
        <f t="shared" si="14"/>
        <v>0.95305001194792993</v>
      </c>
      <c r="G104">
        <f t="shared" si="25"/>
        <v>0.75742267310068068</v>
      </c>
      <c r="V104">
        <f t="shared" si="15"/>
        <v>99</v>
      </c>
      <c r="W104">
        <f t="shared" si="16"/>
        <v>0.95305001194792993</v>
      </c>
      <c r="X104">
        <f t="shared" si="17"/>
        <v>0.75742267310068068</v>
      </c>
      <c r="Y104">
        <f t="shared" si="18"/>
        <v>0.19562733884724925</v>
      </c>
      <c r="Z104">
        <f t="shared" si="19"/>
        <v>1.024464433991406</v>
      </c>
      <c r="AA104">
        <f t="shared" si="20"/>
        <v>-1.8122860552181175</v>
      </c>
      <c r="AB104">
        <f t="shared" si="21"/>
        <v>2.2035407329126162</v>
      </c>
      <c r="AD104">
        <f t="shared" si="26"/>
        <v>99</v>
      </c>
      <c r="AE104">
        <f t="shared" si="27"/>
        <v>11.10073340647541</v>
      </c>
    </row>
    <row r="105" spans="1:31" x14ac:dyDescent="0.35">
      <c r="A105">
        <f t="shared" si="22"/>
        <v>99</v>
      </c>
      <c r="B105">
        <v>0.78970600372079702</v>
      </c>
      <c r="C105">
        <f t="shared" si="23"/>
        <v>11.10073340647541</v>
      </c>
      <c r="E105">
        <f t="shared" si="24"/>
        <v>100</v>
      </c>
      <c r="F105">
        <f t="shared" si="14"/>
        <v>-0.59122670475603734</v>
      </c>
      <c r="G105">
        <f t="shared" si="25"/>
        <v>-0.93860722515436956</v>
      </c>
      <c r="V105">
        <f t="shared" si="15"/>
        <v>100</v>
      </c>
      <c r="W105">
        <f t="shared" si="16"/>
        <v>-0.59122670475603734</v>
      </c>
      <c r="X105">
        <f t="shared" si="17"/>
        <v>-0.93860722515436956</v>
      </c>
      <c r="Y105">
        <f t="shared" si="18"/>
        <v>0.34738052039833223</v>
      </c>
      <c r="Z105">
        <f t="shared" si="19"/>
        <v>1.024464433991406</v>
      </c>
      <c r="AA105">
        <f t="shared" si="20"/>
        <v>-1.6605328736670346</v>
      </c>
      <c r="AB105">
        <f t="shared" si="21"/>
        <v>2.3552939144636991</v>
      </c>
      <c r="AD105">
        <f t="shared" si="26"/>
        <v>100</v>
      </c>
      <c r="AE105">
        <f t="shared" si="27"/>
        <v>9.5564566897714425</v>
      </c>
    </row>
    <row r="106" spans="1:31" x14ac:dyDescent="0.35">
      <c r="A106">
        <f t="shared" si="22"/>
        <v>100</v>
      </c>
      <c r="B106">
        <v>-1.0561154940171853</v>
      </c>
      <c r="C106">
        <f t="shared" si="23"/>
        <v>9.5564566897714425</v>
      </c>
      <c r="E106">
        <f t="shared" si="24"/>
        <v>101</v>
      </c>
      <c r="F106">
        <f t="shared" si="14"/>
        <v>-2.1071382329566291E-2</v>
      </c>
      <c r="G106">
        <f t="shared" si="25"/>
        <v>-3.3532418949587861E-2</v>
      </c>
      <c r="V106">
        <f t="shared" si="15"/>
        <v>101</v>
      </c>
      <c r="W106">
        <f t="shared" si="16"/>
        <v>-2.1071382329566291E-2</v>
      </c>
      <c r="X106">
        <f t="shared" si="17"/>
        <v>-3.3532418949587861E-2</v>
      </c>
      <c r="Y106">
        <f t="shared" si="18"/>
        <v>1.2461036620021571E-2</v>
      </c>
      <c r="Z106">
        <f t="shared" si="19"/>
        <v>1.024464433991406</v>
      </c>
      <c r="AA106">
        <f t="shared" si="20"/>
        <v>-1.9954523574453453</v>
      </c>
      <c r="AB106">
        <f t="shared" si="21"/>
        <v>2.0203744306853886</v>
      </c>
      <c r="AD106">
        <f t="shared" si="26"/>
        <v>101</v>
      </c>
      <c r="AE106">
        <f t="shared" si="27"/>
        <v>10.126612012197914</v>
      </c>
    </row>
    <row r="107" spans="1:31" x14ac:dyDescent="0.35">
      <c r="A107">
        <f t="shared" si="22"/>
        <v>101</v>
      </c>
      <c r="B107">
        <v>0.22586923055446753</v>
      </c>
      <c r="C107">
        <f t="shared" si="23"/>
        <v>10.126612012197914</v>
      </c>
      <c r="E107">
        <f t="shared" si="24"/>
        <v>102</v>
      </c>
      <c r="F107">
        <f t="shared" si="14"/>
        <v>0.47097340519127506</v>
      </c>
      <c r="G107">
        <f t="shared" si="25"/>
        <v>0.47049021234848615</v>
      </c>
      <c r="V107">
        <f t="shared" si="15"/>
        <v>102</v>
      </c>
      <c r="W107">
        <f t="shared" si="16"/>
        <v>0.47097340519127506</v>
      </c>
      <c r="X107">
        <f t="shared" si="17"/>
        <v>0.47049021234848615</v>
      </c>
      <c r="Y107">
        <f t="shared" si="18"/>
        <v>4.8319284278891539E-4</v>
      </c>
      <c r="Z107">
        <f t="shared" si="19"/>
        <v>1.024464433991406</v>
      </c>
      <c r="AA107">
        <f t="shared" si="20"/>
        <v>-2.007430201222578</v>
      </c>
      <c r="AB107">
        <f t="shared" si="21"/>
        <v>2.0083965869081557</v>
      </c>
      <c r="AD107">
        <f t="shared" si="26"/>
        <v>102</v>
      </c>
      <c r="AE107">
        <f t="shared" si="27"/>
        <v>10.618656799718755</v>
      </c>
    </row>
    <row r="108" spans="1:31" x14ac:dyDescent="0.35">
      <c r="A108">
        <f t="shared" si="22"/>
        <v>102</v>
      </c>
      <c r="B108">
        <v>0.57520223729110798</v>
      </c>
      <c r="C108">
        <f t="shared" si="23"/>
        <v>10.618656799718755</v>
      </c>
      <c r="E108">
        <f t="shared" si="24"/>
        <v>103</v>
      </c>
      <c r="F108">
        <f t="shared" si="14"/>
        <v>1.2216942529861949</v>
      </c>
      <c r="G108">
        <f t="shared" si="25"/>
        <v>1.0968075952897136</v>
      </c>
      <c r="V108">
        <f t="shared" si="15"/>
        <v>103</v>
      </c>
      <c r="W108">
        <f t="shared" si="16"/>
        <v>1.2216942529861949</v>
      </c>
      <c r="X108">
        <f t="shared" si="17"/>
        <v>1.0968075952897136</v>
      </c>
      <c r="Y108">
        <f t="shared" si="18"/>
        <v>0.12488665769648133</v>
      </c>
      <c r="Z108">
        <f t="shared" si="19"/>
        <v>1.024464433991406</v>
      </c>
      <c r="AA108">
        <f t="shared" si="20"/>
        <v>-1.8830267363688855</v>
      </c>
      <c r="AB108">
        <f t="shared" si="21"/>
        <v>2.1328000517618482</v>
      </c>
      <c r="AD108">
        <f t="shared" si="26"/>
        <v>103</v>
      </c>
      <c r="AE108">
        <f t="shared" si="27"/>
        <v>11.369377647513675</v>
      </c>
    </row>
    <row r="109" spans="1:31" x14ac:dyDescent="0.35">
      <c r="A109">
        <f t="shared" si="22"/>
        <v>103</v>
      </c>
      <c r="B109">
        <v>1.051358335168767</v>
      </c>
      <c r="C109">
        <f t="shared" si="23"/>
        <v>11.369377647513675</v>
      </c>
      <c r="E109">
        <f t="shared" si="24"/>
        <v>104</v>
      </c>
      <c r="F109">
        <f t="shared" si="14"/>
        <v>0.61375882570789564</v>
      </c>
      <c r="G109">
        <f t="shared" si="25"/>
        <v>0.2296797069139026</v>
      </c>
      <c r="V109">
        <f t="shared" si="15"/>
        <v>104</v>
      </c>
      <c r="W109">
        <f t="shared" si="16"/>
        <v>0.61375882570789564</v>
      </c>
      <c r="X109">
        <f t="shared" si="17"/>
        <v>0.2296797069139026</v>
      </c>
      <c r="Y109">
        <f t="shared" si="18"/>
        <v>0.38407911879399304</v>
      </c>
      <c r="Z109">
        <f t="shared" si="19"/>
        <v>1.024464433991406</v>
      </c>
      <c r="AA109">
        <f t="shared" si="20"/>
        <v>-1.6238342752713737</v>
      </c>
      <c r="AB109">
        <f t="shared" si="21"/>
        <v>2.39199251285936</v>
      </c>
      <c r="AD109">
        <f t="shared" si="26"/>
        <v>104</v>
      </c>
      <c r="AE109">
        <f t="shared" si="27"/>
        <v>10.761442220235375</v>
      </c>
    </row>
    <row r="110" spans="1:31" x14ac:dyDescent="0.35">
      <c r="A110">
        <f t="shared" si="22"/>
        <v>104</v>
      </c>
      <c r="B110">
        <v>1.3149534009556497E-2</v>
      </c>
      <c r="C110">
        <f t="shared" si="23"/>
        <v>10.761442220235375</v>
      </c>
      <c r="E110" s="4">
        <f t="shared" si="24"/>
        <v>105</v>
      </c>
      <c r="F110" s="4">
        <f t="shared" si="14"/>
        <v>1.807081660955479</v>
      </c>
      <c r="G110" s="4">
        <f t="shared" si="25"/>
        <v>1.4578518544567869</v>
      </c>
      <c r="V110">
        <f t="shared" si="15"/>
        <v>105</v>
      </c>
      <c r="W110">
        <f t="shared" si="16"/>
        <v>1.807081660955479</v>
      </c>
      <c r="X110">
        <f t="shared" si="17"/>
        <v>1.4578518544567869</v>
      </c>
      <c r="Y110">
        <f t="shared" si="18"/>
        <v>0.34922980649869206</v>
      </c>
      <c r="Z110">
        <f t="shared" si="19"/>
        <v>1.024464433991406</v>
      </c>
      <c r="AA110">
        <f t="shared" si="20"/>
        <v>-1.6586835875666748</v>
      </c>
      <c r="AB110">
        <f t="shared" si="21"/>
        <v>2.3571432005640589</v>
      </c>
      <c r="AD110" s="4">
        <f t="shared" si="26"/>
        <v>105</v>
      </c>
      <c r="AE110" s="4">
        <f t="shared" si="27"/>
        <v>11.954765055482959</v>
      </c>
    </row>
    <row r="111" spans="1:31" x14ac:dyDescent="0.35">
      <c r="A111">
        <f t="shared" si="22"/>
        <v>105</v>
      </c>
      <c r="B111" s="4">
        <v>1.4243854081201066</v>
      </c>
      <c r="C111" s="4">
        <f t="shared" si="23"/>
        <v>11.954765055482959</v>
      </c>
      <c r="V111">
        <f>V110+1</f>
        <v>106</v>
      </c>
      <c r="Y111">
        <f>SUMPRODUCT(W110,J$6)+SUMPRODUCT(X110,K$6)</f>
        <v>0.64811627506722103</v>
      </c>
      <c r="Z111" t="e">
        <f ca="1">K$16*SQRT(SUMSQ(N$16:N16))</f>
        <v>#NAME?</v>
      </c>
      <c r="AA111" t="e">
        <f ca="1">Y111-NORMSINV(1-Z$4/2)*Z111</f>
        <v>#NAME?</v>
      </c>
      <c r="AB111" t="e">
        <f ca="1">Y111+NORMSINV(1-Z$4/2)*Z111</f>
        <v>#NAME?</v>
      </c>
      <c r="AD111">
        <f t="shared" si="26"/>
        <v>106</v>
      </c>
      <c r="AE111">
        <f>Y111+K$7</f>
        <v>10.7957996695947</v>
      </c>
    </row>
    <row r="112" spans="1:31" x14ac:dyDescent="0.35">
      <c r="V112">
        <f>V111+1</f>
        <v>107</v>
      </c>
      <c r="Y112">
        <f>SUMPRODUCT(Y111,J6)</f>
        <v>0.48673107153186806</v>
      </c>
      <c r="Z112" t="e">
        <f ca="1">K$16*SQRT(SUMSQ(N$16:N17))</f>
        <v>#NAME?</v>
      </c>
      <c r="AA112" t="e">
        <f ca="1">Y112-NORMSINV(1-Z$4/2)*Z112</f>
        <v>#NAME?</v>
      </c>
      <c r="AB112" t="e">
        <f ca="1">Y112+NORMSINV(1-Z$4/2)*Z112</f>
        <v>#NAME?</v>
      </c>
      <c r="AD112">
        <f t="shared" si="26"/>
        <v>107</v>
      </c>
      <c r="AE112">
        <f>Y112+K$7</f>
        <v>10.634414466059347</v>
      </c>
    </row>
    <row r="113" spans="2:31" x14ac:dyDescent="0.35">
      <c r="B113" s="20" t="s">
        <v>226</v>
      </c>
      <c r="V113">
        <f>V112+1</f>
        <v>108</v>
      </c>
      <c r="Y113">
        <f>SUMPRODUCT(Y112,J6)</f>
        <v>0.36553184221456103</v>
      </c>
      <c r="Z113" t="e">
        <f ca="1">K$16*SQRT(SUMSQ(N$16:N18))</f>
        <v>#NAME?</v>
      </c>
      <c r="AA113" t="e">
        <f ca="1">Y113-NORMSINV(1-Z$4/2)*Z113</f>
        <v>#NAME?</v>
      </c>
      <c r="AB113" t="e">
        <f ca="1">Y113+NORMSINV(1-Z$4/2)*Z113</f>
        <v>#NAME?</v>
      </c>
      <c r="AD113">
        <f t="shared" si="26"/>
        <v>108</v>
      </c>
      <c r="AE113">
        <f>Y113+K$7</f>
        <v>10.513215236742042</v>
      </c>
    </row>
    <row r="114" spans="2:31" x14ac:dyDescent="0.35">
      <c r="V114">
        <f>V113+1</f>
        <v>109</v>
      </c>
      <c r="Y114">
        <f>SUMPRODUCT(Y113,J6)</f>
        <v>0.2745120159521654</v>
      </c>
      <c r="Z114" t="e">
        <f ca="1">K$16*SQRT(SUMSQ(N$16:N19))</f>
        <v>#NAME?</v>
      </c>
      <c r="AA114" t="e">
        <f ca="1">Y114-NORMSINV(1-Z$4/2)*Z114</f>
        <v>#NAME?</v>
      </c>
      <c r="AB114" t="e">
        <f ca="1">Y114+NORMSINV(1-Z$4/2)*Z114</f>
        <v>#NAME?</v>
      </c>
      <c r="AD114">
        <f t="shared" si="26"/>
        <v>109</v>
      </c>
      <c r="AE114">
        <f>Y114+K$7</f>
        <v>10.422195410479645</v>
      </c>
    </row>
    <row r="115" spans="2:31" x14ac:dyDescent="0.35">
      <c r="V115" s="4">
        <f>V114+1</f>
        <v>110</v>
      </c>
      <c r="W115" s="4"/>
      <c r="X115" s="4"/>
      <c r="Y115" s="4">
        <f>SUMPRODUCT(Y114,J6)</f>
        <v>0.20615672343502353</v>
      </c>
      <c r="Z115" s="4" t="e">
        <f ca="1">K$16*SQRT(SUMSQ(N$16:N20))</f>
        <v>#NAME?</v>
      </c>
      <c r="AA115" s="4" t="e">
        <f ca="1">Y115-NORMSINV(1-Z$4/2)*Z115</f>
        <v>#NAME?</v>
      </c>
      <c r="AB115" s="4" t="e">
        <f ca="1">Y115+NORMSINV(1-Z$4/2)*Z115</f>
        <v>#NAME?</v>
      </c>
      <c r="AD115" s="4">
        <f t="shared" si="26"/>
        <v>110</v>
      </c>
      <c r="AE115" s="4">
        <f>Y115+K$7</f>
        <v>10.353840117962504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4"/>
  <dimension ref="A1:AF115"/>
  <sheetViews>
    <sheetView workbookViewId="0">
      <selection activeCell="R6" sqref="R6:S8"/>
    </sheetView>
  </sheetViews>
  <sheetFormatPr defaultRowHeight="14.5" x14ac:dyDescent="0.35"/>
  <cols>
    <col min="1" max="1" width="4.81640625" customWidth="1"/>
  </cols>
  <sheetData>
    <row r="1" spans="1:32" x14ac:dyDescent="0.35">
      <c r="A1" s="7" t="s">
        <v>224</v>
      </c>
    </row>
    <row r="2" spans="1:32" x14ac:dyDescent="0.35">
      <c r="A2" s="72"/>
      <c r="B2" s="72"/>
      <c r="C2" s="72"/>
    </row>
    <row r="3" spans="1:32" ht="15" customHeight="1" x14ac:dyDescent="0.35">
      <c r="A3" s="72" t="s">
        <v>387</v>
      </c>
      <c r="B3" s="72"/>
      <c r="C3" s="72"/>
      <c r="E3" t="s">
        <v>353</v>
      </c>
      <c r="I3" t="s">
        <v>355</v>
      </c>
      <c r="M3" t="s">
        <v>374</v>
      </c>
      <c r="Q3" t="s">
        <v>379</v>
      </c>
      <c r="W3" t="s">
        <v>383</v>
      </c>
      <c r="AE3" t="s">
        <v>384</v>
      </c>
    </row>
    <row r="4" spans="1:32" ht="15" thickBot="1" x14ac:dyDescent="0.4">
      <c r="A4" s="72"/>
      <c r="B4" s="72"/>
      <c r="C4" s="72"/>
      <c r="Z4" t="s">
        <v>156</v>
      </c>
      <c r="AA4">
        <v>0.05</v>
      </c>
    </row>
    <row r="5" spans="1:32" ht="15" thickTop="1" x14ac:dyDescent="0.35">
      <c r="B5" s="149" t="s">
        <v>107</v>
      </c>
      <c r="C5" s="149" t="s">
        <v>110</v>
      </c>
      <c r="E5" s="45" t="s">
        <v>291</v>
      </c>
      <c r="F5" s="45" t="s">
        <v>194</v>
      </c>
      <c r="G5" s="45" t="s">
        <v>354</v>
      </c>
      <c r="I5" s="45" t="s">
        <v>356</v>
      </c>
      <c r="J5" s="45" t="s">
        <v>357</v>
      </c>
      <c r="K5" s="45" t="s">
        <v>358</v>
      </c>
      <c r="M5" s="45" t="s">
        <v>173</v>
      </c>
      <c r="N5" s="45" t="s">
        <v>174</v>
      </c>
      <c r="O5" s="45" t="s">
        <v>375</v>
      </c>
      <c r="Q5" s="45" t="s">
        <v>380</v>
      </c>
      <c r="R5" s="45" t="s">
        <v>162</v>
      </c>
      <c r="S5" s="45" t="s">
        <v>81</v>
      </c>
      <c r="T5" s="45" t="s">
        <v>392</v>
      </c>
      <c r="U5" s="45" t="s">
        <v>92</v>
      </c>
      <c r="W5" s="45" t="s">
        <v>291</v>
      </c>
      <c r="X5" s="45" t="s">
        <v>194</v>
      </c>
      <c r="Y5" s="45" t="s">
        <v>354</v>
      </c>
      <c r="Z5" s="45" t="s">
        <v>138</v>
      </c>
      <c r="AA5" s="45" t="s">
        <v>81</v>
      </c>
      <c r="AB5" s="45" t="s">
        <v>127</v>
      </c>
      <c r="AC5" s="45" t="s">
        <v>128</v>
      </c>
      <c r="AE5" s="45" t="s">
        <v>291</v>
      </c>
      <c r="AF5" s="45" t="s">
        <v>179</v>
      </c>
    </row>
    <row r="6" spans="1:32" x14ac:dyDescent="0.35">
      <c r="B6" s="137"/>
      <c r="C6" s="137"/>
      <c r="E6">
        <v>1</v>
      </c>
      <c r="F6">
        <f>C7</f>
        <v>0.11767564756553417</v>
      </c>
      <c r="G6">
        <v>0</v>
      </c>
      <c r="I6" s="137">
        <v>1</v>
      </c>
      <c r="J6" t="e">
        <f ca="1">R7</f>
        <v>#NAME?</v>
      </c>
      <c r="K6" t="e">
        <f ca="1">R8</f>
        <v>#NAME?</v>
      </c>
      <c r="M6" s="152" t="e">
        <f t="array" aca="1" ref="M6:O6" ca="1">ARRoots(J6)</f>
        <v>#NAME?</v>
      </c>
      <c r="N6" s="152" t="e">
        <f ca="1"/>
        <v>#NAME?</v>
      </c>
      <c r="O6" s="152" t="e">
        <f ca="1"/>
        <v>#NAME?</v>
      </c>
      <c r="Q6" t="s">
        <v>359</v>
      </c>
      <c r="R6" t="e">
        <f t="array" aca="1" ref="R6:S8" ca="1">ARIMA_Coeff(C7:C111,1,1,0,FALSE)</f>
        <v>#NAME?</v>
      </c>
      <c r="S6" t="e">
        <f ca="1"/>
        <v>#NAME?</v>
      </c>
      <c r="T6" t="e">
        <f ca="1">R6/S6</f>
        <v>#NAME?</v>
      </c>
      <c r="U6" t="e">
        <f ca="1">TDIST(ABS(T6),K$19-K$11-K$12-1,2)</f>
        <v>#NAME?</v>
      </c>
      <c r="W6">
        <f>E6</f>
        <v>1</v>
      </c>
      <c r="X6">
        <f>F6</f>
        <v>0.11767564756553417</v>
      </c>
      <c r="Y6">
        <f>G6</f>
        <v>0</v>
      </c>
      <c r="Z6">
        <f>X6-Y6</f>
        <v>0.11767564756553417</v>
      </c>
      <c r="AA6" t="e">
        <f ca="1">K$16</f>
        <v>#NAME?</v>
      </c>
      <c r="AB6" t="e">
        <f ca="1">Z6-NORMSINV(1-AA$4/2)*AA6</f>
        <v>#NAME?</v>
      </c>
      <c r="AC6" t="e">
        <f ca="1">Z6+NORMSINV(1-AA$4/2)*AA6</f>
        <v>#NAME?</v>
      </c>
      <c r="AE6">
        <v>1</v>
      </c>
      <c r="AF6">
        <f>C7</f>
        <v>0.11767564756553417</v>
      </c>
    </row>
    <row r="7" spans="1:32" x14ac:dyDescent="0.35">
      <c r="A7">
        <v>1</v>
      </c>
      <c r="B7">
        <v>0.11767564756553417</v>
      </c>
      <c r="C7">
        <f>0.7*C6+B7-0.2*B6</f>
        <v>0.11767564756553417</v>
      </c>
      <c r="E7">
        <f>E6+1</f>
        <v>2</v>
      </c>
      <c r="F7">
        <f t="shared" ref="F7:F70" si="0">C8</f>
        <v>0.7082510857989277</v>
      </c>
      <c r="G7" t="e">
        <f ca="1">F7-SUMPRODUCT(F6,J$6)-SUMPRODUCT(G6,K$6)</f>
        <v>#NAME?</v>
      </c>
      <c r="I7" s="10" t="s">
        <v>359</v>
      </c>
      <c r="J7" s="4" t="e">
        <f ca="1">R6</f>
        <v>#NAME?</v>
      </c>
      <c r="K7" s="4" t="e">
        <f ca="1">J7/(1-SUM(J6))</f>
        <v>#NAME?</v>
      </c>
      <c r="Q7" t="s">
        <v>381</v>
      </c>
      <c r="R7" t="e">
        <f ca="1"/>
        <v>#NAME?</v>
      </c>
      <c r="S7" t="e">
        <f ca="1"/>
        <v>#NAME?</v>
      </c>
      <c r="T7" t="e">
        <f ca="1">R7/S7</f>
        <v>#NAME?</v>
      </c>
      <c r="U7" t="e">
        <f ca="1">TDIST(ABS(T7),K$19-K$11-K$12-1,2)</f>
        <v>#NAME?</v>
      </c>
      <c r="W7">
        <f t="shared" ref="W7:W70" si="1">E7</f>
        <v>2</v>
      </c>
      <c r="X7">
        <f t="shared" ref="X7:X70" si="2">F7</f>
        <v>0.7082510857989277</v>
      </c>
      <c r="Y7" t="e">
        <f t="shared" ref="Y7:Y70" ca="1" si="3">G7</f>
        <v>#NAME?</v>
      </c>
      <c r="Z7" t="e">
        <f t="shared" ref="Z7:Z70" ca="1" si="4">X7-Y7</f>
        <v>#NAME?</v>
      </c>
      <c r="AA7" t="e">
        <f t="shared" ref="AA7:AA70" ca="1" si="5">K$16</f>
        <v>#NAME?</v>
      </c>
      <c r="AB7" t="e">
        <f t="shared" ref="AB7:AB70" ca="1" si="6">Z7-NORMSINV(1-AA$4/2)*AA7</f>
        <v>#NAME?</v>
      </c>
      <c r="AC7" t="e">
        <f t="shared" ref="AC7:AC70" ca="1" si="7">Z7+NORMSINV(1-AA$4/2)*AA7</f>
        <v>#NAME?</v>
      </c>
      <c r="AE7">
        <f>AE6+1</f>
        <v>2</v>
      </c>
      <c r="AF7">
        <f>C8</f>
        <v>0.7082510857989277</v>
      </c>
    </row>
    <row r="8" spans="1:32" x14ac:dyDescent="0.35">
      <c r="A8">
        <f t="shared" ref="A8:A71" si="8">A7+1</f>
        <v>2</v>
      </c>
      <c r="B8">
        <v>0.64941326201616068</v>
      </c>
      <c r="C8">
        <f t="shared" ref="C8:C71" si="9">0.7*C7+B8-0.2*B7</f>
        <v>0.7082510857989277</v>
      </c>
      <c r="E8">
        <f t="shared" ref="E8:E71" si="10">E7+1</f>
        <v>3</v>
      </c>
      <c r="F8">
        <f t="shared" si="0"/>
        <v>-1.6632314016182241</v>
      </c>
      <c r="G8" t="e">
        <f t="shared" ref="G8:G71" ca="1" si="11">F8-SUMPRODUCT(F7,J$6)-SUMPRODUCT(G7,K$6)</f>
        <v>#NAME?</v>
      </c>
      <c r="M8" t="s">
        <v>376</v>
      </c>
      <c r="Q8" s="4" t="s">
        <v>382</v>
      </c>
      <c r="R8" s="4" t="e">
        <f ca="1"/>
        <v>#NAME?</v>
      </c>
      <c r="S8" s="4" t="e">
        <f ca="1"/>
        <v>#NAME?</v>
      </c>
      <c r="T8" s="4" t="e">
        <f ca="1">R8/S8</f>
        <v>#NAME?</v>
      </c>
      <c r="U8" s="4" t="e">
        <f ca="1">TDIST(ABS(T8),K$19-K$11-K$12-1,2)</f>
        <v>#NAME?</v>
      </c>
      <c r="W8">
        <f t="shared" si="1"/>
        <v>3</v>
      </c>
      <c r="X8">
        <f t="shared" si="2"/>
        <v>-1.6632314016182241</v>
      </c>
      <c r="Y8" t="e">
        <f t="shared" ca="1" si="3"/>
        <v>#NAME?</v>
      </c>
      <c r="Z8" t="e">
        <f t="shared" ca="1" si="4"/>
        <v>#NAME?</v>
      </c>
      <c r="AA8" t="e">
        <f t="shared" ca="1" si="5"/>
        <v>#NAME?</v>
      </c>
      <c r="AB8" t="e">
        <f t="shared" ca="1" si="6"/>
        <v>#NAME?</v>
      </c>
      <c r="AC8" t="e">
        <f t="shared" ca="1" si="7"/>
        <v>#NAME?</v>
      </c>
      <c r="AE8">
        <f t="shared" ref="AE8:AE71" si="12">AE7+1</f>
        <v>3</v>
      </c>
      <c r="AF8">
        <f t="shared" ref="AF8:AF71" si="13">C9</f>
        <v>-1.6632314016182241</v>
      </c>
    </row>
    <row r="9" spans="1:32" ht="15" thickBot="1" x14ac:dyDescent="0.4">
      <c r="A9">
        <f t="shared" si="8"/>
        <v>3</v>
      </c>
      <c r="B9">
        <v>-2.0291245092742414</v>
      </c>
      <c r="C9">
        <f t="shared" si="9"/>
        <v>-1.6632314016182241</v>
      </c>
      <c r="E9">
        <f t="shared" si="10"/>
        <v>4</v>
      </c>
      <c r="F9">
        <f t="shared" si="0"/>
        <v>-1.4795255177397577</v>
      </c>
      <c r="G9" t="e">
        <f t="shared" ca="1" si="11"/>
        <v>#NAME?</v>
      </c>
      <c r="J9" t="s">
        <v>121</v>
      </c>
      <c r="K9" s="150" t="e">
        <f ca="1">SUMSQ(G7:G110)</f>
        <v>#NAME?</v>
      </c>
      <c r="W9">
        <f t="shared" si="1"/>
        <v>4</v>
      </c>
      <c r="X9">
        <f t="shared" si="2"/>
        <v>-1.4795255177397577</v>
      </c>
      <c r="Y9" t="e">
        <f t="shared" ca="1" si="3"/>
        <v>#NAME?</v>
      </c>
      <c r="Z9" t="e">
        <f t="shared" ca="1" si="4"/>
        <v>#NAME?</v>
      </c>
      <c r="AA9" t="e">
        <f t="shared" ca="1" si="5"/>
        <v>#NAME?</v>
      </c>
      <c r="AB9" t="e">
        <f t="shared" ca="1" si="6"/>
        <v>#NAME?</v>
      </c>
      <c r="AC9" t="e">
        <f t="shared" ca="1" si="7"/>
        <v>#NAME?</v>
      </c>
      <c r="AE9">
        <f t="shared" si="12"/>
        <v>4</v>
      </c>
      <c r="AF9">
        <f t="shared" si="13"/>
        <v>-1.4795255177397577</v>
      </c>
    </row>
    <row r="10" spans="1:32" ht="15" thickTop="1" x14ac:dyDescent="0.35">
      <c r="A10">
        <f t="shared" si="8"/>
        <v>4</v>
      </c>
      <c r="B10">
        <v>-0.72108843846184933</v>
      </c>
      <c r="C10">
        <f t="shared" si="9"/>
        <v>-1.4795255177397577</v>
      </c>
      <c r="E10">
        <f t="shared" si="10"/>
        <v>5</v>
      </c>
      <c r="F10">
        <f t="shared" si="0"/>
        <v>-0.18397368823429228</v>
      </c>
      <c r="G10" t="e">
        <f t="shared" ca="1" si="11"/>
        <v>#NAME?</v>
      </c>
      <c r="M10" s="45" t="s">
        <v>173</v>
      </c>
      <c r="N10" s="45" t="s">
        <v>174</v>
      </c>
      <c r="O10" s="45" t="s">
        <v>375</v>
      </c>
      <c r="Q10" t="e">
        <f t="array" aca="1" ref="Q10:U13" ca="1">ARIMA_Coeff(C7:C111,1,1,0,FALSE,TRUE)</f>
        <v>#NAME?</v>
      </c>
      <c r="R10" t="e">
        <f ca="1"/>
        <v>#NAME?</v>
      </c>
      <c r="S10" t="e">
        <f ca="1"/>
        <v>#NAME?</v>
      </c>
      <c r="T10" t="e">
        <f ca="1"/>
        <v>#NAME?</v>
      </c>
      <c r="U10" t="e">
        <f ca="1"/>
        <v>#NAME?</v>
      </c>
      <c r="W10">
        <f t="shared" si="1"/>
        <v>5</v>
      </c>
      <c r="X10">
        <f t="shared" si="2"/>
        <v>-0.18397368823429228</v>
      </c>
      <c r="Y10" t="e">
        <f t="shared" ca="1" si="3"/>
        <v>#NAME?</v>
      </c>
      <c r="Z10" t="e">
        <f t="shared" ca="1" si="4"/>
        <v>#NAME?</v>
      </c>
      <c r="AA10" t="e">
        <f t="shared" ca="1" si="5"/>
        <v>#NAME?</v>
      </c>
      <c r="AB10" t="e">
        <f t="shared" ca="1" si="6"/>
        <v>#NAME?</v>
      </c>
      <c r="AC10" t="e">
        <f t="shared" ca="1" si="7"/>
        <v>#NAME?</v>
      </c>
      <c r="AE10">
        <f t="shared" si="12"/>
        <v>5</v>
      </c>
      <c r="AF10">
        <f t="shared" si="13"/>
        <v>-0.18397368823429228</v>
      </c>
    </row>
    <row r="11" spans="1:32" x14ac:dyDescent="0.35">
      <c r="A11">
        <f t="shared" si="8"/>
        <v>5</v>
      </c>
      <c r="B11">
        <v>0.70747648649116823</v>
      </c>
      <c r="C11">
        <f t="shared" si="9"/>
        <v>-0.18397368823429228</v>
      </c>
      <c r="E11">
        <f t="shared" si="10"/>
        <v>6</v>
      </c>
      <c r="F11">
        <f t="shared" si="0"/>
        <v>0.5213574266459754</v>
      </c>
      <c r="G11" t="e">
        <f t="shared" ca="1" si="11"/>
        <v>#NAME?</v>
      </c>
      <c r="J11" t="s">
        <v>361</v>
      </c>
      <c r="K11" s="151">
        <v>1</v>
      </c>
      <c r="M11" s="152" t="e">
        <f t="array" aca="1" ref="M11:O11" ca="1">MARoots(K6)</f>
        <v>#NAME?</v>
      </c>
      <c r="N11" s="152" t="e">
        <f ca="1"/>
        <v>#NAME?</v>
      </c>
      <c r="O11" s="152" t="e">
        <f ca="1"/>
        <v>#NAME?</v>
      </c>
      <c r="Q11" t="e">
        <f ca="1"/>
        <v>#NAME?</v>
      </c>
      <c r="R11" s="155" t="e">
        <f ca="1"/>
        <v>#NAME?</v>
      </c>
      <c r="S11" s="156" t="e">
        <f ca="1"/>
        <v>#NAME?</v>
      </c>
      <c r="T11" s="156" t="e">
        <f ca="1"/>
        <v>#NAME?</v>
      </c>
      <c r="U11" s="157" t="e">
        <f ca="1"/>
        <v>#NAME?</v>
      </c>
      <c r="W11">
        <f t="shared" si="1"/>
        <v>6</v>
      </c>
      <c r="X11">
        <f t="shared" si="2"/>
        <v>0.5213574266459754</v>
      </c>
      <c r="Y11" t="e">
        <f t="shared" ca="1" si="3"/>
        <v>#NAME?</v>
      </c>
      <c r="Z11" t="e">
        <f t="shared" ca="1" si="4"/>
        <v>#NAME?</v>
      </c>
      <c r="AA11" t="e">
        <f t="shared" ca="1" si="5"/>
        <v>#NAME?</v>
      </c>
      <c r="AB11" t="e">
        <f t="shared" ca="1" si="6"/>
        <v>#NAME?</v>
      </c>
      <c r="AC11" t="e">
        <f t="shared" ca="1" si="7"/>
        <v>#NAME?</v>
      </c>
      <c r="AE11">
        <f t="shared" si="12"/>
        <v>6</v>
      </c>
      <c r="AF11">
        <f t="shared" si="13"/>
        <v>0.5213574266459754</v>
      </c>
    </row>
    <row r="12" spans="1:32" x14ac:dyDescent="0.35">
      <c r="A12">
        <f t="shared" si="8"/>
        <v>6</v>
      </c>
      <c r="B12">
        <v>0.79163430570821358</v>
      </c>
      <c r="C12">
        <f t="shared" si="9"/>
        <v>0.5213574266459754</v>
      </c>
      <c r="E12">
        <f t="shared" si="10"/>
        <v>7</v>
      </c>
      <c r="F12">
        <f t="shared" si="0"/>
        <v>-2.8806316112839903E-2</v>
      </c>
      <c r="G12" t="e">
        <f t="shared" ca="1" si="11"/>
        <v>#NAME?</v>
      </c>
      <c r="J12" t="s">
        <v>362</v>
      </c>
      <c r="K12" s="107">
        <v>1</v>
      </c>
      <c r="Q12" t="e">
        <f ca="1"/>
        <v>#NAME?</v>
      </c>
      <c r="R12" s="29" t="e">
        <f ca="1"/>
        <v>#NAME?</v>
      </c>
      <c r="S12" s="13" t="e">
        <f ca="1"/>
        <v>#NAME?</v>
      </c>
      <c r="T12" s="13" t="e">
        <f ca="1"/>
        <v>#NAME?</v>
      </c>
      <c r="U12" s="30" t="e">
        <f ca="1"/>
        <v>#NAME?</v>
      </c>
      <c r="W12">
        <f t="shared" si="1"/>
        <v>7</v>
      </c>
      <c r="X12">
        <f t="shared" si="2"/>
        <v>-2.8806316112839903E-2</v>
      </c>
      <c r="Y12" t="e">
        <f t="shared" ca="1" si="3"/>
        <v>#NAME?</v>
      </c>
      <c r="Z12" t="e">
        <f t="shared" ca="1" si="4"/>
        <v>#NAME?</v>
      </c>
      <c r="AA12" t="e">
        <f t="shared" ca="1" si="5"/>
        <v>#NAME?</v>
      </c>
      <c r="AB12" t="e">
        <f t="shared" ca="1" si="6"/>
        <v>#NAME?</v>
      </c>
      <c r="AC12" t="e">
        <f t="shared" ca="1" si="7"/>
        <v>#NAME?</v>
      </c>
      <c r="AE12">
        <f t="shared" si="12"/>
        <v>7</v>
      </c>
      <c r="AF12">
        <f t="shared" si="13"/>
        <v>-2.8806316112839903E-2</v>
      </c>
    </row>
    <row r="13" spans="1:32" x14ac:dyDescent="0.35">
      <c r="A13">
        <f t="shared" si="8"/>
        <v>7</v>
      </c>
      <c r="B13">
        <v>-0.23542965362337992</v>
      </c>
      <c r="C13">
        <f t="shared" si="9"/>
        <v>-2.8806316112839903E-2</v>
      </c>
      <c r="E13">
        <f t="shared" si="10"/>
        <v>8</v>
      </c>
      <c r="F13">
        <f t="shared" si="0"/>
        <v>-1.3220266186970195</v>
      </c>
      <c r="G13" t="e">
        <f t="shared" ca="1" si="11"/>
        <v>#NAME?</v>
      </c>
      <c r="J13" t="s">
        <v>363</v>
      </c>
      <c r="K13" s="107">
        <v>0</v>
      </c>
      <c r="M13" t="s">
        <v>377</v>
      </c>
      <c r="Q13" t="e">
        <f ca="1"/>
        <v>#NAME?</v>
      </c>
      <c r="R13" s="31" t="e">
        <f ca="1"/>
        <v>#NAME?</v>
      </c>
      <c r="S13" s="4" t="e">
        <f ca="1"/>
        <v>#NAME?</v>
      </c>
      <c r="T13" s="4" t="e">
        <f ca="1"/>
        <v>#NAME?</v>
      </c>
      <c r="U13" s="32" t="e">
        <f ca="1"/>
        <v>#NAME?</v>
      </c>
      <c r="W13">
        <f t="shared" si="1"/>
        <v>8</v>
      </c>
      <c r="X13">
        <f t="shared" si="2"/>
        <v>-1.3220266186970195</v>
      </c>
      <c r="Y13" t="e">
        <f t="shared" ca="1" si="3"/>
        <v>#NAME?</v>
      </c>
      <c r="Z13" t="e">
        <f t="shared" ca="1" si="4"/>
        <v>#NAME?</v>
      </c>
      <c r="AA13" t="e">
        <f t="shared" ca="1" si="5"/>
        <v>#NAME?</v>
      </c>
      <c r="AB13" t="e">
        <f t="shared" ca="1" si="6"/>
        <v>#NAME?</v>
      </c>
      <c r="AC13" t="e">
        <f t="shared" ca="1" si="7"/>
        <v>#NAME?</v>
      </c>
      <c r="AE13">
        <f t="shared" si="12"/>
        <v>8</v>
      </c>
      <c r="AF13">
        <f t="shared" si="13"/>
        <v>-1.3220266186970195</v>
      </c>
    </row>
    <row r="14" spans="1:32" ht="15" thickBot="1" x14ac:dyDescent="0.4">
      <c r="A14">
        <f t="shared" si="8"/>
        <v>8</v>
      </c>
      <c r="B14">
        <v>-1.3489481281427076</v>
      </c>
      <c r="C14">
        <f t="shared" si="9"/>
        <v>-1.3220266186970195</v>
      </c>
      <c r="E14">
        <f t="shared" si="10"/>
        <v>9</v>
      </c>
      <c r="F14">
        <f t="shared" si="0"/>
        <v>0.54995509917293139</v>
      </c>
      <c r="G14" t="e">
        <f t="shared" ca="1" si="11"/>
        <v>#NAME?</v>
      </c>
      <c r="J14" t="s">
        <v>364</v>
      </c>
      <c r="K14" s="107" t="e">
        <f ca="1">AVERAGE(G7:G110)</f>
        <v>#NAME?</v>
      </c>
      <c r="W14">
        <f t="shared" si="1"/>
        <v>9</v>
      </c>
      <c r="X14">
        <f t="shared" si="2"/>
        <v>0.54995509917293139</v>
      </c>
      <c r="Y14" t="e">
        <f t="shared" ca="1" si="3"/>
        <v>#NAME?</v>
      </c>
      <c r="Z14" t="e">
        <f t="shared" ca="1" si="4"/>
        <v>#NAME?</v>
      </c>
      <c r="AA14" t="e">
        <f t="shared" ca="1" si="5"/>
        <v>#NAME?</v>
      </c>
      <c r="AB14" t="e">
        <f t="shared" ca="1" si="6"/>
        <v>#NAME?</v>
      </c>
      <c r="AC14" t="e">
        <f t="shared" ca="1" si="7"/>
        <v>#NAME?</v>
      </c>
      <c r="AE14">
        <f t="shared" si="12"/>
        <v>9</v>
      </c>
      <c r="AF14">
        <f t="shared" si="13"/>
        <v>0.54995509917293139</v>
      </c>
    </row>
    <row r="15" spans="1:32" ht="15" thickTop="1" x14ac:dyDescent="0.35">
      <c r="A15">
        <f t="shared" si="8"/>
        <v>9</v>
      </c>
      <c r="B15">
        <v>1.2055841066323034</v>
      </c>
      <c r="C15">
        <f t="shared" si="9"/>
        <v>0.54995509917293139</v>
      </c>
      <c r="E15">
        <f t="shared" si="10"/>
        <v>10</v>
      </c>
      <c r="F15">
        <f t="shared" si="0"/>
        <v>1.3276715980041807</v>
      </c>
      <c r="G15" t="e">
        <f t="shared" ca="1" si="11"/>
        <v>#NAME?</v>
      </c>
      <c r="J15" t="s">
        <v>365</v>
      </c>
      <c r="K15" s="107" t="e">
        <f ca="1">STDEV(G7:G110)</f>
        <v>#NAME?</v>
      </c>
      <c r="M15" s="45" t="s">
        <v>356</v>
      </c>
      <c r="N15" s="45" t="s">
        <v>378</v>
      </c>
      <c r="Q15" t="e">
        <f t="array" aca="1" ref="Q15:R21" ca="1">ARIMA_Stats(C7:C111,R11:R13,1,1,0,FALSE,TRUE)</f>
        <v>#NAME?</v>
      </c>
      <c r="R15" s="139" t="e">
        <f ca="1"/>
        <v>#NAME?</v>
      </c>
      <c r="W15">
        <f t="shared" si="1"/>
        <v>10</v>
      </c>
      <c r="X15">
        <f t="shared" si="2"/>
        <v>1.3276715980041807</v>
      </c>
      <c r="Y15" t="e">
        <f t="shared" ca="1" si="3"/>
        <v>#NAME?</v>
      </c>
      <c r="Z15" t="e">
        <f t="shared" ca="1" si="4"/>
        <v>#NAME?</v>
      </c>
      <c r="AA15" t="e">
        <f t="shared" ca="1" si="5"/>
        <v>#NAME?</v>
      </c>
      <c r="AB15" t="e">
        <f t="shared" ca="1" si="6"/>
        <v>#NAME?</v>
      </c>
      <c r="AC15" t="e">
        <f t="shared" ca="1" si="7"/>
        <v>#NAME?</v>
      </c>
      <c r="AE15">
        <f t="shared" si="12"/>
        <v>10</v>
      </c>
      <c r="AF15">
        <f t="shared" si="13"/>
        <v>1.3276715980041807</v>
      </c>
    </row>
    <row r="16" spans="1:32" x14ac:dyDescent="0.35">
      <c r="A16">
        <f t="shared" si="8"/>
        <v>10</v>
      </c>
      <c r="B16">
        <v>1.1838198499095893</v>
      </c>
      <c r="C16">
        <f t="shared" si="9"/>
        <v>1.3276715980041807</v>
      </c>
      <c r="E16">
        <f t="shared" si="10"/>
        <v>11</v>
      </c>
      <c r="F16">
        <f t="shared" si="0"/>
        <v>0.32031075448298674</v>
      </c>
      <c r="G16" t="e">
        <f t="shared" ca="1" si="11"/>
        <v>#NAME?</v>
      </c>
      <c r="J16" t="s">
        <v>366</v>
      </c>
      <c r="K16" s="107" t="e">
        <f ca="1">SQRT(K9/K19)</f>
        <v>#NAME?</v>
      </c>
      <c r="M16" s="59">
        <v>0</v>
      </c>
      <c r="N16" s="59" t="e">
        <f t="array" aca="1" ref="N16:N20" ca="1">PSICoeff(J6,K6)</f>
        <v>#NAME?</v>
      </c>
      <c r="Q16" t="e">
        <f ca="1"/>
        <v>#NAME?</v>
      </c>
      <c r="R16" s="24" t="e">
        <f ca="1"/>
        <v>#NAME?</v>
      </c>
      <c r="W16">
        <f t="shared" si="1"/>
        <v>11</v>
      </c>
      <c r="X16">
        <f t="shared" si="2"/>
        <v>0.32031075448298674</v>
      </c>
      <c r="Y16" t="e">
        <f t="shared" ca="1" si="3"/>
        <v>#NAME?</v>
      </c>
      <c r="Z16" t="e">
        <f t="shared" ca="1" si="4"/>
        <v>#NAME?</v>
      </c>
      <c r="AA16" t="e">
        <f t="shared" ca="1" si="5"/>
        <v>#NAME?</v>
      </c>
      <c r="AB16" t="e">
        <f t="shared" ca="1" si="6"/>
        <v>#NAME?</v>
      </c>
      <c r="AC16" t="e">
        <f t="shared" ca="1" si="7"/>
        <v>#NAME?</v>
      </c>
      <c r="AE16">
        <f t="shared" si="12"/>
        <v>11</v>
      </c>
      <c r="AF16">
        <f t="shared" si="13"/>
        <v>0.32031075448298674</v>
      </c>
    </row>
    <row r="17" spans="1:32" x14ac:dyDescent="0.35">
      <c r="A17">
        <f t="shared" si="8"/>
        <v>11</v>
      </c>
      <c r="B17">
        <v>-0.37229539413802176</v>
      </c>
      <c r="C17">
        <f t="shared" si="9"/>
        <v>0.32031075448298674</v>
      </c>
      <c r="E17">
        <f t="shared" si="10"/>
        <v>12</v>
      </c>
      <c r="F17">
        <f t="shared" si="0"/>
        <v>0.31201511646204882</v>
      </c>
      <c r="G17" t="e">
        <f t="shared" ca="1" si="11"/>
        <v>#NAME?</v>
      </c>
      <c r="J17" t="s">
        <v>367</v>
      </c>
      <c r="K17" s="107">
        <f>AVERAGE(F7:F110)</f>
        <v>7.7031946982474037E-2</v>
      </c>
      <c r="M17" s="13">
        <f>M16+1</f>
        <v>1</v>
      </c>
      <c r="N17" s="13" t="e">
        <f ca="1"/>
        <v>#NAME?</v>
      </c>
      <c r="Q17" t="e">
        <f ca="1"/>
        <v>#NAME?</v>
      </c>
      <c r="R17" s="24" t="e">
        <f ca="1"/>
        <v>#NAME?</v>
      </c>
      <c r="W17">
        <f t="shared" si="1"/>
        <v>12</v>
      </c>
      <c r="X17">
        <f t="shared" si="2"/>
        <v>0.31201511646204882</v>
      </c>
      <c r="Y17" t="e">
        <f t="shared" ca="1" si="3"/>
        <v>#NAME?</v>
      </c>
      <c r="Z17" t="e">
        <f t="shared" ca="1" si="4"/>
        <v>#NAME?</v>
      </c>
      <c r="AA17" t="e">
        <f t="shared" ca="1" si="5"/>
        <v>#NAME?</v>
      </c>
      <c r="AB17" t="e">
        <f t="shared" ca="1" si="6"/>
        <v>#NAME?</v>
      </c>
      <c r="AC17" t="e">
        <f t="shared" ca="1" si="7"/>
        <v>#NAME?</v>
      </c>
      <c r="AE17">
        <f t="shared" si="12"/>
        <v>12</v>
      </c>
      <c r="AF17">
        <f t="shared" si="13"/>
        <v>0.31201511646204882</v>
      </c>
    </row>
    <row r="18" spans="1:32" x14ac:dyDescent="0.35">
      <c r="A18">
        <f t="shared" si="8"/>
        <v>12</v>
      </c>
      <c r="B18">
        <v>1.3338509496353779E-2</v>
      </c>
      <c r="C18">
        <f t="shared" si="9"/>
        <v>0.31201511646204882</v>
      </c>
      <c r="E18">
        <f t="shared" si="10"/>
        <v>13</v>
      </c>
      <c r="F18">
        <f t="shared" si="0"/>
        <v>0.91819881129981251</v>
      </c>
      <c r="G18" t="e">
        <f t="shared" ca="1" si="11"/>
        <v>#NAME?</v>
      </c>
      <c r="J18" t="s">
        <v>368</v>
      </c>
      <c r="K18" s="107">
        <f>STDEV(F7:F110)</f>
        <v>1.1032641637717373</v>
      </c>
      <c r="M18" s="13">
        <f>M17+1</f>
        <v>2</v>
      </c>
      <c r="N18" s="13" t="e">
        <f ca="1"/>
        <v>#NAME?</v>
      </c>
      <c r="Q18" t="e">
        <f ca="1"/>
        <v>#NAME?</v>
      </c>
      <c r="R18" s="24" t="e">
        <f ca="1"/>
        <v>#NAME?</v>
      </c>
      <c r="W18">
        <f t="shared" si="1"/>
        <v>13</v>
      </c>
      <c r="X18">
        <f t="shared" si="2"/>
        <v>0.91819881129981251</v>
      </c>
      <c r="Y18" t="e">
        <f t="shared" ca="1" si="3"/>
        <v>#NAME?</v>
      </c>
      <c r="Z18" t="e">
        <f t="shared" ca="1" si="4"/>
        <v>#NAME?</v>
      </c>
      <c r="AA18" t="e">
        <f t="shared" ca="1" si="5"/>
        <v>#NAME?</v>
      </c>
      <c r="AB18" t="e">
        <f t="shared" ca="1" si="6"/>
        <v>#NAME?</v>
      </c>
      <c r="AC18" t="e">
        <f t="shared" ca="1" si="7"/>
        <v>#NAME?</v>
      </c>
      <c r="AE18">
        <f t="shared" si="12"/>
        <v>13</v>
      </c>
      <c r="AF18">
        <f t="shared" si="13"/>
        <v>0.91819881129981251</v>
      </c>
    </row>
    <row r="19" spans="1:32" x14ac:dyDescent="0.35">
      <c r="A19">
        <f t="shared" si="8"/>
        <v>13</v>
      </c>
      <c r="B19">
        <v>0.70245593167564913</v>
      </c>
      <c r="C19">
        <f t="shared" si="9"/>
        <v>0.91819881129981251</v>
      </c>
      <c r="E19">
        <f t="shared" si="10"/>
        <v>14</v>
      </c>
      <c r="F19">
        <f t="shared" si="0"/>
        <v>0.15188555685885632</v>
      </c>
      <c r="G19" t="e">
        <f t="shared" ca="1" si="11"/>
        <v>#NAME?</v>
      </c>
      <c r="J19" t="s">
        <v>369</v>
      </c>
      <c r="K19" s="108">
        <f>COUNT(F7:F110)</f>
        <v>104</v>
      </c>
      <c r="M19" s="13">
        <f>M18+1</f>
        <v>3</v>
      </c>
      <c r="N19" s="13" t="e">
        <f ca="1"/>
        <v>#NAME?</v>
      </c>
      <c r="Q19" t="e">
        <f ca="1"/>
        <v>#NAME?</v>
      </c>
      <c r="R19" s="24" t="e">
        <f ca="1"/>
        <v>#NAME?</v>
      </c>
      <c r="W19">
        <f t="shared" si="1"/>
        <v>14</v>
      </c>
      <c r="X19">
        <f t="shared" si="2"/>
        <v>0.15188555685885632</v>
      </c>
      <c r="Y19" t="e">
        <f t="shared" ca="1" si="3"/>
        <v>#NAME?</v>
      </c>
      <c r="Z19" t="e">
        <f t="shared" ca="1" si="4"/>
        <v>#NAME?</v>
      </c>
      <c r="AA19" t="e">
        <f t="shared" ca="1" si="5"/>
        <v>#NAME?</v>
      </c>
      <c r="AB19" t="e">
        <f t="shared" ca="1" si="6"/>
        <v>#NAME?</v>
      </c>
      <c r="AC19" t="e">
        <f t="shared" ca="1" si="7"/>
        <v>#NAME?</v>
      </c>
      <c r="AE19">
        <f t="shared" si="12"/>
        <v>14</v>
      </c>
      <c r="AF19">
        <f t="shared" si="13"/>
        <v>0.15188555685885632</v>
      </c>
    </row>
    <row r="20" spans="1:32" x14ac:dyDescent="0.35">
      <c r="A20">
        <f t="shared" si="8"/>
        <v>14</v>
      </c>
      <c r="B20">
        <v>-0.35036242471588258</v>
      </c>
      <c r="C20">
        <f t="shared" si="9"/>
        <v>0.15188555685885632</v>
      </c>
      <c r="E20">
        <f t="shared" si="10"/>
        <v>15</v>
      </c>
      <c r="F20">
        <f t="shared" si="0"/>
        <v>0.39352967065490746</v>
      </c>
      <c r="G20" t="e">
        <f t="shared" ca="1" si="11"/>
        <v>#NAME?</v>
      </c>
      <c r="M20" s="4">
        <f>M19+1</f>
        <v>4</v>
      </c>
      <c r="N20" s="4" t="e">
        <f ca="1"/>
        <v>#NAME?</v>
      </c>
      <c r="Q20" t="e">
        <f ca="1"/>
        <v>#NAME?</v>
      </c>
      <c r="R20" s="24" t="e">
        <f ca="1"/>
        <v>#NAME?</v>
      </c>
      <c r="W20">
        <f t="shared" si="1"/>
        <v>15</v>
      </c>
      <c r="X20">
        <f t="shared" si="2"/>
        <v>0.39352967065490746</v>
      </c>
      <c r="Y20" t="e">
        <f t="shared" ca="1" si="3"/>
        <v>#NAME?</v>
      </c>
      <c r="Z20" t="e">
        <f t="shared" ca="1" si="4"/>
        <v>#NAME?</v>
      </c>
      <c r="AA20" t="e">
        <f t="shared" ca="1" si="5"/>
        <v>#NAME?</v>
      </c>
      <c r="AB20" t="e">
        <f t="shared" ca="1" si="6"/>
        <v>#NAME?</v>
      </c>
      <c r="AC20" t="e">
        <f t="shared" ca="1" si="7"/>
        <v>#NAME?</v>
      </c>
      <c r="AE20">
        <f t="shared" si="12"/>
        <v>15</v>
      </c>
      <c r="AF20">
        <f t="shared" si="13"/>
        <v>0.39352967065490746</v>
      </c>
    </row>
    <row r="21" spans="1:32" x14ac:dyDescent="0.35">
      <c r="A21">
        <f t="shared" si="8"/>
        <v>15</v>
      </c>
      <c r="B21">
        <v>0.21713729591053152</v>
      </c>
      <c r="C21">
        <f t="shared" si="9"/>
        <v>0.39352967065490746</v>
      </c>
      <c r="E21">
        <f t="shared" si="10"/>
        <v>16</v>
      </c>
      <c r="F21">
        <f t="shared" si="0"/>
        <v>-0.27456413012780267</v>
      </c>
      <c r="G21" t="e">
        <f t="shared" ca="1" si="11"/>
        <v>#NAME?</v>
      </c>
      <c r="J21" t="s">
        <v>370</v>
      </c>
      <c r="K21" s="151" t="e">
        <f ca="1">-(K24-2*(K11+K12+1))/2</f>
        <v>#NAME?</v>
      </c>
      <c r="Q21" t="e">
        <f ca="1"/>
        <v>#NAME?</v>
      </c>
      <c r="R21" s="34" t="e">
        <f ca="1"/>
        <v>#NAME?</v>
      </c>
      <c r="W21">
        <f t="shared" si="1"/>
        <v>16</v>
      </c>
      <c r="X21">
        <f t="shared" si="2"/>
        <v>-0.27456413012780267</v>
      </c>
      <c r="Y21" t="e">
        <f t="shared" ca="1" si="3"/>
        <v>#NAME?</v>
      </c>
      <c r="Z21" t="e">
        <f t="shared" ca="1" si="4"/>
        <v>#NAME?</v>
      </c>
      <c r="AA21" t="e">
        <f t="shared" ca="1" si="5"/>
        <v>#NAME?</v>
      </c>
      <c r="AB21" t="e">
        <f t="shared" ca="1" si="6"/>
        <v>#NAME?</v>
      </c>
      <c r="AC21" t="e">
        <f t="shared" ca="1" si="7"/>
        <v>#NAME?</v>
      </c>
      <c r="AE21">
        <f t="shared" si="12"/>
        <v>16</v>
      </c>
      <c r="AF21">
        <f t="shared" si="13"/>
        <v>-0.27456413012780267</v>
      </c>
    </row>
    <row r="22" spans="1:32" x14ac:dyDescent="0.35">
      <c r="A22">
        <f t="shared" si="8"/>
        <v>16</v>
      </c>
      <c r="B22">
        <v>-0.50660744040413153</v>
      </c>
      <c r="C22">
        <f t="shared" si="9"/>
        <v>-0.27456413012780267</v>
      </c>
      <c r="E22">
        <f t="shared" si="10"/>
        <v>17</v>
      </c>
      <c r="F22">
        <f t="shared" si="0"/>
        <v>1.2288378220245906</v>
      </c>
      <c r="G22" t="e">
        <f t="shared" ca="1" si="11"/>
        <v>#NAME?</v>
      </c>
      <c r="J22" t="s">
        <v>145</v>
      </c>
      <c r="K22" s="107" t="e">
        <f ca="1">K19*LN(K9/K19)+2*(K11+K12+1)</f>
        <v>#NAME?</v>
      </c>
      <c r="W22">
        <f t="shared" si="1"/>
        <v>17</v>
      </c>
      <c r="X22">
        <f t="shared" si="2"/>
        <v>1.2288378220245906</v>
      </c>
      <c r="Y22" t="e">
        <f t="shared" ca="1" si="3"/>
        <v>#NAME?</v>
      </c>
      <c r="Z22" t="e">
        <f t="shared" ca="1" si="4"/>
        <v>#NAME?</v>
      </c>
      <c r="AA22" t="e">
        <f t="shared" ca="1" si="5"/>
        <v>#NAME?</v>
      </c>
      <c r="AB22" t="e">
        <f t="shared" ca="1" si="6"/>
        <v>#NAME?</v>
      </c>
      <c r="AC22" t="e">
        <f t="shared" ca="1" si="7"/>
        <v>#NAME?</v>
      </c>
      <c r="AE22">
        <f t="shared" si="12"/>
        <v>17</v>
      </c>
      <c r="AF22">
        <f t="shared" si="13"/>
        <v>1.2288378220245906</v>
      </c>
    </row>
    <row r="23" spans="1:32" x14ac:dyDescent="0.35">
      <c r="A23">
        <f t="shared" si="8"/>
        <v>17</v>
      </c>
      <c r="B23">
        <v>1.3197112250332261</v>
      </c>
      <c r="C23">
        <f t="shared" si="9"/>
        <v>1.2288378220245906</v>
      </c>
      <c r="E23">
        <f t="shared" si="10"/>
        <v>18</v>
      </c>
      <c r="F23">
        <f t="shared" si="0"/>
        <v>2.6684005524939507</v>
      </c>
      <c r="G23" t="e">
        <f t="shared" ca="1" si="11"/>
        <v>#NAME?</v>
      </c>
      <c r="J23" t="s">
        <v>371</v>
      </c>
      <c r="K23" s="107" t="e">
        <f ca="1">K19*LN(K9/K19)+LN(K19)*(K11+K12+1)</f>
        <v>#NAME?</v>
      </c>
      <c r="W23">
        <f t="shared" si="1"/>
        <v>18</v>
      </c>
      <c r="X23">
        <f t="shared" si="2"/>
        <v>2.6684005524939507</v>
      </c>
      <c r="Y23" t="e">
        <f t="shared" ca="1" si="3"/>
        <v>#NAME?</v>
      </c>
      <c r="Z23" t="e">
        <f t="shared" ca="1" si="4"/>
        <v>#NAME?</v>
      </c>
      <c r="AA23" t="e">
        <f t="shared" ca="1" si="5"/>
        <v>#NAME?</v>
      </c>
      <c r="AB23" t="e">
        <f t="shared" ca="1" si="6"/>
        <v>#NAME?</v>
      </c>
      <c r="AC23" t="e">
        <f t="shared" ca="1" si="7"/>
        <v>#NAME?</v>
      </c>
      <c r="AE23">
        <f t="shared" si="12"/>
        <v>18</v>
      </c>
      <c r="AF23">
        <f t="shared" si="13"/>
        <v>2.6684005524939507</v>
      </c>
    </row>
    <row r="24" spans="1:32" x14ac:dyDescent="0.35">
      <c r="A24">
        <f t="shared" si="8"/>
        <v>18</v>
      </c>
      <c r="B24">
        <v>2.0721563220833827</v>
      </c>
      <c r="C24">
        <f t="shared" si="9"/>
        <v>2.6684005524939507</v>
      </c>
      <c r="E24">
        <f t="shared" si="10"/>
        <v>19</v>
      </c>
      <c r="F24">
        <f t="shared" si="0"/>
        <v>3.417728063820773</v>
      </c>
      <c r="G24" t="e">
        <f t="shared" ca="1" si="11"/>
        <v>#NAME?</v>
      </c>
      <c r="J24" t="s">
        <v>372</v>
      </c>
      <c r="K24" s="107" t="e">
        <f ca="1">K19*(1+LN(2*PI()))+K22</f>
        <v>#NAME?</v>
      </c>
      <c r="W24">
        <f t="shared" si="1"/>
        <v>19</v>
      </c>
      <c r="X24">
        <f t="shared" si="2"/>
        <v>3.417728063820773</v>
      </c>
      <c r="Y24" t="e">
        <f t="shared" ca="1" si="3"/>
        <v>#NAME?</v>
      </c>
      <c r="Z24" t="e">
        <f t="shared" ca="1" si="4"/>
        <v>#NAME?</v>
      </c>
      <c r="AA24" t="e">
        <f t="shared" ca="1" si="5"/>
        <v>#NAME?</v>
      </c>
      <c r="AB24" t="e">
        <f t="shared" ca="1" si="6"/>
        <v>#NAME?</v>
      </c>
      <c r="AC24" t="e">
        <f t="shared" ca="1" si="7"/>
        <v>#NAME?</v>
      </c>
      <c r="AE24">
        <f t="shared" si="12"/>
        <v>19</v>
      </c>
      <c r="AF24">
        <f t="shared" si="13"/>
        <v>3.417728063820773</v>
      </c>
    </row>
    <row r="25" spans="1:32" x14ac:dyDescent="0.35">
      <c r="A25">
        <f t="shared" si="8"/>
        <v>19</v>
      </c>
      <c r="B25">
        <v>1.9642789414916844</v>
      </c>
      <c r="C25">
        <f t="shared" si="9"/>
        <v>3.417728063820773</v>
      </c>
      <c r="E25">
        <f t="shared" si="10"/>
        <v>20</v>
      </c>
      <c r="F25">
        <f t="shared" si="0"/>
        <v>2.2391971568137397</v>
      </c>
      <c r="G25" t="e">
        <f t="shared" ca="1" si="11"/>
        <v>#NAME?</v>
      </c>
      <c r="J25" t="s">
        <v>373</v>
      </c>
      <c r="K25" s="108" t="e">
        <f ca="1">K19*(1+LN(2*PI()))+K23</f>
        <v>#NAME?</v>
      </c>
      <c r="W25">
        <f t="shared" si="1"/>
        <v>20</v>
      </c>
      <c r="X25">
        <f t="shared" si="2"/>
        <v>2.2391971568137397</v>
      </c>
      <c r="Y25" t="e">
        <f t="shared" ca="1" si="3"/>
        <v>#NAME?</v>
      </c>
      <c r="Z25" t="e">
        <f t="shared" ca="1" si="4"/>
        <v>#NAME?</v>
      </c>
      <c r="AA25" t="e">
        <f t="shared" ca="1" si="5"/>
        <v>#NAME?</v>
      </c>
      <c r="AB25" t="e">
        <f t="shared" ca="1" si="6"/>
        <v>#NAME?</v>
      </c>
      <c r="AC25" t="e">
        <f t="shared" ca="1" si="7"/>
        <v>#NAME?</v>
      </c>
      <c r="AE25">
        <f t="shared" si="12"/>
        <v>20</v>
      </c>
      <c r="AF25">
        <f t="shared" si="13"/>
        <v>2.2391971568137397</v>
      </c>
    </row>
    <row r="26" spans="1:32" x14ac:dyDescent="0.35">
      <c r="A26">
        <f t="shared" si="8"/>
        <v>20</v>
      </c>
      <c r="B26">
        <v>0.23964330043753548</v>
      </c>
      <c r="C26">
        <f t="shared" si="9"/>
        <v>2.2391971568137397</v>
      </c>
      <c r="E26">
        <f t="shared" si="10"/>
        <v>21</v>
      </c>
      <c r="F26">
        <f t="shared" si="0"/>
        <v>2.1225599146000729</v>
      </c>
      <c r="G26" t="e">
        <f t="shared" ca="1" si="11"/>
        <v>#NAME?</v>
      </c>
      <c r="W26">
        <f t="shared" si="1"/>
        <v>21</v>
      </c>
      <c r="X26">
        <f t="shared" si="2"/>
        <v>2.1225599146000729</v>
      </c>
      <c r="Y26" t="e">
        <f t="shared" ca="1" si="3"/>
        <v>#NAME?</v>
      </c>
      <c r="Z26" t="e">
        <f t="shared" ca="1" si="4"/>
        <v>#NAME?</v>
      </c>
      <c r="AA26" t="e">
        <f t="shared" ca="1" si="5"/>
        <v>#NAME?</v>
      </c>
      <c r="AB26" t="e">
        <f t="shared" ca="1" si="6"/>
        <v>#NAME?</v>
      </c>
      <c r="AC26" t="e">
        <f t="shared" ca="1" si="7"/>
        <v>#NAME?</v>
      </c>
      <c r="AE26">
        <f t="shared" si="12"/>
        <v>21</v>
      </c>
      <c r="AF26">
        <f t="shared" si="13"/>
        <v>2.1225599146000729</v>
      </c>
    </row>
    <row r="27" spans="1:32" x14ac:dyDescent="0.35">
      <c r="A27">
        <f t="shared" si="8"/>
        <v>21</v>
      </c>
      <c r="B27">
        <v>0.60305056491796249</v>
      </c>
      <c r="C27">
        <f t="shared" si="9"/>
        <v>2.1225599146000729</v>
      </c>
      <c r="E27">
        <f t="shared" si="10"/>
        <v>22</v>
      </c>
      <c r="F27">
        <f t="shared" si="0"/>
        <v>0.46379871540949502</v>
      </c>
      <c r="G27" t="e">
        <f t="shared" ca="1" si="11"/>
        <v>#NAME?</v>
      </c>
      <c r="W27">
        <f t="shared" si="1"/>
        <v>22</v>
      </c>
      <c r="X27">
        <f t="shared" si="2"/>
        <v>0.46379871540949502</v>
      </c>
      <c r="Y27" t="e">
        <f t="shared" ca="1" si="3"/>
        <v>#NAME?</v>
      </c>
      <c r="Z27" t="e">
        <f t="shared" ca="1" si="4"/>
        <v>#NAME?</v>
      </c>
      <c r="AA27" t="e">
        <f t="shared" ca="1" si="5"/>
        <v>#NAME?</v>
      </c>
      <c r="AB27" t="e">
        <f t="shared" ca="1" si="6"/>
        <v>#NAME?</v>
      </c>
      <c r="AC27" t="e">
        <f t="shared" ca="1" si="7"/>
        <v>#NAME?</v>
      </c>
      <c r="AE27">
        <f t="shared" si="12"/>
        <v>22</v>
      </c>
      <c r="AF27">
        <f t="shared" si="13"/>
        <v>0.46379871540949502</v>
      </c>
    </row>
    <row r="28" spans="1:32" x14ac:dyDescent="0.35">
      <c r="A28">
        <f t="shared" si="8"/>
        <v>22</v>
      </c>
      <c r="B28">
        <v>-0.90138311182696351</v>
      </c>
      <c r="C28">
        <f t="shared" si="9"/>
        <v>0.46379871540949502</v>
      </c>
      <c r="E28">
        <f t="shared" si="10"/>
        <v>23</v>
      </c>
      <c r="F28">
        <f t="shared" si="0"/>
        <v>-0.55080545418476379</v>
      </c>
      <c r="G28" t="e">
        <f t="shared" ca="1" si="11"/>
        <v>#NAME?</v>
      </c>
      <c r="W28">
        <f t="shared" si="1"/>
        <v>23</v>
      </c>
      <c r="X28">
        <f t="shared" si="2"/>
        <v>-0.55080545418476379</v>
      </c>
      <c r="Y28" t="e">
        <f t="shared" ca="1" si="3"/>
        <v>#NAME?</v>
      </c>
      <c r="Z28" t="e">
        <f t="shared" ca="1" si="4"/>
        <v>#NAME?</v>
      </c>
      <c r="AA28" t="e">
        <f t="shared" ca="1" si="5"/>
        <v>#NAME?</v>
      </c>
      <c r="AB28" t="e">
        <f t="shared" ca="1" si="6"/>
        <v>#NAME?</v>
      </c>
      <c r="AC28" t="e">
        <f t="shared" ca="1" si="7"/>
        <v>#NAME?</v>
      </c>
      <c r="AE28">
        <f t="shared" si="12"/>
        <v>23</v>
      </c>
      <c r="AF28">
        <f t="shared" si="13"/>
        <v>-0.55080545418476379</v>
      </c>
    </row>
    <row r="29" spans="1:32" x14ac:dyDescent="0.35">
      <c r="A29">
        <f t="shared" si="8"/>
        <v>23</v>
      </c>
      <c r="B29">
        <v>-1.0557411773368031</v>
      </c>
      <c r="C29">
        <f t="shared" si="9"/>
        <v>-0.55080545418476379</v>
      </c>
      <c r="E29">
        <f t="shared" si="10"/>
        <v>24</v>
      </c>
      <c r="F29">
        <f t="shared" si="0"/>
        <v>1.182946247108128</v>
      </c>
      <c r="G29" t="e">
        <f t="shared" ca="1" si="11"/>
        <v>#NAME?</v>
      </c>
      <c r="W29">
        <f t="shared" si="1"/>
        <v>24</v>
      </c>
      <c r="X29">
        <f t="shared" si="2"/>
        <v>1.182946247108128</v>
      </c>
      <c r="Y29" t="e">
        <f t="shared" ca="1" si="3"/>
        <v>#NAME?</v>
      </c>
      <c r="Z29" t="e">
        <f t="shared" ca="1" si="4"/>
        <v>#NAME?</v>
      </c>
      <c r="AA29" t="e">
        <f t="shared" ca="1" si="5"/>
        <v>#NAME?</v>
      </c>
      <c r="AB29" t="e">
        <f t="shared" ca="1" si="6"/>
        <v>#NAME?</v>
      </c>
      <c r="AC29" t="e">
        <f t="shared" ca="1" si="7"/>
        <v>#NAME?</v>
      </c>
      <c r="AE29">
        <f t="shared" si="12"/>
        <v>24</v>
      </c>
      <c r="AF29">
        <f t="shared" si="13"/>
        <v>1.182946247108128</v>
      </c>
    </row>
    <row r="30" spans="1:32" x14ac:dyDescent="0.35">
      <c r="A30">
        <f t="shared" si="8"/>
        <v>24</v>
      </c>
      <c r="B30">
        <v>1.357361829570102</v>
      </c>
      <c r="C30">
        <f t="shared" si="9"/>
        <v>1.182946247108128</v>
      </c>
      <c r="E30">
        <f t="shared" si="10"/>
        <v>25</v>
      </c>
      <c r="F30">
        <f t="shared" si="0"/>
        <v>-2.4132987150346601</v>
      </c>
      <c r="G30" t="e">
        <f t="shared" ca="1" si="11"/>
        <v>#NAME?</v>
      </c>
      <c r="W30">
        <f t="shared" si="1"/>
        <v>25</v>
      </c>
      <c r="X30">
        <f t="shared" si="2"/>
        <v>-2.4132987150346601</v>
      </c>
      <c r="Y30" t="e">
        <f t="shared" ca="1" si="3"/>
        <v>#NAME?</v>
      </c>
      <c r="Z30" t="e">
        <f t="shared" ca="1" si="4"/>
        <v>#NAME?</v>
      </c>
      <c r="AA30" t="e">
        <f t="shared" ca="1" si="5"/>
        <v>#NAME?</v>
      </c>
      <c r="AB30" t="e">
        <f t="shared" ca="1" si="6"/>
        <v>#NAME?</v>
      </c>
      <c r="AC30" t="e">
        <f t="shared" ca="1" si="7"/>
        <v>#NAME?</v>
      </c>
      <c r="AE30">
        <f t="shared" si="12"/>
        <v>25</v>
      </c>
      <c r="AF30">
        <f t="shared" si="13"/>
        <v>-2.4132987150346601</v>
      </c>
    </row>
    <row r="31" spans="1:32" x14ac:dyDescent="0.35">
      <c r="A31">
        <f t="shared" si="8"/>
        <v>25</v>
      </c>
      <c r="B31">
        <v>-2.969888722096329</v>
      </c>
      <c r="C31">
        <f t="shared" si="9"/>
        <v>-2.4132987150346601</v>
      </c>
      <c r="E31">
        <f t="shared" si="10"/>
        <v>26</v>
      </c>
      <c r="F31">
        <f t="shared" si="0"/>
        <v>0.97947060944543229</v>
      </c>
      <c r="G31" t="e">
        <f t="shared" ca="1" si="11"/>
        <v>#NAME?</v>
      </c>
      <c r="W31">
        <f t="shared" si="1"/>
        <v>26</v>
      </c>
      <c r="X31">
        <f t="shared" si="2"/>
        <v>0.97947060944543229</v>
      </c>
      <c r="Y31" t="e">
        <f t="shared" ca="1" si="3"/>
        <v>#NAME?</v>
      </c>
      <c r="Z31" t="e">
        <f t="shared" ca="1" si="4"/>
        <v>#NAME?</v>
      </c>
      <c r="AA31" t="e">
        <f t="shared" ca="1" si="5"/>
        <v>#NAME?</v>
      </c>
      <c r="AB31" t="e">
        <f t="shared" ca="1" si="6"/>
        <v>#NAME?</v>
      </c>
      <c r="AC31" t="e">
        <f t="shared" ca="1" si="7"/>
        <v>#NAME?</v>
      </c>
      <c r="AE31">
        <f t="shared" si="12"/>
        <v>26</v>
      </c>
      <c r="AF31">
        <f t="shared" si="13"/>
        <v>0.97947060944543229</v>
      </c>
    </row>
    <row r="32" spans="1:32" x14ac:dyDescent="0.35">
      <c r="A32">
        <f t="shared" si="8"/>
        <v>26</v>
      </c>
      <c r="B32">
        <v>2.0748019655504284</v>
      </c>
      <c r="C32">
        <f t="shared" si="9"/>
        <v>0.97947060944543229</v>
      </c>
      <c r="E32">
        <f t="shared" si="10"/>
        <v>27</v>
      </c>
      <c r="F32">
        <f t="shared" si="0"/>
        <v>0.55088233224937044</v>
      </c>
      <c r="G32" t="e">
        <f t="shared" ca="1" si="11"/>
        <v>#NAME?</v>
      </c>
      <c r="W32">
        <f t="shared" si="1"/>
        <v>27</v>
      </c>
      <c r="X32">
        <f t="shared" si="2"/>
        <v>0.55088233224937044</v>
      </c>
      <c r="Y32" t="e">
        <f t="shared" ca="1" si="3"/>
        <v>#NAME?</v>
      </c>
      <c r="Z32" t="e">
        <f t="shared" ca="1" si="4"/>
        <v>#NAME?</v>
      </c>
      <c r="AA32" t="e">
        <f t="shared" ca="1" si="5"/>
        <v>#NAME?</v>
      </c>
      <c r="AB32" t="e">
        <f t="shared" ca="1" si="6"/>
        <v>#NAME?</v>
      </c>
      <c r="AC32" t="e">
        <f t="shared" ca="1" si="7"/>
        <v>#NAME?</v>
      </c>
      <c r="AE32">
        <f t="shared" si="12"/>
        <v>27</v>
      </c>
      <c r="AF32">
        <f t="shared" si="13"/>
        <v>0.55088233224937044</v>
      </c>
    </row>
    <row r="33" spans="1:32" x14ac:dyDescent="0.35">
      <c r="A33">
        <f t="shared" si="8"/>
        <v>27</v>
      </c>
      <c r="B33">
        <v>0.28021329874765349</v>
      </c>
      <c r="C33">
        <f t="shared" si="9"/>
        <v>0.55088233224937044</v>
      </c>
      <c r="E33">
        <f t="shared" si="10"/>
        <v>28</v>
      </c>
      <c r="F33">
        <f t="shared" si="0"/>
        <v>1.2279214175815407</v>
      </c>
      <c r="G33" t="e">
        <f t="shared" ca="1" si="11"/>
        <v>#NAME?</v>
      </c>
      <c r="W33">
        <f t="shared" si="1"/>
        <v>28</v>
      </c>
      <c r="X33">
        <f t="shared" si="2"/>
        <v>1.2279214175815407</v>
      </c>
      <c r="Y33" t="e">
        <f t="shared" ca="1" si="3"/>
        <v>#NAME?</v>
      </c>
      <c r="Z33" t="e">
        <f t="shared" ca="1" si="4"/>
        <v>#NAME?</v>
      </c>
      <c r="AA33" t="e">
        <f t="shared" ca="1" si="5"/>
        <v>#NAME?</v>
      </c>
      <c r="AB33" t="e">
        <f t="shared" ca="1" si="6"/>
        <v>#NAME?</v>
      </c>
      <c r="AC33" t="e">
        <f t="shared" ca="1" si="7"/>
        <v>#NAME?</v>
      </c>
      <c r="AE33">
        <f t="shared" si="12"/>
        <v>28</v>
      </c>
      <c r="AF33">
        <f t="shared" si="13"/>
        <v>1.2279214175815407</v>
      </c>
    </row>
    <row r="34" spans="1:32" x14ac:dyDescent="0.35">
      <c r="A34">
        <f t="shared" si="8"/>
        <v>28</v>
      </c>
      <c r="B34">
        <v>0.89834644475651204</v>
      </c>
      <c r="C34">
        <f t="shared" si="9"/>
        <v>1.2279214175815407</v>
      </c>
      <c r="E34">
        <f t="shared" si="10"/>
        <v>29</v>
      </c>
      <c r="F34">
        <f t="shared" si="0"/>
        <v>-0.92350668389273016</v>
      </c>
      <c r="G34" t="e">
        <f t="shared" ca="1" si="11"/>
        <v>#NAME?</v>
      </c>
      <c r="W34">
        <f t="shared" si="1"/>
        <v>29</v>
      </c>
      <c r="X34">
        <f t="shared" si="2"/>
        <v>-0.92350668389273016</v>
      </c>
      <c r="Y34" t="e">
        <f t="shared" ca="1" si="3"/>
        <v>#NAME?</v>
      </c>
      <c r="Z34" t="e">
        <f t="shared" ca="1" si="4"/>
        <v>#NAME?</v>
      </c>
      <c r="AA34" t="e">
        <f t="shared" ca="1" si="5"/>
        <v>#NAME?</v>
      </c>
      <c r="AB34" t="e">
        <f t="shared" ca="1" si="6"/>
        <v>#NAME?</v>
      </c>
      <c r="AC34" t="e">
        <f t="shared" ca="1" si="7"/>
        <v>#NAME?</v>
      </c>
      <c r="AE34">
        <f t="shared" si="12"/>
        <v>29</v>
      </c>
      <c r="AF34">
        <f t="shared" si="13"/>
        <v>-0.92350668389273016</v>
      </c>
    </row>
    <row r="35" spans="1:32" x14ac:dyDescent="0.35">
      <c r="A35">
        <f t="shared" si="8"/>
        <v>29</v>
      </c>
      <c r="B35">
        <v>-1.6033823872485062</v>
      </c>
      <c r="C35">
        <f t="shared" si="9"/>
        <v>-0.92350668389273016</v>
      </c>
      <c r="E35">
        <f t="shared" si="10"/>
        <v>30</v>
      </c>
      <c r="F35">
        <f t="shared" si="0"/>
        <v>-9.0278955688554874E-2</v>
      </c>
      <c r="G35" t="e">
        <f t="shared" ca="1" si="11"/>
        <v>#NAME?</v>
      </c>
      <c r="W35">
        <f t="shared" si="1"/>
        <v>30</v>
      </c>
      <c r="X35">
        <f t="shared" si="2"/>
        <v>-9.0278955688554874E-2</v>
      </c>
      <c r="Y35" t="e">
        <f t="shared" ca="1" si="3"/>
        <v>#NAME?</v>
      </c>
      <c r="Z35" t="e">
        <f t="shared" ca="1" si="4"/>
        <v>#NAME?</v>
      </c>
      <c r="AA35" t="e">
        <f t="shared" ca="1" si="5"/>
        <v>#NAME?</v>
      </c>
      <c r="AB35" t="e">
        <f t="shared" ca="1" si="6"/>
        <v>#NAME?</v>
      </c>
      <c r="AC35" t="e">
        <f t="shared" ca="1" si="7"/>
        <v>#NAME?</v>
      </c>
      <c r="AE35">
        <f t="shared" si="12"/>
        <v>30</v>
      </c>
      <c r="AF35">
        <f t="shared" si="13"/>
        <v>-9.0278955688554874E-2</v>
      </c>
    </row>
    <row r="36" spans="1:32" x14ac:dyDescent="0.35">
      <c r="A36">
        <f t="shared" si="8"/>
        <v>30</v>
      </c>
      <c r="B36">
        <v>0.23549924558665486</v>
      </c>
      <c r="C36">
        <f t="shared" si="9"/>
        <v>-9.0278955688554874E-2</v>
      </c>
      <c r="E36">
        <f t="shared" si="10"/>
        <v>31</v>
      </c>
      <c r="F36">
        <f t="shared" si="0"/>
        <v>1.6837933463631751</v>
      </c>
      <c r="G36" t="e">
        <f t="shared" ca="1" si="11"/>
        <v>#NAME?</v>
      </c>
      <c r="W36">
        <f t="shared" si="1"/>
        <v>31</v>
      </c>
      <c r="X36">
        <f t="shared" si="2"/>
        <v>1.6837933463631751</v>
      </c>
      <c r="Y36" t="e">
        <f t="shared" ca="1" si="3"/>
        <v>#NAME?</v>
      </c>
      <c r="Z36" t="e">
        <f t="shared" ca="1" si="4"/>
        <v>#NAME?</v>
      </c>
      <c r="AA36" t="e">
        <f t="shared" ca="1" si="5"/>
        <v>#NAME?</v>
      </c>
      <c r="AB36" t="e">
        <f t="shared" ca="1" si="6"/>
        <v>#NAME?</v>
      </c>
      <c r="AC36" t="e">
        <f t="shared" ca="1" si="7"/>
        <v>#NAME?</v>
      </c>
      <c r="AE36">
        <f t="shared" si="12"/>
        <v>31</v>
      </c>
      <c r="AF36">
        <f t="shared" si="13"/>
        <v>1.6837933463631751</v>
      </c>
    </row>
    <row r="37" spans="1:32" x14ac:dyDescent="0.35">
      <c r="A37">
        <f t="shared" si="8"/>
        <v>31</v>
      </c>
      <c r="B37">
        <v>1.7940884644624944</v>
      </c>
      <c r="C37">
        <f t="shared" si="9"/>
        <v>1.6837933463631751</v>
      </c>
      <c r="E37">
        <f t="shared" si="10"/>
        <v>32</v>
      </c>
      <c r="F37">
        <f t="shared" si="0"/>
        <v>-0.61077144818691864</v>
      </c>
      <c r="G37" t="e">
        <f t="shared" ca="1" si="11"/>
        <v>#NAME?</v>
      </c>
      <c r="W37">
        <f t="shared" si="1"/>
        <v>32</v>
      </c>
      <c r="X37">
        <f t="shared" si="2"/>
        <v>-0.61077144818691864</v>
      </c>
      <c r="Y37" t="e">
        <f t="shared" ca="1" si="3"/>
        <v>#NAME?</v>
      </c>
      <c r="Z37" t="e">
        <f t="shared" ca="1" si="4"/>
        <v>#NAME?</v>
      </c>
      <c r="AA37" t="e">
        <f t="shared" ca="1" si="5"/>
        <v>#NAME?</v>
      </c>
      <c r="AB37" t="e">
        <f t="shared" ca="1" si="6"/>
        <v>#NAME?</v>
      </c>
      <c r="AC37" t="e">
        <f t="shared" ca="1" si="7"/>
        <v>#NAME?</v>
      </c>
      <c r="AE37">
        <f t="shared" si="12"/>
        <v>32</v>
      </c>
      <c r="AF37">
        <f t="shared" si="13"/>
        <v>-0.61077144818691864</v>
      </c>
    </row>
    <row r="38" spans="1:32" x14ac:dyDescent="0.35">
      <c r="A38">
        <f t="shared" si="8"/>
        <v>32</v>
      </c>
      <c r="B38">
        <v>-1.4306090977486423</v>
      </c>
      <c r="C38">
        <f t="shared" si="9"/>
        <v>-0.61077144818691864</v>
      </c>
      <c r="E38">
        <f t="shared" si="10"/>
        <v>33</v>
      </c>
      <c r="F38">
        <f t="shared" si="0"/>
        <v>1.2810446629007595</v>
      </c>
      <c r="G38" t="e">
        <f t="shared" ca="1" si="11"/>
        <v>#NAME?</v>
      </c>
      <c r="W38">
        <f t="shared" si="1"/>
        <v>33</v>
      </c>
      <c r="X38">
        <f t="shared" si="2"/>
        <v>1.2810446629007595</v>
      </c>
      <c r="Y38" t="e">
        <f t="shared" ca="1" si="3"/>
        <v>#NAME?</v>
      </c>
      <c r="Z38" t="e">
        <f t="shared" ca="1" si="4"/>
        <v>#NAME?</v>
      </c>
      <c r="AA38" t="e">
        <f t="shared" ca="1" si="5"/>
        <v>#NAME?</v>
      </c>
      <c r="AB38" t="e">
        <f t="shared" ca="1" si="6"/>
        <v>#NAME?</v>
      </c>
      <c r="AC38" t="e">
        <f t="shared" ca="1" si="7"/>
        <v>#NAME?</v>
      </c>
      <c r="AE38">
        <f t="shared" si="12"/>
        <v>33</v>
      </c>
      <c r="AF38">
        <f t="shared" si="13"/>
        <v>1.2810446629007595</v>
      </c>
    </row>
    <row r="39" spans="1:32" x14ac:dyDescent="0.35">
      <c r="A39">
        <f t="shared" si="8"/>
        <v>33</v>
      </c>
      <c r="B39">
        <v>1.422462857081874</v>
      </c>
      <c r="C39">
        <f t="shared" si="9"/>
        <v>1.2810446629007595</v>
      </c>
      <c r="E39">
        <f t="shared" si="10"/>
        <v>34</v>
      </c>
      <c r="F39">
        <f t="shared" si="0"/>
        <v>-0.92224582870659311</v>
      </c>
      <c r="G39" t="e">
        <f t="shared" ca="1" si="11"/>
        <v>#NAME?</v>
      </c>
      <c r="W39">
        <f t="shared" si="1"/>
        <v>34</v>
      </c>
      <c r="X39">
        <f t="shared" si="2"/>
        <v>-0.92224582870659311</v>
      </c>
      <c r="Y39" t="e">
        <f t="shared" ca="1" si="3"/>
        <v>#NAME?</v>
      </c>
      <c r="Z39" t="e">
        <f t="shared" ca="1" si="4"/>
        <v>#NAME?</v>
      </c>
      <c r="AA39" t="e">
        <f t="shared" ca="1" si="5"/>
        <v>#NAME?</v>
      </c>
      <c r="AB39" t="e">
        <f t="shared" ca="1" si="6"/>
        <v>#NAME?</v>
      </c>
      <c r="AC39" t="e">
        <f t="shared" ca="1" si="7"/>
        <v>#NAME?</v>
      </c>
      <c r="AE39">
        <f t="shared" si="12"/>
        <v>34</v>
      </c>
      <c r="AF39">
        <f t="shared" si="13"/>
        <v>-0.92224582870659311</v>
      </c>
    </row>
    <row r="40" spans="1:32" x14ac:dyDescent="0.35">
      <c r="A40">
        <f t="shared" si="8"/>
        <v>34</v>
      </c>
      <c r="B40">
        <v>-1.5344845213207499</v>
      </c>
      <c r="C40">
        <f t="shared" si="9"/>
        <v>-0.92224582870659311</v>
      </c>
      <c r="E40">
        <f t="shared" si="10"/>
        <v>35</v>
      </c>
      <c r="F40">
        <f t="shared" si="0"/>
        <v>-0.57811003842058217</v>
      </c>
      <c r="G40" t="e">
        <f t="shared" ca="1" si="11"/>
        <v>#NAME?</v>
      </c>
      <c r="W40">
        <f t="shared" si="1"/>
        <v>35</v>
      </c>
      <c r="X40">
        <f t="shared" si="2"/>
        <v>-0.57811003842058217</v>
      </c>
      <c r="Y40" t="e">
        <f t="shared" ca="1" si="3"/>
        <v>#NAME?</v>
      </c>
      <c r="Z40" t="e">
        <f t="shared" ca="1" si="4"/>
        <v>#NAME?</v>
      </c>
      <c r="AA40" t="e">
        <f t="shared" ca="1" si="5"/>
        <v>#NAME?</v>
      </c>
      <c r="AB40" t="e">
        <f t="shared" ca="1" si="6"/>
        <v>#NAME?</v>
      </c>
      <c r="AC40" t="e">
        <f t="shared" ca="1" si="7"/>
        <v>#NAME?</v>
      </c>
      <c r="AE40">
        <f t="shared" si="12"/>
        <v>35</v>
      </c>
      <c r="AF40">
        <f t="shared" si="13"/>
        <v>-0.57811003842058217</v>
      </c>
    </row>
    <row r="41" spans="1:32" x14ac:dyDescent="0.35">
      <c r="A41">
        <f t="shared" si="8"/>
        <v>35</v>
      </c>
      <c r="B41">
        <v>-0.23943486259011701</v>
      </c>
      <c r="C41">
        <f t="shared" si="9"/>
        <v>-0.57811003842058217</v>
      </c>
      <c r="E41">
        <f t="shared" si="10"/>
        <v>36</v>
      </c>
      <c r="F41">
        <f t="shared" si="0"/>
        <v>0.76869728403468252</v>
      </c>
      <c r="G41" t="e">
        <f t="shared" ca="1" si="11"/>
        <v>#NAME?</v>
      </c>
      <c r="W41">
        <f t="shared" si="1"/>
        <v>36</v>
      </c>
      <c r="X41">
        <f t="shared" si="2"/>
        <v>0.76869728403468252</v>
      </c>
      <c r="Y41" t="e">
        <f t="shared" ca="1" si="3"/>
        <v>#NAME?</v>
      </c>
      <c r="Z41" t="e">
        <f t="shared" ca="1" si="4"/>
        <v>#NAME?</v>
      </c>
      <c r="AA41" t="e">
        <f t="shared" ca="1" si="5"/>
        <v>#NAME?</v>
      </c>
      <c r="AB41" t="e">
        <f t="shared" ca="1" si="6"/>
        <v>#NAME?</v>
      </c>
      <c r="AC41" t="e">
        <f t="shared" ca="1" si="7"/>
        <v>#NAME?</v>
      </c>
      <c r="AE41">
        <f t="shared" si="12"/>
        <v>36</v>
      </c>
      <c r="AF41">
        <f t="shared" si="13"/>
        <v>0.76869728403468252</v>
      </c>
    </row>
    <row r="42" spans="1:32" x14ac:dyDescent="0.35">
      <c r="A42">
        <f t="shared" si="8"/>
        <v>36</v>
      </c>
      <c r="B42">
        <v>1.1254873384110666</v>
      </c>
      <c r="C42">
        <f t="shared" si="9"/>
        <v>0.76869728403468252</v>
      </c>
      <c r="E42">
        <f t="shared" si="10"/>
        <v>37</v>
      </c>
      <c r="F42">
        <f t="shared" si="0"/>
        <v>4.4704988336533191E-2</v>
      </c>
      <c r="G42" t="e">
        <f t="shared" ca="1" si="11"/>
        <v>#NAME?</v>
      </c>
      <c r="W42">
        <f t="shared" si="1"/>
        <v>37</v>
      </c>
      <c r="X42">
        <f t="shared" si="2"/>
        <v>4.4704988336533191E-2</v>
      </c>
      <c r="Y42" t="e">
        <f t="shared" ca="1" si="3"/>
        <v>#NAME?</v>
      </c>
      <c r="Z42" t="e">
        <f t="shared" ca="1" si="4"/>
        <v>#NAME?</v>
      </c>
      <c r="AA42" t="e">
        <f t="shared" ca="1" si="5"/>
        <v>#NAME?</v>
      </c>
      <c r="AB42" t="e">
        <f t="shared" ca="1" si="6"/>
        <v>#NAME?</v>
      </c>
      <c r="AC42" t="e">
        <f t="shared" ca="1" si="7"/>
        <v>#NAME?</v>
      </c>
      <c r="AE42">
        <f t="shared" si="12"/>
        <v>37</v>
      </c>
      <c r="AF42">
        <f t="shared" si="13"/>
        <v>4.4704988336533191E-2</v>
      </c>
    </row>
    <row r="43" spans="1:32" x14ac:dyDescent="0.35">
      <c r="A43">
        <f t="shared" si="8"/>
        <v>37</v>
      </c>
      <c r="B43">
        <v>-0.26828564280553124</v>
      </c>
      <c r="C43">
        <f t="shared" si="9"/>
        <v>4.4704988336533191E-2</v>
      </c>
      <c r="E43">
        <f t="shared" si="10"/>
        <v>38</v>
      </c>
      <c r="F43">
        <f t="shared" si="0"/>
        <v>-0.49733946564676035</v>
      </c>
      <c r="G43" t="e">
        <f t="shared" ca="1" si="11"/>
        <v>#NAME?</v>
      </c>
      <c r="W43">
        <f t="shared" si="1"/>
        <v>38</v>
      </c>
      <c r="X43">
        <f t="shared" si="2"/>
        <v>-0.49733946564676035</v>
      </c>
      <c r="Y43" t="e">
        <f t="shared" ca="1" si="3"/>
        <v>#NAME?</v>
      </c>
      <c r="Z43" t="e">
        <f t="shared" ca="1" si="4"/>
        <v>#NAME?</v>
      </c>
      <c r="AA43" t="e">
        <f t="shared" ca="1" si="5"/>
        <v>#NAME?</v>
      </c>
      <c r="AB43" t="e">
        <f t="shared" ca="1" si="6"/>
        <v>#NAME?</v>
      </c>
      <c r="AC43" t="e">
        <f t="shared" ca="1" si="7"/>
        <v>#NAME?</v>
      </c>
      <c r="AE43">
        <f t="shared" si="12"/>
        <v>38</v>
      </c>
      <c r="AF43">
        <f t="shared" si="13"/>
        <v>-0.49733946564676035</v>
      </c>
    </row>
    <row r="44" spans="1:32" x14ac:dyDescent="0.35">
      <c r="A44">
        <f t="shared" si="8"/>
        <v>38</v>
      </c>
      <c r="B44">
        <v>-0.5822900860434399</v>
      </c>
      <c r="C44">
        <f t="shared" si="9"/>
        <v>-0.49733946564676035</v>
      </c>
      <c r="E44">
        <f t="shared" si="10"/>
        <v>39</v>
      </c>
      <c r="F44">
        <f t="shared" si="0"/>
        <v>2.0166442406466927</v>
      </c>
      <c r="G44" t="e">
        <f t="shared" ca="1" si="11"/>
        <v>#NAME?</v>
      </c>
      <c r="W44">
        <f t="shared" si="1"/>
        <v>39</v>
      </c>
      <c r="X44">
        <f t="shared" si="2"/>
        <v>2.0166442406466927</v>
      </c>
      <c r="Y44" t="e">
        <f t="shared" ca="1" si="3"/>
        <v>#NAME?</v>
      </c>
      <c r="Z44" t="e">
        <f t="shared" ca="1" si="4"/>
        <v>#NAME?</v>
      </c>
      <c r="AA44" t="e">
        <f t="shared" ca="1" si="5"/>
        <v>#NAME?</v>
      </c>
      <c r="AB44" t="e">
        <f t="shared" ca="1" si="6"/>
        <v>#NAME?</v>
      </c>
      <c r="AC44" t="e">
        <f t="shared" ca="1" si="7"/>
        <v>#NAME?</v>
      </c>
      <c r="AE44">
        <f t="shared" si="12"/>
        <v>39</v>
      </c>
      <c r="AF44">
        <f t="shared" si="13"/>
        <v>2.0166442406466927</v>
      </c>
    </row>
    <row r="45" spans="1:32" x14ac:dyDescent="0.35">
      <c r="A45">
        <f t="shared" si="8"/>
        <v>39</v>
      </c>
      <c r="B45">
        <v>2.2483238493907369</v>
      </c>
      <c r="C45">
        <f t="shared" si="9"/>
        <v>2.0166442406466927</v>
      </c>
      <c r="E45">
        <f t="shared" si="10"/>
        <v>40</v>
      </c>
      <c r="F45">
        <f t="shared" si="0"/>
        <v>-0.39241120873068225</v>
      </c>
      <c r="G45" t="e">
        <f t="shared" ca="1" si="11"/>
        <v>#NAME?</v>
      </c>
      <c r="W45">
        <f t="shared" si="1"/>
        <v>40</v>
      </c>
      <c r="X45">
        <f t="shared" si="2"/>
        <v>-0.39241120873068225</v>
      </c>
      <c r="Y45" t="e">
        <f t="shared" ca="1" si="3"/>
        <v>#NAME?</v>
      </c>
      <c r="Z45" t="e">
        <f t="shared" ca="1" si="4"/>
        <v>#NAME?</v>
      </c>
      <c r="AA45" t="e">
        <f t="shared" ca="1" si="5"/>
        <v>#NAME?</v>
      </c>
      <c r="AB45" t="e">
        <f t="shared" ca="1" si="6"/>
        <v>#NAME?</v>
      </c>
      <c r="AC45" t="e">
        <f t="shared" ca="1" si="7"/>
        <v>#NAME?</v>
      </c>
      <c r="AE45">
        <f t="shared" si="12"/>
        <v>40</v>
      </c>
      <c r="AF45">
        <f t="shared" si="13"/>
        <v>-0.39241120873068225</v>
      </c>
    </row>
    <row r="46" spans="1:32" x14ac:dyDescent="0.35">
      <c r="A46">
        <f t="shared" si="8"/>
        <v>40</v>
      </c>
      <c r="B46">
        <v>-1.3543974073052196</v>
      </c>
      <c r="C46">
        <f t="shared" si="9"/>
        <v>-0.39241120873068225</v>
      </c>
      <c r="E46">
        <f t="shared" si="10"/>
        <v>41</v>
      </c>
      <c r="F46">
        <f t="shared" si="0"/>
        <v>0.47880316337405276</v>
      </c>
      <c r="G46" t="e">
        <f t="shared" ca="1" si="11"/>
        <v>#NAME?</v>
      </c>
      <c r="W46">
        <f t="shared" si="1"/>
        <v>41</v>
      </c>
      <c r="X46">
        <f t="shared" si="2"/>
        <v>0.47880316337405276</v>
      </c>
      <c r="Y46" t="e">
        <f t="shared" ca="1" si="3"/>
        <v>#NAME?</v>
      </c>
      <c r="Z46" t="e">
        <f t="shared" ca="1" si="4"/>
        <v>#NAME?</v>
      </c>
      <c r="AA46" t="e">
        <f t="shared" ca="1" si="5"/>
        <v>#NAME?</v>
      </c>
      <c r="AB46" t="e">
        <f t="shared" ca="1" si="6"/>
        <v>#NAME?</v>
      </c>
      <c r="AC46" t="e">
        <f t="shared" ca="1" si="7"/>
        <v>#NAME?</v>
      </c>
      <c r="AE46">
        <f t="shared" si="12"/>
        <v>41</v>
      </c>
      <c r="AF46">
        <f t="shared" si="13"/>
        <v>0.47880316337405276</v>
      </c>
    </row>
    <row r="47" spans="1:32" x14ac:dyDescent="0.35">
      <c r="A47">
        <f t="shared" si="8"/>
        <v>41</v>
      </c>
      <c r="B47">
        <v>0.48261152802448637</v>
      </c>
      <c r="C47">
        <f t="shared" si="9"/>
        <v>0.47880316337405276</v>
      </c>
      <c r="E47">
        <f t="shared" si="10"/>
        <v>42</v>
      </c>
      <c r="F47">
        <f t="shared" si="0"/>
        <v>0.13114911585296218</v>
      </c>
      <c r="G47" t="e">
        <f t="shared" ca="1" si="11"/>
        <v>#NAME?</v>
      </c>
      <c r="W47">
        <f t="shared" si="1"/>
        <v>42</v>
      </c>
      <c r="X47">
        <f t="shared" si="2"/>
        <v>0.13114911585296218</v>
      </c>
      <c r="Y47" t="e">
        <f t="shared" ca="1" si="3"/>
        <v>#NAME?</v>
      </c>
      <c r="Z47" t="e">
        <f t="shared" ca="1" si="4"/>
        <v>#NAME?</v>
      </c>
      <c r="AA47" t="e">
        <f t="shared" ca="1" si="5"/>
        <v>#NAME?</v>
      </c>
      <c r="AB47" t="e">
        <f t="shared" ca="1" si="6"/>
        <v>#NAME?</v>
      </c>
      <c r="AC47" t="e">
        <f t="shared" ca="1" si="7"/>
        <v>#NAME?</v>
      </c>
      <c r="AE47">
        <f t="shared" si="12"/>
        <v>42</v>
      </c>
      <c r="AF47">
        <f t="shared" si="13"/>
        <v>0.13114911585296218</v>
      </c>
    </row>
    <row r="48" spans="1:32" x14ac:dyDescent="0.35">
      <c r="A48">
        <f t="shared" si="8"/>
        <v>42</v>
      </c>
      <c r="B48">
        <v>-0.10749079290397744</v>
      </c>
      <c r="C48">
        <f t="shared" si="9"/>
        <v>0.13114911585296218</v>
      </c>
      <c r="E48">
        <f t="shared" si="10"/>
        <v>43</v>
      </c>
      <c r="F48">
        <f t="shared" si="0"/>
        <v>-0.68974482309167784</v>
      </c>
      <c r="G48" t="e">
        <f t="shared" ca="1" si="11"/>
        <v>#NAME?</v>
      </c>
      <c r="W48">
        <f t="shared" si="1"/>
        <v>43</v>
      </c>
      <c r="X48">
        <f t="shared" si="2"/>
        <v>-0.68974482309167784</v>
      </c>
      <c r="Y48" t="e">
        <f t="shared" ca="1" si="3"/>
        <v>#NAME?</v>
      </c>
      <c r="Z48" t="e">
        <f t="shared" ca="1" si="4"/>
        <v>#NAME?</v>
      </c>
      <c r="AA48" t="e">
        <f t="shared" ca="1" si="5"/>
        <v>#NAME?</v>
      </c>
      <c r="AB48" t="e">
        <f t="shared" ca="1" si="6"/>
        <v>#NAME?</v>
      </c>
      <c r="AC48" t="e">
        <f t="shared" ca="1" si="7"/>
        <v>#NAME?</v>
      </c>
      <c r="AE48">
        <f t="shared" si="12"/>
        <v>43</v>
      </c>
      <c r="AF48">
        <f t="shared" si="13"/>
        <v>-0.68974482309167784</v>
      </c>
    </row>
    <row r="49" spans="1:32" x14ac:dyDescent="0.35">
      <c r="A49">
        <f t="shared" si="8"/>
        <v>43</v>
      </c>
      <c r="B49">
        <v>-0.80304736276954691</v>
      </c>
      <c r="C49">
        <f t="shared" si="9"/>
        <v>-0.68974482309167784</v>
      </c>
      <c r="E49">
        <f t="shared" si="10"/>
        <v>44</v>
      </c>
      <c r="F49">
        <f t="shared" si="0"/>
        <v>-4.676101435002028E-2</v>
      </c>
      <c r="G49" t="e">
        <f t="shared" ca="1" si="11"/>
        <v>#NAME?</v>
      </c>
      <c r="W49">
        <f t="shared" si="1"/>
        <v>44</v>
      </c>
      <c r="X49">
        <f t="shared" si="2"/>
        <v>-4.676101435002028E-2</v>
      </c>
      <c r="Y49" t="e">
        <f t="shared" ca="1" si="3"/>
        <v>#NAME?</v>
      </c>
      <c r="Z49" t="e">
        <f t="shared" ca="1" si="4"/>
        <v>#NAME?</v>
      </c>
      <c r="AA49" t="e">
        <f t="shared" ca="1" si="5"/>
        <v>#NAME?</v>
      </c>
      <c r="AB49" t="e">
        <f t="shared" ca="1" si="6"/>
        <v>#NAME?</v>
      </c>
      <c r="AC49" t="e">
        <f t="shared" ca="1" si="7"/>
        <v>#NAME?</v>
      </c>
      <c r="AE49">
        <f t="shared" si="12"/>
        <v>44</v>
      </c>
      <c r="AF49">
        <f t="shared" si="13"/>
        <v>-4.676101435002028E-2</v>
      </c>
    </row>
    <row r="50" spans="1:32" x14ac:dyDescent="0.35">
      <c r="A50">
        <f t="shared" si="8"/>
        <v>44</v>
      </c>
      <c r="B50">
        <v>0.2754508892602448</v>
      </c>
      <c r="C50">
        <f t="shared" si="9"/>
        <v>-4.676101435002028E-2</v>
      </c>
      <c r="E50">
        <f t="shared" si="10"/>
        <v>45</v>
      </c>
      <c r="F50">
        <f t="shared" si="0"/>
        <v>-6.7915955901392086E-2</v>
      </c>
      <c r="G50" t="e">
        <f t="shared" ca="1" si="11"/>
        <v>#NAME?</v>
      </c>
      <c r="W50">
        <f t="shared" si="1"/>
        <v>45</v>
      </c>
      <c r="X50">
        <f t="shared" si="2"/>
        <v>-6.7915955901392086E-2</v>
      </c>
      <c r="Y50" t="e">
        <f t="shared" ca="1" si="3"/>
        <v>#NAME?</v>
      </c>
      <c r="Z50" t="e">
        <f t="shared" ca="1" si="4"/>
        <v>#NAME?</v>
      </c>
      <c r="AA50" t="e">
        <f t="shared" ca="1" si="5"/>
        <v>#NAME?</v>
      </c>
      <c r="AB50" t="e">
        <f t="shared" ca="1" si="6"/>
        <v>#NAME?</v>
      </c>
      <c r="AC50" t="e">
        <f t="shared" ca="1" si="7"/>
        <v>#NAME?</v>
      </c>
      <c r="AE50">
        <f t="shared" si="12"/>
        <v>45</v>
      </c>
      <c r="AF50">
        <f t="shared" si="13"/>
        <v>-6.7915955901392086E-2</v>
      </c>
    </row>
    <row r="51" spans="1:32" x14ac:dyDescent="0.35">
      <c r="A51">
        <f t="shared" si="8"/>
        <v>45</v>
      </c>
      <c r="B51">
        <v>1.9906931995671073E-2</v>
      </c>
      <c r="C51">
        <f t="shared" si="9"/>
        <v>-6.7915955901392086E-2</v>
      </c>
      <c r="E51">
        <f t="shared" si="10"/>
        <v>46</v>
      </c>
      <c r="F51">
        <f t="shared" si="0"/>
        <v>1.6351027285369504</v>
      </c>
      <c r="G51" t="e">
        <f t="shared" ca="1" si="11"/>
        <v>#NAME?</v>
      </c>
      <c r="W51">
        <f t="shared" si="1"/>
        <v>46</v>
      </c>
      <c r="X51">
        <f t="shared" si="2"/>
        <v>1.6351027285369504</v>
      </c>
      <c r="Y51" t="e">
        <f t="shared" ca="1" si="3"/>
        <v>#NAME?</v>
      </c>
      <c r="Z51" t="e">
        <f t="shared" ca="1" si="4"/>
        <v>#NAME?</v>
      </c>
      <c r="AA51" t="e">
        <f t="shared" ca="1" si="5"/>
        <v>#NAME?</v>
      </c>
      <c r="AB51" t="e">
        <f t="shared" ca="1" si="6"/>
        <v>#NAME?</v>
      </c>
      <c r="AC51" t="e">
        <f t="shared" ca="1" si="7"/>
        <v>#NAME?</v>
      </c>
      <c r="AE51">
        <f t="shared" si="12"/>
        <v>46</v>
      </c>
      <c r="AF51">
        <f t="shared" si="13"/>
        <v>1.6351027285369504</v>
      </c>
    </row>
    <row r="52" spans="1:32" x14ac:dyDescent="0.35">
      <c r="A52">
        <f t="shared" si="8"/>
        <v>46</v>
      </c>
      <c r="B52">
        <v>1.686625284067059</v>
      </c>
      <c r="C52">
        <f t="shared" si="9"/>
        <v>1.6351027285369504</v>
      </c>
      <c r="E52">
        <f t="shared" si="10"/>
        <v>47</v>
      </c>
      <c r="F52">
        <f t="shared" si="0"/>
        <v>0.42824334673202724</v>
      </c>
      <c r="G52" t="e">
        <f t="shared" ca="1" si="11"/>
        <v>#NAME?</v>
      </c>
      <c r="W52">
        <f t="shared" si="1"/>
        <v>47</v>
      </c>
      <c r="X52">
        <f t="shared" si="2"/>
        <v>0.42824334673202724</v>
      </c>
      <c r="Y52" t="e">
        <f t="shared" ca="1" si="3"/>
        <v>#NAME?</v>
      </c>
      <c r="Z52" t="e">
        <f t="shared" ca="1" si="4"/>
        <v>#NAME?</v>
      </c>
      <c r="AA52" t="e">
        <f t="shared" ca="1" si="5"/>
        <v>#NAME?</v>
      </c>
      <c r="AB52" t="e">
        <f t="shared" ca="1" si="6"/>
        <v>#NAME?</v>
      </c>
      <c r="AC52" t="e">
        <f t="shared" ca="1" si="7"/>
        <v>#NAME?</v>
      </c>
      <c r="AE52">
        <f t="shared" si="12"/>
        <v>47</v>
      </c>
      <c r="AF52">
        <f t="shared" si="13"/>
        <v>0.42824334673202724</v>
      </c>
    </row>
    <row r="53" spans="1:32" x14ac:dyDescent="0.35">
      <c r="A53">
        <f t="shared" si="8"/>
        <v>47</v>
      </c>
      <c r="B53">
        <v>-0.37900350643042602</v>
      </c>
      <c r="C53">
        <f t="shared" si="9"/>
        <v>0.42824334673202724</v>
      </c>
      <c r="E53">
        <f t="shared" si="10"/>
        <v>48</v>
      </c>
      <c r="F53">
        <f t="shared" si="0"/>
        <v>-0.30576894721655368</v>
      </c>
      <c r="G53" t="e">
        <f t="shared" ca="1" si="11"/>
        <v>#NAME?</v>
      </c>
      <c r="W53">
        <f t="shared" si="1"/>
        <v>48</v>
      </c>
      <c r="X53">
        <f t="shared" si="2"/>
        <v>-0.30576894721655368</v>
      </c>
      <c r="Y53" t="e">
        <f t="shared" ca="1" si="3"/>
        <v>#NAME?</v>
      </c>
      <c r="Z53" t="e">
        <f t="shared" ca="1" si="4"/>
        <v>#NAME?</v>
      </c>
      <c r="AA53" t="e">
        <f t="shared" ca="1" si="5"/>
        <v>#NAME?</v>
      </c>
      <c r="AB53" t="e">
        <f t="shared" ca="1" si="6"/>
        <v>#NAME?</v>
      </c>
      <c r="AC53" t="e">
        <f t="shared" ca="1" si="7"/>
        <v>#NAME?</v>
      </c>
      <c r="AE53">
        <f t="shared" si="12"/>
        <v>48</v>
      </c>
      <c r="AF53">
        <f t="shared" si="13"/>
        <v>-0.30576894721655368</v>
      </c>
    </row>
    <row r="54" spans="1:32" x14ac:dyDescent="0.35">
      <c r="A54">
        <f t="shared" si="8"/>
        <v>48</v>
      </c>
      <c r="B54">
        <v>-0.68133999121505795</v>
      </c>
      <c r="C54">
        <f t="shared" si="9"/>
        <v>-0.30576894721655368</v>
      </c>
      <c r="E54">
        <f t="shared" si="10"/>
        <v>49</v>
      </c>
      <c r="F54">
        <f t="shared" si="0"/>
        <v>0.16903700930033908</v>
      </c>
      <c r="G54" t="e">
        <f t="shared" ca="1" si="11"/>
        <v>#NAME?</v>
      </c>
      <c r="W54">
        <f t="shared" si="1"/>
        <v>49</v>
      </c>
      <c r="X54">
        <f t="shared" si="2"/>
        <v>0.16903700930033908</v>
      </c>
      <c r="Y54" t="e">
        <f t="shared" ca="1" si="3"/>
        <v>#NAME?</v>
      </c>
      <c r="Z54" t="e">
        <f t="shared" ca="1" si="4"/>
        <v>#NAME?</v>
      </c>
      <c r="AA54" t="e">
        <f t="shared" ca="1" si="5"/>
        <v>#NAME?</v>
      </c>
      <c r="AB54" t="e">
        <f t="shared" ca="1" si="6"/>
        <v>#NAME?</v>
      </c>
      <c r="AC54" t="e">
        <f t="shared" ca="1" si="7"/>
        <v>#NAME?</v>
      </c>
      <c r="AE54">
        <f t="shared" si="12"/>
        <v>49</v>
      </c>
      <c r="AF54">
        <f t="shared" si="13"/>
        <v>0.16903700930033908</v>
      </c>
    </row>
    <row r="55" spans="1:32" x14ac:dyDescent="0.35">
      <c r="A55">
        <f t="shared" si="8"/>
        <v>49</v>
      </c>
      <c r="B55">
        <v>0.24680727410891506</v>
      </c>
      <c r="C55">
        <f t="shared" si="9"/>
        <v>0.16903700930033908</v>
      </c>
      <c r="E55">
        <f t="shared" si="10"/>
        <v>50</v>
      </c>
      <c r="F55">
        <f t="shared" si="0"/>
        <v>0.48665589243652163</v>
      </c>
      <c r="G55" t="e">
        <f t="shared" ca="1" si="11"/>
        <v>#NAME?</v>
      </c>
      <c r="W55">
        <f t="shared" si="1"/>
        <v>50</v>
      </c>
      <c r="X55">
        <f t="shared" si="2"/>
        <v>0.48665589243652163</v>
      </c>
      <c r="Y55" t="e">
        <f t="shared" ca="1" si="3"/>
        <v>#NAME?</v>
      </c>
      <c r="Z55" t="e">
        <f t="shared" ca="1" si="4"/>
        <v>#NAME?</v>
      </c>
      <c r="AA55" t="e">
        <f t="shared" ca="1" si="5"/>
        <v>#NAME?</v>
      </c>
      <c r="AB55" t="e">
        <f t="shared" ca="1" si="6"/>
        <v>#NAME?</v>
      </c>
      <c r="AC55" t="e">
        <f t="shared" ca="1" si="7"/>
        <v>#NAME?</v>
      </c>
      <c r="AE55">
        <f t="shared" si="12"/>
        <v>50</v>
      </c>
      <c r="AF55">
        <f t="shared" si="13"/>
        <v>0.48665589243652163</v>
      </c>
    </row>
    <row r="56" spans="1:32" x14ac:dyDescent="0.35">
      <c r="A56">
        <f t="shared" si="8"/>
        <v>50</v>
      </c>
      <c r="B56">
        <v>0.4176914407480673</v>
      </c>
      <c r="C56">
        <f t="shared" si="9"/>
        <v>0.48665589243652163</v>
      </c>
      <c r="E56">
        <f t="shared" si="10"/>
        <v>51</v>
      </c>
      <c r="F56">
        <f t="shared" si="0"/>
        <v>0.656149765945373</v>
      </c>
      <c r="G56" t="e">
        <f t="shared" ca="1" si="11"/>
        <v>#NAME?</v>
      </c>
      <c r="W56">
        <f t="shared" si="1"/>
        <v>51</v>
      </c>
      <c r="X56">
        <f t="shared" si="2"/>
        <v>0.656149765945373</v>
      </c>
      <c r="Y56" t="e">
        <f t="shared" ca="1" si="3"/>
        <v>#NAME?</v>
      </c>
      <c r="Z56" t="e">
        <f t="shared" ca="1" si="4"/>
        <v>#NAME?</v>
      </c>
      <c r="AA56" t="e">
        <f t="shared" ca="1" si="5"/>
        <v>#NAME?</v>
      </c>
      <c r="AB56" t="e">
        <f t="shared" ca="1" si="6"/>
        <v>#NAME?</v>
      </c>
      <c r="AC56" t="e">
        <f t="shared" ca="1" si="7"/>
        <v>#NAME?</v>
      </c>
      <c r="AE56">
        <f t="shared" si="12"/>
        <v>51</v>
      </c>
      <c r="AF56">
        <f t="shared" si="13"/>
        <v>0.656149765945373</v>
      </c>
    </row>
    <row r="57" spans="1:32" x14ac:dyDescent="0.35">
      <c r="A57">
        <f t="shared" si="8"/>
        <v>51</v>
      </c>
      <c r="B57">
        <v>0.39902892938942136</v>
      </c>
      <c r="C57">
        <f t="shared" si="9"/>
        <v>0.656149765945373</v>
      </c>
      <c r="E57">
        <f t="shared" si="10"/>
        <v>52</v>
      </c>
      <c r="F57">
        <f t="shared" si="0"/>
        <v>0.12931765474080215</v>
      </c>
      <c r="G57" t="e">
        <f t="shared" ca="1" si="11"/>
        <v>#NAME?</v>
      </c>
      <c r="W57">
        <f t="shared" si="1"/>
        <v>52</v>
      </c>
      <c r="X57">
        <f t="shared" si="2"/>
        <v>0.12931765474080215</v>
      </c>
      <c r="Y57" t="e">
        <f t="shared" ca="1" si="3"/>
        <v>#NAME?</v>
      </c>
      <c r="Z57" t="e">
        <f t="shared" ca="1" si="4"/>
        <v>#NAME?</v>
      </c>
      <c r="AA57" t="e">
        <f t="shared" ca="1" si="5"/>
        <v>#NAME?</v>
      </c>
      <c r="AB57" t="e">
        <f t="shared" ca="1" si="6"/>
        <v>#NAME?</v>
      </c>
      <c r="AC57" t="e">
        <f t="shared" ca="1" si="7"/>
        <v>#NAME?</v>
      </c>
      <c r="AE57">
        <f t="shared" si="12"/>
        <v>52</v>
      </c>
      <c r="AF57">
        <f t="shared" si="13"/>
        <v>0.12931765474080215</v>
      </c>
    </row>
    <row r="58" spans="1:32" x14ac:dyDescent="0.35">
      <c r="A58">
        <f t="shared" si="8"/>
        <v>52</v>
      </c>
      <c r="B58">
        <v>-0.25018139554307461</v>
      </c>
      <c r="C58">
        <f t="shared" si="9"/>
        <v>0.12931765474080215</v>
      </c>
      <c r="E58">
        <f t="shared" si="10"/>
        <v>53</v>
      </c>
      <c r="F58">
        <f t="shared" si="0"/>
        <v>-1.0336941858944391</v>
      </c>
      <c r="G58" t="e">
        <f t="shared" ca="1" si="11"/>
        <v>#NAME?</v>
      </c>
      <c r="W58">
        <f t="shared" si="1"/>
        <v>53</v>
      </c>
      <c r="X58">
        <f t="shared" si="2"/>
        <v>-1.0336941858944391</v>
      </c>
      <c r="Y58" t="e">
        <f t="shared" ca="1" si="3"/>
        <v>#NAME?</v>
      </c>
      <c r="Z58" t="e">
        <f t="shared" ca="1" si="4"/>
        <v>#NAME?</v>
      </c>
      <c r="AA58" t="e">
        <f t="shared" ca="1" si="5"/>
        <v>#NAME?</v>
      </c>
      <c r="AB58" t="e">
        <f t="shared" ca="1" si="6"/>
        <v>#NAME?</v>
      </c>
      <c r="AC58" t="e">
        <f t="shared" ca="1" si="7"/>
        <v>#NAME?</v>
      </c>
      <c r="AE58">
        <f t="shared" si="12"/>
        <v>53</v>
      </c>
      <c r="AF58">
        <f t="shared" si="13"/>
        <v>-1.0336941858944391</v>
      </c>
    </row>
    <row r="59" spans="1:32" x14ac:dyDescent="0.35">
      <c r="A59">
        <f t="shared" si="8"/>
        <v>53</v>
      </c>
      <c r="B59">
        <v>-1.1742528233216154</v>
      </c>
      <c r="C59">
        <f t="shared" si="9"/>
        <v>-1.0336941858944391</v>
      </c>
      <c r="E59">
        <f t="shared" si="10"/>
        <v>54</v>
      </c>
      <c r="F59">
        <f t="shared" si="0"/>
        <v>-1.8932485178263683</v>
      </c>
      <c r="G59" t="e">
        <f t="shared" ca="1" si="11"/>
        <v>#NAME?</v>
      </c>
      <c r="W59">
        <f t="shared" si="1"/>
        <v>54</v>
      </c>
      <c r="X59">
        <f t="shared" si="2"/>
        <v>-1.8932485178263683</v>
      </c>
      <c r="Y59" t="e">
        <f t="shared" ca="1" si="3"/>
        <v>#NAME?</v>
      </c>
      <c r="Z59" t="e">
        <f t="shared" ca="1" si="4"/>
        <v>#NAME?</v>
      </c>
      <c r="AA59" t="e">
        <f t="shared" ca="1" si="5"/>
        <v>#NAME?</v>
      </c>
      <c r="AB59" t="e">
        <f t="shared" ca="1" si="6"/>
        <v>#NAME?</v>
      </c>
      <c r="AC59" t="e">
        <f t="shared" ca="1" si="7"/>
        <v>#NAME?</v>
      </c>
      <c r="AE59">
        <f t="shared" si="12"/>
        <v>54</v>
      </c>
      <c r="AF59">
        <f t="shared" si="13"/>
        <v>-1.8932485178263683</v>
      </c>
    </row>
    <row r="60" spans="1:32" x14ac:dyDescent="0.35">
      <c r="A60">
        <f t="shared" si="8"/>
        <v>54</v>
      </c>
      <c r="B60">
        <v>-1.4045131523645842</v>
      </c>
      <c r="C60">
        <f t="shared" si="9"/>
        <v>-1.8932485178263683</v>
      </c>
      <c r="E60">
        <f t="shared" si="10"/>
        <v>55</v>
      </c>
      <c r="F60">
        <f t="shared" si="0"/>
        <v>-1.3261012119216922</v>
      </c>
      <c r="G60" t="e">
        <f t="shared" ca="1" si="11"/>
        <v>#NAME?</v>
      </c>
      <c r="W60">
        <f t="shared" si="1"/>
        <v>55</v>
      </c>
      <c r="X60">
        <f t="shared" si="2"/>
        <v>-1.3261012119216922</v>
      </c>
      <c r="Y60" t="e">
        <f t="shared" ca="1" si="3"/>
        <v>#NAME?</v>
      </c>
      <c r="Z60" t="e">
        <f t="shared" ca="1" si="4"/>
        <v>#NAME?</v>
      </c>
      <c r="AA60" t="e">
        <f t="shared" ca="1" si="5"/>
        <v>#NAME?</v>
      </c>
      <c r="AB60" t="e">
        <f t="shared" ca="1" si="6"/>
        <v>#NAME?</v>
      </c>
      <c r="AC60" t="e">
        <f t="shared" ca="1" si="7"/>
        <v>#NAME?</v>
      </c>
      <c r="AE60">
        <f t="shared" si="12"/>
        <v>55</v>
      </c>
      <c r="AF60">
        <f t="shared" si="13"/>
        <v>-1.3261012119216922</v>
      </c>
    </row>
    <row r="61" spans="1:32" x14ac:dyDescent="0.35">
      <c r="A61">
        <f t="shared" si="8"/>
        <v>55</v>
      </c>
      <c r="B61">
        <v>-0.28172987991615117</v>
      </c>
      <c r="C61">
        <f t="shared" si="9"/>
        <v>-1.3261012119216922</v>
      </c>
      <c r="E61">
        <f t="shared" si="10"/>
        <v>56</v>
      </c>
      <c r="F61">
        <f t="shared" si="0"/>
        <v>-1.2601378550819728</v>
      </c>
      <c r="G61" t="e">
        <f t="shared" ca="1" si="11"/>
        <v>#NAME?</v>
      </c>
      <c r="W61">
        <f t="shared" si="1"/>
        <v>56</v>
      </c>
      <c r="X61">
        <f t="shared" si="2"/>
        <v>-1.2601378550819728</v>
      </c>
      <c r="Y61" t="e">
        <f t="shared" ca="1" si="3"/>
        <v>#NAME?</v>
      </c>
      <c r="Z61" t="e">
        <f t="shared" ca="1" si="4"/>
        <v>#NAME?</v>
      </c>
      <c r="AA61" t="e">
        <f t="shared" ca="1" si="5"/>
        <v>#NAME?</v>
      </c>
      <c r="AB61" t="e">
        <f t="shared" ca="1" si="6"/>
        <v>#NAME?</v>
      </c>
      <c r="AC61" t="e">
        <f t="shared" ca="1" si="7"/>
        <v>#NAME?</v>
      </c>
      <c r="AE61">
        <f t="shared" si="12"/>
        <v>56</v>
      </c>
      <c r="AF61">
        <f t="shared" si="13"/>
        <v>-1.2601378550819728</v>
      </c>
    </row>
    <row r="62" spans="1:32" x14ac:dyDescent="0.35">
      <c r="A62">
        <f t="shared" si="8"/>
        <v>56</v>
      </c>
      <c r="B62">
        <v>-0.38821298272001864</v>
      </c>
      <c r="C62">
        <f t="shared" si="9"/>
        <v>-1.2601378550819728</v>
      </c>
      <c r="E62">
        <f t="shared" si="10"/>
        <v>57</v>
      </c>
      <c r="F62">
        <f t="shared" si="0"/>
        <v>-1.2360238876608063</v>
      </c>
      <c r="G62" t="e">
        <f t="shared" ca="1" si="11"/>
        <v>#NAME?</v>
      </c>
      <c r="W62">
        <f t="shared" si="1"/>
        <v>57</v>
      </c>
      <c r="X62">
        <f t="shared" si="2"/>
        <v>-1.2360238876608063</v>
      </c>
      <c r="Y62" t="e">
        <f t="shared" ca="1" si="3"/>
        <v>#NAME?</v>
      </c>
      <c r="Z62" t="e">
        <f t="shared" ca="1" si="4"/>
        <v>#NAME?</v>
      </c>
      <c r="AA62" t="e">
        <f t="shared" ca="1" si="5"/>
        <v>#NAME?</v>
      </c>
      <c r="AB62" t="e">
        <f t="shared" ca="1" si="6"/>
        <v>#NAME?</v>
      </c>
      <c r="AC62" t="e">
        <f t="shared" ca="1" si="7"/>
        <v>#NAME?</v>
      </c>
      <c r="AE62">
        <f t="shared" si="12"/>
        <v>57</v>
      </c>
      <c r="AF62">
        <f t="shared" si="13"/>
        <v>-1.2360238876608063</v>
      </c>
    </row>
    <row r="63" spans="1:32" x14ac:dyDescent="0.35">
      <c r="A63">
        <f t="shared" si="8"/>
        <v>57</v>
      </c>
      <c r="B63">
        <v>-0.43156998564742921</v>
      </c>
      <c r="C63">
        <f t="shared" si="9"/>
        <v>-1.2360238876608063</v>
      </c>
      <c r="E63">
        <f t="shared" si="10"/>
        <v>58</v>
      </c>
      <c r="F63">
        <f t="shared" si="0"/>
        <v>0.60763228061870456</v>
      </c>
      <c r="G63" t="e">
        <f t="shared" ca="1" si="11"/>
        <v>#NAME?</v>
      </c>
      <c r="W63">
        <f t="shared" si="1"/>
        <v>58</v>
      </c>
      <c r="X63">
        <f t="shared" si="2"/>
        <v>0.60763228061870456</v>
      </c>
      <c r="Y63" t="e">
        <f t="shared" ca="1" si="3"/>
        <v>#NAME?</v>
      </c>
      <c r="Z63" t="e">
        <f t="shared" ca="1" si="4"/>
        <v>#NAME?</v>
      </c>
      <c r="AA63" t="e">
        <f t="shared" ca="1" si="5"/>
        <v>#NAME?</v>
      </c>
      <c r="AB63" t="e">
        <f t="shared" ca="1" si="6"/>
        <v>#NAME?</v>
      </c>
      <c r="AC63" t="e">
        <f t="shared" ca="1" si="7"/>
        <v>#NAME?</v>
      </c>
      <c r="AE63">
        <f t="shared" si="12"/>
        <v>58</v>
      </c>
      <c r="AF63">
        <f t="shared" si="13"/>
        <v>0.60763228061870456</v>
      </c>
    </row>
    <row r="64" spans="1:32" x14ac:dyDescent="0.35">
      <c r="A64">
        <f t="shared" si="8"/>
        <v>58</v>
      </c>
      <c r="B64">
        <v>1.386535004851783</v>
      </c>
      <c r="C64">
        <f t="shared" si="9"/>
        <v>0.60763228061870456</v>
      </c>
      <c r="E64">
        <f t="shared" si="10"/>
        <v>59</v>
      </c>
      <c r="F64">
        <f t="shared" si="0"/>
        <v>-1.1537156266307513</v>
      </c>
      <c r="G64" t="e">
        <f t="shared" ca="1" si="11"/>
        <v>#NAME?</v>
      </c>
      <c r="W64">
        <f t="shared" si="1"/>
        <v>59</v>
      </c>
      <c r="X64">
        <f t="shared" si="2"/>
        <v>-1.1537156266307513</v>
      </c>
      <c r="Y64" t="e">
        <f t="shared" ca="1" si="3"/>
        <v>#NAME?</v>
      </c>
      <c r="Z64" t="e">
        <f t="shared" ca="1" si="4"/>
        <v>#NAME?</v>
      </c>
      <c r="AA64" t="e">
        <f t="shared" ca="1" si="5"/>
        <v>#NAME?</v>
      </c>
      <c r="AB64" t="e">
        <f t="shared" ca="1" si="6"/>
        <v>#NAME?</v>
      </c>
      <c r="AC64" t="e">
        <f t="shared" ca="1" si="7"/>
        <v>#NAME?</v>
      </c>
      <c r="AE64">
        <f t="shared" si="12"/>
        <v>59</v>
      </c>
      <c r="AF64">
        <f t="shared" si="13"/>
        <v>-1.1537156266307513</v>
      </c>
    </row>
    <row r="65" spans="1:32" x14ac:dyDescent="0.35">
      <c r="A65">
        <f t="shared" si="8"/>
        <v>59</v>
      </c>
      <c r="B65">
        <v>-1.3017512220934879</v>
      </c>
      <c r="C65">
        <f t="shared" si="9"/>
        <v>-1.1537156266307513</v>
      </c>
      <c r="E65">
        <f t="shared" si="10"/>
        <v>60</v>
      </c>
      <c r="F65">
        <f t="shared" si="0"/>
        <v>-1.8025695228409639</v>
      </c>
      <c r="G65" t="e">
        <f t="shared" ca="1" si="11"/>
        <v>#NAME?</v>
      </c>
      <c r="W65">
        <f t="shared" si="1"/>
        <v>60</v>
      </c>
      <c r="X65">
        <f t="shared" si="2"/>
        <v>-1.8025695228409639</v>
      </c>
      <c r="Y65" t="e">
        <f t="shared" ca="1" si="3"/>
        <v>#NAME?</v>
      </c>
      <c r="Z65" t="e">
        <f t="shared" ca="1" si="4"/>
        <v>#NAME?</v>
      </c>
      <c r="AA65" t="e">
        <f t="shared" ca="1" si="5"/>
        <v>#NAME?</v>
      </c>
      <c r="AB65" t="e">
        <f t="shared" ca="1" si="6"/>
        <v>#NAME?</v>
      </c>
      <c r="AC65" t="e">
        <f t="shared" ca="1" si="7"/>
        <v>#NAME?</v>
      </c>
      <c r="AE65">
        <f t="shared" si="12"/>
        <v>60</v>
      </c>
      <c r="AF65">
        <f t="shared" si="13"/>
        <v>-1.8025695228409639</v>
      </c>
    </row>
    <row r="66" spans="1:32" x14ac:dyDescent="0.35">
      <c r="A66">
        <f t="shared" si="8"/>
        <v>60</v>
      </c>
      <c r="B66">
        <v>-1.2553188286181356</v>
      </c>
      <c r="C66">
        <f t="shared" si="9"/>
        <v>-1.8025695228409639</v>
      </c>
      <c r="E66">
        <f t="shared" si="10"/>
        <v>61</v>
      </c>
      <c r="F66">
        <f t="shared" si="0"/>
        <v>-0.29953218565044587</v>
      </c>
      <c r="G66" t="e">
        <f t="shared" ca="1" si="11"/>
        <v>#NAME?</v>
      </c>
      <c r="W66">
        <f t="shared" si="1"/>
        <v>61</v>
      </c>
      <c r="X66">
        <f t="shared" si="2"/>
        <v>-0.29953218565044587</v>
      </c>
      <c r="Y66" t="e">
        <f t="shared" ca="1" si="3"/>
        <v>#NAME?</v>
      </c>
      <c r="Z66" t="e">
        <f t="shared" ca="1" si="4"/>
        <v>#NAME?</v>
      </c>
      <c r="AA66" t="e">
        <f t="shared" ca="1" si="5"/>
        <v>#NAME?</v>
      </c>
      <c r="AB66" t="e">
        <f t="shared" ca="1" si="6"/>
        <v>#NAME?</v>
      </c>
      <c r="AC66" t="e">
        <f t="shared" ca="1" si="7"/>
        <v>#NAME?</v>
      </c>
      <c r="AE66">
        <f t="shared" si="12"/>
        <v>61</v>
      </c>
      <c r="AF66">
        <f t="shared" si="13"/>
        <v>-0.29953218565044587</v>
      </c>
    </row>
    <row r="67" spans="1:32" x14ac:dyDescent="0.35">
      <c r="A67">
        <f t="shared" si="8"/>
        <v>61</v>
      </c>
      <c r="B67">
        <v>0.71120271461460161</v>
      </c>
      <c r="C67">
        <f t="shared" si="9"/>
        <v>-0.29953218565044587</v>
      </c>
      <c r="E67">
        <f t="shared" si="10"/>
        <v>62</v>
      </c>
      <c r="F67">
        <f t="shared" si="0"/>
        <v>-0.50119153448444642</v>
      </c>
      <c r="G67" t="e">
        <f t="shared" ca="1" si="11"/>
        <v>#NAME?</v>
      </c>
      <c r="W67">
        <f t="shared" si="1"/>
        <v>62</v>
      </c>
      <c r="X67">
        <f t="shared" si="2"/>
        <v>-0.50119153448444642</v>
      </c>
      <c r="Y67" t="e">
        <f t="shared" ca="1" si="3"/>
        <v>#NAME?</v>
      </c>
      <c r="Z67" t="e">
        <f t="shared" ca="1" si="4"/>
        <v>#NAME?</v>
      </c>
      <c r="AA67" t="e">
        <f t="shared" ca="1" si="5"/>
        <v>#NAME?</v>
      </c>
      <c r="AB67" t="e">
        <f t="shared" ca="1" si="6"/>
        <v>#NAME?</v>
      </c>
      <c r="AC67" t="e">
        <f t="shared" ca="1" si="7"/>
        <v>#NAME?</v>
      </c>
      <c r="AE67">
        <f t="shared" si="12"/>
        <v>62</v>
      </c>
      <c r="AF67">
        <f t="shared" si="13"/>
        <v>-0.50119153448444642</v>
      </c>
    </row>
    <row r="68" spans="1:32" x14ac:dyDescent="0.35">
      <c r="A68">
        <f t="shared" si="8"/>
        <v>62</v>
      </c>
      <c r="B68">
        <v>-0.14927846160621394</v>
      </c>
      <c r="C68">
        <f t="shared" si="9"/>
        <v>-0.50119153448444642</v>
      </c>
      <c r="E68">
        <f t="shared" si="10"/>
        <v>63</v>
      </c>
      <c r="F68">
        <f t="shared" si="0"/>
        <v>-0.2996142193188927</v>
      </c>
      <c r="G68" t="e">
        <f t="shared" ca="1" si="11"/>
        <v>#NAME?</v>
      </c>
      <c r="W68">
        <f t="shared" si="1"/>
        <v>63</v>
      </c>
      <c r="X68">
        <f t="shared" si="2"/>
        <v>-0.2996142193188927</v>
      </c>
      <c r="Y68" t="e">
        <f t="shared" ca="1" si="3"/>
        <v>#NAME?</v>
      </c>
      <c r="Z68" t="e">
        <f t="shared" ca="1" si="4"/>
        <v>#NAME?</v>
      </c>
      <c r="AA68" t="e">
        <f t="shared" ca="1" si="5"/>
        <v>#NAME?</v>
      </c>
      <c r="AB68" t="e">
        <f t="shared" ca="1" si="6"/>
        <v>#NAME?</v>
      </c>
      <c r="AC68" t="e">
        <f t="shared" ca="1" si="7"/>
        <v>#NAME?</v>
      </c>
      <c r="AE68">
        <f t="shared" si="12"/>
        <v>63</v>
      </c>
      <c r="AF68">
        <f t="shared" si="13"/>
        <v>-0.2996142193188927</v>
      </c>
    </row>
    <row r="69" spans="1:32" x14ac:dyDescent="0.35">
      <c r="A69">
        <f t="shared" si="8"/>
        <v>63</v>
      </c>
      <c r="B69">
        <v>2.1364162498976984E-2</v>
      </c>
      <c r="C69">
        <f t="shared" si="9"/>
        <v>-0.2996142193188927</v>
      </c>
      <c r="E69">
        <f t="shared" si="10"/>
        <v>64</v>
      </c>
      <c r="F69">
        <f t="shared" si="0"/>
        <v>-0.18037200484180566</v>
      </c>
      <c r="G69" t="e">
        <f t="shared" ca="1" si="11"/>
        <v>#NAME?</v>
      </c>
      <c r="W69">
        <f t="shared" si="1"/>
        <v>64</v>
      </c>
      <c r="X69">
        <f t="shared" si="2"/>
        <v>-0.18037200484180566</v>
      </c>
      <c r="Y69" t="e">
        <f t="shared" ca="1" si="3"/>
        <v>#NAME?</v>
      </c>
      <c r="Z69" t="e">
        <f t="shared" ca="1" si="4"/>
        <v>#NAME?</v>
      </c>
      <c r="AA69" t="e">
        <f t="shared" ca="1" si="5"/>
        <v>#NAME?</v>
      </c>
      <c r="AB69" t="e">
        <f t="shared" ca="1" si="6"/>
        <v>#NAME?</v>
      </c>
      <c r="AC69" t="e">
        <f t="shared" ca="1" si="7"/>
        <v>#NAME?</v>
      </c>
      <c r="AE69">
        <f t="shared" si="12"/>
        <v>64</v>
      </c>
      <c r="AF69">
        <f t="shared" si="13"/>
        <v>-0.18037200484180566</v>
      </c>
    </row>
    <row r="70" spans="1:32" x14ac:dyDescent="0.35">
      <c r="A70">
        <f t="shared" si="8"/>
        <v>64</v>
      </c>
      <c r="B70">
        <v>3.3630781181214632E-2</v>
      </c>
      <c r="C70">
        <f t="shared" si="9"/>
        <v>-0.18037200484180566</v>
      </c>
      <c r="E70">
        <f t="shared" si="10"/>
        <v>65</v>
      </c>
      <c r="F70">
        <f t="shared" si="0"/>
        <v>2.3570455860885375</v>
      </c>
      <c r="G70" t="e">
        <f t="shared" ca="1" si="11"/>
        <v>#NAME?</v>
      </c>
      <c r="W70">
        <f t="shared" si="1"/>
        <v>65</v>
      </c>
      <c r="X70">
        <f t="shared" si="2"/>
        <v>2.3570455860885375</v>
      </c>
      <c r="Y70" t="e">
        <f t="shared" ca="1" si="3"/>
        <v>#NAME?</v>
      </c>
      <c r="Z70" t="e">
        <f t="shared" ca="1" si="4"/>
        <v>#NAME?</v>
      </c>
      <c r="AA70" t="e">
        <f t="shared" ca="1" si="5"/>
        <v>#NAME?</v>
      </c>
      <c r="AB70" t="e">
        <f t="shared" ca="1" si="6"/>
        <v>#NAME?</v>
      </c>
      <c r="AC70" t="e">
        <f t="shared" ca="1" si="7"/>
        <v>#NAME?</v>
      </c>
      <c r="AE70">
        <f t="shared" si="12"/>
        <v>65</v>
      </c>
      <c r="AF70">
        <f t="shared" si="13"/>
        <v>2.3570455860885375</v>
      </c>
    </row>
    <row r="71" spans="1:32" x14ac:dyDescent="0.35">
      <c r="A71">
        <f t="shared" si="8"/>
        <v>65</v>
      </c>
      <c r="B71">
        <v>2.4900321457140446</v>
      </c>
      <c r="C71">
        <f t="shared" si="9"/>
        <v>2.3570455860885375</v>
      </c>
      <c r="E71">
        <f t="shared" si="10"/>
        <v>66</v>
      </c>
      <c r="F71">
        <f t="shared" ref="F71:F110" si="14">C72</f>
        <v>0.92360441469872367</v>
      </c>
      <c r="G71" t="e">
        <f t="shared" ca="1" si="11"/>
        <v>#NAME?</v>
      </c>
      <c r="W71">
        <f t="shared" ref="W71:W110" si="15">E71</f>
        <v>66</v>
      </c>
      <c r="X71">
        <f t="shared" ref="X71:X110" si="16">F71</f>
        <v>0.92360441469872367</v>
      </c>
      <c r="Y71" t="e">
        <f t="shared" ref="Y71:Y110" ca="1" si="17">G71</f>
        <v>#NAME?</v>
      </c>
      <c r="Z71" t="e">
        <f t="shared" ref="Z71:Z110" ca="1" si="18">X71-Y71</f>
        <v>#NAME?</v>
      </c>
      <c r="AA71" t="e">
        <f t="shared" ref="AA71:AA110" ca="1" si="19">K$16</f>
        <v>#NAME?</v>
      </c>
      <c r="AB71" t="e">
        <f t="shared" ref="AB71:AB110" ca="1" si="20">Z71-NORMSINV(1-AA$4/2)*AA71</f>
        <v>#NAME?</v>
      </c>
      <c r="AC71" t="e">
        <f t="shared" ref="AC71:AC110" ca="1" si="21">Z71+NORMSINV(1-AA$4/2)*AA71</f>
        <v>#NAME?</v>
      </c>
      <c r="AE71">
        <f t="shared" si="12"/>
        <v>66</v>
      </c>
      <c r="AF71">
        <f t="shared" si="13"/>
        <v>0.92360441469872367</v>
      </c>
    </row>
    <row r="72" spans="1:32" x14ac:dyDescent="0.35">
      <c r="A72">
        <f t="shared" ref="A72:A111" si="22">A71+1</f>
        <v>66</v>
      </c>
      <c r="B72">
        <v>-0.22832106642044353</v>
      </c>
      <c r="C72">
        <f t="shared" ref="C72:C111" si="23">0.7*C71+B72-0.2*B71</f>
        <v>0.92360441469872367</v>
      </c>
      <c r="E72">
        <f t="shared" ref="E72:E110" si="24">E71+1</f>
        <v>67</v>
      </c>
      <c r="F72">
        <f t="shared" si="14"/>
        <v>-0.29923415297504224</v>
      </c>
      <c r="G72" t="e">
        <f t="shared" ref="G72:G110" ca="1" si="25">F72-SUMPRODUCT(F71,J$6)-SUMPRODUCT(G71,K$6)</f>
        <v>#NAME?</v>
      </c>
      <c r="W72">
        <f t="shared" si="15"/>
        <v>67</v>
      </c>
      <c r="X72">
        <f t="shared" si="16"/>
        <v>-0.29923415297504224</v>
      </c>
      <c r="Y72" t="e">
        <f t="shared" ca="1" si="17"/>
        <v>#NAME?</v>
      </c>
      <c r="Z72" t="e">
        <f t="shared" ca="1" si="18"/>
        <v>#NAME?</v>
      </c>
      <c r="AA72" t="e">
        <f t="shared" ca="1" si="19"/>
        <v>#NAME?</v>
      </c>
      <c r="AB72" t="e">
        <f t="shared" ca="1" si="20"/>
        <v>#NAME?</v>
      </c>
      <c r="AC72" t="e">
        <f t="shared" ca="1" si="21"/>
        <v>#NAME?</v>
      </c>
      <c r="AE72">
        <f t="shared" ref="AE72:AE115" si="26">AE71+1</f>
        <v>67</v>
      </c>
      <c r="AF72">
        <f t="shared" ref="AF72:AF110" si="27">C73</f>
        <v>-0.29923415297504224</v>
      </c>
    </row>
    <row r="73" spans="1:32" x14ac:dyDescent="0.35">
      <c r="A73">
        <f t="shared" si="22"/>
        <v>67</v>
      </c>
      <c r="B73">
        <v>-0.99142145654823743</v>
      </c>
      <c r="C73">
        <f t="shared" si="23"/>
        <v>-0.29923415297504224</v>
      </c>
      <c r="E73">
        <f t="shared" si="24"/>
        <v>68</v>
      </c>
      <c r="F73">
        <f t="shared" si="14"/>
        <v>0.27416106500694781</v>
      </c>
      <c r="G73" t="e">
        <f t="shared" ca="1" si="25"/>
        <v>#NAME?</v>
      </c>
      <c r="W73">
        <f t="shared" si="15"/>
        <v>68</v>
      </c>
      <c r="X73">
        <f t="shared" si="16"/>
        <v>0.27416106500694781</v>
      </c>
      <c r="Y73" t="e">
        <f t="shared" ca="1" si="17"/>
        <v>#NAME?</v>
      </c>
      <c r="Z73" t="e">
        <f t="shared" ca="1" si="18"/>
        <v>#NAME?</v>
      </c>
      <c r="AA73" t="e">
        <f t="shared" ca="1" si="19"/>
        <v>#NAME?</v>
      </c>
      <c r="AB73" t="e">
        <f t="shared" ca="1" si="20"/>
        <v>#NAME?</v>
      </c>
      <c r="AC73" t="e">
        <f t="shared" ca="1" si="21"/>
        <v>#NAME?</v>
      </c>
      <c r="AE73">
        <f t="shared" si="26"/>
        <v>68</v>
      </c>
      <c r="AF73">
        <f t="shared" si="27"/>
        <v>0.27416106500694781</v>
      </c>
    </row>
    <row r="74" spans="1:32" x14ac:dyDescent="0.35">
      <c r="A74">
        <f t="shared" si="22"/>
        <v>68</v>
      </c>
      <c r="B74">
        <v>0.28534068077982988</v>
      </c>
      <c r="C74">
        <f t="shared" si="23"/>
        <v>0.27416106500694781</v>
      </c>
      <c r="E74">
        <f t="shared" si="24"/>
        <v>69</v>
      </c>
      <c r="F74">
        <f t="shared" si="14"/>
        <v>-0.24391912623899398</v>
      </c>
      <c r="G74" t="e">
        <f t="shared" ca="1" si="25"/>
        <v>#NAME?</v>
      </c>
      <c r="W74">
        <f t="shared" si="15"/>
        <v>69</v>
      </c>
      <c r="X74">
        <f t="shared" si="16"/>
        <v>-0.24391912623899398</v>
      </c>
      <c r="Y74" t="e">
        <f t="shared" ca="1" si="17"/>
        <v>#NAME?</v>
      </c>
      <c r="Z74" t="e">
        <f t="shared" ca="1" si="18"/>
        <v>#NAME?</v>
      </c>
      <c r="AA74" t="e">
        <f t="shared" ca="1" si="19"/>
        <v>#NAME?</v>
      </c>
      <c r="AB74" t="e">
        <f t="shared" ca="1" si="20"/>
        <v>#NAME?</v>
      </c>
      <c r="AC74" t="e">
        <f t="shared" ca="1" si="21"/>
        <v>#NAME?</v>
      </c>
      <c r="AE74">
        <f t="shared" si="26"/>
        <v>69</v>
      </c>
      <c r="AF74">
        <f t="shared" si="27"/>
        <v>-0.24391912623899398</v>
      </c>
    </row>
    <row r="75" spans="1:32" x14ac:dyDescent="0.35">
      <c r="A75">
        <f t="shared" si="22"/>
        <v>69</v>
      </c>
      <c r="B75">
        <v>-0.37876373558789145</v>
      </c>
      <c r="C75">
        <f t="shared" si="23"/>
        <v>-0.24391912623899398</v>
      </c>
      <c r="E75">
        <f t="shared" si="24"/>
        <v>70</v>
      </c>
      <c r="F75">
        <f t="shared" si="14"/>
        <v>-0.71226815780491937</v>
      </c>
      <c r="G75" t="e">
        <f t="shared" ca="1" si="25"/>
        <v>#NAME?</v>
      </c>
      <c r="W75">
        <f t="shared" si="15"/>
        <v>70</v>
      </c>
      <c r="X75">
        <f t="shared" si="16"/>
        <v>-0.71226815780491937</v>
      </c>
      <c r="Y75" t="e">
        <f t="shared" ca="1" si="17"/>
        <v>#NAME?</v>
      </c>
      <c r="Z75" t="e">
        <f t="shared" ca="1" si="18"/>
        <v>#NAME?</v>
      </c>
      <c r="AA75" t="e">
        <f t="shared" ca="1" si="19"/>
        <v>#NAME?</v>
      </c>
      <c r="AB75" t="e">
        <f t="shared" ca="1" si="20"/>
        <v>#NAME?</v>
      </c>
      <c r="AC75" t="e">
        <f t="shared" ca="1" si="21"/>
        <v>#NAME?</v>
      </c>
      <c r="AE75">
        <f t="shared" si="26"/>
        <v>70</v>
      </c>
      <c r="AF75">
        <f t="shared" si="27"/>
        <v>-0.71226815780491937</v>
      </c>
    </row>
    <row r="76" spans="1:32" x14ac:dyDescent="0.35">
      <c r="A76">
        <f t="shared" si="22"/>
        <v>70</v>
      </c>
      <c r="B76">
        <v>-0.61727751655520191</v>
      </c>
      <c r="C76">
        <f t="shared" si="23"/>
        <v>-0.71226815780491937</v>
      </c>
      <c r="E76">
        <f t="shared" si="24"/>
        <v>71</v>
      </c>
      <c r="F76">
        <f t="shared" si="14"/>
        <v>-1.2051923029937734</v>
      </c>
      <c r="G76" t="e">
        <f t="shared" ca="1" si="25"/>
        <v>#NAME?</v>
      </c>
      <c r="W76">
        <f t="shared" si="15"/>
        <v>71</v>
      </c>
      <c r="X76">
        <f t="shared" si="16"/>
        <v>-1.2051923029937734</v>
      </c>
      <c r="Y76" t="e">
        <f t="shared" ca="1" si="17"/>
        <v>#NAME?</v>
      </c>
      <c r="Z76" t="e">
        <f t="shared" ca="1" si="18"/>
        <v>#NAME?</v>
      </c>
      <c r="AA76" t="e">
        <f t="shared" ca="1" si="19"/>
        <v>#NAME?</v>
      </c>
      <c r="AB76" t="e">
        <f t="shared" ca="1" si="20"/>
        <v>#NAME?</v>
      </c>
      <c r="AC76" t="e">
        <f t="shared" ca="1" si="21"/>
        <v>#NAME?</v>
      </c>
      <c r="AE76">
        <f t="shared" si="26"/>
        <v>71</v>
      </c>
      <c r="AF76">
        <f t="shared" si="27"/>
        <v>-1.2051923029937734</v>
      </c>
    </row>
    <row r="77" spans="1:32" x14ac:dyDescent="0.35">
      <c r="A77">
        <f t="shared" si="22"/>
        <v>71</v>
      </c>
      <c r="B77">
        <v>-0.83006009584137008</v>
      </c>
      <c r="C77">
        <f t="shared" si="23"/>
        <v>-1.2051923029937734</v>
      </c>
      <c r="E77">
        <f t="shared" si="24"/>
        <v>72</v>
      </c>
      <c r="F77">
        <f t="shared" si="14"/>
        <v>-4.7834054672032278E-2</v>
      </c>
      <c r="G77" t="e">
        <f t="shared" ca="1" si="25"/>
        <v>#NAME?</v>
      </c>
      <c r="W77">
        <f t="shared" si="15"/>
        <v>72</v>
      </c>
      <c r="X77">
        <f t="shared" si="16"/>
        <v>-4.7834054672032278E-2</v>
      </c>
      <c r="Y77" t="e">
        <f t="shared" ca="1" si="17"/>
        <v>#NAME?</v>
      </c>
      <c r="Z77" t="e">
        <f t="shared" ca="1" si="18"/>
        <v>#NAME?</v>
      </c>
      <c r="AA77" t="e">
        <f t="shared" ca="1" si="19"/>
        <v>#NAME?</v>
      </c>
      <c r="AB77" t="e">
        <f t="shared" ca="1" si="20"/>
        <v>#NAME?</v>
      </c>
      <c r="AC77" t="e">
        <f t="shared" ca="1" si="21"/>
        <v>#NAME?</v>
      </c>
      <c r="AE77">
        <f t="shared" si="26"/>
        <v>72</v>
      </c>
      <c r="AF77">
        <f t="shared" si="27"/>
        <v>-4.7834054672032278E-2</v>
      </c>
    </row>
    <row r="78" spans="1:32" x14ac:dyDescent="0.35">
      <c r="A78">
        <f t="shared" si="22"/>
        <v>72</v>
      </c>
      <c r="B78">
        <v>0.6297885382553351</v>
      </c>
      <c r="C78">
        <f t="shared" si="23"/>
        <v>-4.7834054672032278E-2</v>
      </c>
      <c r="E78">
        <f t="shared" si="24"/>
        <v>73</v>
      </c>
      <c r="F78">
        <f t="shared" si="14"/>
        <v>-0.85348220666723562</v>
      </c>
      <c r="G78" t="e">
        <f t="shared" ca="1" si="25"/>
        <v>#NAME?</v>
      </c>
      <c r="W78">
        <f t="shared" si="15"/>
        <v>73</v>
      </c>
      <c r="X78">
        <f t="shared" si="16"/>
        <v>-0.85348220666723562</v>
      </c>
      <c r="Y78" t="e">
        <f t="shared" ca="1" si="17"/>
        <v>#NAME?</v>
      </c>
      <c r="Z78" t="e">
        <f t="shared" ca="1" si="18"/>
        <v>#NAME?</v>
      </c>
      <c r="AA78" t="e">
        <f t="shared" ca="1" si="19"/>
        <v>#NAME?</v>
      </c>
      <c r="AB78" t="e">
        <f t="shared" ca="1" si="20"/>
        <v>#NAME?</v>
      </c>
      <c r="AC78" t="e">
        <f t="shared" ca="1" si="21"/>
        <v>#NAME?</v>
      </c>
      <c r="AE78">
        <f t="shared" si="26"/>
        <v>73</v>
      </c>
      <c r="AF78">
        <f t="shared" si="27"/>
        <v>-0.85348220666723562</v>
      </c>
    </row>
    <row r="79" spans="1:32" x14ac:dyDescent="0.35">
      <c r="A79">
        <f t="shared" si="22"/>
        <v>73</v>
      </c>
      <c r="B79">
        <v>-0.694040660745746</v>
      </c>
      <c r="C79">
        <f t="shared" si="23"/>
        <v>-0.85348220666723562</v>
      </c>
      <c r="E79">
        <f t="shared" si="24"/>
        <v>74</v>
      </c>
      <c r="F79">
        <f t="shared" si="14"/>
        <v>-1.5879271771560706</v>
      </c>
      <c r="G79" t="e">
        <f t="shared" ca="1" si="25"/>
        <v>#NAME?</v>
      </c>
      <c r="W79">
        <f t="shared" si="15"/>
        <v>74</v>
      </c>
      <c r="X79">
        <f t="shared" si="16"/>
        <v>-1.5879271771560706</v>
      </c>
      <c r="Y79" t="e">
        <f t="shared" ca="1" si="17"/>
        <v>#NAME?</v>
      </c>
      <c r="Z79" t="e">
        <f t="shared" ca="1" si="18"/>
        <v>#NAME?</v>
      </c>
      <c r="AA79" t="e">
        <f t="shared" ca="1" si="19"/>
        <v>#NAME?</v>
      </c>
      <c r="AB79" t="e">
        <f t="shared" ca="1" si="20"/>
        <v>#NAME?</v>
      </c>
      <c r="AC79" t="e">
        <f t="shared" ca="1" si="21"/>
        <v>#NAME?</v>
      </c>
      <c r="AE79">
        <f t="shared" si="26"/>
        <v>74</v>
      </c>
      <c r="AF79">
        <f t="shared" si="27"/>
        <v>-1.5879271771560706</v>
      </c>
    </row>
    <row r="80" spans="1:32" x14ac:dyDescent="0.35">
      <c r="A80">
        <f t="shared" si="22"/>
        <v>74</v>
      </c>
      <c r="B80">
        <v>-1.1292977646381548</v>
      </c>
      <c r="C80">
        <f t="shared" si="23"/>
        <v>-1.5879271771560706</v>
      </c>
      <c r="E80">
        <f t="shared" si="24"/>
        <v>75</v>
      </c>
      <c r="F80">
        <f t="shared" si="14"/>
        <v>-0.27615265935113054</v>
      </c>
      <c r="G80" t="e">
        <f t="shared" ca="1" si="25"/>
        <v>#NAME?</v>
      </c>
      <c r="W80">
        <f t="shared" si="15"/>
        <v>75</v>
      </c>
      <c r="X80">
        <f t="shared" si="16"/>
        <v>-0.27615265935113054</v>
      </c>
      <c r="Y80" t="e">
        <f t="shared" ca="1" si="17"/>
        <v>#NAME?</v>
      </c>
      <c r="Z80" t="e">
        <f t="shared" ca="1" si="18"/>
        <v>#NAME?</v>
      </c>
      <c r="AA80" t="e">
        <f t="shared" ca="1" si="19"/>
        <v>#NAME?</v>
      </c>
      <c r="AB80" t="e">
        <f t="shared" ca="1" si="20"/>
        <v>#NAME?</v>
      </c>
      <c r="AC80" t="e">
        <f t="shared" ca="1" si="21"/>
        <v>#NAME?</v>
      </c>
      <c r="AE80">
        <f t="shared" si="26"/>
        <v>75</v>
      </c>
      <c r="AF80">
        <f t="shared" si="27"/>
        <v>-0.27615265935113054</v>
      </c>
    </row>
    <row r="81" spans="1:32" x14ac:dyDescent="0.35">
      <c r="A81">
        <f t="shared" si="22"/>
        <v>75</v>
      </c>
      <c r="B81">
        <v>0.6095368117304879</v>
      </c>
      <c r="C81">
        <f t="shared" si="23"/>
        <v>-0.27615265935113054</v>
      </c>
      <c r="E81">
        <f t="shared" si="24"/>
        <v>76</v>
      </c>
      <c r="F81">
        <f t="shared" si="14"/>
        <v>-1.5512112466225216</v>
      </c>
      <c r="G81" t="e">
        <f t="shared" ca="1" si="25"/>
        <v>#NAME?</v>
      </c>
      <c r="W81">
        <f t="shared" si="15"/>
        <v>76</v>
      </c>
      <c r="X81">
        <f t="shared" si="16"/>
        <v>-1.5512112466225216</v>
      </c>
      <c r="Y81" t="e">
        <f t="shared" ca="1" si="17"/>
        <v>#NAME?</v>
      </c>
      <c r="Z81" t="e">
        <f t="shared" ca="1" si="18"/>
        <v>#NAME?</v>
      </c>
      <c r="AA81" t="e">
        <f t="shared" ca="1" si="19"/>
        <v>#NAME?</v>
      </c>
      <c r="AB81" t="e">
        <f t="shared" ca="1" si="20"/>
        <v>#NAME?</v>
      </c>
      <c r="AC81" t="e">
        <f t="shared" ca="1" si="21"/>
        <v>#NAME?</v>
      </c>
      <c r="AE81">
        <f t="shared" si="26"/>
        <v>76</v>
      </c>
      <c r="AF81">
        <f t="shared" si="27"/>
        <v>-1.5512112466225216</v>
      </c>
    </row>
    <row r="82" spans="1:32" x14ac:dyDescent="0.35">
      <c r="A82">
        <f t="shared" si="22"/>
        <v>76</v>
      </c>
      <c r="B82">
        <v>-1.2359970227306327</v>
      </c>
      <c r="C82">
        <f t="shared" si="23"/>
        <v>-1.5512112466225216</v>
      </c>
      <c r="E82">
        <f t="shared" si="24"/>
        <v>77</v>
      </c>
      <c r="F82">
        <f t="shared" si="14"/>
        <v>-0.69083037200228681</v>
      </c>
      <c r="G82" t="e">
        <f t="shared" ca="1" si="25"/>
        <v>#NAME?</v>
      </c>
      <c r="W82">
        <f t="shared" si="15"/>
        <v>77</v>
      </c>
      <c r="X82">
        <f t="shared" si="16"/>
        <v>-0.69083037200228681</v>
      </c>
      <c r="Y82" t="e">
        <f t="shared" ca="1" si="17"/>
        <v>#NAME?</v>
      </c>
      <c r="Z82" t="e">
        <f t="shared" ca="1" si="18"/>
        <v>#NAME?</v>
      </c>
      <c r="AA82" t="e">
        <f t="shared" ca="1" si="19"/>
        <v>#NAME?</v>
      </c>
      <c r="AB82" t="e">
        <f t="shared" ca="1" si="20"/>
        <v>#NAME?</v>
      </c>
      <c r="AC82" t="e">
        <f t="shared" ca="1" si="21"/>
        <v>#NAME?</v>
      </c>
      <c r="AE82">
        <f t="shared" si="26"/>
        <v>77</v>
      </c>
      <c r="AF82">
        <f t="shared" si="27"/>
        <v>-0.69083037200228681</v>
      </c>
    </row>
    <row r="83" spans="1:32" x14ac:dyDescent="0.35">
      <c r="A83">
        <f t="shared" si="22"/>
        <v>77</v>
      </c>
      <c r="B83">
        <v>0.14781809608735161</v>
      </c>
      <c r="C83">
        <f t="shared" si="23"/>
        <v>-0.69083037200228681</v>
      </c>
      <c r="E83">
        <f t="shared" si="24"/>
        <v>78</v>
      </c>
      <c r="F83">
        <f t="shared" si="14"/>
        <v>-0.37090492775934858</v>
      </c>
      <c r="G83" t="e">
        <f t="shared" ca="1" si="25"/>
        <v>#NAME?</v>
      </c>
      <c r="W83">
        <f t="shared" si="15"/>
        <v>78</v>
      </c>
      <c r="X83">
        <f t="shared" si="16"/>
        <v>-0.37090492775934858</v>
      </c>
      <c r="Y83" t="e">
        <f t="shared" ca="1" si="17"/>
        <v>#NAME?</v>
      </c>
      <c r="Z83" t="e">
        <f t="shared" ca="1" si="18"/>
        <v>#NAME?</v>
      </c>
      <c r="AA83" t="e">
        <f t="shared" ca="1" si="19"/>
        <v>#NAME?</v>
      </c>
      <c r="AB83" t="e">
        <f t="shared" ca="1" si="20"/>
        <v>#NAME?</v>
      </c>
      <c r="AC83" t="e">
        <f t="shared" ca="1" si="21"/>
        <v>#NAME?</v>
      </c>
      <c r="AE83">
        <f t="shared" si="26"/>
        <v>78</v>
      </c>
      <c r="AF83">
        <f t="shared" si="27"/>
        <v>-0.37090492775934858</v>
      </c>
    </row>
    <row r="84" spans="1:32" x14ac:dyDescent="0.35">
      <c r="A84">
        <f t="shared" si="22"/>
        <v>78</v>
      </c>
      <c r="B84">
        <v>0.14223995185972241</v>
      </c>
      <c r="C84">
        <f t="shared" si="23"/>
        <v>-0.37090492775934858</v>
      </c>
      <c r="E84">
        <f t="shared" si="24"/>
        <v>79</v>
      </c>
      <c r="F84">
        <f t="shared" si="14"/>
        <v>0.49875434212734082</v>
      </c>
      <c r="G84" t="e">
        <f t="shared" ca="1" si="25"/>
        <v>#NAME?</v>
      </c>
      <c r="W84">
        <f t="shared" si="15"/>
        <v>79</v>
      </c>
      <c r="X84">
        <f t="shared" si="16"/>
        <v>0.49875434212734082</v>
      </c>
      <c r="Y84" t="e">
        <f t="shared" ca="1" si="17"/>
        <v>#NAME?</v>
      </c>
      <c r="Z84" t="e">
        <f t="shared" ca="1" si="18"/>
        <v>#NAME?</v>
      </c>
      <c r="AA84" t="e">
        <f t="shared" ca="1" si="19"/>
        <v>#NAME?</v>
      </c>
      <c r="AB84" t="e">
        <f t="shared" ca="1" si="20"/>
        <v>#NAME?</v>
      </c>
      <c r="AC84" t="e">
        <f t="shared" ca="1" si="21"/>
        <v>#NAME?</v>
      </c>
      <c r="AE84">
        <f t="shared" si="26"/>
        <v>79</v>
      </c>
      <c r="AF84">
        <f t="shared" si="27"/>
        <v>0.49875434212734082</v>
      </c>
    </row>
    <row r="85" spans="1:32" x14ac:dyDescent="0.35">
      <c r="A85">
        <f t="shared" si="22"/>
        <v>79</v>
      </c>
      <c r="B85">
        <v>0.78683578193082926</v>
      </c>
      <c r="C85">
        <f t="shared" si="23"/>
        <v>0.49875434212734082</v>
      </c>
      <c r="E85">
        <f t="shared" si="24"/>
        <v>80</v>
      </c>
      <c r="F85">
        <f t="shared" si="14"/>
        <v>-1.865443965370184</v>
      </c>
      <c r="G85" t="e">
        <f t="shared" ca="1" si="25"/>
        <v>#NAME?</v>
      </c>
      <c r="W85">
        <f t="shared" si="15"/>
        <v>80</v>
      </c>
      <c r="X85">
        <f t="shared" si="16"/>
        <v>-1.865443965370184</v>
      </c>
      <c r="Y85" t="e">
        <f t="shared" ca="1" si="17"/>
        <v>#NAME?</v>
      </c>
      <c r="Z85" t="e">
        <f t="shared" ca="1" si="18"/>
        <v>#NAME?</v>
      </c>
      <c r="AA85" t="e">
        <f t="shared" ca="1" si="19"/>
        <v>#NAME?</v>
      </c>
      <c r="AB85" t="e">
        <f t="shared" ca="1" si="20"/>
        <v>#NAME?</v>
      </c>
      <c r="AC85" t="e">
        <f t="shared" ca="1" si="21"/>
        <v>#NAME?</v>
      </c>
      <c r="AE85">
        <f t="shared" si="26"/>
        <v>80</v>
      </c>
      <c r="AF85">
        <f t="shared" si="27"/>
        <v>-1.865443965370184</v>
      </c>
    </row>
    <row r="86" spans="1:32" x14ac:dyDescent="0.35">
      <c r="A86">
        <f t="shared" si="22"/>
        <v>80</v>
      </c>
      <c r="B86">
        <v>-2.0572048484731567</v>
      </c>
      <c r="C86">
        <f t="shared" si="23"/>
        <v>-1.865443965370184</v>
      </c>
      <c r="E86">
        <f t="shared" si="24"/>
        <v>81</v>
      </c>
      <c r="F86">
        <f t="shared" si="14"/>
        <v>-0.84481643763392711</v>
      </c>
      <c r="G86" t="e">
        <f t="shared" ca="1" si="25"/>
        <v>#NAME?</v>
      </c>
      <c r="W86">
        <f t="shared" si="15"/>
        <v>81</v>
      </c>
      <c r="X86">
        <f t="shared" si="16"/>
        <v>-0.84481643763392711</v>
      </c>
      <c r="Y86" t="e">
        <f t="shared" ca="1" si="17"/>
        <v>#NAME?</v>
      </c>
      <c r="Z86" t="e">
        <f t="shared" ca="1" si="18"/>
        <v>#NAME?</v>
      </c>
      <c r="AA86" t="e">
        <f t="shared" ca="1" si="19"/>
        <v>#NAME?</v>
      </c>
      <c r="AB86" t="e">
        <f t="shared" ca="1" si="20"/>
        <v>#NAME?</v>
      </c>
      <c r="AC86" t="e">
        <f t="shared" ca="1" si="21"/>
        <v>#NAME?</v>
      </c>
      <c r="AE86">
        <f t="shared" si="26"/>
        <v>81</v>
      </c>
      <c r="AF86">
        <f t="shared" si="27"/>
        <v>-0.84481643763392711</v>
      </c>
    </row>
    <row r="87" spans="1:32" x14ac:dyDescent="0.35">
      <c r="A87">
        <f t="shared" si="22"/>
        <v>81</v>
      </c>
      <c r="B87">
        <v>4.9553368430570136E-2</v>
      </c>
      <c r="C87">
        <f t="shared" si="23"/>
        <v>-0.84481643763392711</v>
      </c>
      <c r="E87">
        <f t="shared" si="24"/>
        <v>82</v>
      </c>
      <c r="F87">
        <f t="shared" si="14"/>
        <v>-2.0079145599241652</v>
      </c>
      <c r="G87" t="e">
        <f t="shared" ca="1" si="25"/>
        <v>#NAME?</v>
      </c>
      <c r="W87">
        <f t="shared" si="15"/>
        <v>82</v>
      </c>
      <c r="X87">
        <f t="shared" si="16"/>
        <v>-2.0079145599241652</v>
      </c>
      <c r="Y87" t="e">
        <f t="shared" ca="1" si="17"/>
        <v>#NAME?</v>
      </c>
      <c r="Z87" t="e">
        <f t="shared" ca="1" si="18"/>
        <v>#NAME?</v>
      </c>
      <c r="AA87" t="e">
        <f t="shared" ca="1" si="19"/>
        <v>#NAME?</v>
      </c>
      <c r="AB87" t="e">
        <f t="shared" ca="1" si="20"/>
        <v>#NAME?</v>
      </c>
      <c r="AC87" t="e">
        <f t="shared" ca="1" si="21"/>
        <v>#NAME?</v>
      </c>
      <c r="AE87">
        <f t="shared" si="26"/>
        <v>82</v>
      </c>
      <c r="AF87">
        <f t="shared" si="27"/>
        <v>-2.0079145599241652</v>
      </c>
    </row>
    <row r="88" spans="1:32" x14ac:dyDescent="0.35">
      <c r="A88">
        <f t="shared" si="22"/>
        <v>82</v>
      </c>
      <c r="B88">
        <v>-1.4066323798943021</v>
      </c>
      <c r="C88">
        <f t="shared" si="23"/>
        <v>-2.0079145599241652</v>
      </c>
      <c r="E88">
        <f t="shared" si="24"/>
        <v>83</v>
      </c>
      <c r="F88">
        <f t="shared" si="14"/>
        <v>0.43952699667074951</v>
      </c>
      <c r="G88" t="e">
        <f t="shared" ca="1" si="25"/>
        <v>#NAME?</v>
      </c>
      <c r="W88">
        <f t="shared" si="15"/>
        <v>83</v>
      </c>
      <c r="X88">
        <f t="shared" si="16"/>
        <v>0.43952699667074951</v>
      </c>
      <c r="Y88" t="e">
        <f t="shared" ca="1" si="17"/>
        <v>#NAME?</v>
      </c>
      <c r="Z88" t="e">
        <f t="shared" ca="1" si="18"/>
        <v>#NAME?</v>
      </c>
      <c r="AA88" t="e">
        <f t="shared" ca="1" si="19"/>
        <v>#NAME?</v>
      </c>
      <c r="AB88" t="e">
        <f t="shared" ca="1" si="20"/>
        <v>#NAME?</v>
      </c>
      <c r="AC88" t="e">
        <f t="shared" ca="1" si="21"/>
        <v>#NAME?</v>
      </c>
      <c r="AE88">
        <f t="shared" si="26"/>
        <v>83</v>
      </c>
      <c r="AF88">
        <f t="shared" si="27"/>
        <v>0.43952699667074951</v>
      </c>
    </row>
    <row r="89" spans="1:32" x14ac:dyDescent="0.35">
      <c r="A89">
        <f t="shared" si="22"/>
        <v>83</v>
      </c>
      <c r="B89">
        <v>1.5637407126388045</v>
      </c>
      <c r="C89">
        <f t="shared" si="23"/>
        <v>0.43952699667074951</v>
      </c>
      <c r="E89">
        <f t="shared" si="24"/>
        <v>84</v>
      </c>
      <c r="F89">
        <f t="shared" si="14"/>
        <v>1.1752527284229008</v>
      </c>
      <c r="G89" t="e">
        <f t="shared" ca="1" si="25"/>
        <v>#NAME?</v>
      </c>
      <c r="W89">
        <f t="shared" si="15"/>
        <v>84</v>
      </c>
      <c r="X89">
        <f t="shared" si="16"/>
        <v>1.1752527284229008</v>
      </c>
      <c r="Y89" t="e">
        <f t="shared" ca="1" si="17"/>
        <v>#NAME?</v>
      </c>
      <c r="Z89" t="e">
        <f t="shared" ca="1" si="18"/>
        <v>#NAME?</v>
      </c>
      <c r="AA89" t="e">
        <f t="shared" ca="1" si="19"/>
        <v>#NAME?</v>
      </c>
      <c r="AB89" t="e">
        <f t="shared" ca="1" si="20"/>
        <v>#NAME?</v>
      </c>
      <c r="AC89" t="e">
        <f t="shared" ca="1" si="21"/>
        <v>#NAME?</v>
      </c>
      <c r="AE89">
        <f t="shared" si="26"/>
        <v>84</v>
      </c>
      <c r="AF89">
        <f t="shared" si="27"/>
        <v>1.1752527284229008</v>
      </c>
    </row>
    <row r="90" spans="1:32" x14ac:dyDescent="0.35">
      <c r="A90">
        <f t="shared" si="22"/>
        <v>84</v>
      </c>
      <c r="B90">
        <v>1.1803319732811373</v>
      </c>
      <c r="C90">
        <f t="shared" si="23"/>
        <v>1.1752527284229008</v>
      </c>
      <c r="E90">
        <f t="shared" si="24"/>
        <v>85</v>
      </c>
      <c r="F90">
        <f t="shared" si="14"/>
        <v>-7.8496510935846864E-2</v>
      </c>
      <c r="G90" t="e">
        <f t="shared" ca="1" si="25"/>
        <v>#NAME?</v>
      </c>
      <c r="W90">
        <f t="shared" si="15"/>
        <v>85</v>
      </c>
      <c r="X90">
        <f t="shared" si="16"/>
        <v>-7.8496510935846864E-2</v>
      </c>
      <c r="Y90" t="e">
        <f t="shared" ca="1" si="17"/>
        <v>#NAME?</v>
      </c>
      <c r="Z90" t="e">
        <f t="shared" ca="1" si="18"/>
        <v>#NAME?</v>
      </c>
      <c r="AA90" t="e">
        <f t="shared" ca="1" si="19"/>
        <v>#NAME?</v>
      </c>
      <c r="AB90" t="e">
        <f t="shared" ca="1" si="20"/>
        <v>#NAME?</v>
      </c>
      <c r="AC90" t="e">
        <f t="shared" ca="1" si="21"/>
        <v>#NAME?</v>
      </c>
      <c r="AE90">
        <f t="shared" si="26"/>
        <v>85</v>
      </c>
      <c r="AF90">
        <f t="shared" si="27"/>
        <v>-7.8496510935846864E-2</v>
      </c>
    </row>
    <row r="91" spans="1:32" x14ac:dyDescent="0.35">
      <c r="A91">
        <f t="shared" si="22"/>
        <v>85</v>
      </c>
      <c r="B91">
        <v>-0.66510702617564998</v>
      </c>
      <c r="C91">
        <f t="shared" si="23"/>
        <v>-7.8496510935846864E-2</v>
      </c>
      <c r="E91">
        <f t="shared" si="24"/>
        <v>86</v>
      </c>
      <c r="F91">
        <f t="shared" si="14"/>
        <v>0.65301886392561626</v>
      </c>
      <c r="G91" t="e">
        <f t="shared" ca="1" si="25"/>
        <v>#NAME?</v>
      </c>
      <c r="W91">
        <f t="shared" si="15"/>
        <v>86</v>
      </c>
      <c r="X91">
        <f t="shared" si="16"/>
        <v>0.65301886392561626</v>
      </c>
      <c r="Y91" t="e">
        <f t="shared" ca="1" si="17"/>
        <v>#NAME?</v>
      </c>
      <c r="Z91" t="e">
        <f t="shared" ca="1" si="18"/>
        <v>#NAME?</v>
      </c>
      <c r="AA91" t="e">
        <f t="shared" ca="1" si="19"/>
        <v>#NAME?</v>
      </c>
      <c r="AB91" t="e">
        <f t="shared" ca="1" si="20"/>
        <v>#NAME?</v>
      </c>
      <c r="AC91" t="e">
        <f t="shared" ca="1" si="21"/>
        <v>#NAME?</v>
      </c>
      <c r="AE91">
        <f t="shared" si="26"/>
        <v>86</v>
      </c>
      <c r="AF91">
        <f t="shared" si="27"/>
        <v>0.65301886392561626</v>
      </c>
    </row>
    <row r="92" spans="1:32" x14ac:dyDescent="0.35">
      <c r="A92">
        <f t="shared" si="22"/>
        <v>86</v>
      </c>
      <c r="B92">
        <v>0.57494501634557904</v>
      </c>
      <c r="C92">
        <f t="shared" si="23"/>
        <v>0.65301886392561626</v>
      </c>
      <c r="E92">
        <f t="shared" si="24"/>
        <v>87</v>
      </c>
      <c r="F92">
        <f t="shared" si="14"/>
        <v>0.30096503596008034</v>
      </c>
      <c r="G92" t="e">
        <f t="shared" ca="1" si="25"/>
        <v>#NAME?</v>
      </c>
      <c r="W92">
        <f t="shared" si="15"/>
        <v>87</v>
      </c>
      <c r="X92">
        <f t="shared" si="16"/>
        <v>0.30096503596008034</v>
      </c>
      <c r="Y92" t="e">
        <f t="shared" ca="1" si="17"/>
        <v>#NAME?</v>
      </c>
      <c r="Z92" t="e">
        <f t="shared" ca="1" si="18"/>
        <v>#NAME?</v>
      </c>
      <c r="AA92" t="e">
        <f t="shared" ca="1" si="19"/>
        <v>#NAME?</v>
      </c>
      <c r="AB92" t="e">
        <f t="shared" ca="1" si="20"/>
        <v>#NAME?</v>
      </c>
      <c r="AC92" t="e">
        <f t="shared" ca="1" si="21"/>
        <v>#NAME?</v>
      </c>
      <c r="AE92">
        <f t="shared" si="26"/>
        <v>87</v>
      </c>
      <c r="AF92">
        <f t="shared" si="27"/>
        <v>0.30096503596008034</v>
      </c>
    </row>
    <row r="93" spans="1:32" x14ac:dyDescent="0.35">
      <c r="A93">
        <f t="shared" si="22"/>
        <v>87</v>
      </c>
      <c r="B93">
        <v>-4.1159165518735157E-2</v>
      </c>
      <c r="C93">
        <f t="shared" si="23"/>
        <v>0.30096503596008034</v>
      </c>
      <c r="E93">
        <f t="shared" si="24"/>
        <v>88</v>
      </c>
      <c r="F93">
        <f t="shared" si="14"/>
        <v>-0.6772883579593133</v>
      </c>
      <c r="G93" t="e">
        <f t="shared" ca="1" si="25"/>
        <v>#NAME?</v>
      </c>
      <c r="W93">
        <f t="shared" si="15"/>
        <v>88</v>
      </c>
      <c r="X93">
        <f t="shared" si="16"/>
        <v>-0.6772883579593133</v>
      </c>
      <c r="Y93" t="e">
        <f t="shared" ca="1" si="17"/>
        <v>#NAME?</v>
      </c>
      <c r="Z93" t="e">
        <f t="shared" ca="1" si="18"/>
        <v>#NAME?</v>
      </c>
      <c r="AA93" t="e">
        <f t="shared" ca="1" si="19"/>
        <v>#NAME?</v>
      </c>
      <c r="AB93" t="e">
        <f t="shared" ca="1" si="20"/>
        <v>#NAME?</v>
      </c>
      <c r="AC93" t="e">
        <f t="shared" ca="1" si="21"/>
        <v>#NAME?</v>
      </c>
      <c r="AE93">
        <f t="shared" si="26"/>
        <v>88</v>
      </c>
      <c r="AF93">
        <f t="shared" si="27"/>
        <v>-0.6772883579593133</v>
      </c>
    </row>
    <row r="94" spans="1:32" x14ac:dyDescent="0.35">
      <c r="A94">
        <f t="shared" si="22"/>
        <v>88</v>
      </c>
      <c r="B94">
        <v>-0.89619571623511651</v>
      </c>
      <c r="C94">
        <f t="shared" si="23"/>
        <v>-0.6772883579593133</v>
      </c>
      <c r="E94">
        <f t="shared" si="24"/>
        <v>89</v>
      </c>
      <c r="F94">
        <f t="shared" si="14"/>
        <v>1.208496897982166</v>
      </c>
      <c r="G94" t="e">
        <f t="shared" ca="1" si="25"/>
        <v>#NAME?</v>
      </c>
      <c r="W94">
        <f t="shared" si="15"/>
        <v>89</v>
      </c>
      <c r="X94">
        <f t="shared" si="16"/>
        <v>1.208496897982166</v>
      </c>
      <c r="Y94" t="e">
        <f t="shared" ca="1" si="17"/>
        <v>#NAME?</v>
      </c>
      <c r="Z94" t="e">
        <f t="shared" ca="1" si="18"/>
        <v>#NAME?</v>
      </c>
      <c r="AA94" t="e">
        <f t="shared" ca="1" si="19"/>
        <v>#NAME?</v>
      </c>
      <c r="AB94" t="e">
        <f t="shared" ca="1" si="20"/>
        <v>#NAME?</v>
      </c>
      <c r="AC94" t="e">
        <f t="shared" ca="1" si="21"/>
        <v>#NAME?</v>
      </c>
      <c r="AE94">
        <f t="shared" si="26"/>
        <v>89</v>
      </c>
      <c r="AF94">
        <f t="shared" si="27"/>
        <v>1.208496897982166</v>
      </c>
    </row>
    <row r="95" spans="1:32" x14ac:dyDescent="0.35">
      <c r="A95">
        <f t="shared" si="22"/>
        <v>89</v>
      </c>
      <c r="B95">
        <v>1.503359605306662</v>
      </c>
      <c r="C95">
        <f t="shared" si="23"/>
        <v>1.208496897982166</v>
      </c>
      <c r="E95">
        <f t="shared" si="24"/>
        <v>90</v>
      </c>
      <c r="F95">
        <f t="shared" si="14"/>
        <v>-0.16628774878482411</v>
      </c>
      <c r="G95" t="e">
        <f t="shared" ca="1" si="25"/>
        <v>#NAME?</v>
      </c>
      <c r="W95">
        <f t="shared" si="15"/>
        <v>90</v>
      </c>
      <c r="X95">
        <f t="shared" si="16"/>
        <v>-0.16628774878482411</v>
      </c>
      <c r="Y95" t="e">
        <f t="shared" ca="1" si="17"/>
        <v>#NAME?</v>
      </c>
      <c r="Z95" t="e">
        <f t="shared" ca="1" si="18"/>
        <v>#NAME?</v>
      </c>
      <c r="AA95" t="e">
        <f t="shared" ca="1" si="19"/>
        <v>#NAME?</v>
      </c>
      <c r="AB95" t="e">
        <f t="shared" ca="1" si="20"/>
        <v>#NAME?</v>
      </c>
      <c r="AC95" t="e">
        <f t="shared" ca="1" si="21"/>
        <v>#NAME?</v>
      </c>
      <c r="AE95">
        <f t="shared" si="26"/>
        <v>90</v>
      </c>
      <c r="AF95">
        <f t="shared" si="27"/>
        <v>-0.16628774878482411</v>
      </c>
    </row>
    <row r="96" spans="1:32" x14ac:dyDescent="0.35">
      <c r="A96">
        <f t="shared" si="22"/>
        <v>90</v>
      </c>
      <c r="B96">
        <v>-0.71156365631100782</v>
      </c>
      <c r="C96">
        <f t="shared" si="23"/>
        <v>-0.16628774878482411</v>
      </c>
      <c r="E96">
        <f t="shared" si="24"/>
        <v>91</v>
      </c>
      <c r="F96">
        <f t="shared" si="14"/>
        <v>1.0092289043672076</v>
      </c>
      <c r="G96" t="e">
        <f t="shared" ca="1" si="25"/>
        <v>#NAME?</v>
      </c>
      <c r="W96">
        <f t="shared" si="15"/>
        <v>91</v>
      </c>
      <c r="X96">
        <f t="shared" si="16"/>
        <v>1.0092289043672076</v>
      </c>
      <c r="Y96" t="e">
        <f t="shared" ca="1" si="17"/>
        <v>#NAME?</v>
      </c>
      <c r="Z96" t="e">
        <f t="shared" ca="1" si="18"/>
        <v>#NAME?</v>
      </c>
      <c r="AA96" t="e">
        <f t="shared" ca="1" si="19"/>
        <v>#NAME?</v>
      </c>
      <c r="AB96" t="e">
        <f t="shared" ca="1" si="20"/>
        <v>#NAME?</v>
      </c>
      <c r="AC96" t="e">
        <f t="shared" ca="1" si="21"/>
        <v>#NAME?</v>
      </c>
      <c r="AE96">
        <f t="shared" si="26"/>
        <v>91</v>
      </c>
      <c r="AF96">
        <f t="shared" si="27"/>
        <v>1.0092289043672076</v>
      </c>
    </row>
    <row r="97" spans="1:32" x14ac:dyDescent="0.35">
      <c r="A97">
        <f t="shared" si="22"/>
        <v>91</v>
      </c>
      <c r="B97">
        <v>0.98331759725438295</v>
      </c>
      <c r="C97">
        <f t="shared" si="23"/>
        <v>1.0092289043672076</v>
      </c>
      <c r="E97">
        <f t="shared" si="24"/>
        <v>92</v>
      </c>
      <c r="F97">
        <f t="shared" si="14"/>
        <v>-0.32778833574077881</v>
      </c>
      <c r="G97" t="e">
        <f t="shared" ca="1" si="25"/>
        <v>#NAME?</v>
      </c>
      <c r="W97">
        <f t="shared" si="15"/>
        <v>92</v>
      </c>
      <c r="X97">
        <f t="shared" si="16"/>
        <v>-0.32778833574077881</v>
      </c>
      <c r="Y97" t="e">
        <f t="shared" ca="1" si="17"/>
        <v>#NAME?</v>
      </c>
      <c r="Z97" t="e">
        <f t="shared" ca="1" si="18"/>
        <v>#NAME?</v>
      </c>
      <c r="AA97" t="e">
        <f t="shared" ca="1" si="19"/>
        <v>#NAME?</v>
      </c>
      <c r="AB97" t="e">
        <f t="shared" ca="1" si="20"/>
        <v>#NAME?</v>
      </c>
      <c r="AC97" t="e">
        <f t="shared" ca="1" si="21"/>
        <v>#NAME?</v>
      </c>
      <c r="AE97">
        <f t="shared" si="26"/>
        <v>92</v>
      </c>
      <c r="AF97">
        <f t="shared" si="27"/>
        <v>-0.32778833574077881</v>
      </c>
    </row>
    <row r="98" spans="1:32" x14ac:dyDescent="0.35">
      <c r="A98">
        <f t="shared" si="22"/>
        <v>92</v>
      </c>
      <c r="B98">
        <v>-0.83758504934694755</v>
      </c>
      <c r="C98">
        <f t="shared" si="23"/>
        <v>-0.32778833574077881</v>
      </c>
      <c r="E98">
        <f t="shared" si="24"/>
        <v>93</v>
      </c>
      <c r="F98">
        <f t="shared" si="14"/>
        <v>-1.9779448345736914</v>
      </c>
      <c r="G98" t="e">
        <f t="shared" ca="1" si="25"/>
        <v>#NAME?</v>
      </c>
      <c r="W98">
        <f t="shared" si="15"/>
        <v>93</v>
      </c>
      <c r="X98">
        <f t="shared" si="16"/>
        <v>-1.9779448345736914</v>
      </c>
      <c r="Y98" t="e">
        <f t="shared" ca="1" si="17"/>
        <v>#NAME?</v>
      </c>
      <c r="Z98" t="e">
        <f t="shared" ca="1" si="18"/>
        <v>#NAME?</v>
      </c>
      <c r="AA98" t="e">
        <f t="shared" ca="1" si="19"/>
        <v>#NAME?</v>
      </c>
      <c r="AB98" t="e">
        <f t="shared" ca="1" si="20"/>
        <v>#NAME?</v>
      </c>
      <c r="AC98" t="e">
        <f t="shared" ca="1" si="21"/>
        <v>#NAME?</v>
      </c>
      <c r="AE98">
        <f t="shared" si="26"/>
        <v>93</v>
      </c>
      <c r="AF98">
        <f t="shared" si="27"/>
        <v>-1.9779448345736914</v>
      </c>
    </row>
    <row r="99" spans="1:32" x14ac:dyDescent="0.35">
      <c r="A99">
        <f t="shared" si="22"/>
        <v>93</v>
      </c>
      <c r="B99">
        <v>-1.9160100094245356</v>
      </c>
      <c r="C99">
        <f t="shared" si="23"/>
        <v>-1.9779448345736914</v>
      </c>
      <c r="E99">
        <f t="shared" si="24"/>
        <v>94</v>
      </c>
      <c r="F99">
        <f t="shared" si="14"/>
        <v>-0.8998395132916901</v>
      </c>
      <c r="G99" t="e">
        <f t="shared" ca="1" si="25"/>
        <v>#NAME?</v>
      </c>
      <c r="W99">
        <f t="shared" si="15"/>
        <v>94</v>
      </c>
      <c r="X99">
        <f t="shared" si="16"/>
        <v>-0.8998395132916901</v>
      </c>
      <c r="Y99" t="e">
        <f t="shared" ca="1" si="17"/>
        <v>#NAME?</v>
      </c>
      <c r="Z99" t="e">
        <f t="shared" ca="1" si="18"/>
        <v>#NAME?</v>
      </c>
      <c r="AA99" t="e">
        <f t="shared" ca="1" si="19"/>
        <v>#NAME?</v>
      </c>
      <c r="AB99" t="e">
        <f t="shared" ca="1" si="20"/>
        <v>#NAME?</v>
      </c>
      <c r="AC99" t="e">
        <f t="shared" ca="1" si="21"/>
        <v>#NAME?</v>
      </c>
      <c r="AE99">
        <f t="shared" si="26"/>
        <v>94</v>
      </c>
      <c r="AF99">
        <f t="shared" si="27"/>
        <v>-0.8998395132916901</v>
      </c>
    </row>
    <row r="100" spans="1:32" x14ac:dyDescent="0.35">
      <c r="A100">
        <f t="shared" si="22"/>
        <v>94</v>
      </c>
      <c r="B100">
        <v>0.10151986902498664</v>
      </c>
      <c r="C100">
        <f t="shared" si="23"/>
        <v>-0.8998395132916901</v>
      </c>
      <c r="E100">
        <f t="shared" si="24"/>
        <v>95</v>
      </c>
      <c r="F100">
        <f t="shared" si="14"/>
        <v>0.29356356983196735</v>
      </c>
      <c r="G100" t="e">
        <f t="shared" ca="1" si="25"/>
        <v>#NAME?</v>
      </c>
      <c r="W100">
        <f t="shared" si="15"/>
        <v>95</v>
      </c>
      <c r="X100">
        <f t="shared" si="16"/>
        <v>0.29356356983196735</v>
      </c>
      <c r="Y100" t="e">
        <f t="shared" ca="1" si="17"/>
        <v>#NAME?</v>
      </c>
      <c r="Z100" t="e">
        <f t="shared" ca="1" si="18"/>
        <v>#NAME?</v>
      </c>
      <c r="AA100" t="e">
        <f t="shared" ca="1" si="19"/>
        <v>#NAME?</v>
      </c>
      <c r="AB100" t="e">
        <f t="shared" ca="1" si="20"/>
        <v>#NAME?</v>
      </c>
      <c r="AC100" t="e">
        <f t="shared" ca="1" si="21"/>
        <v>#NAME?</v>
      </c>
      <c r="AE100">
        <f t="shared" si="26"/>
        <v>95</v>
      </c>
      <c r="AF100">
        <f t="shared" si="27"/>
        <v>0.29356356983196735</v>
      </c>
    </row>
    <row r="101" spans="1:32" x14ac:dyDescent="0.35">
      <c r="A101">
        <f t="shared" si="22"/>
        <v>95</v>
      </c>
      <c r="B101">
        <v>0.94375520294114768</v>
      </c>
      <c r="C101">
        <f t="shared" si="23"/>
        <v>0.29356356983196735</v>
      </c>
      <c r="E101">
        <f t="shared" si="24"/>
        <v>96</v>
      </c>
      <c r="F101">
        <f t="shared" si="14"/>
        <v>0.87413789235647132</v>
      </c>
      <c r="G101" t="e">
        <f t="shared" ca="1" si="25"/>
        <v>#NAME?</v>
      </c>
      <c r="W101">
        <f t="shared" si="15"/>
        <v>96</v>
      </c>
      <c r="X101">
        <f t="shared" si="16"/>
        <v>0.87413789235647132</v>
      </c>
      <c r="Y101" t="e">
        <f t="shared" ca="1" si="17"/>
        <v>#NAME?</v>
      </c>
      <c r="Z101" t="e">
        <f t="shared" ca="1" si="18"/>
        <v>#NAME?</v>
      </c>
      <c r="AA101" t="e">
        <f t="shared" ca="1" si="19"/>
        <v>#NAME?</v>
      </c>
      <c r="AB101" t="e">
        <f t="shared" ca="1" si="20"/>
        <v>#NAME?</v>
      </c>
      <c r="AC101" t="e">
        <f t="shared" ca="1" si="21"/>
        <v>#NAME?</v>
      </c>
      <c r="AE101">
        <f t="shared" si="26"/>
        <v>96</v>
      </c>
      <c r="AF101">
        <f t="shared" si="27"/>
        <v>0.87413789235647132</v>
      </c>
    </row>
    <row r="102" spans="1:32" x14ac:dyDescent="0.35">
      <c r="A102">
        <f t="shared" si="22"/>
        <v>96</v>
      </c>
      <c r="B102">
        <v>0.85739443406232374</v>
      </c>
      <c r="C102">
        <f t="shared" si="23"/>
        <v>0.87413789235647132</v>
      </c>
      <c r="E102">
        <f t="shared" si="24"/>
        <v>97</v>
      </c>
      <c r="F102">
        <f t="shared" si="14"/>
        <v>1.048588930382079</v>
      </c>
      <c r="G102" t="e">
        <f t="shared" ca="1" si="25"/>
        <v>#NAME?</v>
      </c>
      <c r="W102">
        <f t="shared" si="15"/>
        <v>97</v>
      </c>
      <c r="X102">
        <f t="shared" si="16"/>
        <v>1.048588930382079</v>
      </c>
      <c r="Y102" t="e">
        <f t="shared" ca="1" si="17"/>
        <v>#NAME?</v>
      </c>
      <c r="Z102" t="e">
        <f t="shared" ca="1" si="18"/>
        <v>#NAME?</v>
      </c>
      <c r="AA102" t="e">
        <f t="shared" ca="1" si="19"/>
        <v>#NAME?</v>
      </c>
      <c r="AB102" t="e">
        <f t="shared" ca="1" si="20"/>
        <v>#NAME?</v>
      </c>
      <c r="AC102" t="e">
        <f t="shared" ca="1" si="21"/>
        <v>#NAME?</v>
      </c>
      <c r="AE102">
        <f t="shared" si="26"/>
        <v>97</v>
      </c>
      <c r="AF102">
        <f t="shared" si="27"/>
        <v>1.048588930382079</v>
      </c>
    </row>
    <row r="103" spans="1:32" x14ac:dyDescent="0.35">
      <c r="A103">
        <f t="shared" si="22"/>
        <v>97</v>
      </c>
      <c r="B103">
        <v>0.60817129254501401</v>
      </c>
      <c r="C103">
        <f t="shared" si="23"/>
        <v>1.048588930382079</v>
      </c>
      <c r="E103">
        <f t="shared" si="24"/>
        <v>98</v>
      </c>
      <c r="F103">
        <f t="shared" si="14"/>
        <v>0.37710360840585522</v>
      </c>
      <c r="G103" t="e">
        <f t="shared" ca="1" si="25"/>
        <v>#NAME?</v>
      </c>
      <c r="W103">
        <f t="shared" si="15"/>
        <v>98</v>
      </c>
      <c r="X103">
        <f t="shared" si="16"/>
        <v>0.37710360840585522</v>
      </c>
      <c r="Y103" t="e">
        <f t="shared" ca="1" si="17"/>
        <v>#NAME?</v>
      </c>
      <c r="Z103" t="e">
        <f t="shared" ca="1" si="18"/>
        <v>#NAME?</v>
      </c>
      <c r="AA103" t="e">
        <f t="shared" ca="1" si="19"/>
        <v>#NAME?</v>
      </c>
      <c r="AB103" t="e">
        <f t="shared" ca="1" si="20"/>
        <v>#NAME?</v>
      </c>
      <c r="AC103" t="e">
        <f t="shared" ca="1" si="21"/>
        <v>#NAME?</v>
      </c>
      <c r="AE103">
        <f t="shared" si="26"/>
        <v>98</v>
      </c>
      <c r="AF103">
        <f t="shared" si="27"/>
        <v>0.37710360840585522</v>
      </c>
    </row>
    <row r="104" spans="1:32" x14ac:dyDescent="0.35">
      <c r="A104">
        <f t="shared" si="22"/>
        <v>98</v>
      </c>
      <c r="B104">
        <v>-0.23527438435259732</v>
      </c>
      <c r="C104">
        <f t="shared" si="23"/>
        <v>0.37710360840585522</v>
      </c>
      <c r="E104">
        <f t="shared" si="24"/>
        <v>99</v>
      </c>
      <c r="F104">
        <f t="shared" si="14"/>
        <v>1.1007334064754151</v>
      </c>
      <c r="G104" t="e">
        <f t="shared" ca="1" si="25"/>
        <v>#NAME?</v>
      </c>
      <c r="W104">
        <f t="shared" si="15"/>
        <v>99</v>
      </c>
      <c r="X104">
        <f t="shared" si="16"/>
        <v>1.1007334064754151</v>
      </c>
      <c r="Y104" t="e">
        <f t="shared" ca="1" si="17"/>
        <v>#NAME?</v>
      </c>
      <c r="Z104" t="e">
        <f t="shared" ca="1" si="18"/>
        <v>#NAME?</v>
      </c>
      <c r="AA104" t="e">
        <f t="shared" ca="1" si="19"/>
        <v>#NAME?</v>
      </c>
      <c r="AB104" t="e">
        <f t="shared" ca="1" si="20"/>
        <v>#NAME?</v>
      </c>
      <c r="AC104" t="e">
        <f t="shared" ca="1" si="21"/>
        <v>#NAME?</v>
      </c>
      <c r="AE104">
        <f t="shared" si="26"/>
        <v>99</v>
      </c>
      <c r="AF104">
        <f t="shared" si="27"/>
        <v>1.1007334064754151</v>
      </c>
    </row>
    <row r="105" spans="1:32" x14ac:dyDescent="0.35">
      <c r="A105">
        <f t="shared" si="22"/>
        <v>99</v>
      </c>
      <c r="B105">
        <v>0.78970600372079702</v>
      </c>
      <c r="C105">
        <f t="shared" si="23"/>
        <v>1.1007334064754151</v>
      </c>
      <c r="E105">
        <f t="shared" si="24"/>
        <v>100</v>
      </c>
      <c r="F105">
        <f t="shared" si="14"/>
        <v>-0.4435433102285542</v>
      </c>
      <c r="G105" t="e">
        <f t="shared" ca="1" si="25"/>
        <v>#NAME?</v>
      </c>
      <c r="W105">
        <f t="shared" si="15"/>
        <v>100</v>
      </c>
      <c r="X105">
        <f t="shared" si="16"/>
        <v>-0.4435433102285542</v>
      </c>
      <c r="Y105" t="e">
        <f t="shared" ca="1" si="17"/>
        <v>#NAME?</v>
      </c>
      <c r="Z105" t="e">
        <f t="shared" ca="1" si="18"/>
        <v>#NAME?</v>
      </c>
      <c r="AA105" t="e">
        <f t="shared" ca="1" si="19"/>
        <v>#NAME?</v>
      </c>
      <c r="AB105" t="e">
        <f t="shared" ca="1" si="20"/>
        <v>#NAME?</v>
      </c>
      <c r="AC105" t="e">
        <f t="shared" ca="1" si="21"/>
        <v>#NAME?</v>
      </c>
      <c r="AE105">
        <f t="shared" si="26"/>
        <v>100</v>
      </c>
      <c r="AF105">
        <f t="shared" si="27"/>
        <v>-0.4435433102285542</v>
      </c>
    </row>
    <row r="106" spans="1:32" x14ac:dyDescent="0.35">
      <c r="A106">
        <f t="shared" si="22"/>
        <v>100</v>
      </c>
      <c r="B106">
        <v>-1.0561154940171853</v>
      </c>
      <c r="C106">
        <f t="shared" si="23"/>
        <v>-0.4435433102285542</v>
      </c>
      <c r="E106">
        <f t="shared" si="24"/>
        <v>101</v>
      </c>
      <c r="F106">
        <f t="shared" si="14"/>
        <v>0.12661201219791668</v>
      </c>
      <c r="G106" t="e">
        <f t="shared" ca="1" si="25"/>
        <v>#NAME?</v>
      </c>
      <c r="W106">
        <f t="shared" si="15"/>
        <v>101</v>
      </c>
      <c r="X106">
        <f t="shared" si="16"/>
        <v>0.12661201219791668</v>
      </c>
      <c r="Y106" t="e">
        <f t="shared" ca="1" si="17"/>
        <v>#NAME?</v>
      </c>
      <c r="Z106" t="e">
        <f t="shared" ca="1" si="18"/>
        <v>#NAME?</v>
      </c>
      <c r="AA106" t="e">
        <f t="shared" ca="1" si="19"/>
        <v>#NAME?</v>
      </c>
      <c r="AB106" t="e">
        <f t="shared" ca="1" si="20"/>
        <v>#NAME?</v>
      </c>
      <c r="AC106" t="e">
        <f t="shared" ca="1" si="21"/>
        <v>#NAME?</v>
      </c>
      <c r="AE106">
        <f t="shared" si="26"/>
        <v>101</v>
      </c>
      <c r="AF106">
        <f t="shared" si="27"/>
        <v>0.12661201219791668</v>
      </c>
    </row>
    <row r="107" spans="1:32" x14ac:dyDescent="0.35">
      <c r="A107">
        <f t="shared" si="22"/>
        <v>101</v>
      </c>
      <c r="B107">
        <v>0.22586923055446753</v>
      </c>
      <c r="C107">
        <f t="shared" si="23"/>
        <v>0.12661201219791668</v>
      </c>
      <c r="E107">
        <f t="shared" si="24"/>
        <v>102</v>
      </c>
      <c r="F107">
        <f t="shared" si="14"/>
        <v>0.6186567997187562</v>
      </c>
      <c r="G107" t="e">
        <f t="shared" ca="1" si="25"/>
        <v>#NAME?</v>
      </c>
      <c r="W107">
        <f t="shared" si="15"/>
        <v>102</v>
      </c>
      <c r="X107">
        <f t="shared" si="16"/>
        <v>0.6186567997187562</v>
      </c>
      <c r="Y107" t="e">
        <f t="shared" ca="1" si="17"/>
        <v>#NAME?</v>
      </c>
      <c r="Z107" t="e">
        <f t="shared" ca="1" si="18"/>
        <v>#NAME?</v>
      </c>
      <c r="AA107" t="e">
        <f t="shared" ca="1" si="19"/>
        <v>#NAME?</v>
      </c>
      <c r="AB107" t="e">
        <f t="shared" ca="1" si="20"/>
        <v>#NAME?</v>
      </c>
      <c r="AC107" t="e">
        <f t="shared" ca="1" si="21"/>
        <v>#NAME?</v>
      </c>
      <c r="AE107">
        <f t="shared" si="26"/>
        <v>102</v>
      </c>
      <c r="AF107">
        <f t="shared" si="27"/>
        <v>0.6186567997187562</v>
      </c>
    </row>
    <row r="108" spans="1:32" x14ac:dyDescent="0.35">
      <c r="A108">
        <f t="shared" si="22"/>
        <v>102</v>
      </c>
      <c r="B108">
        <v>0.57520223729110798</v>
      </c>
      <c r="C108">
        <f t="shared" si="23"/>
        <v>0.6186567997187562</v>
      </c>
      <c r="E108">
        <f t="shared" si="24"/>
        <v>103</v>
      </c>
      <c r="F108">
        <f t="shared" si="14"/>
        <v>1.3693776475136747</v>
      </c>
      <c r="G108" t="e">
        <f t="shared" ca="1" si="25"/>
        <v>#NAME?</v>
      </c>
      <c r="W108">
        <f t="shared" si="15"/>
        <v>103</v>
      </c>
      <c r="X108">
        <f t="shared" si="16"/>
        <v>1.3693776475136747</v>
      </c>
      <c r="Y108" t="e">
        <f t="shared" ca="1" si="17"/>
        <v>#NAME?</v>
      </c>
      <c r="Z108" t="e">
        <f t="shared" ca="1" si="18"/>
        <v>#NAME?</v>
      </c>
      <c r="AA108" t="e">
        <f t="shared" ca="1" si="19"/>
        <v>#NAME?</v>
      </c>
      <c r="AB108" t="e">
        <f t="shared" ca="1" si="20"/>
        <v>#NAME?</v>
      </c>
      <c r="AC108" t="e">
        <f t="shared" ca="1" si="21"/>
        <v>#NAME?</v>
      </c>
      <c r="AE108">
        <f t="shared" si="26"/>
        <v>103</v>
      </c>
      <c r="AF108">
        <f t="shared" si="27"/>
        <v>1.3693776475136747</v>
      </c>
    </row>
    <row r="109" spans="1:32" x14ac:dyDescent="0.35">
      <c r="A109">
        <f t="shared" si="22"/>
        <v>103</v>
      </c>
      <c r="B109">
        <v>1.051358335168767</v>
      </c>
      <c r="C109">
        <f t="shared" si="23"/>
        <v>1.3693776475136747</v>
      </c>
      <c r="E109">
        <f t="shared" si="24"/>
        <v>104</v>
      </c>
      <c r="F109">
        <f t="shared" si="14"/>
        <v>0.76144222023537533</v>
      </c>
      <c r="G109" t="e">
        <f t="shared" ca="1" si="25"/>
        <v>#NAME?</v>
      </c>
      <c r="W109">
        <f t="shared" si="15"/>
        <v>104</v>
      </c>
      <c r="X109">
        <f t="shared" si="16"/>
        <v>0.76144222023537533</v>
      </c>
      <c r="Y109" t="e">
        <f t="shared" ca="1" si="17"/>
        <v>#NAME?</v>
      </c>
      <c r="Z109" t="e">
        <f t="shared" ca="1" si="18"/>
        <v>#NAME?</v>
      </c>
      <c r="AA109" t="e">
        <f t="shared" ca="1" si="19"/>
        <v>#NAME?</v>
      </c>
      <c r="AB109" t="e">
        <f t="shared" ca="1" si="20"/>
        <v>#NAME?</v>
      </c>
      <c r="AC109" t="e">
        <f t="shared" ca="1" si="21"/>
        <v>#NAME?</v>
      </c>
      <c r="AE109">
        <f t="shared" si="26"/>
        <v>104</v>
      </c>
      <c r="AF109">
        <f t="shared" si="27"/>
        <v>0.76144222023537533</v>
      </c>
    </row>
    <row r="110" spans="1:32" x14ac:dyDescent="0.35">
      <c r="A110">
        <f t="shared" si="22"/>
        <v>104</v>
      </c>
      <c r="B110">
        <v>1.3149534009556497E-2</v>
      </c>
      <c r="C110">
        <f t="shared" si="23"/>
        <v>0.76144222023537533</v>
      </c>
      <c r="E110" s="4">
        <f t="shared" si="24"/>
        <v>105</v>
      </c>
      <c r="F110" s="4">
        <f t="shared" si="14"/>
        <v>1.9547650554829581</v>
      </c>
      <c r="G110" s="4" t="e">
        <f t="shared" ca="1" si="25"/>
        <v>#NAME?</v>
      </c>
      <c r="W110">
        <f t="shared" si="15"/>
        <v>105</v>
      </c>
      <c r="X110">
        <f t="shared" si="16"/>
        <v>1.9547650554829581</v>
      </c>
      <c r="Y110" t="e">
        <f t="shared" ca="1" si="17"/>
        <v>#NAME?</v>
      </c>
      <c r="Z110" t="e">
        <f t="shared" ca="1" si="18"/>
        <v>#NAME?</v>
      </c>
      <c r="AA110" t="e">
        <f t="shared" ca="1" si="19"/>
        <v>#NAME?</v>
      </c>
      <c r="AB110" t="e">
        <f t="shared" ca="1" si="20"/>
        <v>#NAME?</v>
      </c>
      <c r="AC110" t="e">
        <f t="shared" ca="1" si="21"/>
        <v>#NAME?</v>
      </c>
      <c r="AE110" s="4">
        <f t="shared" si="26"/>
        <v>105</v>
      </c>
      <c r="AF110" s="4">
        <f t="shared" si="27"/>
        <v>1.9547650554829581</v>
      </c>
    </row>
    <row r="111" spans="1:32" x14ac:dyDescent="0.35">
      <c r="A111">
        <f t="shared" si="22"/>
        <v>105</v>
      </c>
      <c r="B111" s="4">
        <v>1.4243854081201066</v>
      </c>
      <c r="C111" s="4">
        <f t="shared" si="23"/>
        <v>1.9547650554829581</v>
      </c>
      <c r="W111">
        <f>W110+1</f>
        <v>106</v>
      </c>
      <c r="Z111" t="e">
        <f ca="1">SUMPRODUCT(X110,J$6)+SUMPRODUCT(Y110,K$6)</f>
        <v>#NAME?</v>
      </c>
      <c r="AA111" t="e">
        <f ca="1">K$16*SQRT(SUMSQ(N$16:N16))</f>
        <v>#NAME?</v>
      </c>
      <c r="AB111" t="e">
        <f ca="1">Z111-NORMSINV(1-AA$4/2)*AA111</f>
        <v>#NAME?</v>
      </c>
      <c r="AC111" t="e">
        <f ca="1">Z111+NORMSINV(1-AA$4/2)*AA111</f>
        <v>#NAME?</v>
      </c>
      <c r="AE111">
        <f t="shared" si="26"/>
        <v>106</v>
      </c>
      <c r="AF111" t="e">
        <f ca="1">Z111</f>
        <v>#NAME?</v>
      </c>
    </row>
    <row r="112" spans="1:32" x14ac:dyDescent="0.35">
      <c r="W112">
        <f>W111+1</f>
        <v>107</v>
      </c>
      <c r="Z112" t="e">
        <f ca="1">SUMPRODUCT(Z111,J6)</f>
        <v>#NAME?</v>
      </c>
      <c r="AA112" t="e">
        <f ca="1">K$16*SQRT(SUMSQ(N$16:N17))</f>
        <v>#NAME?</v>
      </c>
      <c r="AB112" t="e">
        <f ca="1">Z112-NORMSINV(1-AA$4/2)*AA112</f>
        <v>#NAME?</v>
      </c>
      <c r="AC112" t="e">
        <f ca="1">Z112+NORMSINV(1-AA$4/2)*AA112</f>
        <v>#NAME?</v>
      </c>
      <c r="AE112">
        <f t="shared" si="26"/>
        <v>107</v>
      </c>
      <c r="AF112" t="e">
        <f ca="1">Z112</f>
        <v>#NAME?</v>
      </c>
    </row>
    <row r="113" spans="2:32" x14ac:dyDescent="0.35">
      <c r="B113" s="20" t="s">
        <v>226</v>
      </c>
      <c r="W113">
        <f>W112+1</f>
        <v>108</v>
      </c>
      <c r="Z113" t="e">
        <f ca="1">SUMPRODUCT(Z112,J6)</f>
        <v>#NAME?</v>
      </c>
      <c r="AA113" t="e">
        <f ca="1">K$16*SQRT(SUMSQ(N$16:N18))</f>
        <v>#NAME?</v>
      </c>
      <c r="AB113" t="e">
        <f ca="1">Z113-NORMSINV(1-AA$4/2)*AA113</f>
        <v>#NAME?</v>
      </c>
      <c r="AC113" t="e">
        <f ca="1">Z113+NORMSINV(1-AA$4/2)*AA113</f>
        <v>#NAME?</v>
      </c>
      <c r="AE113">
        <f t="shared" si="26"/>
        <v>108</v>
      </c>
      <c r="AF113" t="e">
        <f ca="1">Z113</f>
        <v>#NAME?</v>
      </c>
    </row>
    <row r="114" spans="2:32" x14ac:dyDescent="0.35">
      <c r="W114">
        <f>W113+1</f>
        <v>109</v>
      </c>
      <c r="Z114" t="e">
        <f ca="1">SUMPRODUCT(Z113,J6)</f>
        <v>#NAME?</v>
      </c>
      <c r="AA114" t="e">
        <f ca="1">K$16*SQRT(SUMSQ(N$16:N19))</f>
        <v>#NAME?</v>
      </c>
      <c r="AB114" t="e">
        <f ca="1">Z114-NORMSINV(1-AA$4/2)*AA114</f>
        <v>#NAME?</v>
      </c>
      <c r="AC114" t="e">
        <f ca="1">Z114+NORMSINV(1-AA$4/2)*AA114</f>
        <v>#NAME?</v>
      </c>
      <c r="AE114">
        <f t="shared" si="26"/>
        <v>109</v>
      </c>
      <c r="AF114" t="e">
        <f ca="1">Z114</f>
        <v>#NAME?</v>
      </c>
    </row>
    <row r="115" spans="2:32" x14ac:dyDescent="0.35">
      <c r="W115" s="4">
        <f>W114+1</f>
        <v>110</v>
      </c>
      <c r="X115" s="4"/>
      <c r="Y115" s="4"/>
      <c r="Z115" s="4" t="e">
        <f ca="1">SUMPRODUCT(Z114,J6)</f>
        <v>#NAME?</v>
      </c>
      <c r="AA115" s="4" t="e">
        <f ca="1">K$16*SQRT(SUMSQ(N$16:N20))</f>
        <v>#NAME?</v>
      </c>
      <c r="AB115" s="4" t="e">
        <f ca="1">Z115-NORMSINV(1-AA$4/2)*AA115</f>
        <v>#NAME?</v>
      </c>
      <c r="AC115" s="4" t="e">
        <f ca="1">Z115+NORMSINV(1-AA$4/2)*AA115</f>
        <v>#NAME?</v>
      </c>
      <c r="AE115" s="4">
        <f t="shared" si="26"/>
        <v>110</v>
      </c>
      <c r="AF115" s="4" t="e">
        <f ca="1">Z115</f>
        <v>#NAME?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/>
  <dimension ref="A1:D10"/>
  <sheetViews>
    <sheetView workbookViewId="0"/>
  </sheetViews>
  <sheetFormatPr defaultRowHeight="14.5" x14ac:dyDescent="0.35"/>
  <cols>
    <col min="3" max="3" width="3.1796875" customWidth="1"/>
    <col min="4" max="4" width="16" customWidth="1"/>
  </cols>
  <sheetData>
    <row r="1" spans="1:4" x14ac:dyDescent="0.35">
      <c r="A1" s="7" t="s">
        <v>448</v>
      </c>
    </row>
    <row r="3" spans="1:4" x14ac:dyDescent="0.35">
      <c r="A3" s="40" t="s">
        <v>170</v>
      </c>
      <c r="B3" s="139">
        <v>0.4</v>
      </c>
    </row>
    <row r="4" spans="1:4" x14ac:dyDescent="0.35">
      <c r="A4" s="40" t="s">
        <v>171</v>
      </c>
      <c r="B4" s="34">
        <v>-0.2</v>
      </c>
    </row>
    <row r="6" spans="1:4" x14ac:dyDescent="0.35">
      <c r="A6" s="40" t="s">
        <v>433</v>
      </c>
      <c r="B6" s="139" t="e">
        <f t="array" aca="1" ref="B6:B10" ca="1">PSICoeff(B3,B4)</f>
        <v>#NAME?</v>
      </c>
      <c r="D6" t="e" cm="1">
        <f t="array" aca="1" ref="D6" ca="1">FTEXT(B6)</f>
        <v>#NAME?</v>
      </c>
    </row>
    <row r="7" spans="1:4" x14ac:dyDescent="0.35">
      <c r="A7" s="40" t="s">
        <v>220</v>
      </c>
      <c r="B7" s="24" t="e">
        <f ca="1"/>
        <v>#NAME?</v>
      </c>
    </row>
    <row r="8" spans="1:4" x14ac:dyDescent="0.35">
      <c r="A8" s="40" t="s">
        <v>221</v>
      </c>
      <c r="B8" s="24" t="e">
        <f ca="1"/>
        <v>#NAME?</v>
      </c>
    </row>
    <row r="9" spans="1:4" x14ac:dyDescent="0.35">
      <c r="A9" s="40" t="s">
        <v>222</v>
      </c>
      <c r="B9" s="24" t="e">
        <f ca="1"/>
        <v>#NAME?</v>
      </c>
    </row>
    <row r="10" spans="1:4" x14ac:dyDescent="0.35">
      <c r="A10" s="40" t="s">
        <v>223</v>
      </c>
      <c r="B10" s="34" t="e">
        <f ca="1"/>
        <v>#NAME?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6"/>
  <dimension ref="A1:I24"/>
  <sheetViews>
    <sheetView workbookViewId="0">
      <selection activeCell="I21" sqref="I21"/>
    </sheetView>
  </sheetViews>
  <sheetFormatPr defaultRowHeight="14.5" x14ac:dyDescent="0.35"/>
  <cols>
    <col min="1" max="2" width="6.26953125" customWidth="1"/>
    <col min="3" max="3" width="6.1796875" customWidth="1"/>
    <col min="4" max="4" width="3.36328125" customWidth="1"/>
  </cols>
  <sheetData>
    <row r="1" spans="1:9" x14ac:dyDescent="0.35">
      <c r="A1" s="7" t="s">
        <v>178</v>
      </c>
    </row>
    <row r="3" spans="1:9" x14ac:dyDescent="0.35">
      <c r="A3" s="8" t="s">
        <v>3</v>
      </c>
      <c r="B3" s="8" t="s">
        <v>1</v>
      </c>
      <c r="D3" t="s">
        <v>0</v>
      </c>
      <c r="G3" s="137" t="s">
        <v>10</v>
      </c>
      <c r="H3" s="150">
        <v>0.05</v>
      </c>
    </row>
    <row r="4" spans="1:9" ht="15" thickBot="1" x14ac:dyDescent="0.4">
      <c r="A4" s="42">
        <v>1</v>
      </c>
      <c r="B4" s="42">
        <v>3</v>
      </c>
    </row>
    <row r="5" spans="1:9" ht="15" thickTop="1" x14ac:dyDescent="0.35">
      <c r="A5" s="42">
        <f>A4+1</f>
        <v>2</v>
      </c>
      <c r="B5" s="42">
        <v>5</v>
      </c>
      <c r="D5" s="45" t="str">
        <f>A3</f>
        <v>t</v>
      </c>
      <c r="E5" s="45" t="str">
        <f>B3</f>
        <v>y</v>
      </c>
      <c r="F5" s="45" t="s">
        <v>179</v>
      </c>
      <c r="G5" s="45" t="s">
        <v>81</v>
      </c>
      <c r="H5" s="45" t="s">
        <v>127</v>
      </c>
      <c r="I5" s="45" t="s">
        <v>128</v>
      </c>
    </row>
    <row r="6" spans="1:9" x14ac:dyDescent="0.35">
      <c r="A6" s="42">
        <f t="shared" ref="A6:A13" si="0">A5+1</f>
        <v>3</v>
      </c>
      <c r="B6" s="42">
        <v>9</v>
      </c>
      <c r="D6">
        <f>A4</f>
        <v>1</v>
      </c>
      <c r="E6">
        <f>B4</f>
        <v>3</v>
      </c>
    </row>
    <row r="7" spans="1:9" x14ac:dyDescent="0.35">
      <c r="A7" s="42">
        <f t="shared" si="0"/>
        <v>4</v>
      </c>
      <c r="B7" s="42">
        <v>20</v>
      </c>
      <c r="D7">
        <f t="shared" ref="D7:D20" si="1">A5</f>
        <v>2</v>
      </c>
      <c r="E7">
        <f t="shared" ref="E7:E20" si="2">B5</f>
        <v>5</v>
      </c>
    </row>
    <row r="8" spans="1:9" x14ac:dyDescent="0.35">
      <c r="A8" s="42">
        <f t="shared" si="0"/>
        <v>5</v>
      </c>
      <c r="B8" s="42">
        <v>12</v>
      </c>
      <c r="D8">
        <f t="shared" si="1"/>
        <v>3</v>
      </c>
      <c r="E8">
        <f t="shared" si="2"/>
        <v>9</v>
      </c>
    </row>
    <row r="9" spans="1:9" x14ac:dyDescent="0.35">
      <c r="A9" s="42">
        <f t="shared" si="0"/>
        <v>6</v>
      </c>
      <c r="B9" s="42">
        <v>17</v>
      </c>
      <c r="D9">
        <f t="shared" si="1"/>
        <v>4</v>
      </c>
      <c r="E9">
        <f t="shared" si="2"/>
        <v>20</v>
      </c>
      <c r="F9">
        <f>AVERAGE(E6:E8)</f>
        <v>5.666666666666667</v>
      </c>
    </row>
    <row r="10" spans="1:9" x14ac:dyDescent="0.35">
      <c r="A10" s="42">
        <f t="shared" si="0"/>
        <v>7</v>
      </c>
      <c r="B10" s="42">
        <v>22</v>
      </c>
      <c r="D10">
        <f t="shared" si="1"/>
        <v>5</v>
      </c>
      <c r="E10">
        <f t="shared" si="2"/>
        <v>12</v>
      </c>
      <c r="F10">
        <f t="shared" ref="F10:F21" si="3">AVERAGE(E7:E9)</f>
        <v>11.333333333333334</v>
      </c>
    </row>
    <row r="11" spans="1:9" x14ac:dyDescent="0.35">
      <c r="A11" s="42">
        <f t="shared" si="0"/>
        <v>8</v>
      </c>
      <c r="B11" s="42">
        <v>23</v>
      </c>
      <c r="D11">
        <f t="shared" si="1"/>
        <v>6</v>
      </c>
      <c r="E11">
        <f t="shared" si="2"/>
        <v>17</v>
      </c>
      <c r="F11">
        <f t="shared" si="3"/>
        <v>13.666666666666666</v>
      </c>
      <c r="G11">
        <f>SQRT(SUMXMY2(E8:E10,F9:F11)/3)</f>
        <v>5.4467115461227298</v>
      </c>
      <c r="H11">
        <f>F11-G11*_xlfn.NORM.S.INV(1-H$3/2)</f>
        <v>2.9913082020876445</v>
      </c>
      <c r="I11">
        <f>F11+G11*_xlfn.NORM.S.INV(1-H$3/2)</f>
        <v>24.342025131245688</v>
      </c>
    </row>
    <row r="12" spans="1:9" x14ac:dyDescent="0.35">
      <c r="A12" s="42">
        <f t="shared" si="0"/>
        <v>9</v>
      </c>
      <c r="B12" s="42">
        <v>51</v>
      </c>
      <c r="D12">
        <f t="shared" si="1"/>
        <v>7</v>
      </c>
      <c r="E12">
        <f t="shared" si="2"/>
        <v>22</v>
      </c>
      <c r="F12">
        <f t="shared" si="3"/>
        <v>16.333333333333332</v>
      </c>
      <c r="G12">
        <f t="shared" ref="G12:G21" si="4">SQRT(SUMXMY2(E9:E11,F10:F12)/3)</f>
        <v>5.1099032389186299</v>
      </c>
      <c r="H12">
        <f t="shared" ref="H12:H20" si="5">F12-G12*_xlfn.NORM.S.INV(1-H$3/2)</f>
        <v>6.3181070205682488</v>
      </c>
      <c r="I12">
        <f t="shared" ref="I12:I21" si="6">F12+G12*_xlfn.NORM.S.INV(1-H$3/2)</f>
        <v>26.348559646098415</v>
      </c>
    </row>
    <row r="13" spans="1:9" x14ac:dyDescent="0.35">
      <c r="A13" s="42">
        <f t="shared" si="0"/>
        <v>10</v>
      </c>
      <c r="B13" s="42">
        <v>41</v>
      </c>
      <c r="D13">
        <f t="shared" si="1"/>
        <v>8</v>
      </c>
      <c r="E13">
        <f t="shared" si="2"/>
        <v>23</v>
      </c>
      <c r="F13">
        <f t="shared" si="3"/>
        <v>17</v>
      </c>
      <c r="G13">
        <f t="shared" si="4"/>
        <v>3.0671497204093914</v>
      </c>
      <c r="H13">
        <f t="shared" si="5"/>
        <v>10.988497012805498</v>
      </c>
      <c r="I13">
        <f t="shared" si="6"/>
        <v>23.011502987194504</v>
      </c>
    </row>
    <row r="14" spans="1:9" x14ac:dyDescent="0.35">
      <c r="A14" s="42">
        <f>A13+1</f>
        <v>11</v>
      </c>
      <c r="B14" s="42">
        <v>56</v>
      </c>
      <c r="D14">
        <f t="shared" si="1"/>
        <v>9</v>
      </c>
      <c r="E14">
        <f t="shared" si="2"/>
        <v>51</v>
      </c>
      <c r="F14">
        <f t="shared" si="3"/>
        <v>20.666666666666668</v>
      </c>
      <c r="G14">
        <f t="shared" si="4"/>
        <v>3.208784239598589</v>
      </c>
      <c r="H14">
        <f t="shared" si="5"/>
        <v>14.377565122893692</v>
      </c>
      <c r="I14">
        <f t="shared" si="6"/>
        <v>26.955768210439643</v>
      </c>
    </row>
    <row r="15" spans="1:9" x14ac:dyDescent="0.35">
      <c r="A15" s="42">
        <f>A14+1</f>
        <v>12</v>
      </c>
      <c r="B15" s="42">
        <v>75</v>
      </c>
      <c r="D15">
        <f t="shared" si="1"/>
        <v>10</v>
      </c>
      <c r="E15">
        <f t="shared" si="2"/>
        <v>41</v>
      </c>
      <c r="F15">
        <f t="shared" si="3"/>
        <v>32</v>
      </c>
      <c r="G15">
        <f t="shared" si="4"/>
        <v>11.422849096503091</v>
      </c>
      <c r="H15">
        <f t="shared" si="5"/>
        <v>9.6116271700180498</v>
      </c>
      <c r="I15">
        <f t="shared" si="6"/>
        <v>54.388372829981947</v>
      </c>
    </row>
    <row r="16" spans="1:9" x14ac:dyDescent="0.35">
      <c r="A16" s="42">
        <f>A15+1</f>
        <v>13</v>
      </c>
      <c r="B16" s="42">
        <v>60</v>
      </c>
      <c r="D16">
        <f t="shared" si="1"/>
        <v>11</v>
      </c>
      <c r="E16">
        <f t="shared" si="2"/>
        <v>56</v>
      </c>
      <c r="F16">
        <f t="shared" si="3"/>
        <v>38.333333333333336</v>
      </c>
      <c r="G16">
        <f t="shared" si="4"/>
        <v>11.158786606012256</v>
      </c>
      <c r="H16">
        <f t="shared" si="5"/>
        <v>16.462513474381371</v>
      </c>
      <c r="I16">
        <f t="shared" si="6"/>
        <v>60.204153192285304</v>
      </c>
    </row>
    <row r="17" spans="1:9" x14ac:dyDescent="0.35">
      <c r="A17" s="42">
        <f>A16+1</f>
        <v>14</v>
      </c>
      <c r="B17" s="42">
        <v>75</v>
      </c>
      <c r="D17">
        <f t="shared" si="1"/>
        <v>12</v>
      </c>
      <c r="E17">
        <f t="shared" si="2"/>
        <v>75</v>
      </c>
      <c r="F17">
        <f t="shared" si="3"/>
        <v>49.333333333333336</v>
      </c>
      <c r="G17">
        <f t="shared" si="4"/>
        <v>11.726829005256217</v>
      </c>
      <c r="H17">
        <f t="shared" si="5"/>
        <v>26.349170830171488</v>
      </c>
      <c r="I17">
        <f t="shared" si="6"/>
        <v>72.317495836495183</v>
      </c>
    </row>
    <row r="18" spans="1:9" x14ac:dyDescent="0.35">
      <c r="A18" s="10">
        <f>A17+1</f>
        <v>15</v>
      </c>
      <c r="B18" s="10">
        <v>88</v>
      </c>
      <c r="D18">
        <f t="shared" si="1"/>
        <v>13</v>
      </c>
      <c r="E18">
        <f t="shared" si="2"/>
        <v>60</v>
      </c>
      <c r="F18">
        <f t="shared" si="3"/>
        <v>57.333333333333336</v>
      </c>
      <c r="G18">
        <f t="shared" si="4"/>
        <v>11.010096376609161</v>
      </c>
      <c r="H18">
        <f t="shared" si="5"/>
        <v>35.753940968864441</v>
      </c>
      <c r="I18">
        <f t="shared" si="6"/>
        <v>78.91272569780223</v>
      </c>
    </row>
    <row r="19" spans="1:9" x14ac:dyDescent="0.35">
      <c r="A19" s="42"/>
      <c r="D19">
        <f t="shared" si="1"/>
        <v>14</v>
      </c>
      <c r="E19">
        <f t="shared" si="2"/>
        <v>75</v>
      </c>
      <c r="F19">
        <f t="shared" si="3"/>
        <v>63.666666666666664</v>
      </c>
      <c r="G19">
        <f t="shared" si="4"/>
        <v>11.105554165971785</v>
      </c>
      <c r="H19">
        <f t="shared" si="5"/>
        <v>41.900180473003211</v>
      </c>
      <c r="I19">
        <f t="shared" si="6"/>
        <v>85.433152860330125</v>
      </c>
    </row>
    <row r="20" spans="1:9" x14ac:dyDescent="0.35">
      <c r="D20" s="4">
        <f t="shared" si="1"/>
        <v>15</v>
      </c>
      <c r="E20" s="4">
        <f t="shared" si="2"/>
        <v>88</v>
      </c>
      <c r="F20" s="4">
        <f t="shared" si="3"/>
        <v>70</v>
      </c>
      <c r="G20" s="4">
        <f t="shared" si="4"/>
        <v>10.809803506625446</v>
      </c>
      <c r="H20" s="4">
        <f t="shared" si="5"/>
        <v>48.813174447059346</v>
      </c>
      <c r="I20" s="4">
        <f t="shared" si="6"/>
        <v>91.186825552940661</v>
      </c>
    </row>
    <row r="21" spans="1:9" x14ac:dyDescent="0.35">
      <c r="D21" s="137" t="s">
        <v>180</v>
      </c>
      <c r="F21">
        <f t="shared" si="3"/>
        <v>74.333333333333329</v>
      </c>
      <c r="G21">
        <f t="shared" si="4"/>
        <v>8.6645296510586256</v>
      </c>
      <c r="H21">
        <f>F21-G21*_xlfn.NORM.S.INV(1-H$3/2)</f>
        <v>57.351167274279021</v>
      </c>
      <c r="I21">
        <f t="shared" si="6"/>
        <v>91.315499392387636</v>
      </c>
    </row>
    <row r="23" spans="1:9" x14ac:dyDescent="0.35">
      <c r="E23" s="264" t="s">
        <v>12</v>
      </c>
      <c r="F23" s="264" t="s">
        <v>4</v>
      </c>
      <c r="G23" s="264" t="s">
        <v>611</v>
      </c>
    </row>
    <row r="24" spans="1:9" x14ac:dyDescent="0.35">
      <c r="E24" s="142">
        <f>SUMPRODUCT(ABS(E9:E20-F9:F20))/COUNT(F9:F20)</f>
        <v>12.055555555555555</v>
      </c>
      <c r="F24" s="143">
        <f>SUMXMY2(E9:E20,F9:F20)/COUNT(F9:F20)</f>
        <v>226.38888888888889</v>
      </c>
      <c r="G24" s="144">
        <f>SUMPRODUCT(ABS(1-F9:F20/E9:E20))/COUNT(F9:F20)</f>
        <v>0.27990240301161334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1"/>
  <dimension ref="A1:AE113"/>
  <sheetViews>
    <sheetView workbookViewId="0"/>
  </sheetViews>
  <sheetFormatPr defaultRowHeight="14.5" x14ac:dyDescent="0.35"/>
  <cols>
    <col min="1" max="1" width="4.81640625" customWidth="1"/>
    <col min="4" max="4" width="9.1796875" customWidth="1"/>
    <col min="7" max="7" width="9.1796875" customWidth="1"/>
    <col min="9" max="9" width="10.26953125" customWidth="1"/>
    <col min="10" max="10" width="9.1796875" customWidth="1"/>
    <col min="15" max="15" width="9.1796875" customWidth="1"/>
    <col min="22" max="22" width="9.1796875" customWidth="1"/>
  </cols>
  <sheetData>
    <row r="1" spans="1:31" x14ac:dyDescent="0.35">
      <c r="A1" s="7" t="s">
        <v>489</v>
      </c>
      <c r="D1" t="s">
        <v>353</v>
      </c>
      <c r="H1" t="s">
        <v>355</v>
      </c>
      <c r="L1" t="s">
        <v>374</v>
      </c>
      <c r="P1" t="s">
        <v>379</v>
      </c>
      <c r="V1" t="s">
        <v>383</v>
      </c>
      <c r="AD1" t="s">
        <v>384</v>
      </c>
    </row>
    <row r="2" spans="1:31" ht="15" thickBot="1" x14ac:dyDescent="0.4">
      <c r="A2" s="72"/>
      <c r="B2" s="72"/>
      <c r="Y2" t="s">
        <v>156</v>
      </c>
      <c r="Z2">
        <v>0.05</v>
      </c>
    </row>
    <row r="3" spans="1:31" ht="15" thickTop="1" x14ac:dyDescent="0.35">
      <c r="B3" s="154" t="s">
        <v>110</v>
      </c>
      <c r="D3" s="45" t="s">
        <v>291</v>
      </c>
      <c r="E3" s="45" t="s">
        <v>194</v>
      </c>
      <c r="F3" s="45" t="s">
        <v>354</v>
      </c>
      <c r="H3" s="45" t="s">
        <v>356</v>
      </c>
      <c r="I3" s="45" t="s">
        <v>357</v>
      </c>
      <c r="J3" s="45" t="s">
        <v>358</v>
      </c>
      <c r="L3" s="45" t="s">
        <v>173</v>
      </c>
      <c r="M3" s="45" t="s">
        <v>174</v>
      </c>
      <c r="N3" s="45" t="s">
        <v>375</v>
      </c>
      <c r="P3" s="45" t="s">
        <v>380</v>
      </c>
      <c r="Q3" s="45" t="s">
        <v>162</v>
      </c>
      <c r="R3" s="45" t="s">
        <v>81</v>
      </c>
      <c r="S3" s="45" t="s">
        <v>392</v>
      </c>
      <c r="T3" s="45" t="s">
        <v>92</v>
      </c>
      <c r="V3" s="45" t="s">
        <v>291</v>
      </c>
      <c r="W3" s="45" t="s">
        <v>194</v>
      </c>
      <c r="X3" s="45" t="s">
        <v>354</v>
      </c>
      <c r="Y3" s="45" t="s">
        <v>138</v>
      </c>
      <c r="Z3" s="45" t="s">
        <v>81</v>
      </c>
      <c r="AA3" s="45" t="s">
        <v>127</v>
      </c>
      <c r="AB3" s="45" t="s">
        <v>128</v>
      </c>
      <c r="AD3" s="45" t="s">
        <v>291</v>
      </c>
      <c r="AE3" s="45" t="s">
        <v>179</v>
      </c>
    </row>
    <row r="4" spans="1:31" x14ac:dyDescent="0.35">
      <c r="A4">
        <v>1</v>
      </c>
      <c r="B4">
        <v>3.1176756475655343</v>
      </c>
      <c r="D4">
        <v>1</v>
      </c>
      <c r="E4" t="e">
        <f ca="1">B4-J$6</f>
        <v>#NAME?</v>
      </c>
      <c r="F4">
        <v>0</v>
      </c>
      <c r="H4" s="137">
        <v>2</v>
      </c>
      <c r="I4" t="e">
        <f ca="1">Q6</f>
        <v>#NAME?</v>
      </c>
      <c r="J4">
        <v>0</v>
      </c>
      <c r="L4" t="e">
        <f t="array" aca="1" ref="L4:N5" ca="1">ARRoots(I4:I5)</f>
        <v>#NAME?</v>
      </c>
      <c r="M4" t="e">
        <f ca="1"/>
        <v>#NAME?</v>
      </c>
      <c r="N4" t="e">
        <f ca="1"/>
        <v>#NAME?</v>
      </c>
      <c r="P4" t="s">
        <v>359</v>
      </c>
      <c r="Q4" t="e">
        <f t="array" aca="1" ref="Q4:R7" ca="1">ARIMA_Coeff(B4:B108,2,1,0,TRUE)</f>
        <v>#NAME?</v>
      </c>
      <c r="R4" t="e">
        <f ca="1"/>
        <v>#NAME?</v>
      </c>
      <c r="S4" t="e">
        <f ca="1">Q4/R4</f>
        <v>#NAME?</v>
      </c>
      <c r="T4" t="e">
        <f ca="1">TDIST(ABS(S4),J$18-J$10-J$11-1,2)</f>
        <v>#NAME?</v>
      </c>
      <c r="V4">
        <f>D4</f>
        <v>1</v>
      </c>
      <c r="W4" t="e">
        <f ca="1">E4</f>
        <v>#NAME?</v>
      </c>
      <c r="X4">
        <f>F4</f>
        <v>0</v>
      </c>
      <c r="Y4" t="e">
        <f ca="1">W4-X4</f>
        <v>#NAME?</v>
      </c>
      <c r="Z4" t="e">
        <f ca="1">J$15</f>
        <v>#NAME?</v>
      </c>
      <c r="AA4" t="e">
        <f ca="1">Y4-NORMSINV(1-Z$2/2)*Z4</f>
        <v>#NAME?</v>
      </c>
      <c r="AB4" t="e">
        <f ca="1">Y4+NORMSINV(1-Z$2/2)*Z4</f>
        <v>#NAME?</v>
      </c>
      <c r="AD4">
        <v>1</v>
      </c>
      <c r="AE4">
        <f>B4</f>
        <v>3.1176756475655343</v>
      </c>
    </row>
    <row r="5" spans="1:31" x14ac:dyDescent="0.35">
      <c r="A5">
        <f t="shared" ref="A5:A68" si="0">A4+1</f>
        <v>2</v>
      </c>
      <c r="B5">
        <v>5.8082510857989273</v>
      </c>
      <c r="D5">
        <f>D4+1</f>
        <v>2</v>
      </c>
      <c r="E5" t="e">
        <f t="shared" ref="E5:E68" ca="1" si="1">B5-J$6</f>
        <v>#NAME?</v>
      </c>
      <c r="F5">
        <v>0</v>
      </c>
      <c r="H5" s="137">
        <f>H4-1</f>
        <v>1</v>
      </c>
      <c r="I5" t="e">
        <f ca="1">Q5</f>
        <v>#NAME?</v>
      </c>
      <c r="J5" t="e">
        <f ca="1">Q7</f>
        <v>#NAME?</v>
      </c>
      <c r="L5" s="4" t="e">
        <f ca="1"/>
        <v>#NAME?</v>
      </c>
      <c r="M5" s="4" t="e">
        <f ca="1"/>
        <v>#NAME?</v>
      </c>
      <c r="N5" s="4" t="e">
        <f ca="1"/>
        <v>#NAME?</v>
      </c>
      <c r="P5" t="s">
        <v>381</v>
      </c>
      <c r="Q5" t="e">
        <f ca="1"/>
        <v>#NAME?</v>
      </c>
      <c r="R5" t="e">
        <f ca="1"/>
        <v>#NAME?</v>
      </c>
      <c r="S5" t="e">
        <f ca="1">Q5/R5</f>
        <v>#NAME?</v>
      </c>
      <c r="T5" t="e">
        <f ca="1">TDIST(ABS(S5),J$18-J$10-J$11-1,2)</f>
        <v>#NAME?</v>
      </c>
      <c r="V5">
        <f t="shared" ref="V5:V68" si="2">D5</f>
        <v>2</v>
      </c>
      <c r="W5" t="e">
        <f t="shared" ref="W5:W68" ca="1" si="3">E5</f>
        <v>#NAME?</v>
      </c>
      <c r="X5">
        <f t="shared" ref="X5:X68" si="4">F5</f>
        <v>0</v>
      </c>
      <c r="Y5" t="e">
        <f t="shared" ref="Y5:Y68" ca="1" si="5">W5-X5</f>
        <v>#NAME?</v>
      </c>
      <c r="Z5" t="e">
        <f t="shared" ref="Z5:Z68" ca="1" si="6">J$15</f>
        <v>#NAME?</v>
      </c>
      <c r="AA5" t="e">
        <f t="shared" ref="AA5:AA68" ca="1" si="7">Y5-NORMSINV(1-Z$2/2)*Z5</f>
        <v>#NAME?</v>
      </c>
      <c r="AB5" t="e">
        <f t="shared" ref="AB5:AB68" ca="1" si="8">Y5+NORMSINV(1-Z$2/2)*Z5</f>
        <v>#NAME?</v>
      </c>
      <c r="AD5">
        <f>AD4+1</f>
        <v>2</v>
      </c>
      <c r="AE5">
        <f>B5</f>
        <v>5.8082510857989273</v>
      </c>
    </row>
    <row r="6" spans="1:31" x14ac:dyDescent="0.35">
      <c r="A6">
        <f t="shared" si="0"/>
        <v>3</v>
      </c>
      <c r="B6">
        <v>4.9067685983817757</v>
      </c>
      <c r="D6">
        <f t="shared" ref="D6:D69" si="9">D5+1</f>
        <v>3</v>
      </c>
      <c r="E6" t="e">
        <f t="shared" ca="1" si="1"/>
        <v>#NAME?</v>
      </c>
      <c r="F6" t="e">
        <f ca="1">E6-SUMPRODUCT(E4:E5,I$4:I$5)-SUMPRODUCT(F5,J$5)</f>
        <v>#NAME?</v>
      </c>
      <c r="H6" s="10" t="s">
        <v>359</v>
      </c>
      <c r="I6" s="4" t="e">
        <f ca="1">Q4</f>
        <v>#NAME?</v>
      </c>
      <c r="J6" s="4" t="e">
        <f ca="1">I6/(1-SUM(I4:I5))</f>
        <v>#NAME?</v>
      </c>
      <c r="P6" t="s">
        <v>399</v>
      </c>
      <c r="Q6" t="e">
        <f ca="1"/>
        <v>#NAME?</v>
      </c>
      <c r="R6" t="e">
        <f ca="1"/>
        <v>#NAME?</v>
      </c>
      <c r="S6" t="e">
        <f ca="1">Q6/R6</f>
        <v>#NAME?</v>
      </c>
      <c r="T6" t="e">
        <f ca="1">TDIST(ABS(S6),J$18-J$10-J$11-1,2)</f>
        <v>#NAME?</v>
      </c>
      <c r="V6">
        <f t="shared" si="2"/>
        <v>3</v>
      </c>
      <c r="W6" t="e">
        <f t="shared" ca="1" si="3"/>
        <v>#NAME?</v>
      </c>
      <c r="X6" t="e">
        <f t="shared" ca="1" si="4"/>
        <v>#NAME?</v>
      </c>
      <c r="Y6" t="e">
        <f t="shared" ca="1" si="5"/>
        <v>#NAME?</v>
      </c>
      <c r="Z6" t="e">
        <f t="shared" ca="1" si="6"/>
        <v>#NAME?</v>
      </c>
      <c r="AA6" t="e">
        <f t="shared" ca="1" si="7"/>
        <v>#NAME?</v>
      </c>
      <c r="AB6" t="e">
        <f t="shared" ca="1" si="8"/>
        <v>#NAME?</v>
      </c>
      <c r="AD6">
        <f t="shared" ref="AD6:AD69" si="10">AD5+1</f>
        <v>3</v>
      </c>
      <c r="AE6">
        <f t="shared" ref="AE6:AE69" si="11">B6</f>
        <v>4.9067685983817757</v>
      </c>
    </row>
    <row r="7" spans="1:31" x14ac:dyDescent="0.35">
      <c r="A7">
        <f t="shared" si="0"/>
        <v>4</v>
      </c>
      <c r="B7">
        <v>6.1194744822602427</v>
      </c>
      <c r="D7">
        <f t="shared" si="9"/>
        <v>4</v>
      </c>
      <c r="E7" t="e">
        <f t="shared" ca="1" si="1"/>
        <v>#NAME?</v>
      </c>
      <c r="F7" t="e">
        <f t="shared" ref="F7:F70" ca="1" si="12">E7-SUMPRODUCT(E5:E6,I$4:I$5)-SUMPRODUCT(F6,J$5)</f>
        <v>#NAME?</v>
      </c>
      <c r="L7" t="s">
        <v>376</v>
      </c>
      <c r="P7" s="4" t="s">
        <v>382</v>
      </c>
      <c r="Q7" s="4" t="e">
        <f ca="1"/>
        <v>#NAME?</v>
      </c>
      <c r="R7" s="4" t="e">
        <f ca="1"/>
        <v>#NAME?</v>
      </c>
      <c r="S7" s="4" t="e">
        <f ca="1">Q7/R7</f>
        <v>#NAME?</v>
      </c>
      <c r="T7" s="4" t="e">
        <f ca="1">TDIST(ABS(S7),J$18-J$10-J$11-1,2)</f>
        <v>#NAME?</v>
      </c>
      <c r="V7">
        <f t="shared" si="2"/>
        <v>4</v>
      </c>
      <c r="W7" t="e">
        <f t="shared" ca="1" si="3"/>
        <v>#NAME?</v>
      </c>
      <c r="X7" t="e">
        <f t="shared" ca="1" si="4"/>
        <v>#NAME?</v>
      </c>
      <c r="Y7" t="e">
        <f t="shared" ca="1" si="5"/>
        <v>#NAME?</v>
      </c>
      <c r="Z7" t="e">
        <f t="shared" ca="1" si="6"/>
        <v>#NAME?</v>
      </c>
      <c r="AA7" t="e">
        <f t="shared" ca="1" si="7"/>
        <v>#NAME?</v>
      </c>
      <c r="AB7" t="e">
        <f t="shared" ca="1" si="8"/>
        <v>#NAME?</v>
      </c>
      <c r="AD7">
        <f t="shared" si="10"/>
        <v>4</v>
      </c>
      <c r="AE7">
        <f t="shared" si="11"/>
        <v>6.1194744822602427</v>
      </c>
    </row>
    <row r="8" spans="1:31" ht="15" thickBot="1" x14ac:dyDescent="0.4">
      <c r="A8">
        <f t="shared" si="0"/>
        <v>5</v>
      </c>
      <c r="B8">
        <v>8.1353263117657075</v>
      </c>
      <c r="D8">
        <f t="shared" si="9"/>
        <v>5</v>
      </c>
      <c r="E8" t="e">
        <f t="shared" ca="1" si="1"/>
        <v>#NAME?</v>
      </c>
      <c r="F8" t="e">
        <f t="shared" ca="1" si="12"/>
        <v>#NAME?</v>
      </c>
      <c r="I8" t="s">
        <v>121</v>
      </c>
      <c r="J8" s="158" t="e">
        <f ca="1">SUMSQ(F6:F108)</f>
        <v>#NAME?</v>
      </c>
      <c r="V8">
        <f t="shared" si="2"/>
        <v>5</v>
      </c>
      <c r="W8" t="e">
        <f t="shared" ca="1" si="3"/>
        <v>#NAME?</v>
      </c>
      <c r="X8" t="e">
        <f t="shared" ca="1" si="4"/>
        <v>#NAME?</v>
      </c>
      <c r="Y8" t="e">
        <f t="shared" ca="1" si="5"/>
        <v>#NAME?</v>
      </c>
      <c r="Z8" t="e">
        <f t="shared" ca="1" si="6"/>
        <v>#NAME?</v>
      </c>
      <c r="AA8" t="e">
        <f t="shared" ca="1" si="7"/>
        <v>#NAME?</v>
      </c>
      <c r="AB8" t="e">
        <f t="shared" ca="1" si="8"/>
        <v>#NAME?</v>
      </c>
      <c r="AD8">
        <f t="shared" si="10"/>
        <v>5</v>
      </c>
      <c r="AE8">
        <f t="shared" si="11"/>
        <v>8.1353263117657075</v>
      </c>
    </row>
    <row r="9" spans="1:31" ht="15" thickTop="1" x14ac:dyDescent="0.35">
      <c r="A9">
        <f t="shared" si="0"/>
        <v>6</v>
      </c>
      <c r="B9">
        <v>9.3448674266459744</v>
      </c>
      <c r="D9">
        <f t="shared" si="9"/>
        <v>6</v>
      </c>
      <c r="E9" t="e">
        <f t="shared" ca="1" si="1"/>
        <v>#NAME?</v>
      </c>
      <c r="F9" t="e">
        <f t="shared" ca="1" si="12"/>
        <v>#NAME?</v>
      </c>
      <c r="L9" s="45" t="s">
        <v>173</v>
      </c>
      <c r="M9" s="45" t="s">
        <v>174</v>
      </c>
      <c r="N9" s="45" t="s">
        <v>375</v>
      </c>
      <c r="P9" t="e">
        <f t="array" aca="1" ref="P9:T13" ca="1">ARIMA_Coeff(B4:B108,2,1,0,TRUE,TRUE)</f>
        <v>#NAME?</v>
      </c>
      <c r="Q9" t="e">
        <f ca="1"/>
        <v>#NAME?</v>
      </c>
      <c r="R9" t="e">
        <f ca="1"/>
        <v>#NAME?</v>
      </c>
      <c r="S9" t="e">
        <f ca="1"/>
        <v>#NAME?</v>
      </c>
      <c r="T9" t="e">
        <f ca="1"/>
        <v>#NAME?</v>
      </c>
      <c r="V9">
        <f t="shared" si="2"/>
        <v>6</v>
      </c>
      <c r="W9" t="e">
        <f t="shared" ca="1" si="3"/>
        <v>#NAME?</v>
      </c>
      <c r="X9" t="e">
        <f t="shared" ca="1" si="4"/>
        <v>#NAME?</v>
      </c>
      <c r="Y9" t="e">
        <f t="shared" ca="1" si="5"/>
        <v>#NAME?</v>
      </c>
      <c r="Z9" t="e">
        <f t="shared" ca="1" si="6"/>
        <v>#NAME?</v>
      </c>
      <c r="AA9" t="e">
        <f t="shared" ca="1" si="7"/>
        <v>#NAME?</v>
      </c>
      <c r="AB9" t="e">
        <f t="shared" ca="1" si="8"/>
        <v>#NAME?</v>
      </c>
      <c r="AD9">
        <f t="shared" si="10"/>
        <v>6</v>
      </c>
      <c r="AE9">
        <f t="shared" si="11"/>
        <v>9.3448674266459744</v>
      </c>
    </row>
    <row r="10" spans="1:31" x14ac:dyDescent="0.35">
      <c r="A10">
        <f t="shared" si="0"/>
        <v>7</v>
      </c>
      <c r="B10">
        <v>9.147650683887159</v>
      </c>
      <c r="D10">
        <f t="shared" si="9"/>
        <v>7</v>
      </c>
      <c r="E10" t="e">
        <f t="shared" ca="1" si="1"/>
        <v>#NAME?</v>
      </c>
      <c r="F10" t="e">
        <f t="shared" ca="1" si="12"/>
        <v>#NAME?</v>
      </c>
      <c r="I10" t="s">
        <v>361</v>
      </c>
      <c r="J10" s="159">
        <v>2</v>
      </c>
      <c r="L10" s="160" t="e">
        <f t="array" aca="1" ref="L10:N10" ca="1">MARoots(J5)</f>
        <v>#NAME?</v>
      </c>
      <c r="M10" s="160" t="e">
        <f ca="1"/>
        <v>#NAME?</v>
      </c>
      <c r="N10" s="160" t="e">
        <f ca="1"/>
        <v>#NAME?</v>
      </c>
      <c r="P10" t="e">
        <f ca="1"/>
        <v>#NAME?</v>
      </c>
      <c r="Q10" s="155" t="e">
        <f ca="1"/>
        <v>#NAME?</v>
      </c>
      <c r="R10" s="161" t="e">
        <f ca="1"/>
        <v>#NAME?</v>
      </c>
      <c r="S10" s="161" t="e">
        <f ca="1"/>
        <v>#NAME?</v>
      </c>
      <c r="T10" s="157" t="e">
        <f ca="1"/>
        <v>#NAME?</v>
      </c>
      <c r="V10">
        <f t="shared" si="2"/>
        <v>7</v>
      </c>
      <c r="W10" t="e">
        <f t="shared" ca="1" si="3"/>
        <v>#NAME?</v>
      </c>
      <c r="X10" t="e">
        <f t="shared" ca="1" si="4"/>
        <v>#NAME?</v>
      </c>
      <c r="Y10" t="e">
        <f t="shared" ca="1" si="5"/>
        <v>#NAME?</v>
      </c>
      <c r="Z10" t="e">
        <f t="shared" ca="1" si="6"/>
        <v>#NAME?</v>
      </c>
      <c r="AA10" t="e">
        <f t="shared" ca="1" si="7"/>
        <v>#NAME?</v>
      </c>
      <c r="AB10" t="e">
        <f t="shared" ca="1" si="8"/>
        <v>#NAME?</v>
      </c>
      <c r="AD10">
        <f t="shared" si="10"/>
        <v>7</v>
      </c>
      <c r="AE10">
        <f t="shared" si="11"/>
        <v>9.147650683887159</v>
      </c>
    </row>
    <row r="11" spans="1:31" x14ac:dyDescent="0.35">
      <c r="A11">
        <f t="shared" si="0"/>
        <v>8</v>
      </c>
      <c r="B11">
        <v>8.1014932813029787</v>
      </c>
      <c r="D11">
        <f t="shared" si="9"/>
        <v>8</v>
      </c>
      <c r="E11" t="e">
        <f t="shared" ca="1" si="1"/>
        <v>#NAME?</v>
      </c>
      <c r="F11" t="e">
        <f t="shared" ca="1" si="12"/>
        <v>#NAME?</v>
      </c>
      <c r="I11" t="s">
        <v>362</v>
      </c>
      <c r="J11" s="107">
        <v>1</v>
      </c>
      <c r="P11" t="e">
        <f ca="1"/>
        <v>#NAME?</v>
      </c>
      <c r="Q11" s="29" t="e">
        <f ca="1"/>
        <v>#NAME?</v>
      </c>
      <c r="R11" s="13" t="e">
        <f ca="1"/>
        <v>#NAME?</v>
      </c>
      <c r="S11" s="13" t="e">
        <f ca="1"/>
        <v>#NAME?</v>
      </c>
      <c r="T11" s="30" t="e">
        <f ca="1"/>
        <v>#NAME?</v>
      </c>
      <c r="V11">
        <f t="shared" si="2"/>
        <v>8</v>
      </c>
      <c r="W11" t="e">
        <f t="shared" ca="1" si="3"/>
        <v>#NAME?</v>
      </c>
      <c r="X11" t="e">
        <f t="shared" ca="1" si="4"/>
        <v>#NAME?</v>
      </c>
      <c r="Y11" t="e">
        <f t="shared" ca="1" si="5"/>
        <v>#NAME?</v>
      </c>
      <c r="Z11" t="e">
        <f t="shared" ca="1" si="6"/>
        <v>#NAME?</v>
      </c>
      <c r="AA11" t="e">
        <f t="shared" ca="1" si="7"/>
        <v>#NAME?</v>
      </c>
      <c r="AB11" t="e">
        <f t="shared" ca="1" si="8"/>
        <v>#NAME?</v>
      </c>
      <c r="AD11">
        <f t="shared" si="10"/>
        <v>8</v>
      </c>
      <c r="AE11">
        <f t="shared" si="11"/>
        <v>8.1014932813029787</v>
      </c>
    </row>
    <row r="12" spans="1:31" x14ac:dyDescent="0.35">
      <c r="A12">
        <f t="shared" si="0"/>
        <v>9</v>
      </c>
      <c r="B12">
        <v>10.146419029172929</v>
      </c>
      <c r="D12">
        <f t="shared" si="9"/>
        <v>9</v>
      </c>
      <c r="E12" t="e">
        <f t="shared" ca="1" si="1"/>
        <v>#NAME?</v>
      </c>
      <c r="F12" t="e">
        <f t="shared" ca="1" si="12"/>
        <v>#NAME?</v>
      </c>
      <c r="I12" t="s">
        <v>363</v>
      </c>
      <c r="J12" s="107">
        <v>0</v>
      </c>
      <c r="L12" t="s">
        <v>377</v>
      </c>
      <c r="P12" t="e">
        <f ca="1"/>
        <v>#NAME?</v>
      </c>
      <c r="Q12" s="29" t="e">
        <f ca="1"/>
        <v>#NAME?</v>
      </c>
      <c r="R12" s="13" t="e">
        <f ca="1"/>
        <v>#NAME?</v>
      </c>
      <c r="S12" s="13" t="e">
        <f ca="1"/>
        <v>#NAME?</v>
      </c>
      <c r="T12" s="30" t="e">
        <f ca="1"/>
        <v>#NAME?</v>
      </c>
      <c r="V12">
        <f t="shared" si="2"/>
        <v>9</v>
      </c>
      <c r="W12" t="e">
        <f t="shared" ca="1" si="3"/>
        <v>#NAME?</v>
      </c>
      <c r="X12" t="e">
        <f t="shared" ca="1" si="4"/>
        <v>#NAME?</v>
      </c>
      <c r="Y12" t="e">
        <f t="shared" ca="1" si="5"/>
        <v>#NAME?</v>
      </c>
      <c r="Z12" t="e">
        <f t="shared" ca="1" si="6"/>
        <v>#NAME?</v>
      </c>
      <c r="AA12" t="e">
        <f t="shared" ca="1" si="7"/>
        <v>#NAME?</v>
      </c>
      <c r="AB12" t="e">
        <f t="shared" ca="1" si="8"/>
        <v>#NAME?</v>
      </c>
      <c r="AD12">
        <f t="shared" si="10"/>
        <v>9</v>
      </c>
      <c r="AE12">
        <f t="shared" si="11"/>
        <v>10.146419029172929</v>
      </c>
    </row>
    <row r="13" spans="1:31" ht="15" thickBot="1" x14ac:dyDescent="0.4">
      <c r="A13">
        <f t="shared" si="0"/>
        <v>10</v>
      </c>
      <c r="B13">
        <v>11.045196349004179</v>
      </c>
      <c r="D13">
        <f t="shared" si="9"/>
        <v>10</v>
      </c>
      <c r="E13" t="e">
        <f t="shared" ca="1" si="1"/>
        <v>#NAME?</v>
      </c>
      <c r="F13" t="e">
        <f t="shared" ca="1" si="12"/>
        <v>#NAME?</v>
      </c>
      <c r="I13" t="s">
        <v>364</v>
      </c>
      <c r="J13" s="107" t="e">
        <f ca="1">AVERAGE(F6:F108)</f>
        <v>#NAME?</v>
      </c>
      <c r="P13" t="e">
        <f ca="1"/>
        <v>#NAME?</v>
      </c>
      <c r="Q13" s="31" t="e">
        <f ca="1"/>
        <v>#NAME?</v>
      </c>
      <c r="R13" s="4" t="e">
        <f ca="1"/>
        <v>#NAME?</v>
      </c>
      <c r="S13" s="4" t="e">
        <f ca="1"/>
        <v>#NAME?</v>
      </c>
      <c r="T13" s="32" t="e">
        <f ca="1"/>
        <v>#NAME?</v>
      </c>
      <c r="V13">
        <f t="shared" si="2"/>
        <v>10</v>
      </c>
      <c r="W13" t="e">
        <f t="shared" ca="1" si="3"/>
        <v>#NAME?</v>
      </c>
      <c r="X13" t="e">
        <f t="shared" ca="1" si="4"/>
        <v>#NAME?</v>
      </c>
      <c r="Y13" t="e">
        <f t="shared" ca="1" si="5"/>
        <v>#NAME?</v>
      </c>
      <c r="Z13" t="e">
        <f t="shared" ca="1" si="6"/>
        <v>#NAME?</v>
      </c>
      <c r="AA13" t="e">
        <f t="shared" ca="1" si="7"/>
        <v>#NAME?</v>
      </c>
      <c r="AB13" t="e">
        <f t="shared" ca="1" si="8"/>
        <v>#NAME?</v>
      </c>
      <c r="AD13">
        <f t="shared" si="10"/>
        <v>10</v>
      </c>
      <c r="AE13">
        <f t="shared" si="11"/>
        <v>11.045196349004179</v>
      </c>
    </row>
    <row r="14" spans="1:31" ht="15" thickTop="1" x14ac:dyDescent="0.35">
      <c r="A14">
        <f t="shared" si="0"/>
        <v>11</v>
      </c>
      <c r="B14">
        <v>10.122578080182986</v>
      </c>
      <c r="D14">
        <f t="shared" si="9"/>
        <v>11</v>
      </c>
      <c r="E14" t="e">
        <f t="shared" ca="1" si="1"/>
        <v>#NAME?</v>
      </c>
      <c r="F14" t="e">
        <f t="shared" ca="1" si="12"/>
        <v>#NAME?</v>
      </c>
      <c r="I14" t="s">
        <v>365</v>
      </c>
      <c r="J14" s="107" t="e">
        <f ca="1">STDEV(F6:F108)</f>
        <v>#NAME?</v>
      </c>
      <c r="L14" s="45" t="s">
        <v>356</v>
      </c>
      <c r="M14" s="45" t="s">
        <v>378</v>
      </c>
      <c r="V14">
        <f t="shared" si="2"/>
        <v>11</v>
      </c>
      <c r="W14" t="e">
        <f t="shared" ca="1" si="3"/>
        <v>#NAME?</v>
      </c>
      <c r="X14" t="e">
        <f t="shared" ca="1" si="4"/>
        <v>#NAME?</v>
      </c>
      <c r="Y14" t="e">
        <f t="shared" ca="1" si="5"/>
        <v>#NAME?</v>
      </c>
      <c r="Z14" t="e">
        <f t="shared" ca="1" si="6"/>
        <v>#NAME?</v>
      </c>
      <c r="AA14" t="e">
        <f t="shared" ca="1" si="7"/>
        <v>#NAME?</v>
      </c>
      <c r="AB14" t="e">
        <f t="shared" ca="1" si="8"/>
        <v>#NAME?</v>
      </c>
      <c r="AD14">
        <f t="shared" si="10"/>
        <v>11</v>
      </c>
      <c r="AE14">
        <f t="shared" si="11"/>
        <v>10.122578080182986</v>
      </c>
    </row>
    <row r="15" spans="1:31" x14ac:dyDescent="0.35">
      <c r="A15">
        <f t="shared" si="0"/>
        <v>12</v>
      </c>
      <c r="B15">
        <v>10.173602244452049</v>
      </c>
      <c r="D15">
        <f t="shared" si="9"/>
        <v>12</v>
      </c>
      <c r="E15" t="e">
        <f t="shared" ca="1" si="1"/>
        <v>#NAME?</v>
      </c>
      <c r="F15" t="e">
        <f t="shared" ca="1" si="12"/>
        <v>#NAME?</v>
      </c>
      <c r="I15" t="s">
        <v>366</v>
      </c>
      <c r="J15" s="107" t="e">
        <f ca="1">SQRT(J8/J18)</f>
        <v>#NAME?</v>
      </c>
      <c r="L15" s="161">
        <v>0</v>
      </c>
      <c r="M15" s="161" t="e">
        <f t="array" aca="1" ref="M15:M19" ca="1">PSICoeff(I4:I5,J5)</f>
        <v>#NAME?</v>
      </c>
      <c r="P15" t="e">
        <f t="array" aca="1" ref="P15:Q21" ca="1">ARIMA_Stats(B4:B108,Q10:Q13,2,1,0,,TRUE)</f>
        <v>#NAME?</v>
      </c>
      <c r="Q15" s="176" t="e">
        <f ca="1"/>
        <v>#NAME?</v>
      </c>
      <c r="V15">
        <f t="shared" si="2"/>
        <v>12</v>
      </c>
      <c r="W15" t="e">
        <f t="shared" ca="1" si="3"/>
        <v>#NAME?</v>
      </c>
      <c r="X15" t="e">
        <f t="shared" ca="1" si="4"/>
        <v>#NAME?</v>
      </c>
      <c r="Y15" t="e">
        <f t="shared" ca="1" si="5"/>
        <v>#NAME?</v>
      </c>
      <c r="Z15" t="e">
        <f t="shared" ca="1" si="6"/>
        <v>#NAME?</v>
      </c>
      <c r="AA15" t="e">
        <f t="shared" ca="1" si="7"/>
        <v>#NAME?</v>
      </c>
      <c r="AB15" t="e">
        <f t="shared" ca="1" si="8"/>
        <v>#NAME?</v>
      </c>
      <c r="AD15">
        <f t="shared" si="10"/>
        <v>12</v>
      </c>
      <c r="AE15">
        <f t="shared" si="11"/>
        <v>10.173602244452049</v>
      </c>
    </row>
    <row r="16" spans="1:31" x14ac:dyDescent="0.35">
      <c r="A16">
        <f t="shared" si="0"/>
        <v>13</v>
      </c>
      <c r="B16">
        <v>10.821309800892813</v>
      </c>
      <c r="D16">
        <f t="shared" si="9"/>
        <v>13</v>
      </c>
      <c r="E16" t="e">
        <f t="shared" ca="1" si="1"/>
        <v>#NAME?</v>
      </c>
      <c r="F16" t="e">
        <f t="shared" ca="1" si="12"/>
        <v>#NAME?</v>
      </c>
      <c r="I16" t="s">
        <v>367</v>
      </c>
      <c r="J16" s="107" t="e">
        <f ca="1">AVERAGE(E6:E108)</f>
        <v>#NAME?</v>
      </c>
      <c r="L16" s="13">
        <f>L15+1</f>
        <v>1</v>
      </c>
      <c r="M16" s="13" t="e">
        <f ca="1"/>
        <v>#NAME?</v>
      </c>
      <c r="P16" t="e">
        <f ca="1"/>
        <v>#NAME?</v>
      </c>
      <c r="Q16" s="24" t="e">
        <f ca="1"/>
        <v>#NAME?</v>
      </c>
      <c r="V16">
        <f t="shared" si="2"/>
        <v>13</v>
      </c>
      <c r="W16" t="e">
        <f t="shared" ca="1" si="3"/>
        <v>#NAME?</v>
      </c>
      <c r="X16" t="e">
        <f t="shared" ca="1" si="4"/>
        <v>#NAME?</v>
      </c>
      <c r="Y16" t="e">
        <f t="shared" ca="1" si="5"/>
        <v>#NAME?</v>
      </c>
      <c r="Z16" t="e">
        <f t="shared" ca="1" si="6"/>
        <v>#NAME?</v>
      </c>
      <c r="AA16" t="e">
        <f t="shared" ca="1" si="7"/>
        <v>#NAME?</v>
      </c>
      <c r="AB16" t="e">
        <f t="shared" ca="1" si="8"/>
        <v>#NAME?</v>
      </c>
      <c r="AD16">
        <f t="shared" si="10"/>
        <v>13</v>
      </c>
      <c r="AE16">
        <f t="shared" si="11"/>
        <v>10.821309800892813</v>
      </c>
    </row>
    <row r="17" spans="1:31" x14ac:dyDescent="0.35">
      <c r="A17">
        <f t="shared" si="0"/>
        <v>14</v>
      </c>
      <c r="B17">
        <v>10.084063249573957</v>
      </c>
      <c r="D17">
        <f t="shared" si="9"/>
        <v>14</v>
      </c>
      <c r="E17" t="e">
        <f t="shared" ca="1" si="1"/>
        <v>#NAME?</v>
      </c>
      <c r="F17" t="e">
        <f t="shared" ca="1" si="12"/>
        <v>#NAME?</v>
      </c>
      <c r="I17" t="s">
        <v>368</v>
      </c>
      <c r="J17" s="107" t="e">
        <f ca="1">STDEV(E6:E108)</f>
        <v>#NAME?</v>
      </c>
      <c r="L17" s="13">
        <f>L16+1</f>
        <v>2</v>
      </c>
      <c r="M17" s="13" t="e">
        <f ca="1"/>
        <v>#NAME?</v>
      </c>
      <c r="P17" t="e">
        <f ca="1"/>
        <v>#NAME?</v>
      </c>
      <c r="Q17" s="24" t="e">
        <f ca="1"/>
        <v>#NAME?</v>
      </c>
      <c r="V17">
        <f t="shared" si="2"/>
        <v>14</v>
      </c>
      <c r="W17" t="e">
        <f t="shared" ca="1" si="3"/>
        <v>#NAME?</v>
      </c>
      <c r="X17" t="e">
        <f t="shared" ca="1" si="4"/>
        <v>#NAME?</v>
      </c>
      <c r="Y17" t="e">
        <f t="shared" ca="1" si="5"/>
        <v>#NAME?</v>
      </c>
      <c r="Z17" t="e">
        <f t="shared" ca="1" si="6"/>
        <v>#NAME?</v>
      </c>
      <c r="AA17" t="e">
        <f t="shared" ca="1" si="7"/>
        <v>#NAME?</v>
      </c>
      <c r="AB17" t="e">
        <f t="shared" ca="1" si="8"/>
        <v>#NAME?</v>
      </c>
      <c r="AD17">
        <f t="shared" si="10"/>
        <v>14</v>
      </c>
      <c r="AE17">
        <f t="shared" si="11"/>
        <v>10.084063249573957</v>
      </c>
    </row>
    <row r="18" spans="1:31" x14ac:dyDescent="0.35">
      <c r="A18">
        <f t="shared" si="0"/>
        <v>15</v>
      </c>
      <c r="B18">
        <v>10.346054055555477</v>
      </c>
      <c r="D18">
        <f t="shared" si="9"/>
        <v>15</v>
      </c>
      <c r="E18" t="e">
        <f t="shared" ca="1" si="1"/>
        <v>#NAME?</v>
      </c>
      <c r="F18" t="e">
        <f t="shared" ca="1" si="12"/>
        <v>#NAME?</v>
      </c>
      <c r="I18" t="s">
        <v>369</v>
      </c>
      <c r="J18" s="108">
        <f ca="1">COUNT(E6:E108)</f>
        <v>0</v>
      </c>
      <c r="L18" s="13">
        <f>L17+1</f>
        <v>3</v>
      </c>
      <c r="M18" s="13" t="e">
        <f ca="1"/>
        <v>#NAME?</v>
      </c>
      <c r="P18" t="e">
        <f ca="1"/>
        <v>#NAME?</v>
      </c>
      <c r="Q18" s="24" t="e">
        <f ca="1"/>
        <v>#NAME?</v>
      </c>
      <c r="V18">
        <f t="shared" si="2"/>
        <v>15</v>
      </c>
      <c r="W18" t="e">
        <f t="shared" ca="1" si="3"/>
        <v>#NAME?</v>
      </c>
      <c r="X18" t="e">
        <f t="shared" ca="1" si="4"/>
        <v>#NAME?</v>
      </c>
      <c r="Y18" t="e">
        <f t="shared" ca="1" si="5"/>
        <v>#NAME?</v>
      </c>
      <c r="Z18" t="e">
        <f t="shared" ca="1" si="6"/>
        <v>#NAME?</v>
      </c>
      <c r="AA18" t="e">
        <f t="shared" ca="1" si="7"/>
        <v>#NAME?</v>
      </c>
      <c r="AB18" t="e">
        <f t="shared" ca="1" si="8"/>
        <v>#NAME?</v>
      </c>
      <c r="AD18">
        <f t="shared" si="10"/>
        <v>15</v>
      </c>
      <c r="AE18">
        <f t="shared" si="11"/>
        <v>10.346054055555477</v>
      </c>
    </row>
    <row r="19" spans="1:31" x14ac:dyDescent="0.35">
      <c r="A19">
        <f t="shared" si="0"/>
        <v>16</v>
      </c>
      <c r="B19">
        <v>9.6922029393025948</v>
      </c>
      <c r="D19">
        <f t="shared" si="9"/>
        <v>16</v>
      </c>
      <c r="E19" t="e">
        <f t="shared" ca="1" si="1"/>
        <v>#NAME?</v>
      </c>
      <c r="F19" t="e">
        <f t="shared" ca="1" si="12"/>
        <v>#NAME?</v>
      </c>
      <c r="L19" s="4">
        <f>L18+1</f>
        <v>4</v>
      </c>
      <c r="M19" s="4" t="e">
        <f ca="1"/>
        <v>#NAME?</v>
      </c>
      <c r="P19" t="e">
        <f ca="1"/>
        <v>#NAME?</v>
      </c>
      <c r="Q19" s="24" t="e">
        <f ca="1"/>
        <v>#NAME?</v>
      </c>
      <c r="V19">
        <f t="shared" si="2"/>
        <v>16</v>
      </c>
      <c r="W19" t="e">
        <f t="shared" ca="1" si="3"/>
        <v>#NAME?</v>
      </c>
      <c r="X19" t="e">
        <f t="shared" ca="1" si="4"/>
        <v>#NAME?</v>
      </c>
      <c r="Y19" t="e">
        <f t="shared" ca="1" si="5"/>
        <v>#NAME?</v>
      </c>
      <c r="Z19" t="e">
        <f t="shared" ca="1" si="6"/>
        <v>#NAME?</v>
      </c>
      <c r="AA19" t="e">
        <f t="shared" ca="1" si="7"/>
        <v>#NAME?</v>
      </c>
      <c r="AB19" t="e">
        <f t="shared" ca="1" si="8"/>
        <v>#NAME?</v>
      </c>
      <c r="AD19">
        <f t="shared" si="10"/>
        <v>16</v>
      </c>
      <c r="AE19">
        <f t="shared" si="11"/>
        <v>9.6922029393025948</v>
      </c>
    </row>
    <row r="20" spans="1:31" x14ac:dyDescent="0.35">
      <c r="A20">
        <f t="shared" si="0"/>
        <v>17</v>
      </c>
      <c r="B20">
        <v>11.205574770625867</v>
      </c>
      <c r="D20">
        <f t="shared" si="9"/>
        <v>17</v>
      </c>
      <c r="E20" t="e">
        <f t="shared" ca="1" si="1"/>
        <v>#NAME?</v>
      </c>
      <c r="F20" t="e">
        <f t="shared" ca="1" si="12"/>
        <v>#NAME?</v>
      </c>
      <c r="I20" t="s">
        <v>370</v>
      </c>
      <c r="J20" s="159" t="e">
        <f ca="1">-(J23-2*(J10+J11+2))/2</f>
        <v>#NAME?</v>
      </c>
      <c r="P20" t="e">
        <f ca="1"/>
        <v>#NAME?</v>
      </c>
      <c r="Q20" s="24" t="e">
        <f ca="1"/>
        <v>#NAME?</v>
      </c>
      <c r="V20">
        <f t="shared" si="2"/>
        <v>17</v>
      </c>
      <c r="W20" t="e">
        <f t="shared" ca="1" si="3"/>
        <v>#NAME?</v>
      </c>
      <c r="X20" t="e">
        <f t="shared" ca="1" si="4"/>
        <v>#NAME?</v>
      </c>
      <c r="Y20" t="e">
        <f t="shared" ca="1" si="5"/>
        <v>#NAME?</v>
      </c>
      <c r="Z20" t="e">
        <f t="shared" ca="1" si="6"/>
        <v>#NAME?</v>
      </c>
      <c r="AA20" t="e">
        <f t="shared" ca="1" si="7"/>
        <v>#NAME?</v>
      </c>
      <c r="AB20" t="e">
        <f t="shared" ca="1" si="8"/>
        <v>#NAME?</v>
      </c>
      <c r="AD20">
        <f t="shared" si="10"/>
        <v>17</v>
      </c>
      <c r="AE20">
        <f t="shared" si="11"/>
        <v>11.205574770625867</v>
      </c>
    </row>
    <row r="21" spans="1:31" x14ac:dyDescent="0.35">
      <c r="A21">
        <f t="shared" si="0"/>
        <v>18</v>
      </c>
      <c r="B21">
        <v>12.652116416514845</v>
      </c>
      <c r="D21">
        <f t="shared" si="9"/>
        <v>18</v>
      </c>
      <c r="E21" t="e">
        <f t="shared" ca="1" si="1"/>
        <v>#NAME?</v>
      </c>
      <c r="F21" t="e">
        <f t="shared" ca="1" si="12"/>
        <v>#NAME?</v>
      </c>
      <c r="I21" t="s">
        <v>145</v>
      </c>
      <c r="J21" s="107" t="e">
        <f ca="1">J18*LN(J8/J18)+2*(J10+J11+2)</f>
        <v>#NAME?</v>
      </c>
      <c r="P21" t="e">
        <f ca="1"/>
        <v>#NAME?</v>
      </c>
      <c r="Q21" s="34" t="e">
        <f ca="1"/>
        <v>#NAME?</v>
      </c>
      <c r="V21">
        <f t="shared" si="2"/>
        <v>18</v>
      </c>
      <c r="W21" t="e">
        <f t="shared" ca="1" si="3"/>
        <v>#NAME?</v>
      </c>
      <c r="X21" t="e">
        <f t="shared" ca="1" si="4"/>
        <v>#NAME?</v>
      </c>
      <c r="Y21" t="e">
        <f t="shared" ca="1" si="5"/>
        <v>#NAME?</v>
      </c>
      <c r="Z21" t="e">
        <f t="shared" ca="1" si="6"/>
        <v>#NAME?</v>
      </c>
      <c r="AA21" t="e">
        <f t="shared" ca="1" si="7"/>
        <v>#NAME?</v>
      </c>
      <c r="AB21" t="e">
        <f t="shared" ca="1" si="8"/>
        <v>#NAME?</v>
      </c>
      <c r="AD21">
        <f t="shared" si="10"/>
        <v>18</v>
      </c>
      <c r="AE21">
        <f t="shared" si="11"/>
        <v>12.652116416514845</v>
      </c>
    </row>
    <row r="22" spans="1:31" x14ac:dyDescent="0.35">
      <c r="A22">
        <f t="shared" si="0"/>
        <v>19</v>
      </c>
      <c r="B22">
        <v>13.406329168635398</v>
      </c>
      <c r="D22">
        <f t="shared" si="9"/>
        <v>19</v>
      </c>
      <c r="E22" t="e">
        <f t="shared" ca="1" si="1"/>
        <v>#NAME?</v>
      </c>
      <c r="F22" t="e">
        <f t="shared" ca="1" si="12"/>
        <v>#NAME?</v>
      </c>
      <c r="I22" t="s">
        <v>371</v>
      </c>
      <c r="J22" s="107" t="e">
        <f ca="1">J18*LN(J8/J18)+LN(J18)*(J10+J11+2)</f>
        <v>#NAME?</v>
      </c>
      <c r="V22">
        <f t="shared" si="2"/>
        <v>19</v>
      </c>
      <c r="W22" t="e">
        <f t="shared" ca="1" si="3"/>
        <v>#NAME?</v>
      </c>
      <c r="X22" t="e">
        <f t="shared" ca="1" si="4"/>
        <v>#NAME?</v>
      </c>
      <c r="Y22" t="e">
        <f t="shared" ca="1" si="5"/>
        <v>#NAME?</v>
      </c>
      <c r="Z22" t="e">
        <f t="shared" ca="1" si="6"/>
        <v>#NAME?</v>
      </c>
      <c r="AA22" t="e">
        <f t="shared" ca="1" si="7"/>
        <v>#NAME?</v>
      </c>
      <c r="AB22" t="e">
        <f t="shared" ca="1" si="8"/>
        <v>#NAME?</v>
      </c>
      <c r="AD22">
        <f t="shared" si="10"/>
        <v>19</v>
      </c>
      <c r="AE22">
        <f t="shared" si="11"/>
        <v>13.406329168635398</v>
      </c>
    </row>
    <row r="23" spans="1:31" x14ac:dyDescent="0.35">
      <c r="A23">
        <f t="shared" si="0"/>
        <v>20</v>
      </c>
      <c r="B23">
        <v>12.231217930183975</v>
      </c>
      <c r="D23">
        <f t="shared" si="9"/>
        <v>20</v>
      </c>
      <c r="E23" t="e">
        <f t="shared" ca="1" si="1"/>
        <v>#NAME?</v>
      </c>
      <c r="F23" t="e">
        <f t="shared" ca="1" si="12"/>
        <v>#NAME?</v>
      </c>
      <c r="I23" t="s">
        <v>372</v>
      </c>
      <c r="J23" s="107" t="e">
        <f ca="1">J18*(1+LN(2*PI()))+J21</f>
        <v>#NAME?</v>
      </c>
      <c r="V23">
        <f t="shared" si="2"/>
        <v>20</v>
      </c>
      <c r="W23" t="e">
        <f t="shared" ca="1" si="3"/>
        <v>#NAME?</v>
      </c>
      <c r="X23" t="e">
        <f t="shared" ca="1" si="4"/>
        <v>#NAME?</v>
      </c>
      <c r="Y23" t="e">
        <f t="shared" ca="1" si="5"/>
        <v>#NAME?</v>
      </c>
      <c r="Z23" t="e">
        <f t="shared" ca="1" si="6"/>
        <v>#NAME?</v>
      </c>
      <c r="AA23" t="e">
        <f t="shared" ca="1" si="7"/>
        <v>#NAME?</v>
      </c>
      <c r="AB23" t="e">
        <f t="shared" ca="1" si="8"/>
        <v>#NAME?</v>
      </c>
      <c r="AD23">
        <f t="shared" si="10"/>
        <v>20</v>
      </c>
      <c r="AE23">
        <f t="shared" si="11"/>
        <v>12.231217930183975</v>
      </c>
    </row>
    <row r="24" spans="1:31" x14ac:dyDescent="0.35">
      <c r="A24">
        <f t="shared" si="0"/>
        <v>21</v>
      </c>
      <c r="B24">
        <v>12.116974455959237</v>
      </c>
      <c r="D24">
        <f t="shared" si="9"/>
        <v>21</v>
      </c>
      <c r="E24" t="e">
        <f t="shared" ca="1" si="1"/>
        <v>#NAME?</v>
      </c>
      <c r="F24" t="e">
        <f t="shared" ca="1" si="12"/>
        <v>#NAME?</v>
      </c>
      <c r="I24" t="s">
        <v>373</v>
      </c>
      <c r="J24" s="108" t="e">
        <f ca="1">J18*(1+LN(2*PI()))+J22</f>
        <v>#NAME?</v>
      </c>
      <c r="V24">
        <f t="shared" si="2"/>
        <v>21</v>
      </c>
      <c r="W24" t="e">
        <f t="shared" ca="1" si="3"/>
        <v>#NAME?</v>
      </c>
      <c r="X24" t="e">
        <f t="shared" ca="1" si="4"/>
        <v>#NAME?</v>
      </c>
      <c r="Y24" t="e">
        <f t="shared" ca="1" si="5"/>
        <v>#NAME?</v>
      </c>
      <c r="Z24" t="e">
        <f t="shared" ca="1" si="6"/>
        <v>#NAME?</v>
      </c>
      <c r="AA24" t="e">
        <f t="shared" ca="1" si="7"/>
        <v>#NAME?</v>
      </c>
      <c r="AB24" t="e">
        <f t="shared" ca="1" si="8"/>
        <v>#NAME?</v>
      </c>
      <c r="AD24">
        <f t="shared" si="10"/>
        <v>21</v>
      </c>
      <c r="AE24">
        <f t="shared" si="11"/>
        <v>12.116974455959237</v>
      </c>
    </row>
    <row r="25" spans="1:31" x14ac:dyDescent="0.35">
      <c r="A25">
        <f t="shared" si="0"/>
        <v>22</v>
      </c>
      <c r="B25">
        <v>10.45988889436091</v>
      </c>
      <c r="D25">
        <f t="shared" si="9"/>
        <v>22</v>
      </c>
      <c r="E25" t="e">
        <f t="shared" ca="1" si="1"/>
        <v>#NAME?</v>
      </c>
      <c r="F25" t="e">
        <f t="shared" ca="1" si="12"/>
        <v>#NAME?</v>
      </c>
      <c r="V25">
        <f t="shared" si="2"/>
        <v>22</v>
      </c>
      <c r="W25" t="e">
        <f t="shared" ca="1" si="3"/>
        <v>#NAME?</v>
      </c>
      <c r="X25" t="e">
        <f t="shared" ca="1" si="4"/>
        <v>#NAME?</v>
      </c>
      <c r="Y25" t="e">
        <f t="shared" ca="1" si="5"/>
        <v>#NAME?</v>
      </c>
      <c r="Z25" t="e">
        <f t="shared" ca="1" si="6"/>
        <v>#NAME?</v>
      </c>
      <c r="AA25" t="e">
        <f t="shared" ca="1" si="7"/>
        <v>#NAME?</v>
      </c>
      <c r="AB25" t="e">
        <f t="shared" ca="1" si="8"/>
        <v>#NAME?</v>
      </c>
      <c r="AD25">
        <f t="shared" si="10"/>
        <v>22</v>
      </c>
      <c r="AE25">
        <f t="shared" si="11"/>
        <v>10.45988889436091</v>
      </c>
    </row>
    <row r="26" spans="1:31" x14ac:dyDescent="0.35">
      <c r="A26">
        <f t="shared" si="0"/>
        <v>23</v>
      </c>
      <c r="B26">
        <v>9.4464576710812267</v>
      </c>
      <c r="D26">
        <f t="shared" si="9"/>
        <v>23</v>
      </c>
      <c r="E26" t="e">
        <f t="shared" ca="1" si="1"/>
        <v>#NAME?</v>
      </c>
      <c r="F26" t="e">
        <f t="shared" ca="1" si="12"/>
        <v>#NAME?</v>
      </c>
      <c r="V26">
        <f t="shared" si="2"/>
        <v>23</v>
      </c>
      <c r="W26" t="e">
        <f t="shared" ca="1" si="3"/>
        <v>#NAME?</v>
      </c>
      <c r="X26" t="e">
        <f t="shared" ca="1" si="4"/>
        <v>#NAME?</v>
      </c>
      <c r="Y26" t="e">
        <f t="shared" ca="1" si="5"/>
        <v>#NAME?</v>
      </c>
      <c r="Z26" t="e">
        <f t="shared" ca="1" si="6"/>
        <v>#NAME?</v>
      </c>
      <c r="AA26" t="e">
        <f t="shared" ca="1" si="7"/>
        <v>#NAME?</v>
      </c>
      <c r="AB26" t="e">
        <f t="shared" ca="1" si="8"/>
        <v>#NAME?</v>
      </c>
      <c r="AD26">
        <f t="shared" si="10"/>
        <v>23</v>
      </c>
      <c r="AE26">
        <f t="shared" si="11"/>
        <v>9.4464576710812267</v>
      </c>
    </row>
    <row r="27" spans="1:31" x14ac:dyDescent="0.35">
      <c r="A27">
        <f t="shared" si="0"/>
        <v>24</v>
      </c>
      <c r="B27">
        <v>11.181030434794321</v>
      </c>
      <c r="D27">
        <f t="shared" si="9"/>
        <v>24</v>
      </c>
      <c r="E27" t="e">
        <f t="shared" ca="1" si="1"/>
        <v>#NAME?</v>
      </c>
      <c r="F27" t="e">
        <f t="shared" ca="1" si="12"/>
        <v>#NAME?</v>
      </c>
      <c r="V27">
        <f t="shared" si="2"/>
        <v>24</v>
      </c>
      <c r="W27" t="e">
        <f t="shared" ca="1" si="3"/>
        <v>#NAME?</v>
      </c>
      <c r="X27" t="e">
        <f t="shared" ca="1" si="4"/>
        <v>#NAME?</v>
      </c>
      <c r="Y27" t="e">
        <f t="shared" ca="1" si="5"/>
        <v>#NAME?</v>
      </c>
      <c r="Z27" t="e">
        <f t="shared" ca="1" si="6"/>
        <v>#NAME?</v>
      </c>
      <c r="AA27" t="e">
        <f t="shared" ca="1" si="7"/>
        <v>#NAME?</v>
      </c>
      <c r="AB27" t="e">
        <f t="shared" ca="1" si="8"/>
        <v>#NAME?</v>
      </c>
      <c r="AD27">
        <f t="shared" si="10"/>
        <v>24</v>
      </c>
      <c r="AE27">
        <f t="shared" si="11"/>
        <v>11.181030434794321</v>
      </c>
    </row>
    <row r="28" spans="1:31" x14ac:dyDescent="0.35">
      <c r="A28">
        <f t="shared" si="0"/>
        <v>25</v>
      </c>
      <c r="B28">
        <v>7.5853602163456753</v>
      </c>
      <c r="D28">
        <f t="shared" si="9"/>
        <v>25</v>
      </c>
      <c r="E28" t="e">
        <f t="shared" ca="1" si="1"/>
        <v>#NAME?</v>
      </c>
      <c r="F28" t="e">
        <f t="shared" ca="1" si="12"/>
        <v>#NAME?</v>
      </c>
      <c r="V28">
        <f t="shared" si="2"/>
        <v>25</v>
      </c>
      <c r="W28" t="e">
        <f t="shared" ca="1" si="3"/>
        <v>#NAME?</v>
      </c>
      <c r="X28" t="e">
        <f t="shared" ca="1" si="4"/>
        <v>#NAME?</v>
      </c>
      <c r="Y28" t="e">
        <f t="shared" ca="1" si="5"/>
        <v>#NAME?</v>
      </c>
      <c r="Z28" t="e">
        <f t="shared" ca="1" si="6"/>
        <v>#NAME?</v>
      </c>
      <c r="AA28" t="e">
        <f t="shared" ca="1" si="7"/>
        <v>#NAME?</v>
      </c>
      <c r="AB28" t="e">
        <f t="shared" ca="1" si="8"/>
        <v>#NAME?</v>
      </c>
      <c r="AD28">
        <f t="shared" si="10"/>
        <v>25</v>
      </c>
      <c r="AE28">
        <f t="shared" si="11"/>
        <v>7.5853602163456753</v>
      </c>
    </row>
    <row r="29" spans="1:31" x14ac:dyDescent="0.35">
      <c r="A29">
        <f t="shared" si="0"/>
        <v>26</v>
      </c>
      <c r="B29">
        <v>10.978531861411668</v>
      </c>
      <c r="D29">
        <f t="shared" si="9"/>
        <v>26</v>
      </c>
      <c r="E29" t="e">
        <f t="shared" ca="1" si="1"/>
        <v>#NAME?</v>
      </c>
      <c r="F29" t="e">
        <f t="shared" ca="1" si="12"/>
        <v>#NAME?</v>
      </c>
      <c r="V29">
        <f t="shared" si="2"/>
        <v>26</v>
      </c>
      <c r="W29" t="e">
        <f t="shared" ca="1" si="3"/>
        <v>#NAME?</v>
      </c>
      <c r="X29" t="e">
        <f t="shared" ca="1" si="4"/>
        <v>#NAME?</v>
      </c>
      <c r="Y29" t="e">
        <f t="shared" ca="1" si="5"/>
        <v>#NAME?</v>
      </c>
      <c r="Z29" t="e">
        <f t="shared" ca="1" si="6"/>
        <v>#NAME?</v>
      </c>
      <c r="AA29" t="e">
        <f t="shared" ca="1" si="7"/>
        <v>#NAME?</v>
      </c>
      <c r="AB29" t="e">
        <f t="shared" ca="1" si="8"/>
        <v>#NAME?</v>
      </c>
      <c r="AD29">
        <f t="shared" si="10"/>
        <v>26</v>
      </c>
      <c r="AE29">
        <f t="shared" si="11"/>
        <v>10.978531861411668</v>
      </c>
    </row>
    <row r="30" spans="1:31" x14ac:dyDescent="0.35">
      <c r="A30">
        <f t="shared" si="0"/>
        <v>27</v>
      </c>
      <c r="B30">
        <v>10.550225208625736</v>
      </c>
      <c r="D30">
        <f t="shared" si="9"/>
        <v>27</v>
      </c>
      <c r="E30" t="e">
        <f t="shared" ca="1" si="1"/>
        <v>#NAME?</v>
      </c>
      <c r="F30" t="e">
        <f t="shared" ca="1" si="12"/>
        <v>#NAME?</v>
      </c>
      <c r="V30">
        <f t="shared" si="2"/>
        <v>27</v>
      </c>
      <c r="W30" t="e">
        <f t="shared" ca="1" si="3"/>
        <v>#NAME?</v>
      </c>
      <c r="X30" t="e">
        <f t="shared" ca="1" si="4"/>
        <v>#NAME?</v>
      </c>
      <c r="Y30" t="e">
        <f t="shared" ca="1" si="5"/>
        <v>#NAME?</v>
      </c>
      <c r="Z30" t="e">
        <f t="shared" ca="1" si="6"/>
        <v>#NAME?</v>
      </c>
      <c r="AA30" t="e">
        <f t="shared" ca="1" si="7"/>
        <v>#NAME?</v>
      </c>
      <c r="AB30" t="e">
        <f t="shared" ca="1" si="8"/>
        <v>#NAME?</v>
      </c>
      <c r="AD30">
        <f t="shared" si="10"/>
        <v>27</v>
      </c>
      <c r="AE30">
        <f t="shared" si="11"/>
        <v>10.550225208625736</v>
      </c>
    </row>
    <row r="31" spans="1:31" x14ac:dyDescent="0.35">
      <c r="A31">
        <f t="shared" si="0"/>
        <v>28</v>
      </c>
      <c r="B31">
        <v>11.227461431044995</v>
      </c>
      <c r="D31">
        <f t="shared" si="9"/>
        <v>28</v>
      </c>
      <c r="E31" t="e">
        <f t="shared" ca="1" si="1"/>
        <v>#NAME?</v>
      </c>
      <c r="F31" t="e">
        <f t="shared" ca="1" si="12"/>
        <v>#NAME?</v>
      </c>
      <c r="V31">
        <f t="shared" si="2"/>
        <v>28</v>
      </c>
      <c r="W31" t="e">
        <f t="shared" ca="1" si="3"/>
        <v>#NAME?</v>
      </c>
      <c r="X31" t="e">
        <f t="shared" ca="1" si="4"/>
        <v>#NAME?</v>
      </c>
      <c r="Y31" t="e">
        <f t="shared" ca="1" si="5"/>
        <v>#NAME?</v>
      </c>
      <c r="Z31" t="e">
        <f t="shared" ca="1" si="6"/>
        <v>#NAME?</v>
      </c>
      <c r="AA31" t="e">
        <f t="shared" ca="1" si="7"/>
        <v>#NAME?</v>
      </c>
      <c r="AB31" t="e">
        <f t="shared" ca="1" si="8"/>
        <v>#NAME?</v>
      </c>
      <c r="AD31">
        <f t="shared" si="10"/>
        <v>28</v>
      </c>
      <c r="AE31">
        <f t="shared" si="11"/>
        <v>11.227461431044995</v>
      </c>
    </row>
    <row r="32" spans="1:31" x14ac:dyDescent="0.35">
      <c r="A32">
        <f t="shared" si="0"/>
        <v>29</v>
      </c>
      <c r="B32">
        <v>9.0761713255316874</v>
      </c>
      <c r="D32">
        <f t="shared" si="9"/>
        <v>29</v>
      </c>
      <c r="E32" t="e">
        <f t="shared" ca="1" si="1"/>
        <v>#NAME?</v>
      </c>
      <c r="F32" t="e">
        <f t="shared" ca="1" si="12"/>
        <v>#NAME?</v>
      </c>
      <c r="V32">
        <f t="shared" si="2"/>
        <v>29</v>
      </c>
      <c r="W32" t="e">
        <f t="shared" ca="1" si="3"/>
        <v>#NAME?</v>
      </c>
      <c r="X32" t="e">
        <f t="shared" ca="1" si="4"/>
        <v>#NAME?</v>
      </c>
      <c r="Y32" t="e">
        <f t="shared" ca="1" si="5"/>
        <v>#NAME?</v>
      </c>
      <c r="Z32" t="e">
        <f t="shared" ca="1" si="6"/>
        <v>#NAME?</v>
      </c>
      <c r="AA32" t="e">
        <f t="shared" ca="1" si="7"/>
        <v>#NAME?</v>
      </c>
      <c r="AB32" t="e">
        <f t="shared" ca="1" si="8"/>
        <v>#NAME?</v>
      </c>
      <c r="AD32">
        <f t="shared" si="10"/>
        <v>29</v>
      </c>
      <c r="AE32">
        <f t="shared" si="11"/>
        <v>9.0761713255316874</v>
      </c>
    </row>
    <row r="33" spans="1:31" x14ac:dyDescent="0.35">
      <c r="A33">
        <f t="shared" si="0"/>
        <v>30</v>
      </c>
      <c r="B33">
        <v>9.9094956509085375</v>
      </c>
      <c r="D33">
        <f t="shared" si="9"/>
        <v>30</v>
      </c>
      <c r="E33" t="e">
        <f t="shared" ca="1" si="1"/>
        <v>#NAME?</v>
      </c>
      <c r="F33" t="e">
        <f t="shared" ca="1" si="12"/>
        <v>#NAME?</v>
      </c>
      <c r="V33">
        <f t="shared" si="2"/>
        <v>30</v>
      </c>
      <c r="W33" t="e">
        <f t="shared" ca="1" si="3"/>
        <v>#NAME?</v>
      </c>
      <c r="X33" t="e">
        <f t="shared" ca="1" si="4"/>
        <v>#NAME?</v>
      </c>
      <c r="Y33" t="e">
        <f t="shared" ca="1" si="5"/>
        <v>#NAME?</v>
      </c>
      <c r="Z33" t="e">
        <f t="shared" ca="1" si="6"/>
        <v>#NAME?</v>
      </c>
      <c r="AA33" t="e">
        <f t="shared" ca="1" si="7"/>
        <v>#NAME?</v>
      </c>
      <c r="AB33" t="e">
        <f t="shared" ca="1" si="8"/>
        <v>#NAME?</v>
      </c>
      <c r="AD33">
        <f t="shared" si="10"/>
        <v>30</v>
      </c>
      <c r="AE33">
        <f t="shared" si="11"/>
        <v>9.9094956509085375</v>
      </c>
    </row>
    <row r="34" spans="1:31" x14ac:dyDescent="0.35">
      <c r="A34">
        <f t="shared" si="0"/>
        <v>31</v>
      </c>
      <c r="B34">
        <v>11.683635570981139</v>
      </c>
      <c r="D34">
        <f t="shared" si="9"/>
        <v>31</v>
      </c>
      <c r="E34" t="e">
        <f t="shared" ca="1" si="1"/>
        <v>#NAME?</v>
      </c>
      <c r="F34" t="e">
        <f t="shared" ca="1" si="12"/>
        <v>#NAME?</v>
      </c>
      <c r="V34">
        <f t="shared" si="2"/>
        <v>31</v>
      </c>
      <c r="W34" t="e">
        <f t="shared" ca="1" si="3"/>
        <v>#NAME?</v>
      </c>
      <c r="X34" t="e">
        <f t="shared" ca="1" si="4"/>
        <v>#NAME?</v>
      </c>
      <c r="Y34" t="e">
        <f t="shared" ca="1" si="5"/>
        <v>#NAME?</v>
      </c>
      <c r="Z34" t="e">
        <f t="shared" ca="1" si="6"/>
        <v>#NAME?</v>
      </c>
      <c r="AA34" t="e">
        <f t="shared" ca="1" si="7"/>
        <v>#NAME?</v>
      </c>
      <c r="AB34" t="e">
        <f t="shared" ca="1" si="8"/>
        <v>#NAME?</v>
      </c>
      <c r="AD34">
        <f t="shared" si="10"/>
        <v>31</v>
      </c>
      <c r="AE34">
        <f t="shared" si="11"/>
        <v>11.683635570981139</v>
      </c>
    </row>
    <row r="35" spans="1:31" x14ac:dyDescent="0.35">
      <c r="A35">
        <f t="shared" si="0"/>
        <v>32</v>
      </c>
      <c r="B35">
        <v>9.3891181090456559</v>
      </c>
      <c r="D35">
        <f t="shared" si="9"/>
        <v>32</v>
      </c>
      <c r="E35" t="e">
        <f t="shared" ca="1" si="1"/>
        <v>#NAME?</v>
      </c>
      <c r="F35" t="e">
        <f t="shared" ca="1" si="12"/>
        <v>#NAME?</v>
      </c>
      <c r="V35">
        <f t="shared" si="2"/>
        <v>32</v>
      </c>
      <c r="W35" t="e">
        <f t="shared" ca="1" si="3"/>
        <v>#NAME?</v>
      </c>
      <c r="X35" t="e">
        <f t="shared" ca="1" si="4"/>
        <v>#NAME?</v>
      </c>
      <c r="Y35" t="e">
        <f t="shared" ca="1" si="5"/>
        <v>#NAME?</v>
      </c>
      <c r="Z35" t="e">
        <f t="shared" ca="1" si="6"/>
        <v>#NAME?</v>
      </c>
      <c r="AA35" t="e">
        <f t="shared" ca="1" si="7"/>
        <v>#NAME?</v>
      </c>
      <c r="AB35" t="e">
        <f t="shared" ca="1" si="8"/>
        <v>#NAME?</v>
      </c>
      <c r="AD35">
        <f t="shared" si="10"/>
        <v>32</v>
      </c>
      <c r="AE35">
        <f t="shared" si="11"/>
        <v>9.3891181090456559</v>
      </c>
    </row>
    <row r="36" spans="1:31" x14ac:dyDescent="0.35">
      <c r="A36">
        <f t="shared" si="0"/>
        <v>33</v>
      </c>
      <c r="B36">
        <v>11.280967352963561</v>
      </c>
      <c r="D36">
        <f t="shared" si="9"/>
        <v>33</v>
      </c>
      <c r="E36" t="e">
        <f t="shared" ca="1" si="1"/>
        <v>#NAME?</v>
      </c>
      <c r="F36" t="e">
        <f t="shared" ca="1" si="12"/>
        <v>#NAME?</v>
      </c>
      <c r="V36">
        <f t="shared" si="2"/>
        <v>33</v>
      </c>
      <c r="W36" t="e">
        <f t="shared" ca="1" si="3"/>
        <v>#NAME?</v>
      </c>
      <c r="X36" t="e">
        <f t="shared" ca="1" si="4"/>
        <v>#NAME?</v>
      </c>
      <c r="Y36" t="e">
        <f t="shared" ca="1" si="5"/>
        <v>#NAME?</v>
      </c>
      <c r="Z36" t="e">
        <f t="shared" ca="1" si="6"/>
        <v>#NAME?</v>
      </c>
      <c r="AA36" t="e">
        <f t="shared" ca="1" si="7"/>
        <v>#NAME?</v>
      </c>
      <c r="AB36" t="e">
        <f t="shared" ca="1" si="8"/>
        <v>#NAME?</v>
      </c>
      <c r="AD36">
        <f t="shared" si="10"/>
        <v>33</v>
      </c>
      <c r="AE36">
        <f t="shared" si="11"/>
        <v>11.280967352963561</v>
      </c>
    </row>
    <row r="37" spans="1:31" x14ac:dyDescent="0.35">
      <c r="A37">
        <f t="shared" si="0"/>
        <v>34</v>
      </c>
      <c r="B37">
        <v>9.0777000543373685</v>
      </c>
      <c r="D37">
        <f t="shared" si="9"/>
        <v>34</v>
      </c>
      <c r="E37" t="e">
        <f t="shared" ca="1" si="1"/>
        <v>#NAME?</v>
      </c>
      <c r="F37" t="e">
        <f t="shared" ca="1" si="12"/>
        <v>#NAME?</v>
      </c>
      <c r="V37">
        <f t="shared" si="2"/>
        <v>34</v>
      </c>
      <c r="W37" t="e">
        <f t="shared" ca="1" si="3"/>
        <v>#NAME?</v>
      </c>
      <c r="X37" t="e">
        <f t="shared" ca="1" si="4"/>
        <v>#NAME?</v>
      </c>
      <c r="Y37" t="e">
        <f t="shared" ca="1" si="5"/>
        <v>#NAME?</v>
      </c>
      <c r="Z37" t="e">
        <f t="shared" ca="1" si="6"/>
        <v>#NAME?</v>
      </c>
      <c r="AA37" t="e">
        <f t="shared" ca="1" si="7"/>
        <v>#NAME?</v>
      </c>
      <c r="AB37" t="e">
        <f t="shared" ca="1" si="8"/>
        <v>#NAME?</v>
      </c>
      <c r="AD37">
        <f t="shared" si="10"/>
        <v>34</v>
      </c>
      <c r="AE37">
        <f t="shared" si="11"/>
        <v>9.0777000543373685</v>
      </c>
    </row>
    <row r="38" spans="1:31" x14ac:dyDescent="0.35">
      <c r="A38">
        <f t="shared" si="0"/>
        <v>35</v>
      </c>
      <c r="B38">
        <v>9.4218520797101899</v>
      </c>
      <c r="D38">
        <f t="shared" si="9"/>
        <v>35</v>
      </c>
      <c r="E38" t="e">
        <f t="shared" ca="1" si="1"/>
        <v>#NAME?</v>
      </c>
      <c r="F38" t="e">
        <f t="shared" ca="1" si="12"/>
        <v>#NAME?</v>
      </c>
      <c r="V38">
        <f t="shared" si="2"/>
        <v>35</v>
      </c>
      <c r="W38" t="e">
        <f t="shared" ca="1" si="3"/>
        <v>#NAME?</v>
      </c>
      <c r="X38" t="e">
        <f t="shared" ca="1" si="4"/>
        <v>#NAME?</v>
      </c>
      <c r="Y38" t="e">
        <f t="shared" ca="1" si="5"/>
        <v>#NAME?</v>
      </c>
      <c r="Z38" t="e">
        <f t="shared" ca="1" si="6"/>
        <v>#NAME?</v>
      </c>
      <c r="AA38" t="e">
        <f t="shared" ca="1" si="7"/>
        <v>#NAME?</v>
      </c>
      <c r="AB38" t="e">
        <f t="shared" ca="1" si="8"/>
        <v>#NAME?</v>
      </c>
      <c r="AD38">
        <f t="shared" si="10"/>
        <v>35</v>
      </c>
      <c r="AE38">
        <f t="shared" si="11"/>
        <v>9.4218520797101899</v>
      </c>
    </row>
    <row r="39" spans="1:31" x14ac:dyDescent="0.35">
      <c r="A39">
        <f t="shared" si="0"/>
        <v>36</v>
      </c>
      <c r="B39">
        <v>10.768670766726222</v>
      </c>
      <c r="D39">
        <f t="shared" si="9"/>
        <v>36</v>
      </c>
      <c r="E39" t="e">
        <f t="shared" ca="1" si="1"/>
        <v>#NAME?</v>
      </c>
      <c r="F39" t="e">
        <f t="shared" ca="1" si="12"/>
        <v>#NAME?</v>
      </c>
      <c r="V39">
        <f t="shared" si="2"/>
        <v>36</v>
      </c>
      <c r="W39" t="e">
        <f t="shared" ca="1" si="3"/>
        <v>#NAME?</v>
      </c>
      <c r="X39" t="e">
        <f t="shared" ca="1" si="4"/>
        <v>#NAME?</v>
      </c>
      <c r="Y39" t="e">
        <f t="shared" ca="1" si="5"/>
        <v>#NAME?</v>
      </c>
      <c r="Z39" t="e">
        <f t="shared" ca="1" si="6"/>
        <v>#NAME?</v>
      </c>
      <c r="AA39" t="e">
        <f t="shared" ca="1" si="7"/>
        <v>#NAME?</v>
      </c>
      <c r="AB39" t="e">
        <f t="shared" ca="1" si="8"/>
        <v>#NAME?</v>
      </c>
      <c r="AD39">
        <f t="shared" si="10"/>
        <v>36</v>
      </c>
      <c r="AE39">
        <f t="shared" si="11"/>
        <v>10.768670766726222</v>
      </c>
    </row>
    <row r="40" spans="1:31" x14ac:dyDescent="0.35">
      <c r="A40">
        <f t="shared" si="0"/>
        <v>37</v>
      </c>
      <c r="B40">
        <v>10.044686426220611</v>
      </c>
      <c r="D40">
        <f t="shared" si="9"/>
        <v>37</v>
      </c>
      <c r="E40" t="e">
        <f t="shared" ca="1" si="1"/>
        <v>#NAME?</v>
      </c>
      <c r="F40" t="e">
        <f t="shared" ca="1" si="12"/>
        <v>#NAME?</v>
      </c>
      <c r="V40">
        <f t="shared" si="2"/>
        <v>37</v>
      </c>
      <c r="W40" t="e">
        <f t="shared" ca="1" si="3"/>
        <v>#NAME?</v>
      </c>
      <c r="X40" t="e">
        <f t="shared" ca="1" si="4"/>
        <v>#NAME?</v>
      </c>
      <c r="Y40" t="e">
        <f t="shared" ca="1" si="5"/>
        <v>#NAME?</v>
      </c>
      <c r="Z40" t="e">
        <f t="shared" ca="1" si="6"/>
        <v>#NAME?</v>
      </c>
      <c r="AA40" t="e">
        <f t="shared" ca="1" si="7"/>
        <v>#NAME?</v>
      </c>
      <c r="AB40" t="e">
        <f t="shared" ca="1" si="8"/>
        <v>#NAME?</v>
      </c>
      <c r="AD40">
        <f t="shared" si="10"/>
        <v>37</v>
      </c>
      <c r="AE40">
        <f t="shared" si="11"/>
        <v>10.044686426220611</v>
      </c>
    </row>
    <row r="41" spans="1:31" x14ac:dyDescent="0.35">
      <c r="A41">
        <f t="shared" si="0"/>
        <v>38</v>
      </c>
      <c r="B41">
        <v>9.5026475408720934</v>
      </c>
      <c r="D41">
        <f t="shared" si="9"/>
        <v>38</v>
      </c>
      <c r="E41" t="e">
        <f t="shared" ca="1" si="1"/>
        <v>#NAME?</v>
      </c>
      <c r="F41" t="e">
        <f t="shared" ca="1" si="12"/>
        <v>#NAME?</v>
      </c>
      <c r="V41">
        <f t="shared" si="2"/>
        <v>38</v>
      </c>
      <c r="W41" t="e">
        <f t="shared" ca="1" si="3"/>
        <v>#NAME?</v>
      </c>
      <c r="X41" t="e">
        <f t="shared" ca="1" si="4"/>
        <v>#NAME?</v>
      </c>
      <c r="Y41" t="e">
        <f t="shared" ca="1" si="5"/>
        <v>#NAME?</v>
      </c>
      <c r="Z41" t="e">
        <f t="shared" ca="1" si="6"/>
        <v>#NAME?</v>
      </c>
      <c r="AA41" t="e">
        <f t="shared" ca="1" si="7"/>
        <v>#NAME?</v>
      </c>
      <c r="AB41" t="e">
        <f t="shared" ca="1" si="8"/>
        <v>#NAME?</v>
      </c>
      <c r="AD41">
        <f t="shared" si="10"/>
        <v>38</v>
      </c>
      <c r="AE41">
        <f t="shared" si="11"/>
        <v>9.5026475408720934</v>
      </c>
    </row>
    <row r="42" spans="1:31" x14ac:dyDescent="0.35">
      <c r="A42">
        <f t="shared" si="0"/>
        <v>39</v>
      </c>
      <c r="B42">
        <v>12.016635145209889</v>
      </c>
      <c r="D42">
        <f t="shared" si="9"/>
        <v>39</v>
      </c>
      <c r="E42" t="e">
        <f t="shared" ca="1" si="1"/>
        <v>#NAME?</v>
      </c>
      <c r="F42" t="e">
        <f t="shared" ca="1" si="12"/>
        <v>#NAME?</v>
      </c>
      <c r="V42">
        <f t="shared" si="2"/>
        <v>39</v>
      </c>
      <c r="W42" t="e">
        <f t="shared" ca="1" si="3"/>
        <v>#NAME?</v>
      </c>
      <c r="X42" t="e">
        <f t="shared" ca="1" si="4"/>
        <v>#NAME?</v>
      </c>
      <c r="Y42" t="e">
        <f t="shared" ca="1" si="5"/>
        <v>#NAME?</v>
      </c>
      <c r="Z42" t="e">
        <f t="shared" ca="1" si="6"/>
        <v>#NAME?</v>
      </c>
      <c r="AA42" t="e">
        <f t="shared" ca="1" si="7"/>
        <v>#NAME?</v>
      </c>
      <c r="AB42" t="e">
        <f t="shared" ca="1" si="8"/>
        <v>#NAME?</v>
      </c>
      <c r="AD42">
        <f t="shared" si="10"/>
        <v>39</v>
      </c>
      <c r="AE42">
        <f t="shared" si="11"/>
        <v>12.016635145209889</v>
      </c>
    </row>
    <row r="43" spans="1:31" x14ac:dyDescent="0.35">
      <c r="A43">
        <f t="shared" si="0"/>
        <v>40</v>
      </c>
      <c r="B43">
        <v>9.6075824244635548</v>
      </c>
      <c r="D43">
        <f t="shared" si="9"/>
        <v>40</v>
      </c>
      <c r="E43" t="e">
        <f t="shared" ca="1" si="1"/>
        <v>#NAME?</v>
      </c>
      <c r="F43" t="e">
        <f t="shared" ca="1" si="12"/>
        <v>#NAME?</v>
      </c>
      <c r="V43">
        <f t="shared" si="2"/>
        <v>40</v>
      </c>
      <c r="W43" t="e">
        <f t="shared" ca="1" si="3"/>
        <v>#NAME?</v>
      </c>
      <c r="X43" t="e">
        <f t="shared" ca="1" si="4"/>
        <v>#NAME?</v>
      </c>
      <c r="Y43" t="e">
        <f t="shared" ca="1" si="5"/>
        <v>#NAME?</v>
      </c>
      <c r="Z43" t="e">
        <f t="shared" ca="1" si="6"/>
        <v>#NAME?</v>
      </c>
      <c r="AA43" t="e">
        <f t="shared" ca="1" si="7"/>
        <v>#NAME?</v>
      </c>
      <c r="AB43" t="e">
        <f t="shared" ca="1" si="8"/>
        <v>#NAME?</v>
      </c>
      <c r="AD43">
        <f t="shared" si="10"/>
        <v>40</v>
      </c>
      <c r="AE43">
        <f t="shared" si="11"/>
        <v>9.6075824244635548</v>
      </c>
    </row>
    <row r="44" spans="1:31" x14ac:dyDescent="0.35">
      <c r="A44">
        <f t="shared" si="0"/>
        <v>41</v>
      </c>
      <c r="B44">
        <v>10.47879870661002</v>
      </c>
      <c r="D44">
        <f t="shared" si="9"/>
        <v>41</v>
      </c>
      <c r="E44" t="e">
        <f t="shared" ca="1" si="1"/>
        <v>#NAME?</v>
      </c>
      <c r="F44" t="e">
        <f t="shared" ca="1" si="12"/>
        <v>#NAME?</v>
      </c>
      <c r="V44">
        <f t="shared" si="2"/>
        <v>41</v>
      </c>
      <c r="W44" t="e">
        <f t="shared" ca="1" si="3"/>
        <v>#NAME?</v>
      </c>
      <c r="X44" t="e">
        <f t="shared" ca="1" si="4"/>
        <v>#NAME?</v>
      </c>
      <c r="Y44" t="e">
        <f t="shared" ca="1" si="5"/>
        <v>#NAME?</v>
      </c>
      <c r="Z44" t="e">
        <f t="shared" ca="1" si="6"/>
        <v>#NAME?</v>
      </c>
      <c r="AA44" t="e">
        <f t="shared" ca="1" si="7"/>
        <v>#NAME?</v>
      </c>
      <c r="AB44" t="e">
        <f t="shared" ca="1" si="8"/>
        <v>#NAME?</v>
      </c>
      <c r="AD44">
        <f t="shared" si="10"/>
        <v>41</v>
      </c>
      <c r="AE44">
        <f t="shared" si="11"/>
        <v>10.47879870661002</v>
      </c>
    </row>
    <row r="45" spans="1:31" x14ac:dyDescent="0.35">
      <c r="A45">
        <f t="shared" si="0"/>
        <v>42</v>
      </c>
      <c r="B45">
        <v>10.131145996118137</v>
      </c>
      <c r="D45">
        <f t="shared" si="9"/>
        <v>42</v>
      </c>
      <c r="E45" t="e">
        <f t="shared" ca="1" si="1"/>
        <v>#NAME?</v>
      </c>
      <c r="F45" t="e">
        <f t="shared" ca="1" si="12"/>
        <v>#NAME?</v>
      </c>
      <c r="V45">
        <f t="shared" si="2"/>
        <v>42</v>
      </c>
      <c r="W45" t="e">
        <f t="shared" ca="1" si="3"/>
        <v>#NAME?</v>
      </c>
      <c r="X45" t="e">
        <f t="shared" ca="1" si="4"/>
        <v>#NAME?</v>
      </c>
      <c r="Y45" t="e">
        <f t="shared" ca="1" si="5"/>
        <v>#NAME?</v>
      </c>
      <c r="Z45" t="e">
        <f t="shared" ca="1" si="6"/>
        <v>#NAME?</v>
      </c>
      <c r="AA45" t="e">
        <f t="shared" ca="1" si="7"/>
        <v>#NAME?</v>
      </c>
      <c r="AB45" t="e">
        <f t="shared" ca="1" si="8"/>
        <v>#NAME?</v>
      </c>
      <c r="AD45">
        <f t="shared" si="10"/>
        <v>42</v>
      </c>
      <c r="AE45">
        <f t="shared" si="11"/>
        <v>10.131145996118137</v>
      </c>
    </row>
    <row r="46" spans="1:31" x14ac:dyDescent="0.35">
      <c r="A46">
        <f t="shared" si="0"/>
        <v>43</v>
      </c>
      <c r="B46">
        <v>9.3102529930939451</v>
      </c>
      <c r="D46">
        <f t="shared" si="9"/>
        <v>43</v>
      </c>
      <c r="E46" t="e">
        <f t="shared" ca="1" si="1"/>
        <v>#NAME?</v>
      </c>
      <c r="F46" t="e">
        <f t="shared" ca="1" si="12"/>
        <v>#NAME?</v>
      </c>
      <c r="V46">
        <f t="shared" si="2"/>
        <v>43</v>
      </c>
      <c r="W46" t="e">
        <f t="shared" ca="1" si="3"/>
        <v>#NAME?</v>
      </c>
      <c r="X46" t="e">
        <f t="shared" ca="1" si="4"/>
        <v>#NAME?</v>
      </c>
      <c r="Y46" t="e">
        <f t="shared" ca="1" si="5"/>
        <v>#NAME?</v>
      </c>
      <c r="Z46" t="e">
        <f t="shared" ca="1" si="6"/>
        <v>#NAME?</v>
      </c>
      <c r="AA46" t="e">
        <f t="shared" ca="1" si="7"/>
        <v>#NAME?</v>
      </c>
      <c r="AB46" t="e">
        <f t="shared" ca="1" si="8"/>
        <v>#NAME?</v>
      </c>
      <c r="AD46">
        <f t="shared" si="10"/>
        <v>43</v>
      </c>
      <c r="AE46">
        <f t="shared" si="11"/>
        <v>9.3102529930939451</v>
      </c>
    </row>
    <row r="47" spans="1:31" x14ac:dyDescent="0.35">
      <c r="A47">
        <f t="shared" si="0"/>
        <v>44</v>
      </c>
      <c r="B47">
        <v>9.9532374569799149</v>
      </c>
      <c r="D47">
        <f t="shared" si="9"/>
        <v>44</v>
      </c>
      <c r="E47" t="e">
        <f t="shared" ca="1" si="1"/>
        <v>#NAME?</v>
      </c>
      <c r="F47" t="e">
        <f t="shared" ca="1" si="12"/>
        <v>#NAME?</v>
      </c>
      <c r="V47">
        <f t="shared" si="2"/>
        <v>44</v>
      </c>
      <c r="W47" t="e">
        <f t="shared" ca="1" si="3"/>
        <v>#NAME?</v>
      </c>
      <c r="X47" t="e">
        <f t="shared" ca="1" si="4"/>
        <v>#NAME?</v>
      </c>
      <c r="Y47" t="e">
        <f t="shared" ca="1" si="5"/>
        <v>#NAME?</v>
      </c>
      <c r="Z47" t="e">
        <f t="shared" ca="1" si="6"/>
        <v>#NAME?</v>
      </c>
      <c r="AA47" t="e">
        <f t="shared" ca="1" si="7"/>
        <v>#NAME?</v>
      </c>
      <c r="AB47" t="e">
        <f t="shared" ca="1" si="8"/>
        <v>#NAME?</v>
      </c>
      <c r="AD47">
        <f t="shared" si="10"/>
        <v>44</v>
      </c>
      <c r="AE47">
        <f t="shared" si="11"/>
        <v>9.9532374569799149</v>
      </c>
    </row>
    <row r="48" spans="1:31" x14ac:dyDescent="0.35">
      <c r="A48">
        <f t="shared" si="0"/>
        <v>45</v>
      </c>
      <c r="B48">
        <v>9.9320829740295604</v>
      </c>
      <c r="D48">
        <f t="shared" si="9"/>
        <v>45</v>
      </c>
      <c r="E48" t="e">
        <f t="shared" ca="1" si="1"/>
        <v>#NAME?</v>
      </c>
      <c r="F48" t="e">
        <f t="shared" ca="1" si="12"/>
        <v>#NAME?</v>
      </c>
      <c r="V48">
        <f t="shared" si="2"/>
        <v>45</v>
      </c>
      <c r="W48" t="e">
        <f t="shared" ca="1" si="3"/>
        <v>#NAME?</v>
      </c>
      <c r="X48" t="e">
        <f t="shared" ca="1" si="4"/>
        <v>#NAME?</v>
      </c>
      <c r="Y48" t="e">
        <f t="shared" ca="1" si="5"/>
        <v>#NAME?</v>
      </c>
      <c r="Z48" t="e">
        <f t="shared" ca="1" si="6"/>
        <v>#NAME?</v>
      </c>
      <c r="AA48" t="e">
        <f t="shared" ca="1" si="7"/>
        <v>#NAME?</v>
      </c>
      <c r="AB48" t="e">
        <f t="shared" ca="1" si="8"/>
        <v>#NAME?</v>
      </c>
      <c r="AD48">
        <f t="shared" si="10"/>
        <v>45</v>
      </c>
      <c r="AE48">
        <f t="shared" si="11"/>
        <v>9.9320829740295604</v>
      </c>
    </row>
    <row r="49" spans="1:31" x14ac:dyDescent="0.35">
      <c r="A49">
        <f t="shared" si="0"/>
        <v>46</v>
      </c>
      <c r="B49">
        <v>11.635101979488615</v>
      </c>
      <c r="D49">
        <f t="shared" si="9"/>
        <v>46</v>
      </c>
      <c r="E49" t="e">
        <f t="shared" ca="1" si="1"/>
        <v>#NAME?</v>
      </c>
      <c r="F49" t="e">
        <f t="shared" ca="1" si="12"/>
        <v>#NAME?</v>
      </c>
      <c r="V49">
        <f t="shared" si="2"/>
        <v>46</v>
      </c>
      <c r="W49" t="e">
        <f t="shared" ca="1" si="3"/>
        <v>#NAME?</v>
      </c>
      <c r="X49" t="e">
        <f t="shared" ca="1" si="4"/>
        <v>#NAME?</v>
      </c>
      <c r="Y49" t="e">
        <f t="shared" ca="1" si="5"/>
        <v>#NAME?</v>
      </c>
      <c r="Z49" t="e">
        <f t="shared" ca="1" si="6"/>
        <v>#NAME?</v>
      </c>
      <c r="AA49" t="e">
        <f t="shared" ca="1" si="7"/>
        <v>#NAME?</v>
      </c>
      <c r="AB49" t="e">
        <f t="shared" ca="1" si="8"/>
        <v>#NAME?</v>
      </c>
      <c r="AD49">
        <f t="shared" si="10"/>
        <v>46</v>
      </c>
      <c r="AE49">
        <f t="shared" si="11"/>
        <v>11.635101979488615</v>
      </c>
    </row>
    <row r="50" spans="1:31" x14ac:dyDescent="0.35">
      <c r="A50">
        <f t="shared" si="0"/>
        <v>47</v>
      </c>
      <c r="B50">
        <v>10.428242822398191</v>
      </c>
      <c r="D50">
        <f t="shared" si="9"/>
        <v>47</v>
      </c>
      <c r="E50" t="e">
        <f t="shared" ca="1" si="1"/>
        <v>#NAME?</v>
      </c>
      <c r="F50" t="e">
        <f t="shared" ca="1" si="12"/>
        <v>#NAME?</v>
      </c>
      <c r="V50">
        <f t="shared" si="2"/>
        <v>47</v>
      </c>
      <c r="W50" t="e">
        <f t="shared" ca="1" si="3"/>
        <v>#NAME?</v>
      </c>
      <c r="X50" t="e">
        <f t="shared" ca="1" si="4"/>
        <v>#NAME?</v>
      </c>
      <c r="Y50" t="e">
        <f t="shared" ca="1" si="5"/>
        <v>#NAME?</v>
      </c>
      <c r="Z50" t="e">
        <f t="shared" ca="1" si="6"/>
        <v>#NAME?</v>
      </c>
      <c r="AA50" t="e">
        <f t="shared" ca="1" si="7"/>
        <v>#NAME?</v>
      </c>
      <c r="AB50" t="e">
        <f t="shared" ca="1" si="8"/>
        <v>#NAME?</v>
      </c>
      <c r="AD50">
        <f t="shared" si="10"/>
        <v>47</v>
      </c>
      <c r="AE50">
        <f t="shared" si="11"/>
        <v>10.428242822398191</v>
      </c>
    </row>
    <row r="51" spans="1:31" x14ac:dyDescent="0.35">
      <c r="A51">
        <f t="shared" si="0"/>
        <v>48</v>
      </c>
      <c r="B51">
        <v>9.6942306857497602</v>
      </c>
      <c r="D51">
        <f t="shared" si="9"/>
        <v>48</v>
      </c>
      <c r="E51" t="e">
        <f t="shared" ca="1" si="1"/>
        <v>#NAME?</v>
      </c>
      <c r="F51" t="e">
        <f t="shared" ca="1" si="12"/>
        <v>#NAME?</v>
      </c>
      <c r="V51">
        <f t="shared" si="2"/>
        <v>48</v>
      </c>
      <c r="W51" t="e">
        <f t="shared" ca="1" si="3"/>
        <v>#NAME?</v>
      </c>
      <c r="X51" t="e">
        <f t="shared" ca="1" si="4"/>
        <v>#NAME?</v>
      </c>
      <c r="Y51" t="e">
        <f t="shared" ca="1" si="5"/>
        <v>#NAME?</v>
      </c>
      <c r="Z51" t="e">
        <f t="shared" ca="1" si="6"/>
        <v>#NAME?</v>
      </c>
      <c r="AA51" t="e">
        <f t="shared" ca="1" si="7"/>
        <v>#NAME?</v>
      </c>
      <c r="AB51" t="e">
        <f t="shared" ca="1" si="8"/>
        <v>#NAME?</v>
      </c>
      <c r="AD51">
        <f t="shared" si="10"/>
        <v>48</v>
      </c>
      <c r="AE51">
        <f t="shared" si="11"/>
        <v>9.6942306857497602</v>
      </c>
    </row>
    <row r="52" spans="1:31" x14ac:dyDescent="0.35">
      <c r="A52">
        <f t="shared" si="0"/>
        <v>49</v>
      </c>
      <c r="B52">
        <v>10.169036752376758</v>
      </c>
      <c r="D52">
        <f t="shared" si="9"/>
        <v>49</v>
      </c>
      <c r="E52" t="e">
        <f t="shared" ca="1" si="1"/>
        <v>#NAME?</v>
      </c>
      <c r="F52" t="e">
        <f t="shared" ca="1" si="12"/>
        <v>#NAME?</v>
      </c>
      <c r="V52">
        <f t="shared" si="2"/>
        <v>49</v>
      </c>
      <c r="W52" t="e">
        <f t="shared" ca="1" si="3"/>
        <v>#NAME?</v>
      </c>
      <c r="X52" t="e">
        <f t="shared" ca="1" si="4"/>
        <v>#NAME?</v>
      </c>
      <c r="Y52" t="e">
        <f t="shared" ca="1" si="5"/>
        <v>#NAME?</v>
      </c>
      <c r="Z52" t="e">
        <f t="shared" ca="1" si="6"/>
        <v>#NAME?</v>
      </c>
      <c r="AA52" t="e">
        <f t="shared" ca="1" si="7"/>
        <v>#NAME?</v>
      </c>
      <c r="AB52" t="e">
        <f t="shared" ca="1" si="8"/>
        <v>#NAME?</v>
      </c>
      <c r="AD52">
        <f t="shared" si="10"/>
        <v>49</v>
      </c>
      <c r="AE52">
        <f t="shared" si="11"/>
        <v>10.169036752376758</v>
      </c>
    </row>
    <row r="53" spans="1:31" x14ac:dyDescent="0.35">
      <c r="A53">
        <f t="shared" si="0"/>
        <v>50</v>
      </c>
      <c r="B53">
        <v>10.486655712590014</v>
      </c>
      <c r="D53">
        <f t="shared" si="9"/>
        <v>50</v>
      </c>
      <c r="E53" t="e">
        <f t="shared" ca="1" si="1"/>
        <v>#NAME?</v>
      </c>
      <c r="F53" t="e">
        <f t="shared" ca="1" si="12"/>
        <v>#NAME?</v>
      </c>
      <c r="V53">
        <f t="shared" si="2"/>
        <v>50</v>
      </c>
      <c r="W53" t="e">
        <f t="shared" ca="1" si="3"/>
        <v>#NAME?</v>
      </c>
      <c r="X53" t="e">
        <f t="shared" ca="1" si="4"/>
        <v>#NAME?</v>
      </c>
      <c r="Y53" t="e">
        <f t="shared" ca="1" si="5"/>
        <v>#NAME?</v>
      </c>
      <c r="Z53" t="e">
        <f t="shared" ca="1" si="6"/>
        <v>#NAME?</v>
      </c>
      <c r="AA53" t="e">
        <f t="shared" ca="1" si="7"/>
        <v>#NAME?</v>
      </c>
      <c r="AB53" t="e">
        <f t="shared" ca="1" si="8"/>
        <v>#NAME?</v>
      </c>
      <c r="AD53">
        <f t="shared" si="10"/>
        <v>50</v>
      </c>
      <c r="AE53">
        <f t="shared" si="11"/>
        <v>10.486655712590014</v>
      </c>
    </row>
    <row r="54" spans="1:31" x14ac:dyDescent="0.35">
      <c r="A54">
        <f t="shared" si="0"/>
        <v>51</v>
      </c>
      <c r="B54">
        <v>10.656149640052817</v>
      </c>
      <c r="D54">
        <f t="shared" si="9"/>
        <v>51</v>
      </c>
      <c r="E54" t="e">
        <f t="shared" ca="1" si="1"/>
        <v>#NAME?</v>
      </c>
      <c r="F54" t="e">
        <f t="shared" ca="1" si="12"/>
        <v>#NAME?</v>
      </c>
      <c r="V54">
        <f t="shared" si="2"/>
        <v>51</v>
      </c>
      <c r="W54" t="e">
        <f t="shared" ca="1" si="3"/>
        <v>#NAME?</v>
      </c>
      <c r="X54" t="e">
        <f t="shared" ca="1" si="4"/>
        <v>#NAME?</v>
      </c>
      <c r="Y54" t="e">
        <f t="shared" ca="1" si="5"/>
        <v>#NAME?</v>
      </c>
      <c r="Z54" t="e">
        <f t="shared" ca="1" si="6"/>
        <v>#NAME?</v>
      </c>
      <c r="AA54" t="e">
        <f t="shared" ca="1" si="7"/>
        <v>#NAME?</v>
      </c>
      <c r="AB54" t="e">
        <f t="shared" ca="1" si="8"/>
        <v>#NAME?</v>
      </c>
      <c r="AD54">
        <f t="shared" si="10"/>
        <v>51</v>
      </c>
      <c r="AE54">
        <f t="shared" si="11"/>
        <v>10.656149640052817</v>
      </c>
    </row>
    <row r="55" spans="1:31" x14ac:dyDescent="0.35">
      <c r="A55">
        <f t="shared" si="0"/>
        <v>52</v>
      </c>
      <c r="B55">
        <v>10.129317566616011</v>
      </c>
      <c r="D55">
        <f t="shared" si="9"/>
        <v>52</v>
      </c>
      <c r="E55" t="e">
        <f t="shared" ca="1" si="1"/>
        <v>#NAME?</v>
      </c>
      <c r="F55" t="e">
        <f t="shared" ca="1" si="12"/>
        <v>#NAME?</v>
      </c>
      <c r="V55">
        <f t="shared" si="2"/>
        <v>52</v>
      </c>
      <c r="W55" t="e">
        <f t="shared" ca="1" si="3"/>
        <v>#NAME?</v>
      </c>
      <c r="X55" t="e">
        <f t="shared" ca="1" si="4"/>
        <v>#NAME?</v>
      </c>
      <c r="Y55" t="e">
        <f t="shared" ca="1" si="5"/>
        <v>#NAME?</v>
      </c>
      <c r="Z55" t="e">
        <f t="shared" ca="1" si="6"/>
        <v>#NAME?</v>
      </c>
      <c r="AA55" t="e">
        <f t="shared" ca="1" si="7"/>
        <v>#NAME?</v>
      </c>
      <c r="AB55" t="e">
        <f t="shared" ca="1" si="8"/>
        <v>#NAME?</v>
      </c>
      <c r="AD55">
        <f t="shared" si="10"/>
        <v>52</v>
      </c>
      <c r="AE55">
        <f t="shared" si="11"/>
        <v>10.129317566616011</v>
      </c>
    </row>
    <row r="56" spans="1:31" x14ac:dyDescent="0.35">
      <c r="A56">
        <f t="shared" si="0"/>
        <v>53</v>
      </c>
      <c r="B56">
        <v>8.9663057524182062</v>
      </c>
      <c r="D56">
        <f t="shared" si="9"/>
        <v>53</v>
      </c>
      <c r="E56" t="e">
        <f t="shared" ca="1" si="1"/>
        <v>#NAME?</v>
      </c>
      <c r="F56" t="e">
        <f t="shared" ca="1" si="12"/>
        <v>#NAME?</v>
      </c>
      <c r="V56">
        <f t="shared" si="2"/>
        <v>53</v>
      </c>
      <c r="W56" t="e">
        <f t="shared" ca="1" si="3"/>
        <v>#NAME?</v>
      </c>
      <c r="X56" t="e">
        <f t="shared" ca="1" si="4"/>
        <v>#NAME?</v>
      </c>
      <c r="Y56" t="e">
        <f t="shared" ca="1" si="5"/>
        <v>#NAME?</v>
      </c>
      <c r="Z56" t="e">
        <f t="shared" ca="1" si="6"/>
        <v>#NAME?</v>
      </c>
      <c r="AA56" t="e">
        <f t="shared" ca="1" si="7"/>
        <v>#NAME?</v>
      </c>
      <c r="AB56" t="e">
        <f t="shared" ca="1" si="8"/>
        <v>#NAME?</v>
      </c>
      <c r="AD56">
        <f t="shared" si="10"/>
        <v>53</v>
      </c>
      <c r="AE56">
        <f t="shared" si="11"/>
        <v>8.9663057524182062</v>
      </c>
    </row>
    <row r="57" spans="1:31" x14ac:dyDescent="0.35">
      <c r="A57">
        <f t="shared" si="0"/>
        <v>54</v>
      </c>
      <c r="B57">
        <v>8.1067514389924824</v>
      </c>
      <c r="D57">
        <f t="shared" si="9"/>
        <v>54</v>
      </c>
      <c r="E57" t="e">
        <f t="shared" ca="1" si="1"/>
        <v>#NAME?</v>
      </c>
      <c r="F57" t="e">
        <f t="shared" ca="1" si="12"/>
        <v>#NAME?</v>
      </c>
      <c r="V57">
        <f t="shared" si="2"/>
        <v>54</v>
      </c>
      <c r="W57" t="e">
        <f t="shared" ca="1" si="3"/>
        <v>#NAME?</v>
      </c>
      <c r="X57" t="e">
        <f t="shared" ca="1" si="4"/>
        <v>#NAME?</v>
      </c>
      <c r="Y57" t="e">
        <f t="shared" ca="1" si="5"/>
        <v>#NAME?</v>
      </c>
      <c r="Z57" t="e">
        <f t="shared" ca="1" si="6"/>
        <v>#NAME?</v>
      </c>
      <c r="AA57" t="e">
        <f t="shared" ca="1" si="7"/>
        <v>#NAME?</v>
      </c>
      <c r="AB57" t="e">
        <f t="shared" ca="1" si="8"/>
        <v>#NAME?</v>
      </c>
      <c r="AD57">
        <f t="shared" si="10"/>
        <v>54</v>
      </c>
      <c r="AE57">
        <f t="shared" si="11"/>
        <v>8.1067514389924824</v>
      </c>
    </row>
    <row r="58" spans="1:31" x14ac:dyDescent="0.35">
      <c r="A58">
        <f t="shared" si="0"/>
        <v>55</v>
      </c>
      <c r="B58">
        <v>8.6738987578515037</v>
      </c>
      <c r="D58">
        <f t="shared" si="9"/>
        <v>55</v>
      </c>
      <c r="E58" t="e">
        <f t="shared" ca="1" si="1"/>
        <v>#NAME?</v>
      </c>
      <c r="F58" t="e">
        <f t="shared" ca="1" si="12"/>
        <v>#NAME?</v>
      </c>
      <c r="V58">
        <f t="shared" si="2"/>
        <v>55</v>
      </c>
      <c r="W58" t="e">
        <f t="shared" ca="1" si="3"/>
        <v>#NAME?</v>
      </c>
      <c r="X58" t="e">
        <f t="shared" ca="1" si="4"/>
        <v>#NAME?</v>
      </c>
      <c r="Y58" t="e">
        <f t="shared" ca="1" si="5"/>
        <v>#NAME?</v>
      </c>
      <c r="Z58" t="e">
        <f t="shared" ca="1" si="6"/>
        <v>#NAME?</v>
      </c>
      <c r="AA58" t="e">
        <f t="shared" ca="1" si="7"/>
        <v>#NAME?</v>
      </c>
      <c r="AB58" t="e">
        <f t="shared" ca="1" si="8"/>
        <v>#NAME?</v>
      </c>
      <c r="AD58">
        <f t="shared" si="10"/>
        <v>55</v>
      </c>
      <c r="AE58">
        <f t="shared" si="11"/>
        <v>8.6738987578515037</v>
      </c>
    </row>
    <row r="59" spans="1:31" x14ac:dyDescent="0.35">
      <c r="A59">
        <f t="shared" si="0"/>
        <v>56</v>
      </c>
      <c r="B59">
        <v>8.7398621237592646</v>
      </c>
      <c r="D59">
        <f t="shared" si="9"/>
        <v>56</v>
      </c>
      <c r="E59" t="e">
        <f t="shared" ca="1" si="1"/>
        <v>#NAME?</v>
      </c>
      <c r="F59" t="e">
        <f t="shared" ca="1" si="12"/>
        <v>#NAME?</v>
      </c>
      <c r="V59">
        <f t="shared" si="2"/>
        <v>56</v>
      </c>
      <c r="W59" t="e">
        <f t="shared" ca="1" si="3"/>
        <v>#NAME?</v>
      </c>
      <c r="X59" t="e">
        <f t="shared" ca="1" si="4"/>
        <v>#NAME?</v>
      </c>
      <c r="Y59" t="e">
        <f t="shared" ca="1" si="5"/>
        <v>#NAME?</v>
      </c>
      <c r="Z59" t="e">
        <f t="shared" ca="1" si="6"/>
        <v>#NAME?</v>
      </c>
      <c r="AA59" t="e">
        <f t="shared" ca="1" si="7"/>
        <v>#NAME?</v>
      </c>
      <c r="AB59" t="e">
        <f t="shared" ca="1" si="8"/>
        <v>#NAME?</v>
      </c>
      <c r="AD59">
        <f t="shared" si="10"/>
        <v>56</v>
      </c>
      <c r="AE59">
        <f t="shared" si="11"/>
        <v>8.7398621237592646</v>
      </c>
    </row>
    <row r="60" spans="1:31" x14ac:dyDescent="0.35">
      <c r="A60">
        <f t="shared" si="0"/>
        <v>57</v>
      </c>
      <c r="B60">
        <v>8.7639760975280581</v>
      </c>
      <c r="D60">
        <f t="shared" si="9"/>
        <v>57</v>
      </c>
      <c r="E60" t="e">
        <f t="shared" ca="1" si="1"/>
        <v>#NAME?</v>
      </c>
      <c r="F60" t="e">
        <f t="shared" ca="1" si="12"/>
        <v>#NAME?</v>
      </c>
      <c r="V60">
        <f t="shared" si="2"/>
        <v>57</v>
      </c>
      <c r="W60" t="e">
        <f t="shared" ca="1" si="3"/>
        <v>#NAME?</v>
      </c>
      <c r="X60" t="e">
        <f t="shared" ca="1" si="4"/>
        <v>#NAME?</v>
      </c>
      <c r="Y60" t="e">
        <f t="shared" ca="1" si="5"/>
        <v>#NAME?</v>
      </c>
      <c r="Z60" t="e">
        <f t="shared" ca="1" si="6"/>
        <v>#NAME?</v>
      </c>
      <c r="AA60" t="e">
        <f t="shared" ca="1" si="7"/>
        <v>#NAME?</v>
      </c>
      <c r="AB60" t="e">
        <f t="shared" ca="1" si="8"/>
        <v>#NAME?</v>
      </c>
      <c r="AD60">
        <f t="shared" si="10"/>
        <v>57</v>
      </c>
      <c r="AE60">
        <f t="shared" si="11"/>
        <v>8.7639760975280581</v>
      </c>
    </row>
    <row r="61" spans="1:31" x14ac:dyDescent="0.35">
      <c r="A61">
        <f t="shared" si="0"/>
        <v>58</v>
      </c>
      <c r="B61">
        <v>10.607632270250908</v>
      </c>
      <c r="D61">
        <f t="shared" si="9"/>
        <v>58</v>
      </c>
      <c r="E61" t="e">
        <f t="shared" ca="1" si="1"/>
        <v>#NAME?</v>
      </c>
      <c r="F61" t="e">
        <f t="shared" ca="1" si="12"/>
        <v>#NAME?</v>
      </c>
      <c r="V61">
        <f t="shared" si="2"/>
        <v>58</v>
      </c>
      <c r="W61" t="e">
        <f t="shared" ca="1" si="3"/>
        <v>#NAME?</v>
      </c>
      <c r="X61" t="e">
        <f t="shared" ca="1" si="4"/>
        <v>#NAME?</v>
      </c>
      <c r="Y61" t="e">
        <f t="shared" ca="1" si="5"/>
        <v>#NAME?</v>
      </c>
      <c r="Z61" t="e">
        <f t="shared" ca="1" si="6"/>
        <v>#NAME?</v>
      </c>
      <c r="AA61" t="e">
        <f t="shared" ca="1" si="7"/>
        <v>#NAME?</v>
      </c>
      <c r="AB61" t="e">
        <f t="shared" ca="1" si="8"/>
        <v>#NAME?</v>
      </c>
      <c r="AD61">
        <f t="shared" si="10"/>
        <v>58</v>
      </c>
      <c r="AE61">
        <f t="shared" si="11"/>
        <v>10.607632270250908</v>
      </c>
    </row>
    <row r="62" spans="1:31" x14ac:dyDescent="0.35">
      <c r="A62">
        <f t="shared" si="0"/>
        <v>59</v>
      </c>
      <c r="B62">
        <v>8.8462843661117905</v>
      </c>
      <c r="D62">
        <f t="shared" si="9"/>
        <v>59</v>
      </c>
      <c r="E62" t="e">
        <f t="shared" ca="1" si="1"/>
        <v>#NAME?</v>
      </c>
      <c r="F62" t="e">
        <f t="shared" ca="1" si="12"/>
        <v>#NAME?</v>
      </c>
      <c r="V62">
        <f t="shared" si="2"/>
        <v>59</v>
      </c>
      <c r="W62" t="e">
        <f t="shared" ca="1" si="3"/>
        <v>#NAME?</v>
      </c>
      <c r="X62" t="e">
        <f t="shared" ca="1" si="4"/>
        <v>#NAME?</v>
      </c>
      <c r="Y62" t="e">
        <f t="shared" ca="1" si="5"/>
        <v>#NAME?</v>
      </c>
      <c r="Z62" t="e">
        <f t="shared" ca="1" si="6"/>
        <v>#NAME?</v>
      </c>
      <c r="AA62" t="e">
        <f t="shared" ca="1" si="7"/>
        <v>#NAME?</v>
      </c>
      <c r="AB62" t="e">
        <f t="shared" ca="1" si="8"/>
        <v>#NAME?</v>
      </c>
      <c r="AD62">
        <f t="shared" si="10"/>
        <v>59</v>
      </c>
      <c r="AE62">
        <f t="shared" si="11"/>
        <v>8.8462843661117905</v>
      </c>
    </row>
    <row r="63" spans="1:31" x14ac:dyDescent="0.35">
      <c r="A63">
        <f t="shared" si="0"/>
        <v>60</v>
      </c>
      <c r="B63">
        <v>8.197430472078814</v>
      </c>
      <c r="D63">
        <f t="shared" si="9"/>
        <v>60</v>
      </c>
      <c r="E63" t="e">
        <f t="shared" ca="1" si="1"/>
        <v>#NAME?</v>
      </c>
      <c r="F63" t="e">
        <f t="shared" ca="1" si="12"/>
        <v>#NAME?</v>
      </c>
      <c r="V63">
        <f t="shared" si="2"/>
        <v>60</v>
      </c>
      <c r="W63" t="e">
        <f t="shared" ca="1" si="3"/>
        <v>#NAME?</v>
      </c>
      <c r="X63" t="e">
        <f t="shared" ca="1" si="4"/>
        <v>#NAME?</v>
      </c>
      <c r="Y63" t="e">
        <f t="shared" ca="1" si="5"/>
        <v>#NAME?</v>
      </c>
      <c r="Z63" t="e">
        <f t="shared" ca="1" si="6"/>
        <v>#NAME?</v>
      </c>
      <c r="AA63" t="e">
        <f t="shared" ca="1" si="7"/>
        <v>#NAME?</v>
      </c>
      <c r="AB63" t="e">
        <f t="shared" ca="1" si="8"/>
        <v>#NAME?</v>
      </c>
      <c r="AD63">
        <f t="shared" si="10"/>
        <v>60</v>
      </c>
      <c r="AE63">
        <f t="shared" si="11"/>
        <v>8.197430472078814</v>
      </c>
    </row>
    <row r="64" spans="1:31" x14ac:dyDescent="0.35">
      <c r="A64">
        <f t="shared" si="0"/>
        <v>61</v>
      </c>
      <c r="B64">
        <v>9.7004678107933984</v>
      </c>
      <c r="D64">
        <f t="shared" si="9"/>
        <v>61</v>
      </c>
      <c r="E64" t="e">
        <f t="shared" ca="1" si="1"/>
        <v>#NAME?</v>
      </c>
      <c r="F64" t="e">
        <f t="shared" ca="1" si="12"/>
        <v>#NAME?</v>
      </c>
      <c r="V64">
        <f t="shared" si="2"/>
        <v>61</v>
      </c>
      <c r="W64" t="e">
        <f t="shared" ca="1" si="3"/>
        <v>#NAME?</v>
      </c>
      <c r="X64" t="e">
        <f t="shared" ca="1" si="4"/>
        <v>#NAME?</v>
      </c>
      <c r="Y64" t="e">
        <f t="shared" ca="1" si="5"/>
        <v>#NAME?</v>
      </c>
      <c r="Z64" t="e">
        <f t="shared" ca="1" si="6"/>
        <v>#NAME?</v>
      </c>
      <c r="AA64" t="e">
        <f t="shared" ca="1" si="7"/>
        <v>#NAME?</v>
      </c>
      <c r="AB64" t="e">
        <f t="shared" ca="1" si="8"/>
        <v>#NAME?</v>
      </c>
      <c r="AD64">
        <f t="shared" si="10"/>
        <v>61</v>
      </c>
      <c r="AE64">
        <f t="shared" si="11"/>
        <v>9.7004678107933984</v>
      </c>
    </row>
    <row r="65" spans="1:31" x14ac:dyDescent="0.35">
      <c r="A65">
        <f t="shared" si="0"/>
        <v>62</v>
      </c>
      <c r="B65">
        <v>9.4988084630262453</v>
      </c>
      <c r="D65">
        <f t="shared" si="9"/>
        <v>62</v>
      </c>
      <c r="E65" t="e">
        <f t="shared" ca="1" si="1"/>
        <v>#NAME?</v>
      </c>
      <c r="F65" t="e">
        <f t="shared" ca="1" si="12"/>
        <v>#NAME?</v>
      </c>
      <c r="V65">
        <f t="shared" si="2"/>
        <v>62</v>
      </c>
      <c r="W65" t="e">
        <f t="shared" ca="1" si="3"/>
        <v>#NAME?</v>
      </c>
      <c r="X65" t="e">
        <f t="shared" ca="1" si="4"/>
        <v>#NAME?</v>
      </c>
      <c r="Y65" t="e">
        <f t="shared" ca="1" si="5"/>
        <v>#NAME?</v>
      </c>
      <c r="Z65" t="e">
        <f t="shared" ca="1" si="6"/>
        <v>#NAME?</v>
      </c>
      <c r="AA65" t="e">
        <f t="shared" ca="1" si="7"/>
        <v>#NAME?</v>
      </c>
      <c r="AB65" t="e">
        <f t="shared" ca="1" si="8"/>
        <v>#NAME?</v>
      </c>
      <c r="AD65">
        <f t="shared" si="10"/>
        <v>62</v>
      </c>
      <c r="AE65">
        <f t="shared" si="11"/>
        <v>9.4988084630262453</v>
      </c>
    </row>
    <row r="66" spans="1:31" x14ac:dyDescent="0.35">
      <c r="A66">
        <f t="shared" si="0"/>
        <v>63</v>
      </c>
      <c r="B66">
        <v>9.7003857789385908</v>
      </c>
      <c r="D66">
        <f t="shared" si="9"/>
        <v>63</v>
      </c>
      <c r="E66" t="e">
        <f t="shared" ca="1" si="1"/>
        <v>#NAME?</v>
      </c>
      <c r="F66" t="e">
        <f t="shared" ca="1" si="12"/>
        <v>#NAME?</v>
      </c>
      <c r="V66">
        <f t="shared" si="2"/>
        <v>63</v>
      </c>
      <c r="W66" t="e">
        <f t="shared" ca="1" si="3"/>
        <v>#NAME?</v>
      </c>
      <c r="X66" t="e">
        <f t="shared" ca="1" si="4"/>
        <v>#NAME?</v>
      </c>
      <c r="Y66" t="e">
        <f t="shared" ca="1" si="5"/>
        <v>#NAME?</v>
      </c>
      <c r="Z66" t="e">
        <f t="shared" ca="1" si="6"/>
        <v>#NAME?</v>
      </c>
      <c r="AA66" t="e">
        <f t="shared" ca="1" si="7"/>
        <v>#NAME?</v>
      </c>
      <c r="AB66" t="e">
        <f t="shared" ca="1" si="8"/>
        <v>#NAME?</v>
      </c>
      <c r="AD66">
        <f t="shared" si="10"/>
        <v>63</v>
      </c>
      <c r="AE66">
        <f t="shared" si="11"/>
        <v>9.7003857789385908</v>
      </c>
    </row>
    <row r="67" spans="1:31" x14ac:dyDescent="0.35">
      <c r="A67">
        <f t="shared" si="0"/>
        <v>64</v>
      </c>
      <c r="B67">
        <v>9.8196279939384326</v>
      </c>
      <c r="D67">
        <f t="shared" si="9"/>
        <v>64</v>
      </c>
      <c r="E67" t="e">
        <f t="shared" ca="1" si="1"/>
        <v>#NAME?</v>
      </c>
      <c r="F67" t="e">
        <f t="shared" ca="1" si="12"/>
        <v>#NAME?</v>
      </c>
      <c r="V67">
        <f t="shared" si="2"/>
        <v>64</v>
      </c>
      <c r="W67" t="e">
        <f t="shared" ca="1" si="3"/>
        <v>#NAME?</v>
      </c>
      <c r="X67" t="e">
        <f t="shared" ca="1" si="4"/>
        <v>#NAME?</v>
      </c>
      <c r="Y67" t="e">
        <f t="shared" ca="1" si="5"/>
        <v>#NAME?</v>
      </c>
      <c r="Z67" t="e">
        <f t="shared" ca="1" si="6"/>
        <v>#NAME?</v>
      </c>
      <c r="AA67" t="e">
        <f t="shared" ca="1" si="7"/>
        <v>#NAME?</v>
      </c>
      <c r="AB67" t="e">
        <f t="shared" ca="1" si="8"/>
        <v>#NAME?</v>
      </c>
      <c r="AD67">
        <f t="shared" si="10"/>
        <v>64</v>
      </c>
      <c r="AE67">
        <f t="shared" si="11"/>
        <v>9.8196279939384326</v>
      </c>
    </row>
    <row r="68" spans="1:31" x14ac:dyDescent="0.35">
      <c r="A68">
        <f t="shared" si="0"/>
        <v>65</v>
      </c>
      <c r="B68">
        <v>12.357045585234705</v>
      </c>
      <c r="D68">
        <f t="shared" si="9"/>
        <v>65</v>
      </c>
      <c r="E68" t="e">
        <f t="shared" ca="1" si="1"/>
        <v>#NAME?</v>
      </c>
      <c r="F68" t="e">
        <f t="shared" ca="1" si="12"/>
        <v>#NAME?</v>
      </c>
      <c r="V68">
        <f t="shared" si="2"/>
        <v>65</v>
      </c>
      <c r="W68" t="e">
        <f t="shared" ca="1" si="3"/>
        <v>#NAME?</v>
      </c>
      <c r="X68" t="e">
        <f t="shared" ca="1" si="4"/>
        <v>#NAME?</v>
      </c>
      <c r="Y68" t="e">
        <f t="shared" ca="1" si="5"/>
        <v>#NAME?</v>
      </c>
      <c r="Z68" t="e">
        <f t="shared" ca="1" si="6"/>
        <v>#NAME?</v>
      </c>
      <c r="AA68" t="e">
        <f t="shared" ca="1" si="7"/>
        <v>#NAME?</v>
      </c>
      <c r="AB68" t="e">
        <f t="shared" ca="1" si="8"/>
        <v>#NAME?</v>
      </c>
      <c r="AD68">
        <f t="shared" si="10"/>
        <v>65</v>
      </c>
      <c r="AE68">
        <f t="shared" si="11"/>
        <v>12.357045585234705</v>
      </c>
    </row>
    <row r="69" spans="1:31" x14ac:dyDescent="0.35">
      <c r="A69">
        <f t="shared" ref="A69:A108" si="13">A68+1</f>
        <v>66</v>
      </c>
      <c r="B69">
        <v>10.923604414101041</v>
      </c>
      <c r="D69">
        <f t="shared" si="9"/>
        <v>66</v>
      </c>
      <c r="E69" t="e">
        <f t="shared" ref="E69:E108" ca="1" si="14">B69-J$6</f>
        <v>#NAME?</v>
      </c>
      <c r="F69" t="e">
        <f t="shared" ca="1" si="12"/>
        <v>#NAME?</v>
      </c>
      <c r="V69">
        <f t="shared" ref="V69:V108" si="15">D69</f>
        <v>66</v>
      </c>
      <c r="W69" t="e">
        <f t="shared" ref="W69:W108" ca="1" si="16">E69</f>
        <v>#NAME?</v>
      </c>
      <c r="X69" t="e">
        <f t="shared" ref="X69:X108" ca="1" si="17">F69</f>
        <v>#NAME?</v>
      </c>
      <c r="Y69" t="e">
        <f t="shared" ref="Y69:Y108" ca="1" si="18">W69-X69</f>
        <v>#NAME?</v>
      </c>
      <c r="Z69" t="e">
        <f t="shared" ref="Z69:Z108" ca="1" si="19">J$15</f>
        <v>#NAME?</v>
      </c>
      <c r="AA69" t="e">
        <f t="shared" ref="AA69:AA108" ca="1" si="20">Y69-NORMSINV(1-Z$2/2)*Z69</f>
        <v>#NAME?</v>
      </c>
      <c r="AB69" t="e">
        <f t="shared" ref="AB69:AB108" ca="1" si="21">Y69+NORMSINV(1-Z$2/2)*Z69</f>
        <v>#NAME?</v>
      </c>
      <c r="AD69">
        <f t="shared" si="10"/>
        <v>66</v>
      </c>
      <c r="AE69">
        <f t="shared" si="11"/>
        <v>10.923604414101041</v>
      </c>
    </row>
    <row r="70" spans="1:31" x14ac:dyDescent="0.35">
      <c r="A70">
        <f t="shared" si="13"/>
        <v>67</v>
      </c>
      <c r="B70">
        <v>9.7007658466065791</v>
      </c>
      <c r="D70">
        <f t="shared" ref="D70:D108" si="22">D69+1</f>
        <v>67</v>
      </c>
      <c r="E70" t="e">
        <f t="shared" ca="1" si="14"/>
        <v>#NAME?</v>
      </c>
      <c r="F70" t="e">
        <f t="shared" ca="1" si="12"/>
        <v>#NAME?</v>
      </c>
      <c r="V70">
        <f t="shared" si="15"/>
        <v>67</v>
      </c>
      <c r="W70" t="e">
        <f t="shared" ca="1" si="16"/>
        <v>#NAME?</v>
      </c>
      <c r="X70" t="e">
        <f t="shared" ca="1" si="17"/>
        <v>#NAME?</v>
      </c>
      <c r="Y70" t="e">
        <f t="shared" ca="1" si="18"/>
        <v>#NAME?</v>
      </c>
      <c r="Z70" t="e">
        <f t="shared" ca="1" si="19"/>
        <v>#NAME?</v>
      </c>
      <c r="AA70" t="e">
        <f t="shared" ca="1" si="20"/>
        <v>#NAME?</v>
      </c>
      <c r="AB70" t="e">
        <f t="shared" ca="1" si="21"/>
        <v>#NAME?</v>
      </c>
      <c r="AD70">
        <f t="shared" ref="AD70:AD113" si="23">AD69+1</f>
        <v>67</v>
      </c>
      <c r="AE70">
        <f t="shared" ref="AE70:AE108" si="24">B70</f>
        <v>9.7007658466065791</v>
      </c>
    </row>
    <row r="71" spans="1:31" x14ac:dyDescent="0.35">
      <c r="A71">
        <f t="shared" si="13"/>
        <v>68</v>
      </c>
      <c r="B71">
        <v>10.274161064714084</v>
      </c>
      <c r="D71">
        <f t="shared" si="22"/>
        <v>68</v>
      </c>
      <c r="E71" t="e">
        <f t="shared" ca="1" si="14"/>
        <v>#NAME?</v>
      </c>
      <c r="F71" t="e">
        <f t="shared" ref="F71:F108" ca="1" si="25">E71-SUMPRODUCT(E69:E70,I$4:I$5)-SUMPRODUCT(F70,J$5)</f>
        <v>#NAME?</v>
      </c>
      <c r="V71">
        <f t="shared" si="15"/>
        <v>68</v>
      </c>
      <c r="W71" t="e">
        <f t="shared" ca="1" si="16"/>
        <v>#NAME?</v>
      </c>
      <c r="X71" t="e">
        <f t="shared" ca="1" si="17"/>
        <v>#NAME?</v>
      </c>
      <c r="Y71" t="e">
        <f t="shared" ca="1" si="18"/>
        <v>#NAME?</v>
      </c>
      <c r="Z71" t="e">
        <f t="shared" ca="1" si="19"/>
        <v>#NAME?</v>
      </c>
      <c r="AA71" t="e">
        <f t="shared" ca="1" si="20"/>
        <v>#NAME?</v>
      </c>
      <c r="AB71" t="e">
        <f t="shared" ca="1" si="21"/>
        <v>#NAME?</v>
      </c>
      <c r="AD71">
        <f t="shared" si="23"/>
        <v>68</v>
      </c>
      <c r="AE71">
        <f t="shared" si="24"/>
        <v>10.274161064714084</v>
      </c>
    </row>
    <row r="72" spans="1:31" x14ac:dyDescent="0.35">
      <c r="A72">
        <f t="shared" si="13"/>
        <v>69</v>
      </c>
      <c r="B72">
        <v>9.7560808735560016</v>
      </c>
      <c r="D72">
        <f t="shared" si="22"/>
        <v>69</v>
      </c>
      <c r="E72" t="e">
        <f t="shared" ca="1" si="14"/>
        <v>#NAME?</v>
      </c>
      <c r="F72" t="e">
        <f t="shared" ca="1" si="25"/>
        <v>#NAME?</v>
      </c>
      <c r="V72">
        <f t="shared" si="15"/>
        <v>69</v>
      </c>
      <c r="W72" t="e">
        <f t="shared" ca="1" si="16"/>
        <v>#NAME?</v>
      </c>
      <c r="X72" t="e">
        <f t="shared" ca="1" si="17"/>
        <v>#NAME?</v>
      </c>
      <c r="Y72" t="e">
        <f t="shared" ca="1" si="18"/>
        <v>#NAME?</v>
      </c>
      <c r="Z72" t="e">
        <f t="shared" ca="1" si="19"/>
        <v>#NAME?</v>
      </c>
      <c r="AA72" t="e">
        <f t="shared" ca="1" si="20"/>
        <v>#NAME?</v>
      </c>
      <c r="AB72" t="e">
        <f t="shared" ca="1" si="21"/>
        <v>#NAME?</v>
      </c>
      <c r="AD72">
        <f t="shared" si="23"/>
        <v>69</v>
      </c>
      <c r="AE72">
        <f t="shared" si="24"/>
        <v>9.7560808735560016</v>
      </c>
    </row>
    <row r="73" spans="1:31" x14ac:dyDescent="0.35">
      <c r="A73">
        <f t="shared" si="13"/>
        <v>70</v>
      </c>
      <c r="B73">
        <v>9.287731842051576</v>
      </c>
      <c r="D73">
        <f t="shared" si="22"/>
        <v>70</v>
      </c>
      <c r="E73" t="e">
        <f t="shared" ca="1" si="14"/>
        <v>#NAME?</v>
      </c>
      <c r="F73" t="e">
        <f t="shared" ca="1" si="25"/>
        <v>#NAME?</v>
      </c>
      <c r="V73">
        <f t="shared" si="15"/>
        <v>70</v>
      </c>
      <c r="W73" t="e">
        <f t="shared" ca="1" si="16"/>
        <v>#NAME?</v>
      </c>
      <c r="X73" t="e">
        <f t="shared" ca="1" si="17"/>
        <v>#NAME?</v>
      </c>
      <c r="Y73" t="e">
        <f t="shared" ca="1" si="18"/>
        <v>#NAME?</v>
      </c>
      <c r="Z73" t="e">
        <f t="shared" ca="1" si="19"/>
        <v>#NAME?</v>
      </c>
      <c r="AA73" t="e">
        <f t="shared" ca="1" si="20"/>
        <v>#NAME?</v>
      </c>
      <c r="AB73" t="e">
        <f t="shared" ca="1" si="21"/>
        <v>#NAME?</v>
      </c>
      <c r="AD73">
        <f t="shared" si="23"/>
        <v>70</v>
      </c>
      <c r="AE73">
        <f t="shared" si="24"/>
        <v>9.287731842051576</v>
      </c>
    </row>
    <row r="74" spans="1:31" x14ac:dyDescent="0.35">
      <c r="A74">
        <f t="shared" si="13"/>
        <v>71</v>
      </c>
      <c r="B74">
        <v>8.7948076969057745</v>
      </c>
      <c r="D74">
        <f t="shared" si="22"/>
        <v>71</v>
      </c>
      <c r="E74" t="e">
        <f t="shared" ca="1" si="14"/>
        <v>#NAME?</v>
      </c>
      <c r="F74" t="e">
        <f t="shared" ca="1" si="25"/>
        <v>#NAME?</v>
      </c>
      <c r="V74">
        <f t="shared" si="15"/>
        <v>71</v>
      </c>
      <c r="W74" t="e">
        <f t="shared" ca="1" si="16"/>
        <v>#NAME?</v>
      </c>
      <c r="X74" t="e">
        <f t="shared" ca="1" si="17"/>
        <v>#NAME?</v>
      </c>
      <c r="Y74" t="e">
        <f t="shared" ca="1" si="18"/>
        <v>#NAME?</v>
      </c>
      <c r="Z74" t="e">
        <f t="shared" ca="1" si="19"/>
        <v>#NAME?</v>
      </c>
      <c r="AA74" t="e">
        <f t="shared" ca="1" si="20"/>
        <v>#NAME?</v>
      </c>
      <c r="AB74" t="e">
        <f t="shared" ca="1" si="21"/>
        <v>#NAME?</v>
      </c>
      <c r="AD74">
        <f t="shared" si="23"/>
        <v>71</v>
      </c>
      <c r="AE74">
        <f t="shared" si="24"/>
        <v>8.7948076969057745</v>
      </c>
    </row>
    <row r="75" spans="1:31" x14ac:dyDescent="0.35">
      <c r="A75">
        <f t="shared" si="13"/>
        <v>72</v>
      </c>
      <c r="B75">
        <v>9.9521659452576507</v>
      </c>
      <c r="D75">
        <f t="shared" si="22"/>
        <v>72</v>
      </c>
      <c r="E75" t="e">
        <f t="shared" ca="1" si="14"/>
        <v>#NAME?</v>
      </c>
      <c r="F75" t="e">
        <f t="shared" ca="1" si="25"/>
        <v>#NAME?</v>
      </c>
      <c r="V75">
        <f t="shared" si="15"/>
        <v>72</v>
      </c>
      <c r="W75" t="e">
        <f t="shared" ca="1" si="16"/>
        <v>#NAME?</v>
      </c>
      <c r="X75" t="e">
        <f t="shared" ca="1" si="17"/>
        <v>#NAME?</v>
      </c>
      <c r="Y75" t="e">
        <f t="shared" ca="1" si="18"/>
        <v>#NAME?</v>
      </c>
      <c r="Z75" t="e">
        <f t="shared" ca="1" si="19"/>
        <v>#NAME?</v>
      </c>
      <c r="AA75" t="e">
        <f t="shared" ca="1" si="20"/>
        <v>#NAME?</v>
      </c>
      <c r="AB75" t="e">
        <f t="shared" ca="1" si="21"/>
        <v>#NAME?</v>
      </c>
      <c r="AD75">
        <f t="shared" si="23"/>
        <v>72</v>
      </c>
      <c r="AE75">
        <f t="shared" si="24"/>
        <v>9.9521659452576507</v>
      </c>
    </row>
    <row r="76" spans="1:31" x14ac:dyDescent="0.35">
      <c r="A76">
        <f t="shared" si="13"/>
        <v>73</v>
      </c>
      <c r="B76">
        <v>9.1465177932835431</v>
      </c>
      <c r="D76">
        <f t="shared" si="22"/>
        <v>73</v>
      </c>
      <c r="E76" t="e">
        <f t="shared" ca="1" si="14"/>
        <v>#NAME?</v>
      </c>
      <c r="F76" t="e">
        <f t="shared" ca="1" si="25"/>
        <v>#NAME?</v>
      </c>
      <c r="V76">
        <f t="shared" si="15"/>
        <v>73</v>
      </c>
      <c r="W76" t="e">
        <f t="shared" ca="1" si="16"/>
        <v>#NAME?</v>
      </c>
      <c r="X76" t="e">
        <f t="shared" ca="1" si="17"/>
        <v>#NAME?</v>
      </c>
      <c r="Y76" t="e">
        <f t="shared" ca="1" si="18"/>
        <v>#NAME?</v>
      </c>
      <c r="Z76" t="e">
        <f t="shared" ca="1" si="19"/>
        <v>#NAME?</v>
      </c>
      <c r="AA76" t="e">
        <f t="shared" ca="1" si="20"/>
        <v>#NAME?</v>
      </c>
      <c r="AB76" t="e">
        <f t="shared" ca="1" si="21"/>
        <v>#NAME?</v>
      </c>
      <c r="AD76">
        <f t="shared" si="23"/>
        <v>73</v>
      </c>
      <c r="AE76">
        <f t="shared" si="24"/>
        <v>9.1465177932835431</v>
      </c>
    </row>
    <row r="77" spans="1:31" x14ac:dyDescent="0.35">
      <c r="A77">
        <f t="shared" si="13"/>
        <v>74</v>
      </c>
      <c r="B77">
        <v>8.4120728228094741</v>
      </c>
      <c r="D77">
        <f t="shared" si="22"/>
        <v>74</v>
      </c>
      <c r="E77" t="e">
        <f t="shared" ca="1" si="14"/>
        <v>#NAME?</v>
      </c>
      <c r="F77" t="e">
        <f t="shared" ca="1" si="25"/>
        <v>#NAME?</v>
      </c>
      <c r="V77">
        <f t="shared" si="15"/>
        <v>74</v>
      </c>
      <c r="W77" t="e">
        <f t="shared" ca="1" si="16"/>
        <v>#NAME?</v>
      </c>
      <c r="X77" t="e">
        <f t="shared" ca="1" si="17"/>
        <v>#NAME?</v>
      </c>
      <c r="Y77" t="e">
        <f t="shared" ca="1" si="18"/>
        <v>#NAME?</v>
      </c>
      <c r="Z77" t="e">
        <f t="shared" ca="1" si="19"/>
        <v>#NAME?</v>
      </c>
      <c r="AA77" t="e">
        <f t="shared" ca="1" si="20"/>
        <v>#NAME?</v>
      </c>
      <c r="AB77" t="e">
        <f t="shared" ca="1" si="21"/>
        <v>#NAME?</v>
      </c>
      <c r="AD77">
        <f t="shared" si="23"/>
        <v>74</v>
      </c>
      <c r="AE77">
        <f t="shared" si="24"/>
        <v>8.4120728228094741</v>
      </c>
    </row>
    <row r="78" spans="1:31" x14ac:dyDescent="0.35">
      <c r="A78">
        <f t="shared" si="13"/>
        <v>75</v>
      </c>
      <c r="B78">
        <v>9.723847340624749</v>
      </c>
      <c r="D78">
        <f t="shared" si="22"/>
        <v>75</v>
      </c>
      <c r="E78" t="e">
        <f t="shared" ca="1" si="14"/>
        <v>#NAME?</v>
      </c>
      <c r="F78" t="e">
        <f t="shared" ca="1" si="25"/>
        <v>#NAME?</v>
      </c>
      <c r="V78">
        <f t="shared" si="15"/>
        <v>75</v>
      </c>
      <c r="W78" t="e">
        <f t="shared" ca="1" si="16"/>
        <v>#NAME?</v>
      </c>
      <c r="X78" t="e">
        <f t="shared" ca="1" si="17"/>
        <v>#NAME?</v>
      </c>
      <c r="Y78" t="e">
        <f t="shared" ca="1" si="18"/>
        <v>#NAME?</v>
      </c>
      <c r="Z78" t="e">
        <f t="shared" ca="1" si="19"/>
        <v>#NAME?</v>
      </c>
      <c r="AA78" t="e">
        <f t="shared" ca="1" si="20"/>
        <v>#NAME?</v>
      </c>
      <c r="AB78" t="e">
        <f t="shared" ca="1" si="21"/>
        <v>#NAME?</v>
      </c>
      <c r="AD78">
        <f t="shared" si="23"/>
        <v>75</v>
      </c>
      <c r="AE78">
        <f t="shared" si="24"/>
        <v>9.723847340624749</v>
      </c>
    </row>
    <row r="79" spans="1:31" x14ac:dyDescent="0.35">
      <c r="A79">
        <f t="shared" si="13"/>
        <v>76</v>
      </c>
      <c r="B79">
        <v>8.4487887533605939</v>
      </c>
      <c r="D79">
        <f t="shared" si="22"/>
        <v>76</v>
      </c>
      <c r="E79" t="e">
        <f t="shared" ca="1" si="14"/>
        <v>#NAME?</v>
      </c>
      <c r="F79" t="e">
        <f t="shared" ca="1" si="25"/>
        <v>#NAME?</v>
      </c>
      <c r="V79">
        <f t="shared" si="15"/>
        <v>76</v>
      </c>
      <c r="W79" t="e">
        <f t="shared" ca="1" si="16"/>
        <v>#NAME?</v>
      </c>
      <c r="X79" t="e">
        <f t="shared" ca="1" si="17"/>
        <v>#NAME?</v>
      </c>
      <c r="Y79" t="e">
        <f t="shared" ca="1" si="18"/>
        <v>#NAME?</v>
      </c>
      <c r="Z79" t="e">
        <f t="shared" ca="1" si="19"/>
        <v>#NAME?</v>
      </c>
      <c r="AA79" t="e">
        <f t="shared" ca="1" si="20"/>
        <v>#NAME?</v>
      </c>
      <c r="AB79" t="e">
        <f t="shared" ca="1" si="21"/>
        <v>#NAME?</v>
      </c>
      <c r="AD79">
        <f t="shared" si="23"/>
        <v>76</v>
      </c>
      <c r="AE79">
        <f t="shared" si="24"/>
        <v>8.4487887533605939</v>
      </c>
    </row>
    <row r="80" spans="1:31" x14ac:dyDescent="0.35">
      <c r="A80">
        <f t="shared" si="13"/>
        <v>77</v>
      </c>
      <c r="B80">
        <v>9.3091696279858951</v>
      </c>
      <c r="D80">
        <f t="shared" si="22"/>
        <v>77</v>
      </c>
      <c r="E80" t="e">
        <f t="shared" ca="1" si="14"/>
        <v>#NAME?</v>
      </c>
      <c r="F80" t="e">
        <f t="shared" ca="1" si="25"/>
        <v>#NAME?</v>
      </c>
      <c r="V80">
        <f t="shared" si="15"/>
        <v>77</v>
      </c>
      <c r="W80" t="e">
        <f t="shared" ca="1" si="16"/>
        <v>#NAME?</v>
      </c>
      <c r="X80" t="e">
        <f t="shared" ca="1" si="17"/>
        <v>#NAME?</v>
      </c>
      <c r="Y80" t="e">
        <f t="shared" ca="1" si="18"/>
        <v>#NAME?</v>
      </c>
      <c r="Z80" t="e">
        <f t="shared" ca="1" si="19"/>
        <v>#NAME?</v>
      </c>
      <c r="AA80" t="e">
        <f t="shared" ca="1" si="20"/>
        <v>#NAME?</v>
      </c>
      <c r="AB80" t="e">
        <f t="shared" ca="1" si="21"/>
        <v>#NAME?</v>
      </c>
      <c r="AD80">
        <f t="shared" si="23"/>
        <v>77</v>
      </c>
      <c r="AE80">
        <f t="shared" si="24"/>
        <v>9.3091696279858951</v>
      </c>
    </row>
    <row r="81" spans="1:31" x14ac:dyDescent="0.35">
      <c r="A81">
        <f t="shared" si="13"/>
        <v>78</v>
      </c>
      <c r="B81">
        <v>9.6290950722323778</v>
      </c>
      <c r="D81">
        <f t="shared" si="22"/>
        <v>78</v>
      </c>
      <c r="E81" t="e">
        <f t="shared" ca="1" si="14"/>
        <v>#NAME?</v>
      </c>
      <c r="F81" t="e">
        <f t="shared" ca="1" si="25"/>
        <v>#NAME?</v>
      </c>
      <c r="V81">
        <f t="shared" si="15"/>
        <v>78</v>
      </c>
      <c r="W81" t="e">
        <f t="shared" ca="1" si="16"/>
        <v>#NAME?</v>
      </c>
      <c r="X81" t="e">
        <f t="shared" ca="1" si="17"/>
        <v>#NAME?</v>
      </c>
      <c r="Y81" t="e">
        <f t="shared" ca="1" si="18"/>
        <v>#NAME?</v>
      </c>
      <c r="Z81" t="e">
        <f t="shared" ca="1" si="19"/>
        <v>#NAME?</v>
      </c>
      <c r="AA81" t="e">
        <f t="shared" ca="1" si="20"/>
        <v>#NAME?</v>
      </c>
      <c r="AB81" t="e">
        <f t="shared" ca="1" si="21"/>
        <v>#NAME?</v>
      </c>
      <c r="AD81">
        <f t="shared" si="23"/>
        <v>78</v>
      </c>
      <c r="AE81">
        <f t="shared" si="24"/>
        <v>9.6290950722323778</v>
      </c>
    </row>
    <row r="82" spans="1:31" x14ac:dyDescent="0.35">
      <c r="A82">
        <f t="shared" si="13"/>
        <v>79</v>
      </c>
      <c r="B82">
        <v>10.498754342121549</v>
      </c>
      <c r="D82">
        <f t="shared" si="22"/>
        <v>79</v>
      </c>
      <c r="E82" t="e">
        <f t="shared" ca="1" si="14"/>
        <v>#NAME?</v>
      </c>
      <c r="F82" t="e">
        <f t="shared" ca="1" si="25"/>
        <v>#NAME?</v>
      </c>
      <c r="V82">
        <f t="shared" si="15"/>
        <v>79</v>
      </c>
      <c r="W82" t="e">
        <f t="shared" ca="1" si="16"/>
        <v>#NAME?</v>
      </c>
      <c r="X82" t="e">
        <f t="shared" ca="1" si="17"/>
        <v>#NAME?</v>
      </c>
      <c r="Y82" t="e">
        <f t="shared" ca="1" si="18"/>
        <v>#NAME?</v>
      </c>
      <c r="Z82" t="e">
        <f t="shared" ca="1" si="19"/>
        <v>#NAME?</v>
      </c>
      <c r="AA82" t="e">
        <f t="shared" ca="1" si="20"/>
        <v>#NAME?</v>
      </c>
      <c r="AB82" t="e">
        <f t="shared" ca="1" si="21"/>
        <v>#NAME?</v>
      </c>
      <c r="AD82">
        <f t="shared" si="23"/>
        <v>79</v>
      </c>
      <c r="AE82">
        <f t="shared" si="24"/>
        <v>10.498754342121549</v>
      </c>
    </row>
    <row r="83" spans="1:31" x14ac:dyDescent="0.35">
      <c r="A83">
        <f t="shared" si="13"/>
        <v>80</v>
      </c>
      <c r="B83">
        <v>8.1345560346257617</v>
      </c>
      <c r="D83">
        <f t="shared" si="22"/>
        <v>80</v>
      </c>
      <c r="E83" t="e">
        <f t="shared" ca="1" si="14"/>
        <v>#NAME?</v>
      </c>
      <c r="F83" t="e">
        <f t="shared" ca="1" si="25"/>
        <v>#NAME?</v>
      </c>
      <c r="V83">
        <f t="shared" si="15"/>
        <v>80</v>
      </c>
      <c r="W83" t="e">
        <f t="shared" ca="1" si="16"/>
        <v>#NAME?</v>
      </c>
      <c r="X83" t="e">
        <f t="shared" ca="1" si="17"/>
        <v>#NAME?</v>
      </c>
      <c r="Y83" t="e">
        <f t="shared" ca="1" si="18"/>
        <v>#NAME?</v>
      </c>
      <c r="Z83" t="e">
        <f t="shared" ca="1" si="19"/>
        <v>#NAME?</v>
      </c>
      <c r="AA83" t="e">
        <f t="shared" ca="1" si="20"/>
        <v>#NAME?</v>
      </c>
      <c r="AB83" t="e">
        <f t="shared" ca="1" si="21"/>
        <v>#NAME?</v>
      </c>
      <c r="AD83">
        <f t="shared" si="23"/>
        <v>80</v>
      </c>
      <c r="AE83">
        <f t="shared" si="24"/>
        <v>8.1345560346257617</v>
      </c>
    </row>
    <row r="84" spans="1:31" x14ac:dyDescent="0.35">
      <c r="A84">
        <f t="shared" si="13"/>
        <v>81</v>
      </c>
      <c r="B84">
        <v>9.155183562363236</v>
      </c>
      <c r="D84">
        <f t="shared" si="22"/>
        <v>81</v>
      </c>
      <c r="E84" t="e">
        <f t="shared" ca="1" si="14"/>
        <v>#NAME?</v>
      </c>
      <c r="F84" t="e">
        <f t="shared" ca="1" si="25"/>
        <v>#NAME?</v>
      </c>
      <c r="V84">
        <f t="shared" si="15"/>
        <v>81</v>
      </c>
      <c r="W84" t="e">
        <f t="shared" ca="1" si="16"/>
        <v>#NAME?</v>
      </c>
      <c r="X84" t="e">
        <f t="shared" ca="1" si="17"/>
        <v>#NAME?</v>
      </c>
      <c r="Y84" t="e">
        <f t="shared" ca="1" si="18"/>
        <v>#NAME?</v>
      </c>
      <c r="Z84" t="e">
        <f t="shared" ca="1" si="19"/>
        <v>#NAME?</v>
      </c>
      <c r="AA84" t="e">
        <f t="shared" ca="1" si="20"/>
        <v>#NAME?</v>
      </c>
      <c r="AB84" t="e">
        <f t="shared" ca="1" si="21"/>
        <v>#NAME?</v>
      </c>
      <c r="AD84">
        <f t="shared" si="23"/>
        <v>81</v>
      </c>
      <c r="AE84">
        <f t="shared" si="24"/>
        <v>9.155183562363236</v>
      </c>
    </row>
    <row r="85" spans="1:31" x14ac:dyDescent="0.35">
      <c r="A85">
        <f t="shared" si="13"/>
        <v>82</v>
      </c>
      <c r="B85">
        <v>7.9920854400738497</v>
      </c>
      <c r="D85">
        <f t="shared" si="22"/>
        <v>82</v>
      </c>
      <c r="E85" t="e">
        <f t="shared" ca="1" si="14"/>
        <v>#NAME?</v>
      </c>
      <c r="F85" t="e">
        <f t="shared" ca="1" si="25"/>
        <v>#NAME?</v>
      </c>
      <c r="V85">
        <f t="shared" si="15"/>
        <v>82</v>
      </c>
      <c r="W85" t="e">
        <f t="shared" ca="1" si="16"/>
        <v>#NAME?</v>
      </c>
      <c r="X85" t="e">
        <f t="shared" ca="1" si="17"/>
        <v>#NAME?</v>
      </c>
      <c r="Y85" t="e">
        <f t="shared" ca="1" si="18"/>
        <v>#NAME?</v>
      </c>
      <c r="Z85" t="e">
        <f t="shared" ca="1" si="19"/>
        <v>#NAME?</v>
      </c>
      <c r="AA85" t="e">
        <f t="shared" ca="1" si="20"/>
        <v>#NAME?</v>
      </c>
      <c r="AB85" t="e">
        <f t="shared" ca="1" si="21"/>
        <v>#NAME?</v>
      </c>
      <c r="AD85">
        <f t="shared" si="23"/>
        <v>82</v>
      </c>
      <c r="AE85">
        <f t="shared" si="24"/>
        <v>7.9920854400738497</v>
      </c>
    </row>
    <row r="86" spans="1:31" x14ac:dyDescent="0.35">
      <c r="A86">
        <f t="shared" si="13"/>
        <v>83</v>
      </c>
      <c r="B86">
        <v>10.439526996669359</v>
      </c>
      <c r="D86">
        <f t="shared" si="22"/>
        <v>83</v>
      </c>
      <c r="E86" t="e">
        <f t="shared" ca="1" si="14"/>
        <v>#NAME?</v>
      </c>
      <c r="F86" t="e">
        <f t="shared" ca="1" si="25"/>
        <v>#NAME?</v>
      </c>
      <c r="V86">
        <f t="shared" si="15"/>
        <v>83</v>
      </c>
      <c r="W86" t="e">
        <f t="shared" ca="1" si="16"/>
        <v>#NAME?</v>
      </c>
      <c r="X86" t="e">
        <f t="shared" ca="1" si="17"/>
        <v>#NAME?</v>
      </c>
      <c r="Y86" t="e">
        <f t="shared" ca="1" si="18"/>
        <v>#NAME?</v>
      </c>
      <c r="Z86" t="e">
        <f t="shared" ca="1" si="19"/>
        <v>#NAME?</v>
      </c>
      <c r="AA86" t="e">
        <f t="shared" ca="1" si="20"/>
        <v>#NAME?</v>
      </c>
      <c r="AB86" t="e">
        <f t="shared" ca="1" si="21"/>
        <v>#NAME?</v>
      </c>
      <c r="AD86">
        <f t="shared" si="23"/>
        <v>83</v>
      </c>
      <c r="AE86">
        <f t="shared" si="24"/>
        <v>10.439526996669359</v>
      </c>
    </row>
    <row r="87" spans="1:31" x14ac:dyDescent="0.35">
      <c r="A87">
        <f t="shared" si="13"/>
        <v>84</v>
      </c>
      <c r="B87">
        <v>11.175252728421926</v>
      </c>
      <c r="D87">
        <f t="shared" si="22"/>
        <v>84</v>
      </c>
      <c r="E87" t="e">
        <f t="shared" ca="1" si="14"/>
        <v>#NAME?</v>
      </c>
      <c r="F87" t="e">
        <f t="shared" ca="1" si="25"/>
        <v>#NAME?</v>
      </c>
      <c r="V87">
        <f t="shared" si="15"/>
        <v>84</v>
      </c>
      <c r="W87" t="e">
        <f t="shared" ca="1" si="16"/>
        <v>#NAME?</v>
      </c>
      <c r="X87" t="e">
        <f t="shared" ca="1" si="17"/>
        <v>#NAME?</v>
      </c>
      <c r="Y87" t="e">
        <f t="shared" ca="1" si="18"/>
        <v>#NAME?</v>
      </c>
      <c r="Z87" t="e">
        <f t="shared" ca="1" si="19"/>
        <v>#NAME?</v>
      </c>
      <c r="AA87" t="e">
        <f t="shared" ca="1" si="20"/>
        <v>#NAME?</v>
      </c>
      <c r="AB87" t="e">
        <f t="shared" ca="1" si="21"/>
        <v>#NAME?</v>
      </c>
      <c r="AD87">
        <f t="shared" si="23"/>
        <v>84</v>
      </c>
      <c r="AE87">
        <f t="shared" si="24"/>
        <v>11.175252728421926</v>
      </c>
    </row>
    <row r="88" spans="1:31" x14ac:dyDescent="0.35">
      <c r="A88">
        <f t="shared" si="13"/>
        <v>85</v>
      </c>
      <c r="B88">
        <v>9.9215034890634719</v>
      </c>
      <c r="D88">
        <f t="shared" si="22"/>
        <v>85</v>
      </c>
      <c r="E88" t="e">
        <f t="shared" ca="1" si="14"/>
        <v>#NAME?</v>
      </c>
      <c r="F88" t="e">
        <f t="shared" ca="1" si="25"/>
        <v>#NAME?</v>
      </c>
      <c r="V88">
        <f t="shared" si="15"/>
        <v>85</v>
      </c>
      <c r="W88" t="e">
        <f t="shared" ca="1" si="16"/>
        <v>#NAME?</v>
      </c>
      <c r="X88" t="e">
        <f t="shared" ca="1" si="17"/>
        <v>#NAME?</v>
      </c>
      <c r="Y88" t="e">
        <f t="shared" ca="1" si="18"/>
        <v>#NAME?</v>
      </c>
      <c r="Z88" t="e">
        <f t="shared" ca="1" si="19"/>
        <v>#NAME?</v>
      </c>
      <c r="AA88" t="e">
        <f t="shared" ca="1" si="20"/>
        <v>#NAME?</v>
      </c>
      <c r="AB88" t="e">
        <f t="shared" ca="1" si="21"/>
        <v>#NAME?</v>
      </c>
      <c r="AD88">
        <f t="shared" si="23"/>
        <v>85</v>
      </c>
      <c r="AE88">
        <f t="shared" si="24"/>
        <v>9.9215034890634719</v>
      </c>
    </row>
    <row r="89" spans="1:31" x14ac:dyDescent="0.35">
      <c r="A89">
        <f t="shared" si="13"/>
        <v>86</v>
      </c>
      <c r="B89">
        <v>10.653018863925139</v>
      </c>
      <c r="D89">
        <f t="shared" si="22"/>
        <v>86</v>
      </c>
      <c r="E89" t="e">
        <f t="shared" ca="1" si="14"/>
        <v>#NAME?</v>
      </c>
      <c r="F89" t="e">
        <f t="shared" ca="1" si="25"/>
        <v>#NAME?</v>
      </c>
      <c r="V89">
        <f t="shared" si="15"/>
        <v>86</v>
      </c>
      <c r="W89" t="e">
        <f t="shared" ca="1" si="16"/>
        <v>#NAME?</v>
      </c>
      <c r="X89" t="e">
        <f t="shared" ca="1" si="17"/>
        <v>#NAME?</v>
      </c>
      <c r="Y89" t="e">
        <f t="shared" ca="1" si="18"/>
        <v>#NAME?</v>
      </c>
      <c r="Z89" t="e">
        <f t="shared" ca="1" si="19"/>
        <v>#NAME?</v>
      </c>
      <c r="AA89" t="e">
        <f t="shared" ca="1" si="20"/>
        <v>#NAME?</v>
      </c>
      <c r="AB89" t="e">
        <f t="shared" ca="1" si="21"/>
        <v>#NAME?</v>
      </c>
      <c r="AD89">
        <f t="shared" si="23"/>
        <v>86</v>
      </c>
      <c r="AE89">
        <f t="shared" si="24"/>
        <v>10.653018863925139</v>
      </c>
    </row>
    <row r="90" spans="1:31" x14ac:dyDescent="0.35">
      <c r="A90">
        <f t="shared" si="13"/>
        <v>87</v>
      </c>
      <c r="B90">
        <v>10.300965035959745</v>
      </c>
      <c r="D90">
        <f t="shared" si="22"/>
        <v>87</v>
      </c>
      <c r="E90" t="e">
        <f t="shared" ca="1" si="14"/>
        <v>#NAME?</v>
      </c>
      <c r="F90" t="e">
        <f t="shared" ca="1" si="25"/>
        <v>#NAME?</v>
      </c>
      <c r="V90">
        <f t="shared" si="15"/>
        <v>87</v>
      </c>
      <c r="W90" t="e">
        <f t="shared" ca="1" si="16"/>
        <v>#NAME?</v>
      </c>
      <c r="X90" t="e">
        <f t="shared" ca="1" si="17"/>
        <v>#NAME?</v>
      </c>
      <c r="Y90" t="e">
        <f t="shared" ca="1" si="18"/>
        <v>#NAME?</v>
      </c>
      <c r="Z90" t="e">
        <f t="shared" ca="1" si="19"/>
        <v>#NAME?</v>
      </c>
      <c r="AA90" t="e">
        <f t="shared" ca="1" si="20"/>
        <v>#NAME?</v>
      </c>
      <c r="AB90" t="e">
        <f t="shared" ca="1" si="21"/>
        <v>#NAME?</v>
      </c>
      <c r="AD90">
        <f t="shared" si="23"/>
        <v>87</v>
      </c>
      <c r="AE90">
        <f t="shared" si="24"/>
        <v>10.300965035959745</v>
      </c>
    </row>
    <row r="91" spans="1:31" x14ac:dyDescent="0.35">
      <c r="A91">
        <f t="shared" si="13"/>
        <v>88</v>
      </c>
      <c r="B91">
        <v>9.322711642040451</v>
      </c>
      <c r="D91">
        <f t="shared" si="22"/>
        <v>88</v>
      </c>
      <c r="E91" t="e">
        <f t="shared" ca="1" si="14"/>
        <v>#NAME?</v>
      </c>
      <c r="F91" t="e">
        <f t="shared" ca="1" si="25"/>
        <v>#NAME?</v>
      </c>
      <c r="V91">
        <f t="shared" si="15"/>
        <v>88</v>
      </c>
      <c r="W91" t="e">
        <f t="shared" ca="1" si="16"/>
        <v>#NAME?</v>
      </c>
      <c r="X91" t="e">
        <f t="shared" ca="1" si="17"/>
        <v>#NAME?</v>
      </c>
      <c r="Y91" t="e">
        <f t="shared" ca="1" si="18"/>
        <v>#NAME?</v>
      </c>
      <c r="Z91" t="e">
        <f t="shared" ca="1" si="19"/>
        <v>#NAME?</v>
      </c>
      <c r="AA91" t="e">
        <f t="shared" ca="1" si="20"/>
        <v>#NAME?</v>
      </c>
      <c r="AB91" t="e">
        <f t="shared" ca="1" si="21"/>
        <v>#NAME?</v>
      </c>
      <c r="AD91">
        <f t="shared" si="23"/>
        <v>88</v>
      </c>
      <c r="AE91">
        <f t="shared" si="24"/>
        <v>9.322711642040451</v>
      </c>
    </row>
    <row r="92" spans="1:31" x14ac:dyDescent="0.35">
      <c r="A92">
        <f t="shared" si="13"/>
        <v>89</v>
      </c>
      <c r="B92">
        <v>11.208496897982</v>
      </c>
      <c r="D92">
        <f t="shared" si="22"/>
        <v>89</v>
      </c>
      <c r="E92" t="e">
        <f t="shared" ca="1" si="14"/>
        <v>#NAME?</v>
      </c>
      <c r="F92" t="e">
        <f t="shared" ca="1" si="25"/>
        <v>#NAME?</v>
      </c>
      <c r="V92">
        <f t="shared" si="15"/>
        <v>89</v>
      </c>
      <c r="W92" t="e">
        <f t="shared" ca="1" si="16"/>
        <v>#NAME?</v>
      </c>
      <c r="X92" t="e">
        <f t="shared" ca="1" si="17"/>
        <v>#NAME?</v>
      </c>
      <c r="Y92" t="e">
        <f t="shared" ca="1" si="18"/>
        <v>#NAME?</v>
      </c>
      <c r="Z92" t="e">
        <f t="shared" ca="1" si="19"/>
        <v>#NAME?</v>
      </c>
      <c r="AA92" t="e">
        <f t="shared" ca="1" si="20"/>
        <v>#NAME?</v>
      </c>
      <c r="AB92" t="e">
        <f t="shared" ca="1" si="21"/>
        <v>#NAME?</v>
      </c>
      <c r="AD92">
        <f t="shared" si="23"/>
        <v>89</v>
      </c>
      <c r="AE92">
        <f t="shared" si="24"/>
        <v>11.208496897982</v>
      </c>
    </row>
    <row r="93" spans="1:31" x14ac:dyDescent="0.35">
      <c r="A93">
        <f t="shared" si="13"/>
        <v>90</v>
      </c>
      <c r="B93">
        <v>9.8337122512150579</v>
      </c>
      <c r="D93">
        <f t="shared" si="22"/>
        <v>90</v>
      </c>
      <c r="E93" t="e">
        <f t="shared" ca="1" si="14"/>
        <v>#NAME?</v>
      </c>
      <c r="F93" t="e">
        <f t="shared" ca="1" si="25"/>
        <v>#NAME?</v>
      </c>
      <c r="V93">
        <f t="shared" si="15"/>
        <v>90</v>
      </c>
      <c r="W93" t="e">
        <f t="shared" ca="1" si="16"/>
        <v>#NAME?</v>
      </c>
      <c r="X93" t="e">
        <f t="shared" ca="1" si="17"/>
        <v>#NAME?</v>
      </c>
      <c r="Y93" t="e">
        <f t="shared" ca="1" si="18"/>
        <v>#NAME?</v>
      </c>
      <c r="Z93" t="e">
        <f t="shared" ca="1" si="19"/>
        <v>#NAME?</v>
      </c>
      <c r="AA93" t="e">
        <f t="shared" ca="1" si="20"/>
        <v>#NAME?</v>
      </c>
      <c r="AB93" t="e">
        <f t="shared" ca="1" si="21"/>
        <v>#NAME?</v>
      </c>
      <c r="AD93">
        <f t="shared" si="23"/>
        <v>90</v>
      </c>
      <c r="AE93">
        <f t="shared" si="24"/>
        <v>9.8337122512150579</v>
      </c>
    </row>
    <row r="94" spans="1:31" x14ac:dyDescent="0.35">
      <c r="A94">
        <f t="shared" si="13"/>
        <v>91</v>
      </c>
      <c r="B94">
        <v>11.009228904367124</v>
      </c>
      <c r="D94">
        <f t="shared" si="22"/>
        <v>91</v>
      </c>
      <c r="E94" t="e">
        <f t="shared" ca="1" si="14"/>
        <v>#NAME?</v>
      </c>
      <c r="F94" t="e">
        <f t="shared" ca="1" si="25"/>
        <v>#NAME?</v>
      </c>
      <c r="V94">
        <f t="shared" si="15"/>
        <v>91</v>
      </c>
      <c r="W94" t="e">
        <f t="shared" ca="1" si="16"/>
        <v>#NAME?</v>
      </c>
      <c r="X94" t="e">
        <f t="shared" ca="1" si="17"/>
        <v>#NAME?</v>
      </c>
      <c r="Y94" t="e">
        <f t="shared" ca="1" si="18"/>
        <v>#NAME?</v>
      </c>
      <c r="Z94" t="e">
        <f t="shared" ca="1" si="19"/>
        <v>#NAME?</v>
      </c>
      <c r="AA94" t="e">
        <f t="shared" ca="1" si="20"/>
        <v>#NAME?</v>
      </c>
      <c r="AB94" t="e">
        <f t="shared" ca="1" si="21"/>
        <v>#NAME?</v>
      </c>
      <c r="AD94">
        <f t="shared" si="23"/>
        <v>91</v>
      </c>
      <c r="AE94">
        <f t="shared" si="24"/>
        <v>11.009228904367124</v>
      </c>
    </row>
    <row r="95" spans="1:31" x14ac:dyDescent="0.35">
      <c r="A95">
        <f t="shared" si="13"/>
        <v>92</v>
      </c>
      <c r="B95">
        <v>9.672211664259164</v>
      </c>
      <c r="D95">
        <f t="shared" si="22"/>
        <v>92</v>
      </c>
      <c r="E95" t="e">
        <f t="shared" ca="1" si="14"/>
        <v>#NAME?</v>
      </c>
      <c r="F95" t="e">
        <f t="shared" ca="1" si="25"/>
        <v>#NAME?</v>
      </c>
      <c r="V95">
        <f t="shared" si="15"/>
        <v>92</v>
      </c>
      <c r="W95" t="e">
        <f t="shared" ca="1" si="16"/>
        <v>#NAME?</v>
      </c>
      <c r="X95" t="e">
        <f t="shared" ca="1" si="17"/>
        <v>#NAME?</v>
      </c>
      <c r="Y95" t="e">
        <f t="shared" ca="1" si="18"/>
        <v>#NAME?</v>
      </c>
      <c r="Z95" t="e">
        <f t="shared" ca="1" si="19"/>
        <v>#NAME?</v>
      </c>
      <c r="AA95" t="e">
        <f t="shared" ca="1" si="20"/>
        <v>#NAME?</v>
      </c>
      <c r="AB95" t="e">
        <f t="shared" ca="1" si="21"/>
        <v>#NAME?</v>
      </c>
      <c r="AD95">
        <f t="shared" si="23"/>
        <v>92</v>
      </c>
      <c r="AE95">
        <f t="shared" si="24"/>
        <v>9.672211664259164</v>
      </c>
    </row>
    <row r="96" spans="1:31" x14ac:dyDescent="0.35">
      <c r="A96">
        <f t="shared" si="13"/>
        <v>93</v>
      </c>
      <c r="B96">
        <v>8.0220551654262664</v>
      </c>
      <c r="D96">
        <f t="shared" si="22"/>
        <v>93</v>
      </c>
      <c r="E96" t="e">
        <f t="shared" ca="1" si="14"/>
        <v>#NAME?</v>
      </c>
      <c r="F96" t="e">
        <f t="shared" ca="1" si="25"/>
        <v>#NAME?</v>
      </c>
      <c r="V96">
        <f t="shared" si="15"/>
        <v>93</v>
      </c>
      <c r="W96" t="e">
        <f t="shared" ca="1" si="16"/>
        <v>#NAME?</v>
      </c>
      <c r="X96" t="e">
        <f t="shared" ca="1" si="17"/>
        <v>#NAME?</v>
      </c>
      <c r="Y96" t="e">
        <f t="shared" ca="1" si="18"/>
        <v>#NAME?</v>
      </c>
      <c r="Z96" t="e">
        <f t="shared" ca="1" si="19"/>
        <v>#NAME?</v>
      </c>
      <c r="AA96" t="e">
        <f t="shared" ca="1" si="20"/>
        <v>#NAME?</v>
      </c>
      <c r="AB96" t="e">
        <f t="shared" ca="1" si="21"/>
        <v>#NAME?</v>
      </c>
      <c r="AD96">
        <f t="shared" si="23"/>
        <v>93</v>
      </c>
      <c r="AE96">
        <f t="shared" si="24"/>
        <v>8.0220551654262664</v>
      </c>
    </row>
    <row r="97" spans="1:31" x14ac:dyDescent="0.35">
      <c r="A97">
        <f t="shared" si="13"/>
        <v>94</v>
      </c>
      <c r="B97">
        <v>9.1001604867082797</v>
      </c>
      <c r="D97">
        <f t="shared" si="22"/>
        <v>94</v>
      </c>
      <c r="E97" t="e">
        <f t="shared" ca="1" si="14"/>
        <v>#NAME?</v>
      </c>
      <c r="F97" t="e">
        <f t="shared" ca="1" si="25"/>
        <v>#NAME?</v>
      </c>
      <c r="V97">
        <f t="shared" si="15"/>
        <v>94</v>
      </c>
      <c r="W97" t="e">
        <f t="shared" ca="1" si="16"/>
        <v>#NAME?</v>
      </c>
      <c r="X97" t="e">
        <f t="shared" ca="1" si="17"/>
        <v>#NAME?</v>
      </c>
      <c r="Y97" t="e">
        <f t="shared" ca="1" si="18"/>
        <v>#NAME?</v>
      </c>
      <c r="Z97" t="e">
        <f t="shared" ca="1" si="19"/>
        <v>#NAME?</v>
      </c>
      <c r="AA97" t="e">
        <f t="shared" ca="1" si="20"/>
        <v>#NAME?</v>
      </c>
      <c r="AB97" t="e">
        <f t="shared" ca="1" si="21"/>
        <v>#NAME?</v>
      </c>
      <c r="AD97">
        <f t="shared" si="23"/>
        <v>94</v>
      </c>
      <c r="AE97">
        <f t="shared" si="24"/>
        <v>9.1001604867082797</v>
      </c>
    </row>
    <row r="98" spans="1:31" x14ac:dyDescent="0.35">
      <c r="A98">
        <f t="shared" si="13"/>
        <v>95</v>
      </c>
      <c r="B98">
        <v>10.293563569831946</v>
      </c>
      <c r="D98">
        <f t="shared" si="22"/>
        <v>95</v>
      </c>
      <c r="E98" t="e">
        <f t="shared" ca="1" si="14"/>
        <v>#NAME?</v>
      </c>
      <c r="F98" t="e">
        <f t="shared" ca="1" si="25"/>
        <v>#NAME?</v>
      </c>
      <c r="V98">
        <f t="shared" si="15"/>
        <v>95</v>
      </c>
      <c r="W98" t="e">
        <f t="shared" ca="1" si="16"/>
        <v>#NAME?</v>
      </c>
      <c r="X98" t="e">
        <f t="shared" ca="1" si="17"/>
        <v>#NAME?</v>
      </c>
      <c r="Y98" t="e">
        <f t="shared" ca="1" si="18"/>
        <v>#NAME?</v>
      </c>
      <c r="Z98" t="e">
        <f t="shared" ca="1" si="19"/>
        <v>#NAME?</v>
      </c>
      <c r="AA98" t="e">
        <f t="shared" ca="1" si="20"/>
        <v>#NAME?</v>
      </c>
      <c r="AB98" t="e">
        <f t="shared" ca="1" si="21"/>
        <v>#NAME?</v>
      </c>
      <c r="AD98">
        <f t="shared" si="23"/>
        <v>95</v>
      </c>
      <c r="AE98">
        <f t="shared" si="24"/>
        <v>10.293563569831946</v>
      </c>
    </row>
    <row r="99" spans="1:31" x14ac:dyDescent="0.35">
      <c r="A99">
        <f t="shared" si="13"/>
        <v>96</v>
      </c>
      <c r="B99">
        <v>10.874137892356456</v>
      </c>
      <c r="D99">
        <f t="shared" si="22"/>
        <v>96</v>
      </c>
      <c r="E99" t="e">
        <f t="shared" ca="1" si="14"/>
        <v>#NAME?</v>
      </c>
      <c r="F99" t="e">
        <f t="shared" ca="1" si="25"/>
        <v>#NAME?</v>
      </c>
      <c r="V99">
        <f t="shared" si="15"/>
        <v>96</v>
      </c>
      <c r="W99" t="e">
        <f t="shared" ca="1" si="16"/>
        <v>#NAME?</v>
      </c>
      <c r="X99" t="e">
        <f t="shared" ca="1" si="17"/>
        <v>#NAME?</v>
      </c>
      <c r="Y99" t="e">
        <f t="shared" ca="1" si="18"/>
        <v>#NAME?</v>
      </c>
      <c r="Z99" t="e">
        <f t="shared" ca="1" si="19"/>
        <v>#NAME?</v>
      </c>
      <c r="AA99" t="e">
        <f t="shared" ca="1" si="20"/>
        <v>#NAME?</v>
      </c>
      <c r="AB99" t="e">
        <f t="shared" ca="1" si="21"/>
        <v>#NAME?</v>
      </c>
      <c r="AD99">
        <f t="shared" si="23"/>
        <v>96</v>
      </c>
      <c r="AE99">
        <f t="shared" si="24"/>
        <v>10.874137892356456</v>
      </c>
    </row>
    <row r="100" spans="1:31" x14ac:dyDescent="0.35">
      <c r="A100">
        <f t="shared" si="13"/>
        <v>97</v>
      </c>
      <c r="B100">
        <v>11.048588930382071</v>
      </c>
      <c r="D100">
        <f t="shared" si="22"/>
        <v>97</v>
      </c>
      <c r="E100" t="e">
        <f t="shared" ca="1" si="14"/>
        <v>#NAME?</v>
      </c>
      <c r="F100" t="e">
        <f t="shared" ca="1" si="25"/>
        <v>#NAME?</v>
      </c>
      <c r="V100">
        <f t="shared" si="15"/>
        <v>97</v>
      </c>
      <c r="W100" t="e">
        <f t="shared" ca="1" si="16"/>
        <v>#NAME?</v>
      </c>
      <c r="X100" t="e">
        <f t="shared" ca="1" si="17"/>
        <v>#NAME?</v>
      </c>
      <c r="Y100" t="e">
        <f t="shared" ca="1" si="18"/>
        <v>#NAME?</v>
      </c>
      <c r="Z100" t="e">
        <f t="shared" ca="1" si="19"/>
        <v>#NAME?</v>
      </c>
      <c r="AA100" t="e">
        <f t="shared" ca="1" si="20"/>
        <v>#NAME?</v>
      </c>
      <c r="AB100" t="e">
        <f t="shared" ca="1" si="21"/>
        <v>#NAME?</v>
      </c>
      <c r="AD100">
        <f t="shared" si="23"/>
        <v>97</v>
      </c>
      <c r="AE100">
        <f t="shared" si="24"/>
        <v>11.048588930382071</v>
      </c>
    </row>
    <row r="101" spans="1:31" x14ac:dyDescent="0.35">
      <c r="A101">
        <f t="shared" si="13"/>
        <v>98</v>
      </c>
      <c r="B101">
        <v>10.377103608405847</v>
      </c>
      <c r="D101">
        <f t="shared" si="22"/>
        <v>98</v>
      </c>
      <c r="E101" t="e">
        <f t="shared" ca="1" si="14"/>
        <v>#NAME?</v>
      </c>
      <c r="F101" t="e">
        <f t="shared" ca="1" si="25"/>
        <v>#NAME?</v>
      </c>
      <c r="V101">
        <f t="shared" si="15"/>
        <v>98</v>
      </c>
      <c r="W101" t="e">
        <f t="shared" ca="1" si="16"/>
        <v>#NAME?</v>
      </c>
      <c r="X101" t="e">
        <f t="shared" ca="1" si="17"/>
        <v>#NAME?</v>
      </c>
      <c r="Y101" t="e">
        <f t="shared" ca="1" si="18"/>
        <v>#NAME?</v>
      </c>
      <c r="Z101" t="e">
        <f t="shared" ca="1" si="19"/>
        <v>#NAME?</v>
      </c>
      <c r="AA101" t="e">
        <f t="shared" ca="1" si="20"/>
        <v>#NAME?</v>
      </c>
      <c r="AB101" t="e">
        <f t="shared" ca="1" si="21"/>
        <v>#NAME?</v>
      </c>
      <c r="AD101">
        <f t="shared" si="23"/>
        <v>98</v>
      </c>
      <c r="AE101">
        <f t="shared" si="24"/>
        <v>10.377103608405847</v>
      </c>
    </row>
    <row r="102" spans="1:31" x14ac:dyDescent="0.35">
      <c r="A102">
        <f t="shared" si="13"/>
        <v>99</v>
      </c>
      <c r="B102">
        <v>11.10073340647541</v>
      </c>
      <c r="D102">
        <f t="shared" si="22"/>
        <v>99</v>
      </c>
      <c r="E102" t="e">
        <f t="shared" ca="1" si="14"/>
        <v>#NAME?</v>
      </c>
      <c r="F102" t="e">
        <f t="shared" ca="1" si="25"/>
        <v>#NAME?</v>
      </c>
      <c r="V102">
        <f t="shared" si="15"/>
        <v>99</v>
      </c>
      <c r="W102" t="e">
        <f t="shared" ca="1" si="16"/>
        <v>#NAME?</v>
      </c>
      <c r="X102" t="e">
        <f t="shared" ca="1" si="17"/>
        <v>#NAME?</v>
      </c>
      <c r="Y102" t="e">
        <f t="shared" ca="1" si="18"/>
        <v>#NAME?</v>
      </c>
      <c r="Z102" t="e">
        <f t="shared" ca="1" si="19"/>
        <v>#NAME?</v>
      </c>
      <c r="AA102" t="e">
        <f t="shared" ca="1" si="20"/>
        <v>#NAME?</v>
      </c>
      <c r="AB102" t="e">
        <f t="shared" ca="1" si="21"/>
        <v>#NAME?</v>
      </c>
      <c r="AD102">
        <f t="shared" si="23"/>
        <v>99</v>
      </c>
      <c r="AE102">
        <f t="shared" si="24"/>
        <v>11.10073340647541</v>
      </c>
    </row>
    <row r="103" spans="1:31" x14ac:dyDescent="0.35">
      <c r="A103">
        <f t="shared" si="13"/>
        <v>100</v>
      </c>
      <c r="B103">
        <v>9.5564566897714425</v>
      </c>
      <c r="D103">
        <f t="shared" si="22"/>
        <v>100</v>
      </c>
      <c r="E103" t="e">
        <f t="shared" ca="1" si="14"/>
        <v>#NAME?</v>
      </c>
      <c r="F103" t="e">
        <f t="shared" ca="1" si="25"/>
        <v>#NAME?</v>
      </c>
      <c r="V103">
        <f t="shared" si="15"/>
        <v>100</v>
      </c>
      <c r="W103" t="e">
        <f t="shared" ca="1" si="16"/>
        <v>#NAME?</v>
      </c>
      <c r="X103" t="e">
        <f t="shared" ca="1" si="17"/>
        <v>#NAME?</v>
      </c>
      <c r="Y103" t="e">
        <f t="shared" ca="1" si="18"/>
        <v>#NAME?</v>
      </c>
      <c r="Z103" t="e">
        <f t="shared" ca="1" si="19"/>
        <v>#NAME?</v>
      </c>
      <c r="AA103" t="e">
        <f t="shared" ca="1" si="20"/>
        <v>#NAME?</v>
      </c>
      <c r="AB103" t="e">
        <f t="shared" ca="1" si="21"/>
        <v>#NAME?</v>
      </c>
      <c r="AD103">
        <f t="shared" si="23"/>
        <v>100</v>
      </c>
      <c r="AE103">
        <f t="shared" si="24"/>
        <v>9.5564566897714425</v>
      </c>
    </row>
    <row r="104" spans="1:31" x14ac:dyDescent="0.35">
      <c r="A104">
        <f t="shared" si="13"/>
        <v>101</v>
      </c>
      <c r="B104">
        <v>10.126612012197914</v>
      </c>
      <c r="D104">
        <f t="shared" si="22"/>
        <v>101</v>
      </c>
      <c r="E104" t="e">
        <f t="shared" ca="1" si="14"/>
        <v>#NAME?</v>
      </c>
      <c r="F104" t="e">
        <f t="shared" ca="1" si="25"/>
        <v>#NAME?</v>
      </c>
      <c r="V104">
        <f t="shared" si="15"/>
        <v>101</v>
      </c>
      <c r="W104" t="e">
        <f t="shared" ca="1" si="16"/>
        <v>#NAME?</v>
      </c>
      <c r="X104" t="e">
        <f t="shared" ca="1" si="17"/>
        <v>#NAME?</v>
      </c>
      <c r="Y104" t="e">
        <f t="shared" ca="1" si="18"/>
        <v>#NAME?</v>
      </c>
      <c r="Z104" t="e">
        <f t="shared" ca="1" si="19"/>
        <v>#NAME?</v>
      </c>
      <c r="AA104" t="e">
        <f t="shared" ca="1" si="20"/>
        <v>#NAME?</v>
      </c>
      <c r="AB104" t="e">
        <f t="shared" ca="1" si="21"/>
        <v>#NAME?</v>
      </c>
      <c r="AD104">
        <f t="shared" si="23"/>
        <v>101</v>
      </c>
      <c r="AE104">
        <f t="shared" si="24"/>
        <v>10.126612012197914</v>
      </c>
    </row>
    <row r="105" spans="1:31" x14ac:dyDescent="0.35">
      <c r="A105">
        <f t="shared" si="13"/>
        <v>102</v>
      </c>
      <c r="B105">
        <v>10.618656799718755</v>
      </c>
      <c r="D105">
        <f t="shared" si="22"/>
        <v>102</v>
      </c>
      <c r="E105" t="e">
        <f t="shared" ca="1" si="14"/>
        <v>#NAME?</v>
      </c>
      <c r="F105" t="e">
        <f t="shared" ca="1" si="25"/>
        <v>#NAME?</v>
      </c>
      <c r="V105">
        <f t="shared" si="15"/>
        <v>102</v>
      </c>
      <c r="W105" t="e">
        <f t="shared" ca="1" si="16"/>
        <v>#NAME?</v>
      </c>
      <c r="X105" t="e">
        <f t="shared" ca="1" si="17"/>
        <v>#NAME?</v>
      </c>
      <c r="Y105" t="e">
        <f t="shared" ca="1" si="18"/>
        <v>#NAME?</v>
      </c>
      <c r="Z105" t="e">
        <f t="shared" ca="1" si="19"/>
        <v>#NAME?</v>
      </c>
      <c r="AA105" t="e">
        <f t="shared" ca="1" si="20"/>
        <v>#NAME?</v>
      </c>
      <c r="AB105" t="e">
        <f t="shared" ca="1" si="21"/>
        <v>#NAME?</v>
      </c>
      <c r="AD105">
        <f t="shared" si="23"/>
        <v>102</v>
      </c>
      <c r="AE105">
        <f t="shared" si="24"/>
        <v>10.618656799718755</v>
      </c>
    </row>
    <row r="106" spans="1:31" x14ac:dyDescent="0.35">
      <c r="A106">
        <f t="shared" si="13"/>
        <v>103</v>
      </c>
      <c r="B106">
        <v>11.369377647513675</v>
      </c>
      <c r="D106">
        <f t="shared" si="22"/>
        <v>103</v>
      </c>
      <c r="E106" t="e">
        <f t="shared" ca="1" si="14"/>
        <v>#NAME?</v>
      </c>
      <c r="F106" t="e">
        <f t="shared" ca="1" si="25"/>
        <v>#NAME?</v>
      </c>
      <c r="V106">
        <f t="shared" si="15"/>
        <v>103</v>
      </c>
      <c r="W106" t="e">
        <f t="shared" ca="1" si="16"/>
        <v>#NAME?</v>
      </c>
      <c r="X106" t="e">
        <f t="shared" ca="1" si="17"/>
        <v>#NAME?</v>
      </c>
      <c r="Y106" t="e">
        <f t="shared" ca="1" si="18"/>
        <v>#NAME?</v>
      </c>
      <c r="Z106" t="e">
        <f t="shared" ca="1" si="19"/>
        <v>#NAME?</v>
      </c>
      <c r="AA106" t="e">
        <f t="shared" ca="1" si="20"/>
        <v>#NAME?</v>
      </c>
      <c r="AB106" t="e">
        <f t="shared" ca="1" si="21"/>
        <v>#NAME?</v>
      </c>
      <c r="AD106">
        <f t="shared" si="23"/>
        <v>103</v>
      </c>
      <c r="AE106">
        <f t="shared" si="24"/>
        <v>11.369377647513675</v>
      </c>
    </row>
    <row r="107" spans="1:31" x14ac:dyDescent="0.35">
      <c r="A107">
        <f t="shared" si="13"/>
        <v>104</v>
      </c>
      <c r="B107">
        <v>10.761442220235375</v>
      </c>
      <c r="D107">
        <f t="shared" si="22"/>
        <v>104</v>
      </c>
      <c r="E107" t="e">
        <f t="shared" ca="1" si="14"/>
        <v>#NAME?</v>
      </c>
      <c r="F107" t="e">
        <f t="shared" ca="1" si="25"/>
        <v>#NAME?</v>
      </c>
      <c r="V107">
        <f t="shared" si="15"/>
        <v>104</v>
      </c>
      <c r="W107" t="e">
        <f t="shared" ca="1" si="16"/>
        <v>#NAME?</v>
      </c>
      <c r="X107" t="e">
        <f t="shared" ca="1" si="17"/>
        <v>#NAME?</v>
      </c>
      <c r="Y107" t="e">
        <f t="shared" ca="1" si="18"/>
        <v>#NAME?</v>
      </c>
      <c r="Z107" t="e">
        <f t="shared" ca="1" si="19"/>
        <v>#NAME?</v>
      </c>
      <c r="AA107" t="e">
        <f t="shared" ca="1" si="20"/>
        <v>#NAME?</v>
      </c>
      <c r="AB107" t="e">
        <f t="shared" ca="1" si="21"/>
        <v>#NAME?</v>
      </c>
      <c r="AD107">
        <f t="shared" si="23"/>
        <v>104</v>
      </c>
      <c r="AE107">
        <f t="shared" si="24"/>
        <v>10.761442220235375</v>
      </c>
    </row>
    <row r="108" spans="1:31" x14ac:dyDescent="0.35">
      <c r="A108">
        <f t="shared" si="13"/>
        <v>105</v>
      </c>
      <c r="B108" s="4">
        <v>11.954765055482959</v>
      </c>
      <c r="D108" s="4">
        <f t="shared" si="22"/>
        <v>105</v>
      </c>
      <c r="E108" s="4" t="e">
        <f t="shared" ca="1" si="14"/>
        <v>#NAME?</v>
      </c>
      <c r="F108" s="4" t="e">
        <f t="shared" ca="1" si="25"/>
        <v>#NAME?</v>
      </c>
      <c r="V108">
        <f t="shared" si="15"/>
        <v>105</v>
      </c>
      <c r="W108" t="e">
        <f t="shared" ca="1" si="16"/>
        <v>#NAME?</v>
      </c>
      <c r="X108" t="e">
        <f t="shared" ca="1" si="17"/>
        <v>#NAME?</v>
      </c>
      <c r="Y108" t="e">
        <f t="shared" ca="1" si="18"/>
        <v>#NAME?</v>
      </c>
      <c r="Z108" t="e">
        <f t="shared" ca="1" si="19"/>
        <v>#NAME?</v>
      </c>
      <c r="AA108" t="e">
        <f t="shared" ca="1" si="20"/>
        <v>#NAME?</v>
      </c>
      <c r="AB108" t="e">
        <f t="shared" ca="1" si="21"/>
        <v>#NAME?</v>
      </c>
      <c r="AD108" s="4">
        <f t="shared" si="23"/>
        <v>105</v>
      </c>
      <c r="AE108" s="4">
        <f t="shared" si="24"/>
        <v>11.954765055482959</v>
      </c>
    </row>
    <row r="109" spans="1:31" x14ac:dyDescent="0.35">
      <c r="V109">
        <f>V108+1</f>
        <v>106</v>
      </c>
      <c r="Y109" t="e">
        <f ca="1">SUMPRODUCT(W107:W108,I$4:I$5)+SUMPRODUCT(X108,J$5)</f>
        <v>#NAME?</v>
      </c>
      <c r="Z109" t="e">
        <f ca="1">J$15*SQRT(SUMSQ(M$15:M15))</f>
        <v>#NAME?</v>
      </c>
      <c r="AA109" t="e">
        <f ca="1">Y109-NORMSINV(1-Z$2/2)*Z109</f>
        <v>#NAME?</v>
      </c>
      <c r="AB109" t="e">
        <f ca="1">Y109+NORMSINV(1-Z$2/2)*Z109</f>
        <v>#NAME?</v>
      </c>
      <c r="AD109">
        <f t="shared" si="23"/>
        <v>106</v>
      </c>
      <c r="AE109" t="e">
        <f ca="1">Y109+J$6</f>
        <v>#NAME?</v>
      </c>
    </row>
    <row r="110" spans="1:31" x14ac:dyDescent="0.35">
      <c r="V110">
        <f>V109+1</f>
        <v>107</v>
      </c>
      <c r="Y110" t="e">
        <f ca="1">SUMPRODUCT(W108,I4)+SUMPRODUCT(Y109,I5)</f>
        <v>#NAME?</v>
      </c>
      <c r="Z110" t="e">
        <f ca="1">J$15*SQRT(SUMSQ(M$15:M16))</f>
        <v>#NAME?</v>
      </c>
      <c r="AA110" t="e">
        <f ca="1">Y110-NORMSINV(1-Z$2/2)*Z110</f>
        <v>#NAME?</v>
      </c>
      <c r="AB110" t="e">
        <f ca="1">Y110+NORMSINV(1-Z$2/2)*Z110</f>
        <v>#NAME?</v>
      </c>
      <c r="AD110">
        <f t="shared" si="23"/>
        <v>107</v>
      </c>
      <c r="AE110" t="e">
        <f ca="1">Y110+J$6</f>
        <v>#NAME?</v>
      </c>
    </row>
    <row r="111" spans="1:31" x14ac:dyDescent="0.35">
      <c r="V111">
        <f>V110+1</f>
        <v>108</v>
      </c>
      <c r="Y111" t="e">
        <f ca="1">SUMPRODUCT(Y109:Y110,I4:I5)</f>
        <v>#NAME?</v>
      </c>
      <c r="Z111" t="e">
        <f ca="1">J$15*SQRT(SUMSQ(M$15:M17))</f>
        <v>#NAME?</v>
      </c>
      <c r="AA111" t="e">
        <f ca="1">Y111-NORMSINV(1-Z$2/2)*Z111</f>
        <v>#NAME?</v>
      </c>
      <c r="AB111" t="e">
        <f ca="1">Y111+NORMSINV(1-Z$2/2)*Z111</f>
        <v>#NAME?</v>
      </c>
      <c r="AD111">
        <f t="shared" si="23"/>
        <v>108</v>
      </c>
      <c r="AE111" t="e">
        <f ca="1">Y111+J$6</f>
        <v>#NAME?</v>
      </c>
    </row>
    <row r="112" spans="1:31" x14ac:dyDescent="0.35">
      <c r="V112">
        <f>V111+1</f>
        <v>109</v>
      </c>
      <c r="Y112" t="e">
        <f ca="1">SUMPRODUCT(Y110:Y111,I4:I5)</f>
        <v>#NAME?</v>
      </c>
      <c r="Z112" t="e">
        <f ca="1">J$15*SQRT(SUMSQ(M$15:M18))</f>
        <v>#NAME?</v>
      </c>
      <c r="AA112" t="e">
        <f ca="1">Y112-NORMSINV(1-Z$2/2)*Z112</f>
        <v>#NAME?</v>
      </c>
      <c r="AB112" t="e">
        <f ca="1">Y112+NORMSINV(1-Z$2/2)*Z112</f>
        <v>#NAME?</v>
      </c>
      <c r="AD112">
        <f t="shared" si="23"/>
        <v>109</v>
      </c>
      <c r="AE112" t="e">
        <f ca="1">Y112+J$6</f>
        <v>#NAME?</v>
      </c>
    </row>
    <row r="113" spans="22:31" x14ac:dyDescent="0.35">
      <c r="V113" s="4">
        <f>V112+1</f>
        <v>110</v>
      </c>
      <c r="W113" s="4"/>
      <c r="X113" s="4"/>
      <c r="Y113" s="4" t="e">
        <f ca="1">SUMPRODUCT(Y111:Y112,I4:I5)</f>
        <v>#NAME?</v>
      </c>
      <c r="Z113" s="4" t="e">
        <f ca="1">J$15*SQRT(SUMSQ(M$15:M19))</f>
        <v>#NAME?</v>
      </c>
      <c r="AA113" s="4" t="e">
        <f ca="1">Y113-NORMSINV(1-Z$2/2)*Z113</f>
        <v>#NAME?</v>
      </c>
      <c r="AB113" s="4" t="e">
        <f ca="1">Y113+NORMSINV(1-Z$2/2)*Z113</f>
        <v>#NAME?</v>
      </c>
      <c r="AD113" s="4">
        <f t="shared" si="23"/>
        <v>110</v>
      </c>
      <c r="AE113" s="4" t="e">
        <f ca="1">Y113+J$6</f>
        <v>#NAME?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60"/>
  <dimension ref="A1:AE113"/>
  <sheetViews>
    <sheetView zoomScaleNormal="100" workbookViewId="0"/>
  </sheetViews>
  <sheetFormatPr defaultRowHeight="14.5" x14ac:dyDescent="0.35"/>
  <cols>
    <col min="1" max="1" width="4.81640625" customWidth="1"/>
    <col min="4" max="4" width="9.1796875" customWidth="1"/>
    <col min="7" max="7" width="9.1796875" customWidth="1"/>
    <col min="10" max="10" width="9.1796875" customWidth="1"/>
  </cols>
  <sheetData>
    <row r="1" spans="1:31" x14ac:dyDescent="0.35">
      <c r="A1" s="7" t="s">
        <v>398</v>
      </c>
      <c r="D1" t="s">
        <v>353</v>
      </c>
      <c r="H1" t="s">
        <v>355</v>
      </c>
      <c r="L1" t="s">
        <v>374</v>
      </c>
      <c r="P1" t="s">
        <v>379</v>
      </c>
      <c r="V1" t="s">
        <v>383</v>
      </c>
      <c r="AD1" t="s">
        <v>384</v>
      </c>
    </row>
    <row r="2" spans="1:31" ht="15" thickBot="1" x14ac:dyDescent="0.4">
      <c r="A2" s="72"/>
      <c r="B2" s="72"/>
      <c r="Y2" t="s">
        <v>156</v>
      </c>
      <c r="Z2">
        <v>0.05</v>
      </c>
    </row>
    <row r="3" spans="1:31" ht="15" thickTop="1" x14ac:dyDescent="0.35">
      <c r="B3" s="114" t="s">
        <v>110</v>
      </c>
      <c r="D3" s="45" t="s">
        <v>291</v>
      </c>
      <c r="E3" s="45" t="s">
        <v>194</v>
      </c>
      <c r="F3" s="45" t="s">
        <v>354</v>
      </c>
      <c r="H3" s="45" t="s">
        <v>356</v>
      </c>
      <c r="I3" s="45" t="s">
        <v>357</v>
      </c>
      <c r="J3" s="45" t="s">
        <v>358</v>
      </c>
      <c r="L3" s="45" t="s">
        <v>173</v>
      </c>
      <c r="M3" s="45" t="s">
        <v>174</v>
      </c>
      <c r="N3" s="45" t="s">
        <v>375</v>
      </c>
      <c r="P3" s="45" t="s">
        <v>380</v>
      </c>
      <c r="Q3" s="45" t="s">
        <v>162</v>
      </c>
      <c r="R3" s="45" t="s">
        <v>81</v>
      </c>
      <c r="S3" s="45" t="s">
        <v>392</v>
      </c>
      <c r="T3" s="45" t="s">
        <v>92</v>
      </c>
      <c r="V3" s="45" t="s">
        <v>291</v>
      </c>
      <c r="W3" s="45" t="s">
        <v>194</v>
      </c>
      <c r="X3" s="45" t="s">
        <v>354</v>
      </c>
      <c r="Y3" s="45" t="s">
        <v>138</v>
      </c>
      <c r="Z3" s="45" t="s">
        <v>81</v>
      </c>
      <c r="AA3" s="45" t="s">
        <v>127</v>
      </c>
      <c r="AB3" s="45" t="s">
        <v>128</v>
      </c>
      <c r="AD3" s="45" t="s">
        <v>291</v>
      </c>
      <c r="AE3" s="45" t="s">
        <v>179</v>
      </c>
    </row>
    <row r="4" spans="1:31" x14ac:dyDescent="0.35">
      <c r="A4">
        <v>1</v>
      </c>
      <c r="B4">
        <v>3.1176756475655343</v>
      </c>
      <c r="D4">
        <v>1</v>
      </c>
      <c r="E4" t="e">
        <f ca="1">B4-J$6</f>
        <v>#NAME?</v>
      </c>
      <c r="F4">
        <v>0</v>
      </c>
      <c r="H4" s="137">
        <v>2</v>
      </c>
      <c r="I4" t="e">
        <f ca="1">Q6</f>
        <v>#NAME?</v>
      </c>
      <c r="J4" t="e">
        <f ca="1">Q8</f>
        <v>#NAME?</v>
      </c>
      <c r="L4" t="e">
        <f t="array" aca="1" ref="L4:N5" ca="1">ARRoots(I4:I5)</f>
        <v>#NAME?</v>
      </c>
      <c r="M4" t="e">
        <f ca="1"/>
        <v>#NAME?</v>
      </c>
      <c r="N4" t="e">
        <f ca="1"/>
        <v>#NAME?</v>
      </c>
      <c r="P4" t="s">
        <v>359</v>
      </c>
      <c r="Q4" t="e">
        <f t="array" aca="1" ref="Q4:R8" ca="1">ARIMA_Coeff(B4:B108,2,2,0,TRUE)</f>
        <v>#NAME?</v>
      </c>
      <c r="R4" t="e">
        <f ca="1"/>
        <v>#NAME?</v>
      </c>
      <c r="S4" t="e">
        <f ca="1">Q4/R4</f>
        <v>#NAME?</v>
      </c>
      <c r="T4" t="e">
        <f ca="1">TDIST(ABS(S4),J$18-J$10-J$11-1,2)</f>
        <v>#NAME?</v>
      </c>
      <c r="V4">
        <f>D4</f>
        <v>1</v>
      </c>
      <c r="W4" t="e">
        <f ca="1">E4</f>
        <v>#NAME?</v>
      </c>
      <c r="X4">
        <f>F4</f>
        <v>0</v>
      </c>
      <c r="Y4" t="e">
        <f ca="1">W4-X4</f>
        <v>#NAME?</v>
      </c>
      <c r="Z4" t="e">
        <f ca="1">J$15</f>
        <v>#NAME?</v>
      </c>
      <c r="AA4" t="e">
        <f ca="1">Y4-NORMSINV(1-Z$2/2)*Z4</f>
        <v>#NAME?</v>
      </c>
      <c r="AB4" t="e">
        <f ca="1">Y4+NORMSINV(1-Z$2/2)*Z4</f>
        <v>#NAME?</v>
      </c>
      <c r="AD4">
        <v>1</v>
      </c>
      <c r="AE4">
        <f>B4</f>
        <v>3.1176756475655343</v>
      </c>
    </row>
    <row r="5" spans="1:31" x14ac:dyDescent="0.35">
      <c r="A5">
        <f t="shared" ref="A5:A68" si="0">A4+1</f>
        <v>2</v>
      </c>
      <c r="B5">
        <v>5.8082510857989273</v>
      </c>
      <c r="D5">
        <f>D4+1</f>
        <v>2</v>
      </c>
      <c r="E5" t="e">
        <f t="shared" ref="E5:E68" ca="1" si="1">B5-J$6</f>
        <v>#NAME?</v>
      </c>
      <c r="F5">
        <v>0</v>
      </c>
      <c r="H5" s="137">
        <f>H4-1</f>
        <v>1</v>
      </c>
      <c r="I5" t="e">
        <f ca="1">Q5</f>
        <v>#NAME?</v>
      </c>
      <c r="J5" t="e">
        <f ca="1">Q7</f>
        <v>#NAME?</v>
      </c>
      <c r="L5" s="4" t="e">
        <f ca="1"/>
        <v>#NAME?</v>
      </c>
      <c r="M5" s="4" t="e">
        <f ca="1"/>
        <v>#NAME?</v>
      </c>
      <c r="N5" s="4" t="e">
        <f ca="1"/>
        <v>#NAME?</v>
      </c>
      <c r="P5" t="s">
        <v>381</v>
      </c>
      <c r="Q5" t="e">
        <f ca="1"/>
        <v>#NAME?</v>
      </c>
      <c r="R5" t="e">
        <f ca="1"/>
        <v>#NAME?</v>
      </c>
      <c r="S5" t="e">
        <f ca="1">Q5/R5</f>
        <v>#NAME?</v>
      </c>
      <c r="T5" t="e">
        <f ca="1">TDIST(ABS(S5),J$18-J$10-J$11-1,2)</f>
        <v>#NAME?</v>
      </c>
      <c r="V5">
        <f t="shared" ref="V5:V68" si="2">D5</f>
        <v>2</v>
      </c>
      <c r="W5" t="e">
        <f t="shared" ref="W5:W68" ca="1" si="3">E5</f>
        <v>#NAME?</v>
      </c>
      <c r="X5">
        <f t="shared" ref="X5:X68" si="4">F5</f>
        <v>0</v>
      </c>
      <c r="Y5" t="e">
        <f t="shared" ref="Y5:Y68" ca="1" si="5">W5-X5</f>
        <v>#NAME?</v>
      </c>
      <c r="Z5" t="e">
        <f t="shared" ref="Z5:Z68" ca="1" si="6">J$15</f>
        <v>#NAME?</v>
      </c>
      <c r="AA5" t="e">
        <f t="shared" ref="AA5:AA68" ca="1" si="7">Y5-NORMSINV(1-Z$2/2)*Z5</f>
        <v>#NAME?</v>
      </c>
      <c r="AB5" t="e">
        <f t="shared" ref="AB5:AB68" ca="1" si="8">Y5+NORMSINV(1-Z$2/2)*Z5</f>
        <v>#NAME?</v>
      </c>
      <c r="AD5">
        <f>AD4+1</f>
        <v>2</v>
      </c>
      <c r="AE5">
        <f>B5</f>
        <v>5.8082510857989273</v>
      </c>
    </row>
    <row r="6" spans="1:31" x14ac:dyDescent="0.35">
      <c r="A6">
        <f t="shared" si="0"/>
        <v>3</v>
      </c>
      <c r="B6">
        <v>4.9067685983817757</v>
      </c>
      <c r="D6">
        <f t="shared" ref="D6:D69" si="9">D5+1</f>
        <v>3</v>
      </c>
      <c r="E6" t="e">
        <f t="shared" ca="1" si="1"/>
        <v>#NAME?</v>
      </c>
      <c r="F6" t="e">
        <f ca="1">E6-SUMPRODUCT(E4:E5,I$4:I$5)-SUMPRODUCT(F4:F5,J$4:J$5)</f>
        <v>#NAME?</v>
      </c>
      <c r="H6" s="10" t="s">
        <v>359</v>
      </c>
      <c r="I6" s="4" t="e">
        <f ca="1">Q4</f>
        <v>#NAME?</v>
      </c>
      <c r="J6" s="4" t="e">
        <f ca="1">I6/(1-SUM(I4:I5))</f>
        <v>#NAME?</v>
      </c>
      <c r="P6" t="s">
        <v>399</v>
      </c>
      <c r="Q6" t="e">
        <f ca="1"/>
        <v>#NAME?</v>
      </c>
      <c r="R6" t="e">
        <f ca="1"/>
        <v>#NAME?</v>
      </c>
      <c r="S6" t="e">
        <f ca="1">Q6/R6</f>
        <v>#NAME?</v>
      </c>
      <c r="T6" t="e">
        <f ca="1">TDIST(ABS(S6),J$18-J$10-J$11-1,2)</f>
        <v>#NAME?</v>
      </c>
      <c r="V6">
        <f t="shared" si="2"/>
        <v>3</v>
      </c>
      <c r="W6" t="e">
        <f t="shared" ca="1" si="3"/>
        <v>#NAME?</v>
      </c>
      <c r="X6" t="e">
        <f t="shared" ca="1" si="4"/>
        <v>#NAME?</v>
      </c>
      <c r="Y6" t="e">
        <f t="shared" ca="1" si="5"/>
        <v>#NAME?</v>
      </c>
      <c r="Z6" t="e">
        <f t="shared" ca="1" si="6"/>
        <v>#NAME?</v>
      </c>
      <c r="AA6" t="e">
        <f t="shared" ca="1" si="7"/>
        <v>#NAME?</v>
      </c>
      <c r="AB6" t="e">
        <f t="shared" ca="1" si="8"/>
        <v>#NAME?</v>
      </c>
      <c r="AD6">
        <f t="shared" ref="AD6:AD69" si="10">AD5+1</f>
        <v>3</v>
      </c>
      <c r="AE6">
        <f t="shared" ref="AE6:AE69" si="11">B6</f>
        <v>4.9067685983817757</v>
      </c>
    </row>
    <row r="7" spans="1:31" x14ac:dyDescent="0.35">
      <c r="A7">
        <f t="shared" si="0"/>
        <v>4</v>
      </c>
      <c r="B7">
        <v>6.1194744822602427</v>
      </c>
      <c r="D7">
        <f t="shared" si="9"/>
        <v>4</v>
      </c>
      <c r="E7" t="e">
        <f t="shared" ca="1" si="1"/>
        <v>#NAME?</v>
      </c>
      <c r="F7" t="e">
        <f t="shared" ref="F7:F70" ca="1" si="12">E7-SUMPRODUCT(E5:E6,I$4:I$5)-SUMPRODUCT(F5:F6,J$4:J$5)</f>
        <v>#NAME?</v>
      </c>
      <c r="L7" t="s">
        <v>376</v>
      </c>
      <c r="P7" t="s">
        <v>382</v>
      </c>
      <c r="Q7" t="e">
        <f ca="1"/>
        <v>#NAME?</v>
      </c>
      <c r="R7" t="e">
        <f ca="1"/>
        <v>#NAME?</v>
      </c>
      <c r="S7" t="e">
        <f ca="1">Q7/R7</f>
        <v>#NAME?</v>
      </c>
      <c r="T7" t="e">
        <f ca="1">TDIST(ABS(S7),J$18-J$10-J$11-1,2)</f>
        <v>#NAME?</v>
      </c>
      <c r="V7">
        <f t="shared" si="2"/>
        <v>4</v>
      </c>
      <c r="W7" t="e">
        <f t="shared" ca="1" si="3"/>
        <v>#NAME?</v>
      </c>
      <c r="X7" t="e">
        <f t="shared" ca="1" si="4"/>
        <v>#NAME?</v>
      </c>
      <c r="Y7" t="e">
        <f t="shared" ca="1" si="5"/>
        <v>#NAME?</v>
      </c>
      <c r="Z7" t="e">
        <f t="shared" ca="1" si="6"/>
        <v>#NAME?</v>
      </c>
      <c r="AA7" t="e">
        <f t="shared" ca="1" si="7"/>
        <v>#NAME?</v>
      </c>
      <c r="AB7" t="e">
        <f t="shared" ca="1" si="8"/>
        <v>#NAME?</v>
      </c>
      <c r="AD7">
        <f t="shared" si="10"/>
        <v>4</v>
      </c>
      <c r="AE7">
        <f t="shared" si="11"/>
        <v>6.1194744822602427</v>
      </c>
    </row>
    <row r="8" spans="1:31" ht="15" thickBot="1" x14ac:dyDescent="0.4">
      <c r="A8">
        <f t="shared" si="0"/>
        <v>5</v>
      </c>
      <c r="B8">
        <v>8.1353263117657075</v>
      </c>
      <c r="D8">
        <f t="shared" si="9"/>
        <v>5</v>
      </c>
      <c r="E8" t="e">
        <f t="shared" ca="1" si="1"/>
        <v>#NAME?</v>
      </c>
      <c r="F8" t="e">
        <f t="shared" ca="1" si="12"/>
        <v>#NAME?</v>
      </c>
      <c r="I8" t="s">
        <v>121</v>
      </c>
      <c r="J8" s="150" t="e">
        <f ca="1">SUMSQ(F6:F108)</f>
        <v>#NAME?</v>
      </c>
      <c r="P8" s="4" t="s">
        <v>400</v>
      </c>
      <c r="Q8" s="4" t="e">
        <f ca="1"/>
        <v>#NAME?</v>
      </c>
      <c r="R8" s="4" t="e">
        <f ca="1"/>
        <v>#NAME?</v>
      </c>
      <c r="S8" s="4" t="e">
        <f ca="1">Q8/R8</f>
        <v>#NAME?</v>
      </c>
      <c r="T8" s="4" t="e">
        <f ca="1">TDIST(ABS(S8),J$18-J$10-J$11-1,2)</f>
        <v>#NAME?</v>
      </c>
      <c r="V8">
        <f t="shared" si="2"/>
        <v>5</v>
      </c>
      <c r="W8" t="e">
        <f t="shared" ca="1" si="3"/>
        <v>#NAME?</v>
      </c>
      <c r="X8" t="e">
        <f t="shared" ca="1" si="4"/>
        <v>#NAME?</v>
      </c>
      <c r="Y8" t="e">
        <f t="shared" ca="1" si="5"/>
        <v>#NAME?</v>
      </c>
      <c r="Z8" t="e">
        <f t="shared" ca="1" si="6"/>
        <v>#NAME?</v>
      </c>
      <c r="AA8" t="e">
        <f t="shared" ca="1" si="7"/>
        <v>#NAME?</v>
      </c>
      <c r="AB8" t="e">
        <f t="shared" ca="1" si="8"/>
        <v>#NAME?</v>
      </c>
      <c r="AD8">
        <f t="shared" si="10"/>
        <v>5</v>
      </c>
      <c r="AE8">
        <f t="shared" si="11"/>
        <v>8.1353263117657075</v>
      </c>
    </row>
    <row r="9" spans="1:31" ht="15" thickTop="1" x14ac:dyDescent="0.35">
      <c r="A9">
        <f t="shared" si="0"/>
        <v>6</v>
      </c>
      <c r="B9">
        <v>9.3448674266459744</v>
      </c>
      <c r="D9">
        <f t="shared" si="9"/>
        <v>6</v>
      </c>
      <c r="E9" t="e">
        <f t="shared" ca="1" si="1"/>
        <v>#NAME?</v>
      </c>
      <c r="F9" t="e">
        <f t="shared" ca="1" si="12"/>
        <v>#NAME?</v>
      </c>
      <c r="L9" s="45" t="s">
        <v>173</v>
      </c>
      <c r="M9" s="45" t="s">
        <v>174</v>
      </c>
      <c r="N9" s="45" t="s">
        <v>375</v>
      </c>
      <c r="V9">
        <f t="shared" si="2"/>
        <v>6</v>
      </c>
      <c r="W9" t="e">
        <f t="shared" ca="1" si="3"/>
        <v>#NAME?</v>
      </c>
      <c r="X9" t="e">
        <f t="shared" ca="1" si="4"/>
        <v>#NAME?</v>
      </c>
      <c r="Y9" t="e">
        <f t="shared" ca="1" si="5"/>
        <v>#NAME?</v>
      </c>
      <c r="Z9" t="e">
        <f t="shared" ca="1" si="6"/>
        <v>#NAME?</v>
      </c>
      <c r="AA9" t="e">
        <f t="shared" ca="1" si="7"/>
        <v>#NAME?</v>
      </c>
      <c r="AB9" t="e">
        <f t="shared" ca="1" si="8"/>
        <v>#NAME?</v>
      </c>
      <c r="AD9">
        <f t="shared" si="10"/>
        <v>6</v>
      </c>
      <c r="AE9">
        <f t="shared" si="11"/>
        <v>9.3448674266459744</v>
      </c>
    </row>
    <row r="10" spans="1:31" x14ac:dyDescent="0.35">
      <c r="A10">
        <f t="shared" si="0"/>
        <v>7</v>
      </c>
      <c r="B10">
        <v>9.147650683887159</v>
      </c>
      <c r="D10">
        <f t="shared" si="9"/>
        <v>7</v>
      </c>
      <c r="E10" t="e">
        <f t="shared" ca="1" si="1"/>
        <v>#NAME?</v>
      </c>
      <c r="F10" t="e">
        <f t="shared" ca="1" si="12"/>
        <v>#NAME?</v>
      </c>
      <c r="I10" t="s">
        <v>361</v>
      </c>
      <c r="J10" s="151">
        <v>2</v>
      </c>
      <c r="L10" t="e">
        <f t="array" aca="1" ref="L10:N11" ca="1">MARoots(J4:J5)</f>
        <v>#NAME?</v>
      </c>
      <c r="M10" t="e">
        <f ca="1"/>
        <v>#NAME?</v>
      </c>
      <c r="N10" t="e">
        <f ca="1"/>
        <v>#NAME?</v>
      </c>
      <c r="P10" t="e">
        <f t="array" aca="1" ref="P10:T15" ca="1">ARIMA_Coeff(B4:B108,2,2,0,TRUE,TRUE)</f>
        <v>#NAME?</v>
      </c>
      <c r="Q10" t="e">
        <f ca="1"/>
        <v>#NAME?</v>
      </c>
      <c r="R10" t="e">
        <f ca="1"/>
        <v>#NAME?</v>
      </c>
      <c r="S10" t="e">
        <f ca="1"/>
        <v>#NAME?</v>
      </c>
      <c r="T10" t="e">
        <f ca="1"/>
        <v>#NAME?</v>
      </c>
      <c r="V10">
        <f t="shared" si="2"/>
        <v>7</v>
      </c>
      <c r="W10" t="e">
        <f t="shared" ca="1" si="3"/>
        <v>#NAME?</v>
      </c>
      <c r="X10" t="e">
        <f t="shared" ca="1" si="4"/>
        <v>#NAME?</v>
      </c>
      <c r="Y10" t="e">
        <f t="shared" ca="1" si="5"/>
        <v>#NAME?</v>
      </c>
      <c r="Z10" t="e">
        <f t="shared" ca="1" si="6"/>
        <v>#NAME?</v>
      </c>
      <c r="AA10" t="e">
        <f t="shared" ca="1" si="7"/>
        <v>#NAME?</v>
      </c>
      <c r="AB10" t="e">
        <f t="shared" ca="1" si="8"/>
        <v>#NAME?</v>
      </c>
      <c r="AD10">
        <f t="shared" si="10"/>
        <v>7</v>
      </c>
      <c r="AE10">
        <f t="shared" si="11"/>
        <v>9.147650683887159</v>
      </c>
    </row>
    <row r="11" spans="1:31" x14ac:dyDescent="0.35">
      <c r="A11">
        <f t="shared" si="0"/>
        <v>8</v>
      </c>
      <c r="B11">
        <v>8.1014932813029787</v>
      </c>
      <c r="D11">
        <f t="shared" si="9"/>
        <v>8</v>
      </c>
      <c r="E11" t="e">
        <f t="shared" ca="1" si="1"/>
        <v>#NAME?</v>
      </c>
      <c r="F11" t="e">
        <f t="shared" ca="1" si="12"/>
        <v>#NAME?</v>
      </c>
      <c r="I11" t="s">
        <v>362</v>
      </c>
      <c r="J11" s="107">
        <v>2</v>
      </c>
      <c r="L11" s="4" t="e">
        <f ca="1"/>
        <v>#NAME?</v>
      </c>
      <c r="M11" s="4" t="e">
        <f ca="1"/>
        <v>#NAME?</v>
      </c>
      <c r="N11" s="4" t="e">
        <f ca="1"/>
        <v>#NAME?</v>
      </c>
      <c r="P11" t="e">
        <f ca="1"/>
        <v>#NAME?</v>
      </c>
      <c r="Q11" s="155" t="e">
        <f ca="1"/>
        <v>#NAME?</v>
      </c>
      <c r="R11" s="156" t="e">
        <f ca="1"/>
        <v>#NAME?</v>
      </c>
      <c r="S11" s="156" t="e">
        <f ca="1"/>
        <v>#NAME?</v>
      </c>
      <c r="T11" s="157" t="e">
        <f ca="1"/>
        <v>#NAME?</v>
      </c>
      <c r="V11">
        <f t="shared" si="2"/>
        <v>8</v>
      </c>
      <c r="W11" t="e">
        <f t="shared" ca="1" si="3"/>
        <v>#NAME?</v>
      </c>
      <c r="X11" t="e">
        <f t="shared" ca="1" si="4"/>
        <v>#NAME?</v>
      </c>
      <c r="Y11" t="e">
        <f t="shared" ca="1" si="5"/>
        <v>#NAME?</v>
      </c>
      <c r="Z11" t="e">
        <f t="shared" ca="1" si="6"/>
        <v>#NAME?</v>
      </c>
      <c r="AA11" t="e">
        <f t="shared" ca="1" si="7"/>
        <v>#NAME?</v>
      </c>
      <c r="AB11" t="e">
        <f t="shared" ca="1" si="8"/>
        <v>#NAME?</v>
      </c>
      <c r="AD11">
        <f t="shared" si="10"/>
        <v>8</v>
      </c>
      <c r="AE11">
        <f t="shared" si="11"/>
        <v>8.1014932813029787</v>
      </c>
    </row>
    <row r="12" spans="1:31" x14ac:dyDescent="0.35">
      <c r="A12">
        <f t="shared" si="0"/>
        <v>9</v>
      </c>
      <c r="B12">
        <v>10.146419029172929</v>
      </c>
      <c r="D12">
        <f t="shared" si="9"/>
        <v>9</v>
      </c>
      <c r="E12" t="e">
        <f t="shared" ca="1" si="1"/>
        <v>#NAME?</v>
      </c>
      <c r="F12" t="e">
        <f t="shared" ca="1" si="12"/>
        <v>#NAME?</v>
      </c>
      <c r="I12" t="s">
        <v>363</v>
      </c>
      <c r="J12" s="107">
        <v>0</v>
      </c>
      <c r="P12" t="e">
        <f ca="1"/>
        <v>#NAME?</v>
      </c>
      <c r="Q12" s="29" t="e">
        <f ca="1"/>
        <v>#NAME?</v>
      </c>
      <c r="R12" s="13" t="e">
        <f ca="1"/>
        <v>#NAME?</v>
      </c>
      <c r="S12" s="13" t="e">
        <f ca="1"/>
        <v>#NAME?</v>
      </c>
      <c r="T12" s="30" t="e">
        <f ca="1"/>
        <v>#NAME?</v>
      </c>
      <c r="V12">
        <f t="shared" si="2"/>
        <v>9</v>
      </c>
      <c r="W12" t="e">
        <f t="shared" ca="1" si="3"/>
        <v>#NAME?</v>
      </c>
      <c r="X12" t="e">
        <f t="shared" ca="1" si="4"/>
        <v>#NAME?</v>
      </c>
      <c r="Y12" t="e">
        <f t="shared" ca="1" si="5"/>
        <v>#NAME?</v>
      </c>
      <c r="Z12" t="e">
        <f t="shared" ca="1" si="6"/>
        <v>#NAME?</v>
      </c>
      <c r="AA12" t="e">
        <f t="shared" ca="1" si="7"/>
        <v>#NAME?</v>
      </c>
      <c r="AB12" t="e">
        <f t="shared" ca="1" si="8"/>
        <v>#NAME?</v>
      </c>
      <c r="AD12">
        <f t="shared" si="10"/>
        <v>9</v>
      </c>
      <c r="AE12">
        <f t="shared" si="11"/>
        <v>10.146419029172929</v>
      </c>
    </row>
    <row r="13" spans="1:31" x14ac:dyDescent="0.35">
      <c r="A13">
        <f t="shared" si="0"/>
        <v>10</v>
      </c>
      <c r="B13">
        <v>11.045196349004179</v>
      </c>
      <c r="D13">
        <f t="shared" si="9"/>
        <v>10</v>
      </c>
      <c r="E13" t="e">
        <f t="shared" ca="1" si="1"/>
        <v>#NAME?</v>
      </c>
      <c r="F13" t="e">
        <f t="shared" ca="1" si="12"/>
        <v>#NAME?</v>
      </c>
      <c r="I13" t="s">
        <v>364</v>
      </c>
      <c r="J13" s="107" t="e">
        <f ca="1">AVERAGE(F6:F108)</f>
        <v>#NAME?</v>
      </c>
      <c r="L13" t="s">
        <v>377</v>
      </c>
      <c r="P13" t="e">
        <f ca="1"/>
        <v>#NAME?</v>
      </c>
      <c r="Q13" s="29" t="e">
        <f ca="1"/>
        <v>#NAME?</v>
      </c>
      <c r="R13" s="13" t="e">
        <f ca="1"/>
        <v>#NAME?</v>
      </c>
      <c r="S13" s="13" t="e">
        <f ca="1"/>
        <v>#NAME?</v>
      </c>
      <c r="T13" s="30" t="e">
        <f ca="1"/>
        <v>#NAME?</v>
      </c>
      <c r="V13">
        <f t="shared" si="2"/>
        <v>10</v>
      </c>
      <c r="W13" t="e">
        <f t="shared" ca="1" si="3"/>
        <v>#NAME?</v>
      </c>
      <c r="X13" t="e">
        <f t="shared" ca="1" si="4"/>
        <v>#NAME?</v>
      </c>
      <c r="Y13" t="e">
        <f t="shared" ca="1" si="5"/>
        <v>#NAME?</v>
      </c>
      <c r="Z13" t="e">
        <f t="shared" ca="1" si="6"/>
        <v>#NAME?</v>
      </c>
      <c r="AA13" t="e">
        <f t="shared" ca="1" si="7"/>
        <v>#NAME?</v>
      </c>
      <c r="AB13" t="e">
        <f t="shared" ca="1" si="8"/>
        <v>#NAME?</v>
      </c>
      <c r="AD13">
        <f t="shared" si="10"/>
        <v>10</v>
      </c>
      <c r="AE13">
        <f t="shared" si="11"/>
        <v>11.045196349004179</v>
      </c>
    </row>
    <row r="14" spans="1:31" ht="15" thickBot="1" x14ac:dyDescent="0.4">
      <c r="A14">
        <f t="shared" si="0"/>
        <v>11</v>
      </c>
      <c r="B14">
        <v>10.122578080182986</v>
      </c>
      <c r="D14">
        <f t="shared" si="9"/>
        <v>11</v>
      </c>
      <c r="E14" t="e">
        <f t="shared" ca="1" si="1"/>
        <v>#NAME?</v>
      </c>
      <c r="F14" t="e">
        <f t="shared" ca="1" si="12"/>
        <v>#NAME?</v>
      </c>
      <c r="I14" t="s">
        <v>365</v>
      </c>
      <c r="J14" s="107" t="e">
        <f ca="1">STDEV(F6:F108)</f>
        <v>#NAME?</v>
      </c>
      <c r="P14" t="e">
        <f ca="1"/>
        <v>#NAME?</v>
      </c>
      <c r="Q14" s="29" t="e">
        <f ca="1"/>
        <v>#NAME?</v>
      </c>
      <c r="R14" s="13" t="e">
        <f ca="1"/>
        <v>#NAME?</v>
      </c>
      <c r="S14" s="13" t="e">
        <f ca="1"/>
        <v>#NAME?</v>
      </c>
      <c r="T14" s="30" t="e">
        <f ca="1"/>
        <v>#NAME?</v>
      </c>
      <c r="V14">
        <f t="shared" si="2"/>
        <v>11</v>
      </c>
      <c r="W14" t="e">
        <f t="shared" ca="1" si="3"/>
        <v>#NAME?</v>
      </c>
      <c r="X14" t="e">
        <f t="shared" ca="1" si="4"/>
        <v>#NAME?</v>
      </c>
      <c r="Y14" t="e">
        <f t="shared" ca="1" si="5"/>
        <v>#NAME?</v>
      </c>
      <c r="Z14" t="e">
        <f t="shared" ca="1" si="6"/>
        <v>#NAME?</v>
      </c>
      <c r="AA14" t="e">
        <f t="shared" ca="1" si="7"/>
        <v>#NAME?</v>
      </c>
      <c r="AB14" t="e">
        <f t="shared" ca="1" si="8"/>
        <v>#NAME?</v>
      </c>
      <c r="AD14">
        <f t="shared" si="10"/>
        <v>11</v>
      </c>
      <c r="AE14">
        <f t="shared" si="11"/>
        <v>10.122578080182986</v>
      </c>
    </row>
    <row r="15" spans="1:31" ht="15" thickTop="1" x14ac:dyDescent="0.35">
      <c r="A15">
        <f t="shared" si="0"/>
        <v>12</v>
      </c>
      <c r="B15">
        <v>10.173602244452049</v>
      </c>
      <c r="D15">
        <f t="shared" si="9"/>
        <v>12</v>
      </c>
      <c r="E15" t="e">
        <f t="shared" ca="1" si="1"/>
        <v>#NAME?</v>
      </c>
      <c r="F15" t="e">
        <f t="shared" ca="1" si="12"/>
        <v>#NAME?</v>
      </c>
      <c r="I15" t="s">
        <v>366</v>
      </c>
      <c r="J15" s="107" t="e">
        <f ca="1">SQRT(J8/J18)</f>
        <v>#NAME?</v>
      </c>
      <c r="L15" s="45" t="s">
        <v>356</v>
      </c>
      <c r="M15" s="45" t="s">
        <v>378</v>
      </c>
      <c r="P15" t="e">
        <f ca="1"/>
        <v>#NAME?</v>
      </c>
      <c r="Q15" s="31" t="e">
        <f ca="1"/>
        <v>#NAME?</v>
      </c>
      <c r="R15" s="4" t="e">
        <f ca="1"/>
        <v>#NAME?</v>
      </c>
      <c r="S15" s="4" t="e">
        <f ca="1"/>
        <v>#NAME?</v>
      </c>
      <c r="T15" s="32" t="e">
        <f ca="1"/>
        <v>#NAME?</v>
      </c>
      <c r="V15">
        <f t="shared" si="2"/>
        <v>12</v>
      </c>
      <c r="W15" t="e">
        <f t="shared" ca="1" si="3"/>
        <v>#NAME?</v>
      </c>
      <c r="X15" t="e">
        <f t="shared" ca="1" si="4"/>
        <v>#NAME?</v>
      </c>
      <c r="Y15" t="e">
        <f t="shared" ca="1" si="5"/>
        <v>#NAME?</v>
      </c>
      <c r="Z15" t="e">
        <f t="shared" ca="1" si="6"/>
        <v>#NAME?</v>
      </c>
      <c r="AA15" t="e">
        <f t="shared" ca="1" si="7"/>
        <v>#NAME?</v>
      </c>
      <c r="AB15" t="e">
        <f t="shared" ca="1" si="8"/>
        <v>#NAME?</v>
      </c>
      <c r="AD15">
        <f t="shared" si="10"/>
        <v>12</v>
      </c>
      <c r="AE15">
        <f t="shared" si="11"/>
        <v>10.173602244452049</v>
      </c>
    </row>
    <row r="16" spans="1:31" x14ac:dyDescent="0.35">
      <c r="A16">
        <f t="shared" si="0"/>
        <v>13</v>
      </c>
      <c r="B16">
        <v>10.821309800892813</v>
      </c>
      <c r="D16">
        <f t="shared" si="9"/>
        <v>13</v>
      </c>
      <c r="E16" t="e">
        <f t="shared" ca="1" si="1"/>
        <v>#NAME?</v>
      </c>
      <c r="F16" t="e">
        <f t="shared" ca="1" si="12"/>
        <v>#NAME?</v>
      </c>
      <c r="I16" t="s">
        <v>367</v>
      </c>
      <c r="J16" s="107" t="e">
        <f ca="1">AVERAGE(E6:E108)</f>
        <v>#NAME?</v>
      </c>
      <c r="L16" s="59">
        <v>0</v>
      </c>
      <c r="M16" s="59" t="e">
        <f t="array" aca="1" ref="M16:M20" ca="1">PSICoeff(I4:I5,J4:J5)</f>
        <v>#NAME?</v>
      </c>
      <c r="V16">
        <f t="shared" si="2"/>
        <v>13</v>
      </c>
      <c r="W16" t="e">
        <f t="shared" ca="1" si="3"/>
        <v>#NAME?</v>
      </c>
      <c r="X16" t="e">
        <f t="shared" ca="1" si="4"/>
        <v>#NAME?</v>
      </c>
      <c r="Y16" t="e">
        <f t="shared" ca="1" si="5"/>
        <v>#NAME?</v>
      </c>
      <c r="Z16" t="e">
        <f t="shared" ca="1" si="6"/>
        <v>#NAME?</v>
      </c>
      <c r="AA16" t="e">
        <f t="shared" ca="1" si="7"/>
        <v>#NAME?</v>
      </c>
      <c r="AB16" t="e">
        <f t="shared" ca="1" si="8"/>
        <v>#NAME?</v>
      </c>
      <c r="AD16">
        <f t="shared" si="10"/>
        <v>13</v>
      </c>
      <c r="AE16">
        <f t="shared" si="11"/>
        <v>10.821309800892813</v>
      </c>
    </row>
    <row r="17" spans="1:31" x14ac:dyDescent="0.35">
      <c r="A17">
        <f t="shared" si="0"/>
        <v>14</v>
      </c>
      <c r="B17">
        <v>10.084063249573957</v>
      </c>
      <c r="D17">
        <f t="shared" si="9"/>
        <v>14</v>
      </c>
      <c r="E17" t="e">
        <f t="shared" ca="1" si="1"/>
        <v>#NAME?</v>
      </c>
      <c r="F17" t="e">
        <f t="shared" ca="1" si="12"/>
        <v>#NAME?</v>
      </c>
      <c r="I17" t="s">
        <v>368</v>
      </c>
      <c r="J17" s="107" t="e">
        <f ca="1">STDEV(E6:E108)</f>
        <v>#NAME?</v>
      </c>
      <c r="L17" s="13">
        <f>L16+1</f>
        <v>1</v>
      </c>
      <c r="M17" s="13" t="e">
        <f ca="1"/>
        <v>#NAME?</v>
      </c>
      <c r="P17" t="e">
        <f t="array" aca="1" ref="P17:Q23" ca="1">ARIMA_Stats(B4:B108,Q11:Q15,2,2,0,TRUE,TRUE)</f>
        <v>#NAME?</v>
      </c>
      <c r="Q17" s="139" t="e">
        <f ca="1"/>
        <v>#NAME?</v>
      </c>
      <c r="V17">
        <f t="shared" si="2"/>
        <v>14</v>
      </c>
      <c r="W17" t="e">
        <f t="shared" ca="1" si="3"/>
        <v>#NAME?</v>
      </c>
      <c r="X17" t="e">
        <f t="shared" ca="1" si="4"/>
        <v>#NAME?</v>
      </c>
      <c r="Y17" t="e">
        <f t="shared" ca="1" si="5"/>
        <v>#NAME?</v>
      </c>
      <c r="Z17" t="e">
        <f t="shared" ca="1" si="6"/>
        <v>#NAME?</v>
      </c>
      <c r="AA17" t="e">
        <f t="shared" ca="1" si="7"/>
        <v>#NAME?</v>
      </c>
      <c r="AB17" t="e">
        <f t="shared" ca="1" si="8"/>
        <v>#NAME?</v>
      </c>
      <c r="AD17">
        <f t="shared" si="10"/>
        <v>14</v>
      </c>
      <c r="AE17">
        <f t="shared" si="11"/>
        <v>10.084063249573957</v>
      </c>
    </row>
    <row r="18" spans="1:31" x14ac:dyDescent="0.35">
      <c r="A18">
        <f t="shared" si="0"/>
        <v>15</v>
      </c>
      <c r="B18">
        <v>10.346054055555477</v>
      </c>
      <c r="D18">
        <f t="shared" si="9"/>
        <v>15</v>
      </c>
      <c r="E18" t="e">
        <f t="shared" ca="1" si="1"/>
        <v>#NAME?</v>
      </c>
      <c r="F18" t="e">
        <f t="shared" ca="1" si="12"/>
        <v>#NAME?</v>
      </c>
      <c r="I18" t="s">
        <v>369</v>
      </c>
      <c r="J18" s="108">
        <f ca="1">COUNT(E6:E108)</f>
        <v>0</v>
      </c>
      <c r="L18" s="13">
        <f>L17+1</f>
        <v>2</v>
      </c>
      <c r="M18" s="13" t="e">
        <f ca="1"/>
        <v>#NAME?</v>
      </c>
      <c r="P18" t="e">
        <f ca="1"/>
        <v>#NAME?</v>
      </c>
      <c r="Q18" s="24" t="e">
        <f ca="1"/>
        <v>#NAME?</v>
      </c>
      <c r="V18">
        <f t="shared" si="2"/>
        <v>15</v>
      </c>
      <c r="W18" t="e">
        <f t="shared" ca="1" si="3"/>
        <v>#NAME?</v>
      </c>
      <c r="X18" t="e">
        <f t="shared" ca="1" si="4"/>
        <v>#NAME?</v>
      </c>
      <c r="Y18" t="e">
        <f t="shared" ca="1" si="5"/>
        <v>#NAME?</v>
      </c>
      <c r="Z18" t="e">
        <f t="shared" ca="1" si="6"/>
        <v>#NAME?</v>
      </c>
      <c r="AA18" t="e">
        <f t="shared" ca="1" si="7"/>
        <v>#NAME?</v>
      </c>
      <c r="AB18" t="e">
        <f t="shared" ca="1" si="8"/>
        <v>#NAME?</v>
      </c>
      <c r="AD18">
        <f t="shared" si="10"/>
        <v>15</v>
      </c>
      <c r="AE18">
        <f t="shared" si="11"/>
        <v>10.346054055555477</v>
      </c>
    </row>
    <row r="19" spans="1:31" x14ac:dyDescent="0.35">
      <c r="A19">
        <f t="shared" si="0"/>
        <v>16</v>
      </c>
      <c r="B19">
        <v>9.6922029393025948</v>
      </c>
      <c r="D19">
        <f t="shared" si="9"/>
        <v>16</v>
      </c>
      <c r="E19" t="e">
        <f t="shared" ca="1" si="1"/>
        <v>#NAME?</v>
      </c>
      <c r="F19" t="e">
        <f t="shared" ca="1" si="12"/>
        <v>#NAME?</v>
      </c>
      <c r="L19" s="13">
        <f>L18+1</f>
        <v>3</v>
      </c>
      <c r="M19" s="13" t="e">
        <f ca="1"/>
        <v>#NAME?</v>
      </c>
      <c r="P19" t="e">
        <f ca="1"/>
        <v>#NAME?</v>
      </c>
      <c r="Q19" s="24" t="e">
        <f ca="1"/>
        <v>#NAME?</v>
      </c>
      <c r="V19">
        <f t="shared" si="2"/>
        <v>16</v>
      </c>
      <c r="W19" t="e">
        <f t="shared" ca="1" si="3"/>
        <v>#NAME?</v>
      </c>
      <c r="X19" t="e">
        <f t="shared" ca="1" si="4"/>
        <v>#NAME?</v>
      </c>
      <c r="Y19" t="e">
        <f t="shared" ca="1" si="5"/>
        <v>#NAME?</v>
      </c>
      <c r="Z19" t="e">
        <f t="shared" ca="1" si="6"/>
        <v>#NAME?</v>
      </c>
      <c r="AA19" t="e">
        <f t="shared" ca="1" si="7"/>
        <v>#NAME?</v>
      </c>
      <c r="AB19" t="e">
        <f t="shared" ca="1" si="8"/>
        <v>#NAME?</v>
      </c>
      <c r="AD19">
        <f t="shared" si="10"/>
        <v>16</v>
      </c>
      <c r="AE19">
        <f t="shared" si="11"/>
        <v>9.6922029393025948</v>
      </c>
    </row>
    <row r="20" spans="1:31" x14ac:dyDescent="0.35">
      <c r="A20">
        <f t="shared" si="0"/>
        <v>17</v>
      </c>
      <c r="B20">
        <v>11.205574770625867</v>
      </c>
      <c r="D20">
        <f t="shared" si="9"/>
        <v>17</v>
      </c>
      <c r="E20" t="e">
        <f t="shared" ca="1" si="1"/>
        <v>#NAME?</v>
      </c>
      <c r="F20" t="e">
        <f t="shared" ca="1" si="12"/>
        <v>#NAME?</v>
      </c>
      <c r="I20" t="s">
        <v>370</v>
      </c>
      <c r="J20" s="151" t="e">
        <f ca="1">-(J23-2*(J10+J11+2))/2</f>
        <v>#NAME?</v>
      </c>
      <c r="L20" s="4">
        <f>L19+1</f>
        <v>4</v>
      </c>
      <c r="M20" s="4" t="e">
        <f ca="1"/>
        <v>#NAME?</v>
      </c>
      <c r="P20" t="e">
        <f ca="1"/>
        <v>#NAME?</v>
      </c>
      <c r="Q20" s="24" t="e">
        <f ca="1"/>
        <v>#NAME?</v>
      </c>
      <c r="V20">
        <f t="shared" si="2"/>
        <v>17</v>
      </c>
      <c r="W20" t="e">
        <f t="shared" ca="1" si="3"/>
        <v>#NAME?</v>
      </c>
      <c r="X20" t="e">
        <f t="shared" ca="1" si="4"/>
        <v>#NAME?</v>
      </c>
      <c r="Y20" t="e">
        <f t="shared" ca="1" si="5"/>
        <v>#NAME?</v>
      </c>
      <c r="Z20" t="e">
        <f t="shared" ca="1" si="6"/>
        <v>#NAME?</v>
      </c>
      <c r="AA20" t="e">
        <f t="shared" ca="1" si="7"/>
        <v>#NAME?</v>
      </c>
      <c r="AB20" t="e">
        <f t="shared" ca="1" si="8"/>
        <v>#NAME?</v>
      </c>
      <c r="AD20">
        <f t="shared" si="10"/>
        <v>17</v>
      </c>
      <c r="AE20">
        <f t="shared" si="11"/>
        <v>11.205574770625867</v>
      </c>
    </row>
    <row r="21" spans="1:31" x14ac:dyDescent="0.35">
      <c r="A21">
        <f t="shared" si="0"/>
        <v>18</v>
      </c>
      <c r="B21">
        <v>12.652116416514845</v>
      </c>
      <c r="D21">
        <f t="shared" si="9"/>
        <v>18</v>
      </c>
      <c r="E21" t="e">
        <f t="shared" ca="1" si="1"/>
        <v>#NAME?</v>
      </c>
      <c r="F21" t="e">
        <f t="shared" ca="1" si="12"/>
        <v>#NAME?</v>
      </c>
      <c r="I21" t="s">
        <v>145</v>
      </c>
      <c r="J21" s="107" t="e">
        <f ca="1">J18*LN(J8/J18)+2*(J10+J11+2)</f>
        <v>#NAME?</v>
      </c>
      <c r="P21" t="e">
        <f ca="1"/>
        <v>#NAME?</v>
      </c>
      <c r="Q21" s="24" t="e">
        <f ca="1"/>
        <v>#NAME?</v>
      </c>
      <c r="V21">
        <f t="shared" si="2"/>
        <v>18</v>
      </c>
      <c r="W21" t="e">
        <f t="shared" ca="1" si="3"/>
        <v>#NAME?</v>
      </c>
      <c r="X21" t="e">
        <f t="shared" ca="1" si="4"/>
        <v>#NAME?</v>
      </c>
      <c r="Y21" t="e">
        <f t="shared" ca="1" si="5"/>
        <v>#NAME?</v>
      </c>
      <c r="Z21" t="e">
        <f t="shared" ca="1" si="6"/>
        <v>#NAME?</v>
      </c>
      <c r="AA21" t="e">
        <f t="shared" ca="1" si="7"/>
        <v>#NAME?</v>
      </c>
      <c r="AB21" t="e">
        <f t="shared" ca="1" si="8"/>
        <v>#NAME?</v>
      </c>
      <c r="AD21">
        <f t="shared" si="10"/>
        <v>18</v>
      </c>
      <c r="AE21">
        <f t="shared" si="11"/>
        <v>12.652116416514845</v>
      </c>
    </row>
    <row r="22" spans="1:31" x14ac:dyDescent="0.35">
      <c r="A22">
        <f t="shared" si="0"/>
        <v>19</v>
      </c>
      <c r="B22">
        <v>13.406329168635398</v>
      </c>
      <c r="D22">
        <f t="shared" si="9"/>
        <v>19</v>
      </c>
      <c r="E22" t="e">
        <f t="shared" ca="1" si="1"/>
        <v>#NAME?</v>
      </c>
      <c r="F22" t="e">
        <f t="shared" ca="1" si="12"/>
        <v>#NAME?</v>
      </c>
      <c r="I22" t="s">
        <v>371</v>
      </c>
      <c r="J22" s="107" t="e">
        <f ca="1">J18*LN(J8/J18)+LN(J18)*(J10+J11+2)</f>
        <v>#NAME?</v>
      </c>
      <c r="P22" t="e">
        <f ca="1"/>
        <v>#NAME?</v>
      </c>
      <c r="Q22" s="24" t="e">
        <f ca="1"/>
        <v>#NAME?</v>
      </c>
      <c r="V22">
        <f t="shared" si="2"/>
        <v>19</v>
      </c>
      <c r="W22" t="e">
        <f t="shared" ca="1" si="3"/>
        <v>#NAME?</v>
      </c>
      <c r="X22" t="e">
        <f t="shared" ca="1" si="4"/>
        <v>#NAME?</v>
      </c>
      <c r="Y22" t="e">
        <f t="shared" ca="1" si="5"/>
        <v>#NAME?</v>
      </c>
      <c r="Z22" t="e">
        <f t="shared" ca="1" si="6"/>
        <v>#NAME?</v>
      </c>
      <c r="AA22" t="e">
        <f t="shared" ca="1" si="7"/>
        <v>#NAME?</v>
      </c>
      <c r="AB22" t="e">
        <f t="shared" ca="1" si="8"/>
        <v>#NAME?</v>
      </c>
      <c r="AD22">
        <f t="shared" si="10"/>
        <v>19</v>
      </c>
      <c r="AE22">
        <f t="shared" si="11"/>
        <v>13.406329168635398</v>
      </c>
    </row>
    <row r="23" spans="1:31" x14ac:dyDescent="0.35">
      <c r="A23">
        <f t="shared" si="0"/>
        <v>20</v>
      </c>
      <c r="B23">
        <v>12.231217930183975</v>
      </c>
      <c r="D23">
        <f t="shared" si="9"/>
        <v>20</v>
      </c>
      <c r="E23" t="e">
        <f t="shared" ca="1" si="1"/>
        <v>#NAME?</v>
      </c>
      <c r="F23" t="e">
        <f t="shared" ca="1" si="12"/>
        <v>#NAME?</v>
      </c>
      <c r="I23" t="s">
        <v>372</v>
      </c>
      <c r="J23" s="107" t="e">
        <f ca="1">J18*(1+LN(2*PI()))+J21</f>
        <v>#NAME?</v>
      </c>
      <c r="P23" t="e">
        <f ca="1"/>
        <v>#NAME?</v>
      </c>
      <c r="Q23" s="34" t="e">
        <f ca="1"/>
        <v>#NAME?</v>
      </c>
      <c r="V23">
        <f t="shared" si="2"/>
        <v>20</v>
      </c>
      <c r="W23" t="e">
        <f t="shared" ca="1" si="3"/>
        <v>#NAME?</v>
      </c>
      <c r="X23" t="e">
        <f t="shared" ca="1" si="4"/>
        <v>#NAME?</v>
      </c>
      <c r="Y23" t="e">
        <f t="shared" ca="1" si="5"/>
        <v>#NAME?</v>
      </c>
      <c r="Z23" t="e">
        <f t="shared" ca="1" si="6"/>
        <v>#NAME?</v>
      </c>
      <c r="AA23" t="e">
        <f t="shared" ca="1" si="7"/>
        <v>#NAME?</v>
      </c>
      <c r="AB23" t="e">
        <f t="shared" ca="1" si="8"/>
        <v>#NAME?</v>
      </c>
      <c r="AD23">
        <f t="shared" si="10"/>
        <v>20</v>
      </c>
      <c r="AE23">
        <f t="shared" si="11"/>
        <v>12.231217930183975</v>
      </c>
    </row>
    <row r="24" spans="1:31" x14ac:dyDescent="0.35">
      <c r="A24">
        <f t="shared" si="0"/>
        <v>21</v>
      </c>
      <c r="B24">
        <v>12.116974455959237</v>
      </c>
      <c r="D24">
        <f t="shared" si="9"/>
        <v>21</v>
      </c>
      <c r="E24" t="e">
        <f t="shared" ca="1" si="1"/>
        <v>#NAME?</v>
      </c>
      <c r="F24" t="e">
        <f t="shared" ca="1" si="12"/>
        <v>#NAME?</v>
      </c>
      <c r="I24" t="s">
        <v>373</v>
      </c>
      <c r="J24" s="108" t="e">
        <f ca="1">J18*(1+LN(2*PI()))+J22</f>
        <v>#NAME?</v>
      </c>
      <c r="V24">
        <f t="shared" si="2"/>
        <v>21</v>
      </c>
      <c r="W24" t="e">
        <f t="shared" ca="1" si="3"/>
        <v>#NAME?</v>
      </c>
      <c r="X24" t="e">
        <f t="shared" ca="1" si="4"/>
        <v>#NAME?</v>
      </c>
      <c r="Y24" t="e">
        <f t="shared" ca="1" si="5"/>
        <v>#NAME?</v>
      </c>
      <c r="Z24" t="e">
        <f t="shared" ca="1" si="6"/>
        <v>#NAME?</v>
      </c>
      <c r="AA24" t="e">
        <f t="shared" ca="1" si="7"/>
        <v>#NAME?</v>
      </c>
      <c r="AB24" t="e">
        <f t="shared" ca="1" si="8"/>
        <v>#NAME?</v>
      </c>
      <c r="AD24">
        <f t="shared" si="10"/>
        <v>21</v>
      </c>
      <c r="AE24">
        <f t="shared" si="11"/>
        <v>12.116974455959237</v>
      </c>
    </row>
    <row r="25" spans="1:31" x14ac:dyDescent="0.35">
      <c r="A25">
        <f t="shared" si="0"/>
        <v>22</v>
      </c>
      <c r="B25">
        <v>10.45988889436091</v>
      </c>
      <c r="D25">
        <f t="shared" si="9"/>
        <v>22</v>
      </c>
      <c r="E25" t="e">
        <f t="shared" ca="1" si="1"/>
        <v>#NAME?</v>
      </c>
      <c r="F25" t="e">
        <f t="shared" ca="1" si="12"/>
        <v>#NAME?</v>
      </c>
      <c r="V25">
        <f t="shared" si="2"/>
        <v>22</v>
      </c>
      <c r="W25" t="e">
        <f t="shared" ca="1" si="3"/>
        <v>#NAME?</v>
      </c>
      <c r="X25" t="e">
        <f t="shared" ca="1" si="4"/>
        <v>#NAME?</v>
      </c>
      <c r="Y25" t="e">
        <f t="shared" ca="1" si="5"/>
        <v>#NAME?</v>
      </c>
      <c r="Z25" t="e">
        <f t="shared" ca="1" si="6"/>
        <v>#NAME?</v>
      </c>
      <c r="AA25" t="e">
        <f t="shared" ca="1" si="7"/>
        <v>#NAME?</v>
      </c>
      <c r="AB25" t="e">
        <f t="shared" ca="1" si="8"/>
        <v>#NAME?</v>
      </c>
      <c r="AD25">
        <f t="shared" si="10"/>
        <v>22</v>
      </c>
      <c r="AE25">
        <f t="shared" si="11"/>
        <v>10.45988889436091</v>
      </c>
    </row>
    <row r="26" spans="1:31" x14ac:dyDescent="0.35">
      <c r="A26">
        <f t="shared" si="0"/>
        <v>23</v>
      </c>
      <c r="B26">
        <v>9.4464576710812267</v>
      </c>
      <c r="D26">
        <f t="shared" si="9"/>
        <v>23</v>
      </c>
      <c r="E26" t="e">
        <f t="shared" ca="1" si="1"/>
        <v>#NAME?</v>
      </c>
      <c r="F26" t="e">
        <f t="shared" ca="1" si="12"/>
        <v>#NAME?</v>
      </c>
      <c r="V26">
        <f t="shared" si="2"/>
        <v>23</v>
      </c>
      <c r="W26" t="e">
        <f t="shared" ca="1" si="3"/>
        <v>#NAME?</v>
      </c>
      <c r="X26" t="e">
        <f t="shared" ca="1" si="4"/>
        <v>#NAME?</v>
      </c>
      <c r="Y26" t="e">
        <f t="shared" ca="1" si="5"/>
        <v>#NAME?</v>
      </c>
      <c r="Z26" t="e">
        <f t="shared" ca="1" si="6"/>
        <v>#NAME?</v>
      </c>
      <c r="AA26" t="e">
        <f t="shared" ca="1" si="7"/>
        <v>#NAME?</v>
      </c>
      <c r="AB26" t="e">
        <f t="shared" ca="1" si="8"/>
        <v>#NAME?</v>
      </c>
      <c r="AD26">
        <f t="shared" si="10"/>
        <v>23</v>
      </c>
      <c r="AE26">
        <f t="shared" si="11"/>
        <v>9.4464576710812267</v>
      </c>
    </row>
    <row r="27" spans="1:31" x14ac:dyDescent="0.35">
      <c r="A27">
        <f t="shared" si="0"/>
        <v>24</v>
      </c>
      <c r="B27">
        <v>11.181030434794321</v>
      </c>
      <c r="D27">
        <f t="shared" si="9"/>
        <v>24</v>
      </c>
      <c r="E27" t="e">
        <f t="shared" ca="1" si="1"/>
        <v>#NAME?</v>
      </c>
      <c r="F27" t="e">
        <f t="shared" ca="1" si="12"/>
        <v>#NAME?</v>
      </c>
      <c r="V27">
        <f t="shared" si="2"/>
        <v>24</v>
      </c>
      <c r="W27" t="e">
        <f t="shared" ca="1" si="3"/>
        <v>#NAME?</v>
      </c>
      <c r="X27" t="e">
        <f t="shared" ca="1" si="4"/>
        <v>#NAME?</v>
      </c>
      <c r="Y27" t="e">
        <f t="shared" ca="1" si="5"/>
        <v>#NAME?</v>
      </c>
      <c r="Z27" t="e">
        <f t="shared" ca="1" si="6"/>
        <v>#NAME?</v>
      </c>
      <c r="AA27" t="e">
        <f t="shared" ca="1" si="7"/>
        <v>#NAME?</v>
      </c>
      <c r="AB27" t="e">
        <f t="shared" ca="1" si="8"/>
        <v>#NAME?</v>
      </c>
      <c r="AD27">
        <f t="shared" si="10"/>
        <v>24</v>
      </c>
      <c r="AE27">
        <f t="shared" si="11"/>
        <v>11.181030434794321</v>
      </c>
    </row>
    <row r="28" spans="1:31" x14ac:dyDescent="0.35">
      <c r="A28">
        <f t="shared" si="0"/>
        <v>25</v>
      </c>
      <c r="B28">
        <v>7.5853602163456753</v>
      </c>
      <c r="D28">
        <f t="shared" si="9"/>
        <v>25</v>
      </c>
      <c r="E28" t="e">
        <f t="shared" ca="1" si="1"/>
        <v>#NAME?</v>
      </c>
      <c r="F28" t="e">
        <f t="shared" ca="1" si="12"/>
        <v>#NAME?</v>
      </c>
      <c r="V28">
        <f t="shared" si="2"/>
        <v>25</v>
      </c>
      <c r="W28" t="e">
        <f t="shared" ca="1" si="3"/>
        <v>#NAME?</v>
      </c>
      <c r="X28" t="e">
        <f t="shared" ca="1" si="4"/>
        <v>#NAME?</v>
      </c>
      <c r="Y28" t="e">
        <f t="shared" ca="1" si="5"/>
        <v>#NAME?</v>
      </c>
      <c r="Z28" t="e">
        <f t="shared" ca="1" si="6"/>
        <v>#NAME?</v>
      </c>
      <c r="AA28" t="e">
        <f t="shared" ca="1" si="7"/>
        <v>#NAME?</v>
      </c>
      <c r="AB28" t="e">
        <f t="shared" ca="1" si="8"/>
        <v>#NAME?</v>
      </c>
      <c r="AD28">
        <f t="shared" si="10"/>
        <v>25</v>
      </c>
      <c r="AE28">
        <f t="shared" si="11"/>
        <v>7.5853602163456753</v>
      </c>
    </row>
    <row r="29" spans="1:31" x14ac:dyDescent="0.35">
      <c r="A29">
        <f t="shared" si="0"/>
        <v>26</v>
      </c>
      <c r="B29">
        <v>10.978531861411668</v>
      </c>
      <c r="D29">
        <f t="shared" si="9"/>
        <v>26</v>
      </c>
      <c r="E29" t="e">
        <f t="shared" ca="1" si="1"/>
        <v>#NAME?</v>
      </c>
      <c r="F29" t="e">
        <f t="shared" ca="1" si="12"/>
        <v>#NAME?</v>
      </c>
      <c r="V29">
        <f t="shared" si="2"/>
        <v>26</v>
      </c>
      <c r="W29" t="e">
        <f t="shared" ca="1" si="3"/>
        <v>#NAME?</v>
      </c>
      <c r="X29" t="e">
        <f t="shared" ca="1" si="4"/>
        <v>#NAME?</v>
      </c>
      <c r="Y29" t="e">
        <f t="shared" ca="1" si="5"/>
        <v>#NAME?</v>
      </c>
      <c r="Z29" t="e">
        <f t="shared" ca="1" si="6"/>
        <v>#NAME?</v>
      </c>
      <c r="AA29" t="e">
        <f t="shared" ca="1" si="7"/>
        <v>#NAME?</v>
      </c>
      <c r="AB29" t="e">
        <f t="shared" ca="1" si="8"/>
        <v>#NAME?</v>
      </c>
      <c r="AD29">
        <f t="shared" si="10"/>
        <v>26</v>
      </c>
      <c r="AE29">
        <f t="shared" si="11"/>
        <v>10.978531861411668</v>
      </c>
    </row>
    <row r="30" spans="1:31" x14ac:dyDescent="0.35">
      <c r="A30">
        <f t="shared" si="0"/>
        <v>27</v>
      </c>
      <c r="B30">
        <v>10.550225208625736</v>
      </c>
      <c r="D30">
        <f t="shared" si="9"/>
        <v>27</v>
      </c>
      <c r="E30" t="e">
        <f t="shared" ca="1" si="1"/>
        <v>#NAME?</v>
      </c>
      <c r="F30" t="e">
        <f t="shared" ca="1" si="12"/>
        <v>#NAME?</v>
      </c>
      <c r="V30">
        <f t="shared" si="2"/>
        <v>27</v>
      </c>
      <c r="W30" t="e">
        <f t="shared" ca="1" si="3"/>
        <v>#NAME?</v>
      </c>
      <c r="X30" t="e">
        <f t="shared" ca="1" si="4"/>
        <v>#NAME?</v>
      </c>
      <c r="Y30" t="e">
        <f t="shared" ca="1" si="5"/>
        <v>#NAME?</v>
      </c>
      <c r="Z30" t="e">
        <f t="shared" ca="1" si="6"/>
        <v>#NAME?</v>
      </c>
      <c r="AA30" t="e">
        <f t="shared" ca="1" si="7"/>
        <v>#NAME?</v>
      </c>
      <c r="AB30" t="e">
        <f t="shared" ca="1" si="8"/>
        <v>#NAME?</v>
      </c>
      <c r="AD30">
        <f t="shared" si="10"/>
        <v>27</v>
      </c>
      <c r="AE30">
        <f t="shared" si="11"/>
        <v>10.550225208625736</v>
      </c>
    </row>
    <row r="31" spans="1:31" x14ac:dyDescent="0.35">
      <c r="A31">
        <f t="shared" si="0"/>
        <v>28</v>
      </c>
      <c r="B31">
        <v>11.227461431044995</v>
      </c>
      <c r="D31">
        <f t="shared" si="9"/>
        <v>28</v>
      </c>
      <c r="E31" t="e">
        <f t="shared" ca="1" si="1"/>
        <v>#NAME?</v>
      </c>
      <c r="F31" t="e">
        <f t="shared" ca="1" si="12"/>
        <v>#NAME?</v>
      </c>
      <c r="V31">
        <f t="shared" si="2"/>
        <v>28</v>
      </c>
      <c r="W31" t="e">
        <f t="shared" ca="1" si="3"/>
        <v>#NAME?</v>
      </c>
      <c r="X31" t="e">
        <f t="shared" ca="1" si="4"/>
        <v>#NAME?</v>
      </c>
      <c r="Y31" t="e">
        <f t="shared" ca="1" si="5"/>
        <v>#NAME?</v>
      </c>
      <c r="Z31" t="e">
        <f t="shared" ca="1" si="6"/>
        <v>#NAME?</v>
      </c>
      <c r="AA31" t="e">
        <f t="shared" ca="1" si="7"/>
        <v>#NAME?</v>
      </c>
      <c r="AB31" t="e">
        <f t="shared" ca="1" si="8"/>
        <v>#NAME?</v>
      </c>
      <c r="AD31">
        <f t="shared" si="10"/>
        <v>28</v>
      </c>
      <c r="AE31">
        <f t="shared" si="11"/>
        <v>11.227461431044995</v>
      </c>
    </row>
    <row r="32" spans="1:31" x14ac:dyDescent="0.35">
      <c r="A32">
        <f t="shared" si="0"/>
        <v>29</v>
      </c>
      <c r="B32">
        <v>9.0761713255316874</v>
      </c>
      <c r="D32">
        <f t="shared" si="9"/>
        <v>29</v>
      </c>
      <c r="E32" t="e">
        <f t="shared" ca="1" si="1"/>
        <v>#NAME?</v>
      </c>
      <c r="F32" t="e">
        <f t="shared" ca="1" si="12"/>
        <v>#NAME?</v>
      </c>
      <c r="V32">
        <f t="shared" si="2"/>
        <v>29</v>
      </c>
      <c r="W32" t="e">
        <f t="shared" ca="1" si="3"/>
        <v>#NAME?</v>
      </c>
      <c r="X32" t="e">
        <f t="shared" ca="1" si="4"/>
        <v>#NAME?</v>
      </c>
      <c r="Y32" t="e">
        <f t="shared" ca="1" si="5"/>
        <v>#NAME?</v>
      </c>
      <c r="Z32" t="e">
        <f t="shared" ca="1" si="6"/>
        <v>#NAME?</v>
      </c>
      <c r="AA32" t="e">
        <f t="shared" ca="1" si="7"/>
        <v>#NAME?</v>
      </c>
      <c r="AB32" t="e">
        <f t="shared" ca="1" si="8"/>
        <v>#NAME?</v>
      </c>
      <c r="AD32">
        <f t="shared" si="10"/>
        <v>29</v>
      </c>
      <c r="AE32">
        <f t="shared" si="11"/>
        <v>9.0761713255316874</v>
      </c>
    </row>
    <row r="33" spans="1:31" x14ac:dyDescent="0.35">
      <c r="A33">
        <f t="shared" si="0"/>
        <v>30</v>
      </c>
      <c r="B33">
        <v>9.9094956509085375</v>
      </c>
      <c r="D33">
        <f t="shared" si="9"/>
        <v>30</v>
      </c>
      <c r="E33" t="e">
        <f t="shared" ca="1" si="1"/>
        <v>#NAME?</v>
      </c>
      <c r="F33" t="e">
        <f t="shared" ca="1" si="12"/>
        <v>#NAME?</v>
      </c>
      <c r="V33">
        <f t="shared" si="2"/>
        <v>30</v>
      </c>
      <c r="W33" t="e">
        <f t="shared" ca="1" si="3"/>
        <v>#NAME?</v>
      </c>
      <c r="X33" t="e">
        <f t="shared" ca="1" si="4"/>
        <v>#NAME?</v>
      </c>
      <c r="Y33" t="e">
        <f t="shared" ca="1" si="5"/>
        <v>#NAME?</v>
      </c>
      <c r="Z33" t="e">
        <f t="shared" ca="1" si="6"/>
        <v>#NAME?</v>
      </c>
      <c r="AA33" t="e">
        <f t="shared" ca="1" si="7"/>
        <v>#NAME?</v>
      </c>
      <c r="AB33" t="e">
        <f t="shared" ca="1" si="8"/>
        <v>#NAME?</v>
      </c>
      <c r="AD33">
        <f t="shared" si="10"/>
        <v>30</v>
      </c>
      <c r="AE33">
        <f t="shared" si="11"/>
        <v>9.9094956509085375</v>
      </c>
    </row>
    <row r="34" spans="1:31" x14ac:dyDescent="0.35">
      <c r="A34">
        <f t="shared" si="0"/>
        <v>31</v>
      </c>
      <c r="B34">
        <v>11.683635570981139</v>
      </c>
      <c r="D34">
        <f t="shared" si="9"/>
        <v>31</v>
      </c>
      <c r="E34" t="e">
        <f t="shared" ca="1" si="1"/>
        <v>#NAME?</v>
      </c>
      <c r="F34" t="e">
        <f t="shared" ca="1" si="12"/>
        <v>#NAME?</v>
      </c>
      <c r="V34">
        <f t="shared" si="2"/>
        <v>31</v>
      </c>
      <c r="W34" t="e">
        <f t="shared" ca="1" si="3"/>
        <v>#NAME?</v>
      </c>
      <c r="X34" t="e">
        <f t="shared" ca="1" si="4"/>
        <v>#NAME?</v>
      </c>
      <c r="Y34" t="e">
        <f t="shared" ca="1" si="5"/>
        <v>#NAME?</v>
      </c>
      <c r="Z34" t="e">
        <f t="shared" ca="1" si="6"/>
        <v>#NAME?</v>
      </c>
      <c r="AA34" t="e">
        <f t="shared" ca="1" si="7"/>
        <v>#NAME?</v>
      </c>
      <c r="AB34" t="e">
        <f t="shared" ca="1" si="8"/>
        <v>#NAME?</v>
      </c>
      <c r="AD34">
        <f t="shared" si="10"/>
        <v>31</v>
      </c>
      <c r="AE34">
        <f t="shared" si="11"/>
        <v>11.683635570981139</v>
      </c>
    </row>
    <row r="35" spans="1:31" x14ac:dyDescent="0.35">
      <c r="A35">
        <f t="shared" si="0"/>
        <v>32</v>
      </c>
      <c r="B35">
        <v>9.3891181090456559</v>
      </c>
      <c r="D35">
        <f t="shared" si="9"/>
        <v>32</v>
      </c>
      <c r="E35" t="e">
        <f t="shared" ca="1" si="1"/>
        <v>#NAME?</v>
      </c>
      <c r="F35" t="e">
        <f t="shared" ca="1" si="12"/>
        <v>#NAME?</v>
      </c>
      <c r="V35">
        <f t="shared" si="2"/>
        <v>32</v>
      </c>
      <c r="W35" t="e">
        <f t="shared" ca="1" si="3"/>
        <v>#NAME?</v>
      </c>
      <c r="X35" t="e">
        <f t="shared" ca="1" si="4"/>
        <v>#NAME?</v>
      </c>
      <c r="Y35" t="e">
        <f t="shared" ca="1" si="5"/>
        <v>#NAME?</v>
      </c>
      <c r="Z35" t="e">
        <f t="shared" ca="1" si="6"/>
        <v>#NAME?</v>
      </c>
      <c r="AA35" t="e">
        <f t="shared" ca="1" si="7"/>
        <v>#NAME?</v>
      </c>
      <c r="AB35" t="e">
        <f t="shared" ca="1" si="8"/>
        <v>#NAME?</v>
      </c>
      <c r="AD35">
        <f t="shared" si="10"/>
        <v>32</v>
      </c>
      <c r="AE35">
        <f t="shared" si="11"/>
        <v>9.3891181090456559</v>
      </c>
    </row>
    <row r="36" spans="1:31" x14ac:dyDescent="0.35">
      <c r="A36">
        <f t="shared" si="0"/>
        <v>33</v>
      </c>
      <c r="B36">
        <v>11.280967352963561</v>
      </c>
      <c r="D36">
        <f t="shared" si="9"/>
        <v>33</v>
      </c>
      <c r="E36" t="e">
        <f t="shared" ca="1" si="1"/>
        <v>#NAME?</v>
      </c>
      <c r="F36" t="e">
        <f t="shared" ca="1" si="12"/>
        <v>#NAME?</v>
      </c>
      <c r="V36">
        <f t="shared" si="2"/>
        <v>33</v>
      </c>
      <c r="W36" t="e">
        <f t="shared" ca="1" si="3"/>
        <v>#NAME?</v>
      </c>
      <c r="X36" t="e">
        <f t="shared" ca="1" si="4"/>
        <v>#NAME?</v>
      </c>
      <c r="Y36" t="e">
        <f t="shared" ca="1" si="5"/>
        <v>#NAME?</v>
      </c>
      <c r="Z36" t="e">
        <f t="shared" ca="1" si="6"/>
        <v>#NAME?</v>
      </c>
      <c r="AA36" t="e">
        <f t="shared" ca="1" si="7"/>
        <v>#NAME?</v>
      </c>
      <c r="AB36" t="e">
        <f t="shared" ca="1" si="8"/>
        <v>#NAME?</v>
      </c>
      <c r="AD36">
        <f t="shared" si="10"/>
        <v>33</v>
      </c>
      <c r="AE36">
        <f t="shared" si="11"/>
        <v>11.280967352963561</v>
      </c>
    </row>
    <row r="37" spans="1:31" x14ac:dyDescent="0.35">
      <c r="A37">
        <f t="shared" si="0"/>
        <v>34</v>
      </c>
      <c r="B37">
        <v>9.0777000543373685</v>
      </c>
      <c r="D37">
        <f t="shared" si="9"/>
        <v>34</v>
      </c>
      <c r="E37" t="e">
        <f t="shared" ca="1" si="1"/>
        <v>#NAME?</v>
      </c>
      <c r="F37" t="e">
        <f t="shared" ca="1" si="12"/>
        <v>#NAME?</v>
      </c>
      <c r="V37">
        <f t="shared" si="2"/>
        <v>34</v>
      </c>
      <c r="W37" t="e">
        <f t="shared" ca="1" si="3"/>
        <v>#NAME?</v>
      </c>
      <c r="X37" t="e">
        <f t="shared" ca="1" si="4"/>
        <v>#NAME?</v>
      </c>
      <c r="Y37" t="e">
        <f t="shared" ca="1" si="5"/>
        <v>#NAME?</v>
      </c>
      <c r="Z37" t="e">
        <f t="shared" ca="1" si="6"/>
        <v>#NAME?</v>
      </c>
      <c r="AA37" t="e">
        <f t="shared" ca="1" si="7"/>
        <v>#NAME?</v>
      </c>
      <c r="AB37" t="e">
        <f t="shared" ca="1" si="8"/>
        <v>#NAME?</v>
      </c>
      <c r="AD37">
        <f t="shared" si="10"/>
        <v>34</v>
      </c>
      <c r="AE37">
        <f t="shared" si="11"/>
        <v>9.0777000543373685</v>
      </c>
    </row>
    <row r="38" spans="1:31" x14ac:dyDescent="0.35">
      <c r="A38">
        <f t="shared" si="0"/>
        <v>35</v>
      </c>
      <c r="B38">
        <v>9.4218520797101899</v>
      </c>
      <c r="D38">
        <f t="shared" si="9"/>
        <v>35</v>
      </c>
      <c r="E38" t="e">
        <f t="shared" ca="1" si="1"/>
        <v>#NAME?</v>
      </c>
      <c r="F38" t="e">
        <f t="shared" ca="1" si="12"/>
        <v>#NAME?</v>
      </c>
      <c r="V38">
        <f t="shared" si="2"/>
        <v>35</v>
      </c>
      <c r="W38" t="e">
        <f t="shared" ca="1" si="3"/>
        <v>#NAME?</v>
      </c>
      <c r="X38" t="e">
        <f t="shared" ca="1" si="4"/>
        <v>#NAME?</v>
      </c>
      <c r="Y38" t="e">
        <f t="shared" ca="1" si="5"/>
        <v>#NAME?</v>
      </c>
      <c r="Z38" t="e">
        <f t="shared" ca="1" si="6"/>
        <v>#NAME?</v>
      </c>
      <c r="AA38" t="e">
        <f t="shared" ca="1" si="7"/>
        <v>#NAME?</v>
      </c>
      <c r="AB38" t="e">
        <f t="shared" ca="1" si="8"/>
        <v>#NAME?</v>
      </c>
      <c r="AD38">
        <f t="shared" si="10"/>
        <v>35</v>
      </c>
      <c r="AE38">
        <f t="shared" si="11"/>
        <v>9.4218520797101899</v>
      </c>
    </row>
    <row r="39" spans="1:31" x14ac:dyDescent="0.35">
      <c r="A39">
        <f t="shared" si="0"/>
        <v>36</v>
      </c>
      <c r="B39">
        <v>10.768670766726222</v>
      </c>
      <c r="D39">
        <f t="shared" si="9"/>
        <v>36</v>
      </c>
      <c r="E39" t="e">
        <f t="shared" ca="1" si="1"/>
        <v>#NAME?</v>
      </c>
      <c r="F39" t="e">
        <f t="shared" ca="1" si="12"/>
        <v>#NAME?</v>
      </c>
      <c r="V39">
        <f t="shared" si="2"/>
        <v>36</v>
      </c>
      <c r="W39" t="e">
        <f t="shared" ca="1" si="3"/>
        <v>#NAME?</v>
      </c>
      <c r="X39" t="e">
        <f t="shared" ca="1" si="4"/>
        <v>#NAME?</v>
      </c>
      <c r="Y39" t="e">
        <f t="shared" ca="1" si="5"/>
        <v>#NAME?</v>
      </c>
      <c r="Z39" t="e">
        <f t="shared" ca="1" si="6"/>
        <v>#NAME?</v>
      </c>
      <c r="AA39" t="e">
        <f t="shared" ca="1" si="7"/>
        <v>#NAME?</v>
      </c>
      <c r="AB39" t="e">
        <f t="shared" ca="1" si="8"/>
        <v>#NAME?</v>
      </c>
      <c r="AD39">
        <f t="shared" si="10"/>
        <v>36</v>
      </c>
      <c r="AE39">
        <f t="shared" si="11"/>
        <v>10.768670766726222</v>
      </c>
    </row>
    <row r="40" spans="1:31" x14ac:dyDescent="0.35">
      <c r="A40">
        <f t="shared" si="0"/>
        <v>37</v>
      </c>
      <c r="B40">
        <v>10.044686426220611</v>
      </c>
      <c r="D40">
        <f t="shared" si="9"/>
        <v>37</v>
      </c>
      <c r="E40" t="e">
        <f t="shared" ca="1" si="1"/>
        <v>#NAME?</v>
      </c>
      <c r="F40" t="e">
        <f t="shared" ca="1" si="12"/>
        <v>#NAME?</v>
      </c>
      <c r="V40">
        <f t="shared" si="2"/>
        <v>37</v>
      </c>
      <c r="W40" t="e">
        <f t="shared" ca="1" si="3"/>
        <v>#NAME?</v>
      </c>
      <c r="X40" t="e">
        <f t="shared" ca="1" si="4"/>
        <v>#NAME?</v>
      </c>
      <c r="Y40" t="e">
        <f t="shared" ca="1" si="5"/>
        <v>#NAME?</v>
      </c>
      <c r="Z40" t="e">
        <f t="shared" ca="1" si="6"/>
        <v>#NAME?</v>
      </c>
      <c r="AA40" t="e">
        <f t="shared" ca="1" si="7"/>
        <v>#NAME?</v>
      </c>
      <c r="AB40" t="e">
        <f t="shared" ca="1" si="8"/>
        <v>#NAME?</v>
      </c>
      <c r="AD40">
        <f t="shared" si="10"/>
        <v>37</v>
      </c>
      <c r="AE40">
        <f t="shared" si="11"/>
        <v>10.044686426220611</v>
      </c>
    </row>
    <row r="41" spans="1:31" x14ac:dyDescent="0.35">
      <c r="A41">
        <f t="shared" si="0"/>
        <v>38</v>
      </c>
      <c r="B41">
        <v>9.5026475408720934</v>
      </c>
      <c r="D41">
        <f t="shared" si="9"/>
        <v>38</v>
      </c>
      <c r="E41" t="e">
        <f t="shared" ca="1" si="1"/>
        <v>#NAME?</v>
      </c>
      <c r="F41" t="e">
        <f t="shared" ca="1" si="12"/>
        <v>#NAME?</v>
      </c>
      <c r="V41">
        <f t="shared" si="2"/>
        <v>38</v>
      </c>
      <c r="W41" t="e">
        <f t="shared" ca="1" si="3"/>
        <v>#NAME?</v>
      </c>
      <c r="X41" t="e">
        <f t="shared" ca="1" si="4"/>
        <v>#NAME?</v>
      </c>
      <c r="Y41" t="e">
        <f t="shared" ca="1" si="5"/>
        <v>#NAME?</v>
      </c>
      <c r="Z41" t="e">
        <f t="shared" ca="1" si="6"/>
        <v>#NAME?</v>
      </c>
      <c r="AA41" t="e">
        <f t="shared" ca="1" si="7"/>
        <v>#NAME?</v>
      </c>
      <c r="AB41" t="e">
        <f t="shared" ca="1" si="8"/>
        <v>#NAME?</v>
      </c>
      <c r="AD41">
        <f t="shared" si="10"/>
        <v>38</v>
      </c>
      <c r="AE41">
        <f t="shared" si="11"/>
        <v>9.5026475408720934</v>
      </c>
    </row>
    <row r="42" spans="1:31" x14ac:dyDescent="0.35">
      <c r="A42">
        <f t="shared" si="0"/>
        <v>39</v>
      </c>
      <c r="B42">
        <v>12.016635145209889</v>
      </c>
      <c r="D42">
        <f t="shared" si="9"/>
        <v>39</v>
      </c>
      <c r="E42" t="e">
        <f t="shared" ca="1" si="1"/>
        <v>#NAME?</v>
      </c>
      <c r="F42" t="e">
        <f t="shared" ca="1" si="12"/>
        <v>#NAME?</v>
      </c>
      <c r="V42">
        <f t="shared" si="2"/>
        <v>39</v>
      </c>
      <c r="W42" t="e">
        <f t="shared" ca="1" si="3"/>
        <v>#NAME?</v>
      </c>
      <c r="X42" t="e">
        <f t="shared" ca="1" si="4"/>
        <v>#NAME?</v>
      </c>
      <c r="Y42" t="e">
        <f t="shared" ca="1" si="5"/>
        <v>#NAME?</v>
      </c>
      <c r="Z42" t="e">
        <f t="shared" ca="1" si="6"/>
        <v>#NAME?</v>
      </c>
      <c r="AA42" t="e">
        <f t="shared" ca="1" si="7"/>
        <v>#NAME?</v>
      </c>
      <c r="AB42" t="e">
        <f t="shared" ca="1" si="8"/>
        <v>#NAME?</v>
      </c>
      <c r="AD42">
        <f t="shared" si="10"/>
        <v>39</v>
      </c>
      <c r="AE42">
        <f t="shared" si="11"/>
        <v>12.016635145209889</v>
      </c>
    </row>
    <row r="43" spans="1:31" x14ac:dyDescent="0.35">
      <c r="A43">
        <f t="shared" si="0"/>
        <v>40</v>
      </c>
      <c r="B43">
        <v>9.6075824244635548</v>
      </c>
      <c r="D43">
        <f t="shared" si="9"/>
        <v>40</v>
      </c>
      <c r="E43" t="e">
        <f t="shared" ca="1" si="1"/>
        <v>#NAME?</v>
      </c>
      <c r="F43" t="e">
        <f t="shared" ca="1" si="12"/>
        <v>#NAME?</v>
      </c>
      <c r="V43">
        <f t="shared" si="2"/>
        <v>40</v>
      </c>
      <c r="W43" t="e">
        <f t="shared" ca="1" si="3"/>
        <v>#NAME?</v>
      </c>
      <c r="X43" t="e">
        <f t="shared" ca="1" si="4"/>
        <v>#NAME?</v>
      </c>
      <c r="Y43" t="e">
        <f t="shared" ca="1" si="5"/>
        <v>#NAME?</v>
      </c>
      <c r="Z43" t="e">
        <f t="shared" ca="1" si="6"/>
        <v>#NAME?</v>
      </c>
      <c r="AA43" t="e">
        <f t="shared" ca="1" si="7"/>
        <v>#NAME?</v>
      </c>
      <c r="AB43" t="e">
        <f t="shared" ca="1" si="8"/>
        <v>#NAME?</v>
      </c>
      <c r="AD43">
        <f t="shared" si="10"/>
        <v>40</v>
      </c>
      <c r="AE43">
        <f t="shared" si="11"/>
        <v>9.6075824244635548</v>
      </c>
    </row>
    <row r="44" spans="1:31" x14ac:dyDescent="0.35">
      <c r="A44">
        <f t="shared" si="0"/>
        <v>41</v>
      </c>
      <c r="B44">
        <v>10.47879870661002</v>
      </c>
      <c r="D44">
        <f t="shared" si="9"/>
        <v>41</v>
      </c>
      <c r="E44" t="e">
        <f t="shared" ca="1" si="1"/>
        <v>#NAME?</v>
      </c>
      <c r="F44" t="e">
        <f t="shared" ca="1" si="12"/>
        <v>#NAME?</v>
      </c>
      <c r="V44">
        <f t="shared" si="2"/>
        <v>41</v>
      </c>
      <c r="W44" t="e">
        <f t="shared" ca="1" si="3"/>
        <v>#NAME?</v>
      </c>
      <c r="X44" t="e">
        <f t="shared" ca="1" si="4"/>
        <v>#NAME?</v>
      </c>
      <c r="Y44" t="e">
        <f t="shared" ca="1" si="5"/>
        <v>#NAME?</v>
      </c>
      <c r="Z44" t="e">
        <f t="shared" ca="1" si="6"/>
        <v>#NAME?</v>
      </c>
      <c r="AA44" t="e">
        <f t="shared" ca="1" si="7"/>
        <v>#NAME?</v>
      </c>
      <c r="AB44" t="e">
        <f t="shared" ca="1" si="8"/>
        <v>#NAME?</v>
      </c>
      <c r="AD44">
        <f t="shared" si="10"/>
        <v>41</v>
      </c>
      <c r="AE44">
        <f t="shared" si="11"/>
        <v>10.47879870661002</v>
      </c>
    </row>
    <row r="45" spans="1:31" x14ac:dyDescent="0.35">
      <c r="A45">
        <f t="shared" si="0"/>
        <v>42</v>
      </c>
      <c r="B45">
        <v>10.131145996118137</v>
      </c>
      <c r="D45">
        <f t="shared" si="9"/>
        <v>42</v>
      </c>
      <c r="E45" t="e">
        <f t="shared" ca="1" si="1"/>
        <v>#NAME?</v>
      </c>
      <c r="F45" t="e">
        <f t="shared" ca="1" si="12"/>
        <v>#NAME?</v>
      </c>
      <c r="V45">
        <f t="shared" si="2"/>
        <v>42</v>
      </c>
      <c r="W45" t="e">
        <f t="shared" ca="1" si="3"/>
        <v>#NAME?</v>
      </c>
      <c r="X45" t="e">
        <f t="shared" ca="1" si="4"/>
        <v>#NAME?</v>
      </c>
      <c r="Y45" t="e">
        <f t="shared" ca="1" si="5"/>
        <v>#NAME?</v>
      </c>
      <c r="Z45" t="e">
        <f t="shared" ca="1" si="6"/>
        <v>#NAME?</v>
      </c>
      <c r="AA45" t="e">
        <f t="shared" ca="1" si="7"/>
        <v>#NAME?</v>
      </c>
      <c r="AB45" t="e">
        <f t="shared" ca="1" si="8"/>
        <v>#NAME?</v>
      </c>
      <c r="AD45">
        <f t="shared" si="10"/>
        <v>42</v>
      </c>
      <c r="AE45">
        <f t="shared" si="11"/>
        <v>10.131145996118137</v>
      </c>
    </row>
    <row r="46" spans="1:31" x14ac:dyDescent="0.35">
      <c r="A46">
        <f t="shared" si="0"/>
        <v>43</v>
      </c>
      <c r="B46">
        <v>9.3102529930939451</v>
      </c>
      <c r="D46">
        <f t="shared" si="9"/>
        <v>43</v>
      </c>
      <c r="E46" t="e">
        <f t="shared" ca="1" si="1"/>
        <v>#NAME?</v>
      </c>
      <c r="F46" t="e">
        <f t="shared" ca="1" si="12"/>
        <v>#NAME?</v>
      </c>
      <c r="V46">
        <f t="shared" si="2"/>
        <v>43</v>
      </c>
      <c r="W46" t="e">
        <f t="shared" ca="1" si="3"/>
        <v>#NAME?</v>
      </c>
      <c r="X46" t="e">
        <f t="shared" ca="1" si="4"/>
        <v>#NAME?</v>
      </c>
      <c r="Y46" t="e">
        <f t="shared" ca="1" si="5"/>
        <v>#NAME?</v>
      </c>
      <c r="Z46" t="e">
        <f t="shared" ca="1" si="6"/>
        <v>#NAME?</v>
      </c>
      <c r="AA46" t="e">
        <f t="shared" ca="1" si="7"/>
        <v>#NAME?</v>
      </c>
      <c r="AB46" t="e">
        <f t="shared" ca="1" si="8"/>
        <v>#NAME?</v>
      </c>
      <c r="AD46">
        <f t="shared" si="10"/>
        <v>43</v>
      </c>
      <c r="AE46">
        <f t="shared" si="11"/>
        <v>9.3102529930939451</v>
      </c>
    </row>
    <row r="47" spans="1:31" x14ac:dyDescent="0.35">
      <c r="A47">
        <f t="shared" si="0"/>
        <v>44</v>
      </c>
      <c r="B47">
        <v>9.9532374569799149</v>
      </c>
      <c r="D47">
        <f t="shared" si="9"/>
        <v>44</v>
      </c>
      <c r="E47" t="e">
        <f t="shared" ca="1" si="1"/>
        <v>#NAME?</v>
      </c>
      <c r="F47" t="e">
        <f t="shared" ca="1" si="12"/>
        <v>#NAME?</v>
      </c>
      <c r="V47">
        <f t="shared" si="2"/>
        <v>44</v>
      </c>
      <c r="W47" t="e">
        <f t="shared" ca="1" si="3"/>
        <v>#NAME?</v>
      </c>
      <c r="X47" t="e">
        <f t="shared" ca="1" si="4"/>
        <v>#NAME?</v>
      </c>
      <c r="Y47" t="e">
        <f t="shared" ca="1" si="5"/>
        <v>#NAME?</v>
      </c>
      <c r="Z47" t="e">
        <f t="shared" ca="1" si="6"/>
        <v>#NAME?</v>
      </c>
      <c r="AA47" t="e">
        <f t="shared" ca="1" si="7"/>
        <v>#NAME?</v>
      </c>
      <c r="AB47" t="e">
        <f t="shared" ca="1" si="8"/>
        <v>#NAME?</v>
      </c>
      <c r="AD47">
        <f t="shared" si="10"/>
        <v>44</v>
      </c>
      <c r="AE47">
        <f t="shared" si="11"/>
        <v>9.9532374569799149</v>
      </c>
    </row>
    <row r="48" spans="1:31" x14ac:dyDescent="0.35">
      <c r="A48">
        <f t="shared" si="0"/>
        <v>45</v>
      </c>
      <c r="B48">
        <v>9.9320829740295604</v>
      </c>
      <c r="D48">
        <f t="shared" si="9"/>
        <v>45</v>
      </c>
      <c r="E48" t="e">
        <f t="shared" ca="1" si="1"/>
        <v>#NAME?</v>
      </c>
      <c r="F48" t="e">
        <f t="shared" ca="1" si="12"/>
        <v>#NAME?</v>
      </c>
      <c r="V48">
        <f t="shared" si="2"/>
        <v>45</v>
      </c>
      <c r="W48" t="e">
        <f t="shared" ca="1" si="3"/>
        <v>#NAME?</v>
      </c>
      <c r="X48" t="e">
        <f t="shared" ca="1" si="4"/>
        <v>#NAME?</v>
      </c>
      <c r="Y48" t="e">
        <f t="shared" ca="1" si="5"/>
        <v>#NAME?</v>
      </c>
      <c r="Z48" t="e">
        <f t="shared" ca="1" si="6"/>
        <v>#NAME?</v>
      </c>
      <c r="AA48" t="e">
        <f t="shared" ca="1" si="7"/>
        <v>#NAME?</v>
      </c>
      <c r="AB48" t="e">
        <f t="shared" ca="1" si="8"/>
        <v>#NAME?</v>
      </c>
      <c r="AD48">
        <f t="shared" si="10"/>
        <v>45</v>
      </c>
      <c r="AE48">
        <f t="shared" si="11"/>
        <v>9.9320829740295604</v>
      </c>
    </row>
    <row r="49" spans="1:31" x14ac:dyDescent="0.35">
      <c r="A49">
        <f t="shared" si="0"/>
        <v>46</v>
      </c>
      <c r="B49">
        <v>11.635101979488615</v>
      </c>
      <c r="D49">
        <f t="shared" si="9"/>
        <v>46</v>
      </c>
      <c r="E49" t="e">
        <f t="shared" ca="1" si="1"/>
        <v>#NAME?</v>
      </c>
      <c r="F49" t="e">
        <f t="shared" ca="1" si="12"/>
        <v>#NAME?</v>
      </c>
      <c r="V49">
        <f t="shared" si="2"/>
        <v>46</v>
      </c>
      <c r="W49" t="e">
        <f t="shared" ca="1" si="3"/>
        <v>#NAME?</v>
      </c>
      <c r="X49" t="e">
        <f t="shared" ca="1" si="4"/>
        <v>#NAME?</v>
      </c>
      <c r="Y49" t="e">
        <f t="shared" ca="1" si="5"/>
        <v>#NAME?</v>
      </c>
      <c r="Z49" t="e">
        <f t="shared" ca="1" si="6"/>
        <v>#NAME?</v>
      </c>
      <c r="AA49" t="e">
        <f t="shared" ca="1" si="7"/>
        <v>#NAME?</v>
      </c>
      <c r="AB49" t="e">
        <f t="shared" ca="1" si="8"/>
        <v>#NAME?</v>
      </c>
      <c r="AD49">
        <f t="shared" si="10"/>
        <v>46</v>
      </c>
      <c r="AE49">
        <f t="shared" si="11"/>
        <v>11.635101979488615</v>
      </c>
    </row>
    <row r="50" spans="1:31" x14ac:dyDescent="0.35">
      <c r="A50">
        <f t="shared" si="0"/>
        <v>47</v>
      </c>
      <c r="B50">
        <v>10.428242822398191</v>
      </c>
      <c r="D50">
        <f t="shared" si="9"/>
        <v>47</v>
      </c>
      <c r="E50" t="e">
        <f t="shared" ca="1" si="1"/>
        <v>#NAME?</v>
      </c>
      <c r="F50" t="e">
        <f t="shared" ca="1" si="12"/>
        <v>#NAME?</v>
      </c>
      <c r="V50">
        <f t="shared" si="2"/>
        <v>47</v>
      </c>
      <c r="W50" t="e">
        <f t="shared" ca="1" si="3"/>
        <v>#NAME?</v>
      </c>
      <c r="X50" t="e">
        <f t="shared" ca="1" si="4"/>
        <v>#NAME?</v>
      </c>
      <c r="Y50" t="e">
        <f t="shared" ca="1" si="5"/>
        <v>#NAME?</v>
      </c>
      <c r="Z50" t="e">
        <f t="shared" ca="1" si="6"/>
        <v>#NAME?</v>
      </c>
      <c r="AA50" t="e">
        <f t="shared" ca="1" si="7"/>
        <v>#NAME?</v>
      </c>
      <c r="AB50" t="e">
        <f t="shared" ca="1" si="8"/>
        <v>#NAME?</v>
      </c>
      <c r="AD50">
        <f t="shared" si="10"/>
        <v>47</v>
      </c>
      <c r="AE50">
        <f t="shared" si="11"/>
        <v>10.428242822398191</v>
      </c>
    </row>
    <row r="51" spans="1:31" x14ac:dyDescent="0.35">
      <c r="A51">
        <f t="shared" si="0"/>
        <v>48</v>
      </c>
      <c r="B51">
        <v>9.6942306857497602</v>
      </c>
      <c r="D51">
        <f t="shared" si="9"/>
        <v>48</v>
      </c>
      <c r="E51" t="e">
        <f t="shared" ca="1" si="1"/>
        <v>#NAME?</v>
      </c>
      <c r="F51" t="e">
        <f t="shared" ca="1" si="12"/>
        <v>#NAME?</v>
      </c>
      <c r="V51">
        <f t="shared" si="2"/>
        <v>48</v>
      </c>
      <c r="W51" t="e">
        <f t="shared" ca="1" si="3"/>
        <v>#NAME?</v>
      </c>
      <c r="X51" t="e">
        <f t="shared" ca="1" si="4"/>
        <v>#NAME?</v>
      </c>
      <c r="Y51" t="e">
        <f t="shared" ca="1" si="5"/>
        <v>#NAME?</v>
      </c>
      <c r="Z51" t="e">
        <f t="shared" ca="1" si="6"/>
        <v>#NAME?</v>
      </c>
      <c r="AA51" t="e">
        <f t="shared" ca="1" si="7"/>
        <v>#NAME?</v>
      </c>
      <c r="AB51" t="e">
        <f t="shared" ca="1" si="8"/>
        <v>#NAME?</v>
      </c>
      <c r="AD51">
        <f t="shared" si="10"/>
        <v>48</v>
      </c>
      <c r="AE51">
        <f t="shared" si="11"/>
        <v>9.6942306857497602</v>
      </c>
    </row>
    <row r="52" spans="1:31" x14ac:dyDescent="0.35">
      <c r="A52">
        <f t="shared" si="0"/>
        <v>49</v>
      </c>
      <c r="B52">
        <v>10.169036752376758</v>
      </c>
      <c r="D52">
        <f t="shared" si="9"/>
        <v>49</v>
      </c>
      <c r="E52" t="e">
        <f t="shared" ca="1" si="1"/>
        <v>#NAME?</v>
      </c>
      <c r="F52" t="e">
        <f t="shared" ca="1" si="12"/>
        <v>#NAME?</v>
      </c>
      <c r="V52">
        <f t="shared" si="2"/>
        <v>49</v>
      </c>
      <c r="W52" t="e">
        <f t="shared" ca="1" si="3"/>
        <v>#NAME?</v>
      </c>
      <c r="X52" t="e">
        <f t="shared" ca="1" si="4"/>
        <v>#NAME?</v>
      </c>
      <c r="Y52" t="e">
        <f t="shared" ca="1" si="5"/>
        <v>#NAME?</v>
      </c>
      <c r="Z52" t="e">
        <f t="shared" ca="1" si="6"/>
        <v>#NAME?</v>
      </c>
      <c r="AA52" t="e">
        <f t="shared" ca="1" si="7"/>
        <v>#NAME?</v>
      </c>
      <c r="AB52" t="e">
        <f t="shared" ca="1" si="8"/>
        <v>#NAME?</v>
      </c>
      <c r="AD52">
        <f t="shared" si="10"/>
        <v>49</v>
      </c>
      <c r="AE52">
        <f t="shared" si="11"/>
        <v>10.169036752376758</v>
      </c>
    </row>
    <row r="53" spans="1:31" x14ac:dyDescent="0.35">
      <c r="A53">
        <f t="shared" si="0"/>
        <v>50</v>
      </c>
      <c r="B53">
        <v>10.486655712590014</v>
      </c>
      <c r="D53">
        <f t="shared" si="9"/>
        <v>50</v>
      </c>
      <c r="E53" t="e">
        <f t="shared" ca="1" si="1"/>
        <v>#NAME?</v>
      </c>
      <c r="F53" t="e">
        <f t="shared" ca="1" si="12"/>
        <v>#NAME?</v>
      </c>
      <c r="V53">
        <f t="shared" si="2"/>
        <v>50</v>
      </c>
      <c r="W53" t="e">
        <f t="shared" ca="1" si="3"/>
        <v>#NAME?</v>
      </c>
      <c r="X53" t="e">
        <f t="shared" ca="1" si="4"/>
        <v>#NAME?</v>
      </c>
      <c r="Y53" t="e">
        <f t="shared" ca="1" si="5"/>
        <v>#NAME?</v>
      </c>
      <c r="Z53" t="e">
        <f t="shared" ca="1" si="6"/>
        <v>#NAME?</v>
      </c>
      <c r="AA53" t="e">
        <f t="shared" ca="1" si="7"/>
        <v>#NAME?</v>
      </c>
      <c r="AB53" t="e">
        <f t="shared" ca="1" si="8"/>
        <v>#NAME?</v>
      </c>
      <c r="AD53">
        <f t="shared" si="10"/>
        <v>50</v>
      </c>
      <c r="AE53">
        <f t="shared" si="11"/>
        <v>10.486655712590014</v>
      </c>
    </row>
    <row r="54" spans="1:31" x14ac:dyDescent="0.35">
      <c r="A54">
        <f t="shared" si="0"/>
        <v>51</v>
      </c>
      <c r="B54">
        <v>10.656149640052817</v>
      </c>
      <c r="D54">
        <f t="shared" si="9"/>
        <v>51</v>
      </c>
      <c r="E54" t="e">
        <f t="shared" ca="1" si="1"/>
        <v>#NAME?</v>
      </c>
      <c r="F54" t="e">
        <f t="shared" ca="1" si="12"/>
        <v>#NAME?</v>
      </c>
      <c r="V54">
        <f t="shared" si="2"/>
        <v>51</v>
      </c>
      <c r="W54" t="e">
        <f t="shared" ca="1" si="3"/>
        <v>#NAME?</v>
      </c>
      <c r="X54" t="e">
        <f t="shared" ca="1" si="4"/>
        <v>#NAME?</v>
      </c>
      <c r="Y54" t="e">
        <f t="shared" ca="1" si="5"/>
        <v>#NAME?</v>
      </c>
      <c r="Z54" t="e">
        <f t="shared" ca="1" si="6"/>
        <v>#NAME?</v>
      </c>
      <c r="AA54" t="e">
        <f t="shared" ca="1" si="7"/>
        <v>#NAME?</v>
      </c>
      <c r="AB54" t="e">
        <f t="shared" ca="1" si="8"/>
        <v>#NAME?</v>
      </c>
      <c r="AD54">
        <f t="shared" si="10"/>
        <v>51</v>
      </c>
      <c r="AE54">
        <f t="shared" si="11"/>
        <v>10.656149640052817</v>
      </c>
    </row>
    <row r="55" spans="1:31" x14ac:dyDescent="0.35">
      <c r="A55">
        <f t="shared" si="0"/>
        <v>52</v>
      </c>
      <c r="B55">
        <v>10.129317566616011</v>
      </c>
      <c r="D55">
        <f t="shared" si="9"/>
        <v>52</v>
      </c>
      <c r="E55" t="e">
        <f t="shared" ca="1" si="1"/>
        <v>#NAME?</v>
      </c>
      <c r="F55" t="e">
        <f t="shared" ca="1" si="12"/>
        <v>#NAME?</v>
      </c>
      <c r="V55">
        <f t="shared" si="2"/>
        <v>52</v>
      </c>
      <c r="W55" t="e">
        <f t="shared" ca="1" si="3"/>
        <v>#NAME?</v>
      </c>
      <c r="X55" t="e">
        <f t="shared" ca="1" si="4"/>
        <v>#NAME?</v>
      </c>
      <c r="Y55" t="e">
        <f t="shared" ca="1" si="5"/>
        <v>#NAME?</v>
      </c>
      <c r="Z55" t="e">
        <f t="shared" ca="1" si="6"/>
        <v>#NAME?</v>
      </c>
      <c r="AA55" t="e">
        <f t="shared" ca="1" si="7"/>
        <v>#NAME?</v>
      </c>
      <c r="AB55" t="e">
        <f t="shared" ca="1" si="8"/>
        <v>#NAME?</v>
      </c>
      <c r="AD55">
        <f t="shared" si="10"/>
        <v>52</v>
      </c>
      <c r="AE55">
        <f t="shared" si="11"/>
        <v>10.129317566616011</v>
      </c>
    </row>
    <row r="56" spans="1:31" x14ac:dyDescent="0.35">
      <c r="A56">
        <f t="shared" si="0"/>
        <v>53</v>
      </c>
      <c r="B56">
        <v>8.9663057524182062</v>
      </c>
      <c r="D56">
        <f t="shared" si="9"/>
        <v>53</v>
      </c>
      <c r="E56" t="e">
        <f t="shared" ca="1" si="1"/>
        <v>#NAME?</v>
      </c>
      <c r="F56" t="e">
        <f t="shared" ca="1" si="12"/>
        <v>#NAME?</v>
      </c>
      <c r="V56">
        <f t="shared" si="2"/>
        <v>53</v>
      </c>
      <c r="W56" t="e">
        <f t="shared" ca="1" si="3"/>
        <v>#NAME?</v>
      </c>
      <c r="X56" t="e">
        <f t="shared" ca="1" si="4"/>
        <v>#NAME?</v>
      </c>
      <c r="Y56" t="e">
        <f t="shared" ca="1" si="5"/>
        <v>#NAME?</v>
      </c>
      <c r="Z56" t="e">
        <f t="shared" ca="1" si="6"/>
        <v>#NAME?</v>
      </c>
      <c r="AA56" t="e">
        <f t="shared" ca="1" si="7"/>
        <v>#NAME?</v>
      </c>
      <c r="AB56" t="e">
        <f t="shared" ca="1" si="8"/>
        <v>#NAME?</v>
      </c>
      <c r="AD56">
        <f t="shared" si="10"/>
        <v>53</v>
      </c>
      <c r="AE56">
        <f t="shared" si="11"/>
        <v>8.9663057524182062</v>
      </c>
    </row>
    <row r="57" spans="1:31" x14ac:dyDescent="0.35">
      <c r="A57">
        <f t="shared" si="0"/>
        <v>54</v>
      </c>
      <c r="B57">
        <v>8.1067514389924824</v>
      </c>
      <c r="D57">
        <f t="shared" si="9"/>
        <v>54</v>
      </c>
      <c r="E57" t="e">
        <f t="shared" ca="1" si="1"/>
        <v>#NAME?</v>
      </c>
      <c r="F57" t="e">
        <f t="shared" ca="1" si="12"/>
        <v>#NAME?</v>
      </c>
      <c r="V57">
        <f t="shared" si="2"/>
        <v>54</v>
      </c>
      <c r="W57" t="e">
        <f t="shared" ca="1" si="3"/>
        <v>#NAME?</v>
      </c>
      <c r="X57" t="e">
        <f t="shared" ca="1" si="4"/>
        <v>#NAME?</v>
      </c>
      <c r="Y57" t="e">
        <f t="shared" ca="1" si="5"/>
        <v>#NAME?</v>
      </c>
      <c r="Z57" t="e">
        <f t="shared" ca="1" si="6"/>
        <v>#NAME?</v>
      </c>
      <c r="AA57" t="e">
        <f t="shared" ca="1" si="7"/>
        <v>#NAME?</v>
      </c>
      <c r="AB57" t="e">
        <f t="shared" ca="1" si="8"/>
        <v>#NAME?</v>
      </c>
      <c r="AD57">
        <f t="shared" si="10"/>
        <v>54</v>
      </c>
      <c r="AE57">
        <f t="shared" si="11"/>
        <v>8.1067514389924824</v>
      </c>
    </row>
    <row r="58" spans="1:31" x14ac:dyDescent="0.35">
      <c r="A58">
        <f t="shared" si="0"/>
        <v>55</v>
      </c>
      <c r="B58">
        <v>8.6738987578515037</v>
      </c>
      <c r="D58">
        <f t="shared" si="9"/>
        <v>55</v>
      </c>
      <c r="E58" t="e">
        <f t="shared" ca="1" si="1"/>
        <v>#NAME?</v>
      </c>
      <c r="F58" t="e">
        <f t="shared" ca="1" si="12"/>
        <v>#NAME?</v>
      </c>
      <c r="V58">
        <f t="shared" si="2"/>
        <v>55</v>
      </c>
      <c r="W58" t="e">
        <f t="shared" ca="1" si="3"/>
        <v>#NAME?</v>
      </c>
      <c r="X58" t="e">
        <f t="shared" ca="1" si="4"/>
        <v>#NAME?</v>
      </c>
      <c r="Y58" t="e">
        <f t="shared" ca="1" si="5"/>
        <v>#NAME?</v>
      </c>
      <c r="Z58" t="e">
        <f t="shared" ca="1" si="6"/>
        <v>#NAME?</v>
      </c>
      <c r="AA58" t="e">
        <f t="shared" ca="1" si="7"/>
        <v>#NAME?</v>
      </c>
      <c r="AB58" t="e">
        <f t="shared" ca="1" si="8"/>
        <v>#NAME?</v>
      </c>
      <c r="AD58">
        <f t="shared" si="10"/>
        <v>55</v>
      </c>
      <c r="AE58">
        <f t="shared" si="11"/>
        <v>8.6738987578515037</v>
      </c>
    </row>
    <row r="59" spans="1:31" x14ac:dyDescent="0.35">
      <c r="A59">
        <f t="shared" si="0"/>
        <v>56</v>
      </c>
      <c r="B59">
        <v>8.7398621237592646</v>
      </c>
      <c r="D59">
        <f t="shared" si="9"/>
        <v>56</v>
      </c>
      <c r="E59" t="e">
        <f t="shared" ca="1" si="1"/>
        <v>#NAME?</v>
      </c>
      <c r="F59" t="e">
        <f t="shared" ca="1" si="12"/>
        <v>#NAME?</v>
      </c>
      <c r="V59">
        <f t="shared" si="2"/>
        <v>56</v>
      </c>
      <c r="W59" t="e">
        <f t="shared" ca="1" si="3"/>
        <v>#NAME?</v>
      </c>
      <c r="X59" t="e">
        <f t="shared" ca="1" si="4"/>
        <v>#NAME?</v>
      </c>
      <c r="Y59" t="e">
        <f t="shared" ca="1" si="5"/>
        <v>#NAME?</v>
      </c>
      <c r="Z59" t="e">
        <f t="shared" ca="1" si="6"/>
        <v>#NAME?</v>
      </c>
      <c r="AA59" t="e">
        <f t="shared" ca="1" si="7"/>
        <v>#NAME?</v>
      </c>
      <c r="AB59" t="e">
        <f t="shared" ca="1" si="8"/>
        <v>#NAME?</v>
      </c>
      <c r="AD59">
        <f t="shared" si="10"/>
        <v>56</v>
      </c>
      <c r="AE59">
        <f t="shared" si="11"/>
        <v>8.7398621237592646</v>
      </c>
    </row>
    <row r="60" spans="1:31" x14ac:dyDescent="0.35">
      <c r="A60">
        <f t="shared" si="0"/>
        <v>57</v>
      </c>
      <c r="B60">
        <v>8.7639760975280581</v>
      </c>
      <c r="D60">
        <f t="shared" si="9"/>
        <v>57</v>
      </c>
      <c r="E60" t="e">
        <f t="shared" ca="1" si="1"/>
        <v>#NAME?</v>
      </c>
      <c r="F60" t="e">
        <f t="shared" ca="1" si="12"/>
        <v>#NAME?</v>
      </c>
      <c r="V60">
        <f t="shared" si="2"/>
        <v>57</v>
      </c>
      <c r="W60" t="e">
        <f t="shared" ca="1" si="3"/>
        <v>#NAME?</v>
      </c>
      <c r="X60" t="e">
        <f t="shared" ca="1" si="4"/>
        <v>#NAME?</v>
      </c>
      <c r="Y60" t="e">
        <f t="shared" ca="1" si="5"/>
        <v>#NAME?</v>
      </c>
      <c r="Z60" t="e">
        <f t="shared" ca="1" si="6"/>
        <v>#NAME?</v>
      </c>
      <c r="AA60" t="e">
        <f t="shared" ca="1" si="7"/>
        <v>#NAME?</v>
      </c>
      <c r="AB60" t="e">
        <f t="shared" ca="1" si="8"/>
        <v>#NAME?</v>
      </c>
      <c r="AD60">
        <f t="shared" si="10"/>
        <v>57</v>
      </c>
      <c r="AE60">
        <f t="shared" si="11"/>
        <v>8.7639760975280581</v>
      </c>
    </row>
    <row r="61" spans="1:31" x14ac:dyDescent="0.35">
      <c r="A61">
        <f t="shared" si="0"/>
        <v>58</v>
      </c>
      <c r="B61">
        <v>10.607632270250908</v>
      </c>
      <c r="D61">
        <f t="shared" si="9"/>
        <v>58</v>
      </c>
      <c r="E61" t="e">
        <f t="shared" ca="1" si="1"/>
        <v>#NAME?</v>
      </c>
      <c r="F61" t="e">
        <f t="shared" ca="1" si="12"/>
        <v>#NAME?</v>
      </c>
      <c r="V61">
        <f t="shared" si="2"/>
        <v>58</v>
      </c>
      <c r="W61" t="e">
        <f t="shared" ca="1" si="3"/>
        <v>#NAME?</v>
      </c>
      <c r="X61" t="e">
        <f t="shared" ca="1" si="4"/>
        <v>#NAME?</v>
      </c>
      <c r="Y61" t="e">
        <f t="shared" ca="1" si="5"/>
        <v>#NAME?</v>
      </c>
      <c r="Z61" t="e">
        <f t="shared" ca="1" si="6"/>
        <v>#NAME?</v>
      </c>
      <c r="AA61" t="e">
        <f t="shared" ca="1" si="7"/>
        <v>#NAME?</v>
      </c>
      <c r="AB61" t="e">
        <f t="shared" ca="1" si="8"/>
        <v>#NAME?</v>
      </c>
      <c r="AD61">
        <f t="shared" si="10"/>
        <v>58</v>
      </c>
      <c r="AE61">
        <f t="shared" si="11"/>
        <v>10.607632270250908</v>
      </c>
    </row>
    <row r="62" spans="1:31" x14ac:dyDescent="0.35">
      <c r="A62">
        <f t="shared" si="0"/>
        <v>59</v>
      </c>
      <c r="B62">
        <v>8.8462843661117905</v>
      </c>
      <c r="D62">
        <f t="shared" si="9"/>
        <v>59</v>
      </c>
      <c r="E62" t="e">
        <f t="shared" ca="1" si="1"/>
        <v>#NAME?</v>
      </c>
      <c r="F62" t="e">
        <f t="shared" ca="1" si="12"/>
        <v>#NAME?</v>
      </c>
      <c r="V62">
        <f t="shared" si="2"/>
        <v>59</v>
      </c>
      <c r="W62" t="e">
        <f t="shared" ca="1" si="3"/>
        <v>#NAME?</v>
      </c>
      <c r="X62" t="e">
        <f t="shared" ca="1" si="4"/>
        <v>#NAME?</v>
      </c>
      <c r="Y62" t="e">
        <f t="shared" ca="1" si="5"/>
        <v>#NAME?</v>
      </c>
      <c r="Z62" t="e">
        <f t="shared" ca="1" si="6"/>
        <v>#NAME?</v>
      </c>
      <c r="AA62" t="e">
        <f t="shared" ca="1" si="7"/>
        <v>#NAME?</v>
      </c>
      <c r="AB62" t="e">
        <f t="shared" ca="1" si="8"/>
        <v>#NAME?</v>
      </c>
      <c r="AD62">
        <f t="shared" si="10"/>
        <v>59</v>
      </c>
      <c r="AE62">
        <f t="shared" si="11"/>
        <v>8.8462843661117905</v>
      </c>
    </row>
    <row r="63" spans="1:31" x14ac:dyDescent="0.35">
      <c r="A63">
        <f t="shared" si="0"/>
        <v>60</v>
      </c>
      <c r="B63">
        <v>8.197430472078814</v>
      </c>
      <c r="D63">
        <f t="shared" si="9"/>
        <v>60</v>
      </c>
      <c r="E63" t="e">
        <f t="shared" ca="1" si="1"/>
        <v>#NAME?</v>
      </c>
      <c r="F63" t="e">
        <f t="shared" ca="1" si="12"/>
        <v>#NAME?</v>
      </c>
      <c r="V63">
        <f t="shared" si="2"/>
        <v>60</v>
      </c>
      <c r="W63" t="e">
        <f t="shared" ca="1" si="3"/>
        <v>#NAME?</v>
      </c>
      <c r="X63" t="e">
        <f t="shared" ca="1" si="4"/>
        <v>#NAME?</v>
      </c>
      <c r="Y63" t="e">
        <f t="shared" ca="1" si="5"/>
        <v>#NAME?</v>
      </c>
      <c r="Z63" t="e">
        <f t="shared" ca="1" si="6"/>
        <v>#NAME?</v>
      </c>
      <c r="AA63" t="e">
        <f t="shared" ca="1" si="7"/>
        <v>#NAME?</v>
      </c>
      <c r="AB63" t="e">
        <f t="shared" ca="1" si="8"/>
        <v>#NAME?</v>
      </c>
      <c r="AD63">
        <f t="shared" si="10"/>
        <v>60</v>
      </c>
      <c r="AE63">
        <f t="shared" si="11"/>
        <v>8.197430472078814</v>
      </c>
    </row>
    <row r="64" spans="1:31" x14ac:dyDescent="0.35">
      <c r="A64">
        <f t="shared" si="0"/>
        <v>61</v>
      </c>
      <c r="B64">
        <v>9.7004678107933984</v>
      </c>
      <c r="D64">
        <f t="shared" si="9"/>
        <v>61</v>
      </c>
      <c r="E64" t="e">
        <f t="shared" ca="1" si="1"/>
        <v>#NAME?</v>
      </c>
      <c r="F64" t="e">
        <f t="shared" ca="1" si="12"/>
        <v>#NAME?</v>
      </c>
      <c r="V64">
        <f t="shared" si="2"/>
        <v>61</v>
      </c>
      <c r="W64" t="e">
        <f t="shared" ca="1" si="3"/>
        <v>#NAME?</v>
      </c>
      <c r="X64" t="e">
        <f t="shared" ca="1" si="4"/>
        <v>#NAME?</v>
      </c>
      <c r="Y64" t="e">
        <f t="shared" ca="1" si="5"/>
        <v>#NAME?</v>
      </c>
      <c r="Z64" t="e">
        <f t="shared" ca="1" si="6"/>
        <v>#NAME?</v>
      </c>
      <c r="AA64" t="e">
        <f t="shared" ca="1" si="7"/>
        <v>#NAME?</v>
      </c>
      <c r="AB64" t="e">
        <f t="shared" ca="1" si="8"/>
        <v>#NAME?</v>
      </c>
      <c r="AD64">
        <f t="shared" si="10"/>
        <v>61</v>
      </c>
      <c r="AE64">
        <f t="shared" si="11"/>
        <v>9.7004678107933984</v>
      </c>
    </row>
    <row r="65" spans="1:31" x14ac:dyDescent="0.35">
      <c r="A65">
        <f t="shared" si="0"/>
        <v>62</v>
      </c>
      <c r="B65">
        <v>9.4988084630262453</v>
      </c>
      <c r="D65">
        <f t="shared" si="9"/>
        <v>62</v>
      </c>
      <c r="E65" t="e">
        <f t="shared" ca="1" si="1"/>
        <v>#NAME?</v>
      </c>
      <c r="F65" t="e">
        <f t="shared" ca="1" si="12"/>
        <v>#NAME?</v>
      </c>
      <c r="V65">
        <f t="shared" si="2"/>
        <v>62</v>
      </c>
      <c r="W65" t="e">
        <f t="shared" ca="1" si="3"/>
        <v>#NAME?</v>
      </c>
      <c r="X65" t="e">
        <f t="shared" ca="1" si="4"/>
        <v>#NAME?</v>
      </c>
      <c r="Y65" t="e">
        <f t="shared" ca="1" si="5"/>
        <v>#NAME?</v>
      </c>
      <c r="Z65" t="e">
        <f t="shared" ca="1" si="6"/>
        <v>#NAME?</v>
      </c>
      <c r="AA65" t="e">
        <f t="shared" ca="1" si="7"/>
        <v>#NAME?</v>
      </c>
      <c r="AB65" t="e">
        <f t="shared" ca="1" si="8"/>
        <v>#NAME?</v>
      </c>
      <c r="AD65">
        <f t="shared" si="10"/>
        <v>62</v>
      </c>
      <c r="AE65">
        <f t="shared" si="11"/>
        <v>9.4988084630262453</v>
      </c>
    </row>
    <row r="66" spans="1:31" x14ac:dyDescent="0.35">
      <c r="A66">
        <f t="shared" si="0"/>
        <v>63</v>
      </c>
      <c r="B66">
        <v>9.7003857789385908</v>
      </c>
      <c r="D66">
        <f t="shared" si="9"/>
        <v>63</v>
      </c>
      <c r="E66" t="e">
        <f t="shared" ca="1" si="1"/>
        <v>#NAME?</v>
      </c>
      <c r="F66" t="e">
        <f t="shared" ca="1" si="12"/>
        <v>#NAME?</v>
      </c>
      <c r="V66">
        <f t="shared" si="2"/>
        <v>63</v>
      </c>
      <c r="W66" t="e">
        <f t="shared" ca="1" si="3"/>
        <v>#NAME?</v>
      </c>
      <c r="X66" t="e">
        <f t="shared" ca="1" si="4"/>
        <v>#NAME?</v>
      </c>
      <c r="Y66" t="e">
        <f t="shared" ca="1" si="5"/>
        <v>#NAME?</v>
      </c>
      <c r="Z66" t="e">
        <f t="shared" ca="1" si="6"/>
        <v>#NAME?</v>
      </c>
      <c r="AA66" t="e">
        <f t="shared" ca="1" si="7"/>
        <v>#NAME?</v>
      </c>
      <c r="AB66" t="e">
        <f t="shared" ca="1" si="8"/>
        <v>#NAME?</v>
      </c>
      <c r="AD66">
        <f t="shared" si="10"/>
        <v>63</v>
      </c>
      <c r="AE66">
        <f t="shared" si="11"/>
        <v>9.7003857789385908</v>
      </c>
    </row>
    <row r="67" spans="1:31" x14ac:dyDescent="0.35">
      <c r="A67">
        <f t="shared" si="0"/>
        <v>64</v>
      </c>
      <c r="B67">
        <v>9.8196279939384326</v>
      </c>
      <c r="D67">
        <f t="shared" si="9"/>
        <v>64</v>
      </c>
      <c r="E67" t="e">
        <f t="shared" ca="1" si="1"/>
        <v>#NAME?</v>
      </c>
      <c r="F67" t="e">
        <f t="shared" ca="1" si="12"/>
        <v>#NAME?</v>
      </c>
      <c r="V67">
        <f t="shared" si="2"/>
        <v>64</v>
      </c>
      <c r="W67" t="e">
        <f t="shared" ca="1" si="3"/>
        <v>#NAME?</v>
      </c>
      <c r="X67" t="e">
        <f t="shared" ca="1" si="4"/>
        <v>#NAME?</v>
      </c>
      <c r="Y67" t="e">
        <f t="shared" ca="1" si="5"/>
        <v>#NAME?</v>
      </c>
      <c r="Z67" t="e">
        <f t="shared" ca="1" si="6"/>
        <v>#NAME?</v>
      </c>
      <c r="AA67" t="e">
        <f t="shared" ca="1" si="7"/>
        <v>#NAME?</v>
      </c>
      <c r="AB67" t="e">
        <f t="shared" ca="1" si="8"/>
        <v>#NAME?</v>
      </c>
      <c r="AD67">
        <f t="shared" si="10"/>
        <v>64</v>
      </c>
      <c r="AE67">
        <f t="shared" si="11"/>
        <v>9.8196279939384326</v>
      </c>
    </row>
    <row r="68" spans="1:31" x14ac:dyDescent="0.35">
      <c r="A68">
        <f t="shared" si="0"/>
        <v>65</v>
      </c>
      <c r="B68">
        <v>12.357045585234705</v>
      </c>
      <c r="D68">
        <f t="shared" si="9"/>
        <v>65</v>
      </c>
      <c r="E68" t="e">
        <f t="shared" ca="1" si="1"/>
        <v>#NAME?</v>
      </c>
      <c r="F68" t="e">
        <f t="shared" ca="1" si="12"/>
        <v>#NAME?</v>
      </c>
      <c r="V68">
        <f t="shared" si="2"/>
        <v>65</v>
      </c>
      <c r="W68" t="e">
        <f t="shared" ca="1" si="3"/>
        <v>#NAME?</v>
      </c>
      <c r="X68" t="e">
        <f t="shared" ca="1" si="4"/>
        <v>#NAME?</v>
      </c>
      <c r="Y68" t="e">
        <f t="shared" ca="1" si="5"/>
        <v>#NAME?</v>
      </c>
      <c r="Z68" t="e">
        <f t="shared" ca="1" si="6"/>
        <v>#NAME?</v>
      </c>
      <c r="AA68" t="e">
        <f t="shared" ca="1" si="7"/>
        <v>#NAME?</v>
      </c>
      <c r="AB68" t="e">
        <f t="shared" ca="1" si="8"/>
        <v>#NAME?</v>
      </c>
      <c r="AD68">
        <f t="shared" si="10"/>
        <v>65</v>
      </c>
      <c r="AE68">
        <f t="shared" si="11"/>
        <v>12.357045585234705</v>
      </c>
    </row>
    <row r="69" spans="1:31" x14ac:dyDescent="0.35">
      <c r="A69">
        <f t="shared" ref="A69:A108" si="13">A68+1</f>
        <v>66</v>
      </c>
      <c r="B69">
        <v>10.923604414101041</v>
      </c>
      <c r="D69">
        <f t="shared" si="9"/>
        <v>66</v>
      </c>
      <c r="E69" t="e">
        <f t="shared" ref="E69:E108" ca="1" si="14">B69-J$6</f>
        <v>#NAME?</v>
      </c>
      <c r="F69" t="e">
        <f t="shared" ca="1" si="12"/>
        <v>#NAME?</v>
      </c>
      <c r="V69">
        <f t="shared" ref="V69:V108" si="15">D69</f>
        <v>66</v>
      </c>
      <c r="W69" t="e">
        <f t="shared" ref="W69:W108" ca="1" si="16">E69</f>
        <v>#NAME?</v>
      </c>
      <c r="X69" t="e">
        <f t="shared" ref="X69:X108" ca="1" si="17">F69</f>
        <v>#NAME?</v>
      </c>
      <c r="Y69" t="e">
        <f t="shared" ref="Y69:Y108" ca="1" si="18">W69-X69</f>
        <v>#NAME?</v>
      </c>
      <c r="Z69" t="e">
        <f t="shared" ref="Z69:Z108" ca="1" si="19">J$15</f>
        <v>#NAME?</v>
      </c>
      <c r="AA69" t="e">
        <f t="shared" ref="AA69:AA108" ca="1" si="20">Y69-NORMSINV(1-Z$2/2)*Z69</f>
        <v>#NAME?</v>
      </c>
      <c r="AB69" t="e">
        <f t="shared" ref="AB69:AB108" ca="1" si="21">Y69+NORMSINV(1-Z$2/2)*Z69</f>
        <v>#NAME?</v>
      </c>
      <c r="AD69">
        <f t="shared" si="10"/>
        <v>66</v>
      </c>
      <c r="AE69">
        <f t="shared" si="11"/>
        <v>10.923604414101041</v>
      </c>
    </row>
    <row r="70" spans="1:31" x14ac:dyDescent="0.35">
      <c r="A70">
        <f t="shared" si="13"/>
        <v>67</v>
      </c>
      <c r="B70">
        <v>9.7007658466065791</v>
      </c>
      <c r="D70">
        <f t="shared" ref="D70:D108" si="22">D69+1</f>
        <v>67</v>
      </c>
      <c r="E70" t="e">
        <f t="shared" ca="1" si="14"/>
        <v>#NAME?</v>
      </c>
      <c r="F70" t="e">
        <f t="shared" ca="1" si="12"/>
        <v>#NAME?</v>
      </c>
      <c r="V70">
        <f t="shared" si="15"/>
        <v>67</v>
      </c>
      <c r="W70" t="e">
        <f t="shared" ca="1" si="16"/>
        <v>#NAME?</v>
      </c>
      <c r="X70" t="e">
        <f t="shared" ca="1" si="17"/>
        <v>#NAME?</v>
      </c>
      <c r="Y70" t="e">
        <f t="shared" ca="1" si="18"/>
        <v>#NAME?</v>
      </c>
      <c r="Z70" t="e">
        <f t="shared" ca="1" si="19"/>
        <v>#NAME?</v>
      </c>
      <c r="AA70" t="e">
        <f t="shared" ca="1" si="20"/>
        <v>#NAME?</v>
      </c>
      <c r="AB70" t="e">
        <f t="shared" ca="1" si="21"/>
        <v>#NAME?</v>
      </c>
      <c r="AD70">
        <f t="shared" ref="AD70:AD113" si="23">AD69+1</f>
        <v>67</v>
      </c>
      <c r="AE70">
        <f t="shared" ref="AE70:AE108" si="24">B70</f>
        <v>9.7007658466065791</v>
      </c>
    </row>
    <row r="71" spans="1:31" x14ac:dyDescent="0.35">
      <c r="A71">
        <f t="shared" si="13"/>
        <v>68</v>
      </c>
      <c r="B71">
        <v>10.274161064714084</v>
      </c>
      <c r="D71">
        <f t="shared" si="22"/>
        <v>68</v>
      </c>
      <c r="E71" t="e">
        <f t="shared" ca="1" si="14"/>
        <v>#NAME?</v>
      </c>
      <c r="F71" t="e">
        <f t="shared" ref="F71:F108" ca="1" si="25">E71-SUMPRODUCT(E69:E70,I$4:I$5)-SUMPRODUCT(F69:F70,J$4:J$5)</f>
        <v>#NAME?</v>
      </c>
      <c r="V71">
        <f t="shared" si="15"/>
        <v>68</v>
      </c>
      <c r="W71" t="e">
        <f t="shared" ca="1" si="16"/>
        <v>#NAME?</v>
      </c>
      <c r="X71" t="e">
        <f t="shared" ca="1" si="17"/>
        <v>#NAME?</v>
      </c>
      <c r="Y71" t="e">
        <f t="shared" ca="1" si="18"/>
        <v>#NAME?</v>
      </c>
      <c r="Z71" t="e">
        <f t="shared" ca="1" si="19"/>
        <v>#NAME?</v>
      </c>
      <c r="AA71" t="e">
        <f t="shared" ca="1" si="20"/>
        <v>#NAME?</v>
      </c>
      <c r="AB71" t="e">
        <f t="shared" ca="1" si="21"/>
        <v>#NAME?</v>
      </c>
      <c r="AD71">
        <f t="shared" si="23"/>
        <v>68</v>
      </c>
      <c r="AE71">
        <f t="shared" si="24"/>
        <v>10.274161064714084</v>
      </c>
    </row>
    <row r="72" spans="1:31" x14ac:dyDescent="0.35">
      <c r="A72">
        <f t="shared" si="13"/>
        <v>69</v>
      </c>
      <c r="B72">
        <v>9.7560808735560016</v>
      </c>
      <c r="D72">
        <f t="shared" si="22"/>
        <v>69</v>
      </c>
      <c r="E72" t="e">
        <f t="shared" ca="1" si="14"/>
        <v>#NAME?</v>
      </c>
      <c r="F72" t="e">
        <f t="shared" ca="1" si="25"/>
        <v>#NAME?</v>
      </c>
      <c r="V72">
        <f t="shared" si="15"/>
        <v>69</v>
      </c>
      <c r="W72" t="e">
        <f t="shared" ca="1" si="16"/>
        <v>#NAME?</v>
      </c>
      <c r="X72" t="e">
        <f t="shared" ca="1" si="17"/>
        <v>#NAME?</v>
      </c>
      <c r="Y72" t="e">
        <f t="shared" ca="1" si="18"/>
        <v>#NAME?</v>
      </c>
      <c r="Z72" t="e">
        <f t="shared" ca="1" si="19"/>
        <v>#NAME?</v>
      </c>
      <c r="AA72" t="e">
        <f t="shared" ca="1" si="20"/>
        <v>#NAME?</v>
      </c>
      <c r="AB72" t="e">
        <f t="shared" ca="1" si="21"/>
        <v>#NAME?</v>
      </c>
      <c r="AD72">
        <f t="shared" si="23"/>
        <v>69</v>
      </c>
      <c r="AE72">
        <f t="shared" si="24"/>
        <v>9.7560808735560016</v>
      </c>
    </row>
    <row r="73" spans="1:31" x14ac:dyDescent="0.35">
      <c r="A73">
        <f t="shared" si="13"/>
        <v>70</v>
      </c>
      <c r="B73">
        <v>9.287731842051576</v>
      </c>
      <c r="D73">
        <f t="shared" si="22"/>
        <v>70</v>
      </c>
      <c r="E73" t="e">
        <f t="shared" ca="1" si="14"/>
        <v>#NAME?</v>
      </c>
      <c r="F73" t="e">
        <f t="shared" ca="1" si="25"/>
        <v>#NAME?</v>
      </c>
      <c r="V73">
        <f t="shared" si="15"/>
        <v>70</v>
      </c>
      <c r="W73" t="e">
        <f t="shared" ca="1" si="16"/>
        <v>#NAME?</v>
      </c>
      <c r="X73" t="e">
        <f t="shared" ca="1" si="17"/>
        <v>#NAME?</v>
      </c>
      <c r="Y73" t="e">
        <f t="shared" ca="1" si="18"/>
        <v>#NAME?</v>
      </c>
      <c r="Z73" t="e">
        <f t="shared" ca="1" si="19"/>
        <v>#NAME?</v>
      </c>
      <c r="AA73" t="e">
        <f t="shared" ca="1" si="20"/>
        <v>#NAME?</v>
      </c>
      <c r="AB73" t="e">
        <f t="shared" ca="1" si="21"/>
        <v>#NAME?</v>
      </c>
      <c r="AD73">
        <f t="shared" si="23"/>
        <v>70</v>
      </c>
      <c r="AE73">
        <f t="shared" si="24"/>
        <v>9.287731842051576</v>
      </c>
    </row>
    <row r="74" spans="1:31" x14ac:dyDescent="0.35">
      <c r="A74">
        <f t="shared" si="13"/>
        <v>71</v>
      </c>
      <c r="B74">
        <v>8.7948076969057745</v>
      </c>
      <c r="D74">
        <f t="shared" si="22"/>
        <v>71</v>
      </c>
      <c r="E74" t="e">
        <f t="shared" ca="1" si="14"/>
        <v>#NAME?</v>
      </c>
      <c r="F74" t="e">
        <f t="shared" ca="1" si="25"/>
        <v>#NAME?</v>
      </c>
      <c r="V74">
        <f t="shared" si="15"/>
        <v>71</v>
      </c>
      <c r="W74" t="e">
        <f t="shared" ca="1" si="16"/>
        <v>#NAME?</v>
      </c>
      <c r="X74" t="e">
        <f t="shared" ca="1" si="17"/>
        <v>#NAME?</v>
      </c>
      <c r="Y74" t="e">
        <f t="shared" ca="1" si="18"/>
        <v>#NAME?</v>
      </c>
      <c r="Z74" t="e">
        <f t="shared" ca="1" si="19"/>
        <v>#NAME?</v>
      </c>
      <c r="AA74" t="e">
        <f t="shared" ca="1" si="20"/>
        <v>#NAME?</v>
      </c>
      <c r="AB74" t="e">
        <f t="shared" ca="1" si="21"/>
        <v>#NAME?</v>
      </c>
      <c r="AD74">
        <f t="shared" si="23"/>
        <v>71</v>
      </c>
      <c r="AE74">
        <f t="shared" si="24"/>
        <v>8.7948076969057745</v>
      </c>
    </row>
    <row r="75" spans="1:31" x14ac:dyDescent="0.35">
      <c r="A75">
        <f t="shared" si="13"/>
        <v>72</v>
      </c>
      <c r="B75">
        <v>9.9521659452576507</v>
      </c>
      <c r="D75">
        <f t="shared" si="22"/>
        <v>72</v>
      </c>
      <c r="E75" t="e">
        <f t="shared" ca="1" si="14"/>
        <v>#NAME?</v>
      </c>
      <c r="F75" t="e">
        <f t="shared" ca="1" si="25"/>
        <v>#NAME?</v>
      </c>
      <c r="V75">
        <f t="shared" si="15"/>
        <v>72</v>
      </c>
      <c r="W75" t="e">
        <f t="shared" ca="1" si="16"/>
        <v>#NAME?</v>
      </c>
      <c r="X75" t="e">
        <f t="shared" ca="1" si="17"/>
        <v>#NAME?</v>
      </c>
      <c r="Y75" t="e">
        <f t="shared" ca="1" si="18"/>
        <v>#NAME?</v>
      </c>
      <c r="Z75" t="e">
        <f t="shared" ca="1" si="19"/>
        <v>#NAME?</v>
      </c>
      <c r="AA75" t="e">
        <f t="shared" ca="1" si="20"/>
        <v>#NAME?</v>
      </c>
      <c r="AB75" t="e">
        <f t="shared" ca="1" si="21"/>
        <v>#NAME?</v>
      </c>
      <c r="AD75">
        <f t="shared" si="23"/>
        <v>72</v>
      </c>
      <c r="AE75">
        <f t="shared" si="24"/>
        <v>9.9521659452576507</v>
      </c>
    </row>
    <row r="76" spans="1:31" x14ac:dyDescent="0.35">
      <c r="A76">
        <f t="shared" si="13"/>
        <v>73</v>
      </c>
      <c r="B76">
        <v>9.1465177932835431</v>
      </c>
      <c r="D76">
        <f t="shared" si="22"/>
        <v>73</v>
      </c>
      <c r="E76" t="e">
        <f t="shared" ca="1" si="14"/>
        <v>#NAME?</v>
      </c>
      <c r="F76" t="e">
        <f t="shared" ca="1" si="25"/>
        <v>#NAME?</v>
      </c>
      <c r="V76">
        <f t="shared" si="15"/>
        <v>73</v>
      </c>
      <c r="W76" t="e">
        <f t="shared" ca="1" si="16"/>
        <v>#NAME?</v>
      </c>
      <c r="X76" t="e">
        <f t="shared" ca="1" si="17"/>
        <v>#NAME?</v>
      </c>
      <c r="Y76" t="e">
        <f t="shared" ca="1" si="18"/>
        <v>#NAME?</v>
      </c>
      <c r="Z76" t="e">
        <f t="shared" ca="1" si="19"/>
        <v>#NAME?</v>
      </c>
      <c r="AA76" t="e">
        <f t="shared" ca="1" si="20"/>
        <v>#NAME?</v>
      </c>
      <c r="AB76" t="e">
        <f t="shared" ca="1" si="21"/>
        <v>#NAME?</v>
      </c>
      <c r="AD76">
        <f t="shared" si="23"/>
        <v>73</v>
      </c>
      <c r="AE76">
        <f t="shared" si="24"/>
        <v>9.1465177932835431</v>
      </c>
    </row>
    <row r="77" spans="1:31" x14ac:dyDescent="0.35">
      <c r="A77">
        <f t="shared" si="13"/>
        <v>74</v>
      </c>
      <c r="B77">
        <v>8.4120728228094741</v>
      </c>
      <c r="D77">
        <f t="shared" si="22"/>
        <v>74</v>
      </c>
      <c r="E77" t="e">
        <f t="shared" ca="1" si="14"/>
        <v>#NAME?</v>
      </c>
      <c r="F77" t="e">
        <f t="shared" ca="1" si="25"/>
        <v>#NAME?</v>
      </c>
      <c r="V77">
        <f t="shared" si="15"/>
        <v>74</v>
      </c>
      <c r="W77" t="e">
        <f t="shared" ca="1" si="16"/>
        <v>#NAME?</v>
      </c>
      <c r="X77" t="e">
        <f t="shared" ca="1" si="17"/>
        <v>#NAME?</v>
      </c>
      <c r="Y77" t="e">
        <f t="shared" ca="1" si="18"/>
        <v>#NAME?</v>
      </c>
      <c r="Z77" t="e">
        <f t="shared" ca="1" si="19"/>
        <v>#NAME?</v>
      </c>
      <c r="AA77" t="e">
        <f t="shared" ca="1" si="20"/>
        <v>#NAME?</v>
      </c>
      <c r="AB77" t="e">
        <f t="shared" ca="1" si="21"/>
        <v>#NAME?</v>
      </c>
      <c r="AD77">
        <f t="shared" si="23"/>
        <v>74</v>
      </c>
      <c r="AE77">
        <f t="shared" si="24"/>
        <v>8.4120728228094741</v>
      </c>
    </row>
    <row r="78" spans="1:31" x14ac:dyDescent="0.35">
      <c r="A78">
        <f t="shared" si="13"/>
        <v>75</v>
      </c>
      <c r="B78">
        <v>9.723847340624749</v>
      </c>
      <c r="D78">
        <f t="shared" si="22"/>
        <v>75</v>
      </c>
      <c r="E78" t="e">
        <f t="shared" ca="1" si="14"/>
        <v>#NAME?</v>
      </c>
      <c r="F78" t="e">
        <f t="shared" ca="1" si="25"/>
        <v>#NAME?</v>
      </c>
      <c r="V78">
        <f t="shared" si="15"/>
        <v>75</v>
      </c>
      <c r="W78" t="e">
        <f t="shared" ca="1" si="16"/>
        <v>#NAME?</v>
      </c>
      <c r="X78" t="e">
        <f t="shared" ca="1" si="17"/>
        <v>#NAME?</v>
      </c>
      <c r="Y78" t="e">
        <f t="shared" ca="1" si="18"/>
        <v>#NAME?</v>
      </c>
      <c r="Z78" t="e">
        <f t="shared" ca="1" si="19"/>
        <v>#NAME?</v>
      </c>
      <c r="AA78" t="e">
        <f t="shared" ca="1" si="20"/>
        <v>#NAME?</v>
      </c>
      <c r="AB78" t="e">
        <f t="shared" ca="1" si="21"/>
        <v>#NAME?</v>
      </c>
      <c r="AD78">
        <f t="shared" si="23"/>
        <v>75</v>
      </c>
      <c r="AE78">
        <f t="shared" si="24"/>
        <v>9.723847340624749</v>
      </c>
    </row>
    <row r="79" spans="1:31" x14ac:dyDescent="0.35">
      <c r="A79">
        <f t="shared" si="13"/>
        <v>76</v>
      </c>
      <c r="B79">
        <v>8.4487887533605939</v>
      </c>
      <c r="D79">
        <f t="shared" si="22"/>
        <v>76</v>
      </c>
      <c r="E79" t="e">
        <f t="shared" ca="1" si="14"/>
        <v>#NAME?</v>
      </c>
      <c r="F79" t="e">
        <f t="shared" ca="1" si="25"/>
        <v>#NAME?</v>
      </c>
      <c r="V79">
        <f t="shared" si="15"/>
        <v>76</v>
      </c>
      <c r="W79" t="e">
        <f t="shared" ca="1" si="16"/>
        <v>#NAME?</v>
      </c>
      <c r="X79" t="e">
        <f t="shared" ca="1" si="17"/>
        <v>#NAME?</v>
      </c>
      <c r="Y79" t="e">
        <f t="shared" ca="1" si="18"/>
        <v>#NAME?</v>
      </c>
      <c r="Z79" t="e">
        <f t="shared" ca="1" si="19"/>
        <v>#NAME?</v>
      </c>
      <c r="AA79" t="e">
        <f t="shared" ca="1" si="20"/>
        <v>#NAME?</v>
      </c>
      <c r="AB79" t="e">
        <f t="shared" ca="1" si="21"/>
        <v>#NAME?</v>
      </c>
      <c r="AD79">
        <f t="shared" si="23"/>
        <v>76</v>
      </c>
      <c r="AE79">
        <f t="shared" si="24"/>
        <v>8.4487887533605939</v>
      </c>
    </row>
    <row r="80" spans="1:31" x14ac:dyDescent="0.35">
      <c r="A80">
        <f t="shared" si="13"/>
        <v>77</v>
      </c>
      <c r="B80">
        <v>9.3091696279858951</v>
      </c>
      <c r="D80">
        <f t="shared" si="22"/>
        <v>77</v>
      </c>
      <c r="E80" t="e">
        <f t="shared" ca="1" si="14"/>
        <v>#NAME?</v>
      </c>
      <c r="F80" t="e">
        <f t="shared" ca="1" si="25"/>
        <v>#NAME?</v>
      </c>
      <c r="V80">
        <f t="shared" si="15"/>
        <v>77</v>
      </c>
      <c r="W80" t="e">
        <f t="shared" ca="1" si="16"/>
        <v>#NAME?</v>
      </c>
      <c r="X80" t="e">
        <f t="shared" ca="1" si="17"/>
        <v>#NAME?</v>
      </c>
      <c r="Y80" t="e">
        <f t="shared" ca="1" si="18"/>
        <v>#NAME?</v>
      </c>
      <c r="Z80" t="e">
        <f t="shared" ca="1" si="19"/>
        <v>#NAME?</v>
      </c>
      <c r="AA80" t="e">
        <f t="shared" ca="1" si="20"/>
        <v>#NAME?</v>
      </c>
      <c r="AB80" t="e">
        <f t="shared" ca="1" si="21"/>
        <v>#NAME?</v>
      </c>
      <c r="AD80">
        <f t="shared" si="23"/>
        <v>77</v>
      </c>
      <c r="AE80">
        <f t="shared" si="24"/>
        <v>9.3091696279858951</v>
      </c>
    </row>
    <row r="81" spans="1:31" x14ac:dyDescent="0.35">
      <c r="A81">
        <f t="shared" si="13"/>
        <v>78</v>
      </c>
      <c r="B81">
        <v>9.6290950722323778</v>
      </c>
      <c r="D81">
        <f t="shared" si="22"/>
        <v>78</v>
      </c>
      <c r="E81" t="e">
        <f t="shared" ca="1" si="14"/>
        <v>#NAME?</v>
      </c>
      <c r="F81" t="e">
        <f t="shared" ca="1" si="25"/>
        <v>#NAME?</v>
      </c>
      <c r="V81">
        <f t="shared" si="15"/>
        <v>78</v>
      </c>
      <c r="W81" t="e">
        <f t="shared" ca="1" si="16"/>
        <v>#NAME?</v>
      </c>
      <c r="X81" t="e">
        <f t="shared" ca="1" si="17"/>
        <v>#NAME?</v>
      </c>
      <c r="Y81" t="e">
        <f t="shared" ca="1" si="18"/>
        <v>#NAME?</v>
      </c>
      <c r="Z81" t="e">
        <f t="shared" ca="1" si="19"/>
        <v>#NAME?</v>
      </c>
      <c r="AA81" t="e">
        <f t="shared" ca="1" si="20"/>
        <v>#NAME?</v>
      </c>
      <c r="AB81" t="e">
        <f t="shared" ca="1" si="21"/>
        <v>#NAME?</v>
      </c>
      <c r="AD81">
        <f t="shared" si="23"/>
        <v>78</v>
      </c>
      <c r="AE81">
        <f t="shared" si="24"/>
        <v>9.6290950722323778</v>
      </c>
    </row>
    <row r="82" spans="1:31" x14ac:dyDescent="0.35">
      <c r="A82">
        <f t="shared" si="13"/>
        <v>79</v>
      </c>
      <c r="B82">
        <v>10.498754342121549</v>
      </c>
      <c r="D82">
        <f t="shared" si="22"/>
        <v>79</v>
      </c>
      <c r="E82" t="e">
        <f t="shared" ca="1" si="14"/>
        <v>#NAME?</v>
      </c>
      <c r="F82" t="e">
        <f t="shared" ca="1" si="25"/>
        <v>#NAME?</v>
      </c>
      <c r="V82">
        <f t="shared" si="15"/>
        <v>79</v>
      </c>
      <c r="W82" t="e">
        <f t="shared" ca="1" si="16"/>
        <v>#NAME?</v>
      </c>
      <c r="X82" t="e">
        <f t="shared" ca="1" si="17"/>
        <v>#NAME?</v>
      </c>
      <c r="Y82" t="e">
        <f t="shared" ca="1" si="18"/>
        <v>#NAME?</v>
      </c>
      <c r="Z82" t="e">
        <f t="shared" ca="1" si="19"/>
        <v>#NAME?</v>
      </c>
      <c r="AA82" t="e">
        <f t="shared" ca="1" si="20"/>
        <v>#NAME?</v>
      </c>
      <c r="AB82" t="e">
        <f t="shared" ca="1" si="21"/>
        <v>#NAME?</v>
      </c>
      <c r="AD82">
        <f t="shared" si="23"/>
        <v>79</v>
      </c>
      <c r="AE82">
        <f t="shared" si="24"/>
        <v>10.498754342121549</v>
      </c>
    </row>
    <row r="83" spans="1:31" x14ac:dyDescent="0.35">
      <c r="A83">
        <f t="shared" si="13"/>
        <v>80</v>
      </c>
      <c r="B83">
        <v>8.1345560346257617</v>
      </c>
      <c r="D83">
        <f t="shared" si="22"/>
        <v>80</v>
      </c>
      <c r="E83" t="e">
        <f t="shared" ca="1" si="14"/>
        <v>#NAME?</v>
      </c>
      <c r="F83" t="e">
        <f t="shared" ca="1" si="25"/>
        <v>#NAME?</v>
      </c>
      <c r="V83">
        <f t="shared" si="15"/>
        <v>80</v>
      </c>
      <c r="W83" t="e">
        <f t="shared" ca="1" si="16"/>
        <v>#NAME?</v>
      </c>
      <c r="X83" t="e">
        <f t="shared" ca="1" si="17"/>
        <v>#NAME?</v>
      </c>
      <c r="Y83" t="e">
        <f t="shared" ca="1" si="18"/>
        <v>#NAME?</v>
      </c>
      <c r="Z83" t="e">
        <f t="shared" ca="1" si="19"/>
        <v>#NAME?</v>
      </c>
      <c r="AA83" t="e">
        <f t="shared" ca="1" si="20"/>
        <v>#NAME?</v>
      </c>
      <c r="AB83" t="e">
        <f t="shared" ca="1" si="21"/>
        <v>#NAME?</v>
      </c>
      <c r="AD83">
        <f t="shared" si="23"/>
        <v>80</v>
      </c>
      <c r="AE83">
        <f t="shared" si="24"/>
        <v>8.1345560346257617</v>
      </c>
    </row>
    <row r="84" spans="1:31" x14ac:dyDescent="0.35">
      <c r="A84">
        <f t="shared" si="13"/>
        <v>81</v>
      </c>
      <c r="B84">
        <v>9.155183562363236</v>
      </c>
      <c r="D84">
        <f t="shared" si="22"/>
        <v>81</v>
      </c>
      <c r="E84" t="e">
        <f t="shared" ca="1" si="14"/>
        <v>#NAME?</v>
      </c>
      <c r="F84" t="e">
        <f t="shared" ca="1" si="25"/>
        <v>#NAME?</v>
      </c>
      <c r="V84">
        <f t="shared" si="15"/>
        <v>81</v>
      </c>
      <c r="W84" t="e">
        <f t="shared" ca="1" si="16"/>
        <v>#NAME?</v>
      </c>
      <c r="X84" t="e">
        <f t="shared" ca="1" si="17"/>
        <v>#NAME?</v>
      </c>
      <c r="Y84" t="e">
        <f t="shared" ca="1" si="18"/>
        <v>#NAME?</v>
      </c>
      <c r="Z84" t="e">
        <f t="shared" ca="1" si="19"/>
        <v>#NAME?</v>
      </c>
      <c r="AA84" t="e">
        <f t="shared" ca="1" si="20"/>
        <v>#NAME?</v>
      </c>
      <c r="AB84" t="e">
        <f t="shared" ca="1" si="21"/>
        <v>#NAME?</v>
      </c>
      <c r="AD84">
        <f t="shared" si="23"/>
        <v>81</v>
      </c>
      <c r="AE84">
        <f t="shared" si="24"/>
        <v>9.155183562363236</v>
      </c>
    </row>
    <row r="85" spans="1:31" x14ac:dyDescent="0.35">
      <c r="A85">
        <f t="shared" si="13"/>
        <v>82</v>
      </c>
      <c r="B85">
        <v>7.9920854400738497</v>
      </c>
      <c r="D85">
        <f t="shared" si="22"/>
        <v>82</v>
      </c>
      <c r="E85" t="e">
        <f t="shared" ca="1" si="14"/>
        <v>#NAME?</v>
      </c>
      <c r="F85" t="e">
        <f t="shared" ca="1" si="25"/>
        <v>#NAME?</v>
      </c>
      <c r="V85">
        <f t="shared" si="15"/>
        <v>82</v>
      </c>
      <c r="W85" t="e">
        <f t="shared" ca="1" si="16"/>
        <v>#NAME?</v>
      </c>
      <c r="X85" t="e">
        <f t="shared" ca="1" si="17"/>
        <v>#NAME?</v>
      </c>
      <c r="Y85" t="e">
        <f t="shared" ca="1" si="18"/>
        <v>#NAME?</v>
      </c>
      <c r="Z85" t="e">
        <f t="shared" ca="1" si="19"/>
        <v>#NAME?</v>
      </c>
      <c r="AA85" t="e">
        <f t="shared" ca="1" si="20"/>
        <v>#NAME?</v>
      </c>
      <c r="AB85" t="e">
        <f t="shared" ca="1" si="21"/>
        <v>#NAME?</v>
      </c>
      <c r="AD85">
        <f t="shared" si="23"/>
        <v>82</v>
      </c>
      <c r="AE85">
        <f t="shared" si="24"/>
        <v>7.9920854400738497</v>
      </c>
    </row>
    <row r="86" spans="1:31" x14ac:dyDescent="0.35">
      <c r="A86">
        <f t="shared" si="13"/>
        <v>83</v>
      </c>
      <c r="B86">
        <v>10.439526996669359</v>
      </c>
      <c r="D86">
        <f t="shared" si="22"/>
        <v>83</v>
      </c>
      <c r="E86" t="e">
        <f t="shared" ca="1" si="14"/>
        <v>#NAME?</v>
      </c>
      <c r="F86" t="e">
        <f t="shared" ca="1" si="25"/>
        <v>#NAME?</v>
      </c>
      <c r="V86">
        <f t="shared" si="15"/>
        <v>83</v>
      </c>
      <c r="W86" t="e">
        <f t="shared" ca="1" si="16"/>
        <v>#NAME?</v>
      </c>
      <c r="X86" t="e">
        <f t="shared" ca="1" si="17"/>
        <v>#NAME?</v>
      </c>
      <c r="Y86" t="e">
        <f t="shared" ca="1" si="18"/>
        <v>#NAME?</v>
      </c>
      <c r="Z86" t="e">
        <f t="shared" ca="1" si="19"/>
        <v>#NAME?</v>
      </c>
      <c r="AA86" t="e">
        <f t="shared" ca="1" si="20"/>
        <v>#NAME?</v>
      </c>
      <c r="AB86" t="e">
        <f t="shared" ca="1" si="21"/>
        <v>#NAME?</v>
      </c>
      <c r="AD86">
        <f t="shared" si="23"/>
        <v>83</v>
      </c>
      <c r="AE86">
        <f t="shared" si="24"/>
        <v>10.439526996669359</v>
      </c>
    </row>
    <row r="87" spans="1:31" x14ac:dyDescent="0.35">
      <c r="A87">
        <f t="shared" si="13"/>
        <v>84</v>
      </c>
      <c r="B87">
        <v>11.175252728421926</v>
      </c>
      <c r="D87">
        <f t="shared" si="22"/>
        <v>84</v>
      </c>
      <c r="E87" t="e">
        <f t="shared" ca="1" si="14"/>
        <v>#NAME?</v>
      </c>
      <c r="F87" t="e">
        <f t="shared" ca="1" si="25"/>
        <v>#NAME?</v>
      </c>
      <c r="V87">
        <f t="shared" si="15"/>
        <v>84</v>
      </c>
      <c r="W87" t="e">
        <f t="shared" ca="1" si="16"/>
        <v>#NAME?</v>
      </c>
      <c r="X87" t="e">
        <f t="shared" ca="1" si="17"/>
        <v>#NAME?</v>
      </c>
      <c r="Y87" t="e">
        <f t="shared" ca="1" si="18"/>
        <v>#NAME?</v>
      </c>
      <c r="Z87" t="e">
        <f t="shared" ca="1" si="19"/>
        <v>#NAME?</v>
      </c>
      <c r="AA87" t="e">
        <f t="shared" ca="1" si="20"/>
        <v>#NAME?</v>
      </c>
      <c r="AB87" t="e">
        <f t="shared" ca="1" si="21"/>
        <v>#NAME?</v>
      </c>
      <c r="AD87">
        <f t="shared" si="23"/>
        <v>84</v>
      </c>
      <c r="AE87">
        <f t="shared" si="24"/>
        <v>11.175252728421926</v>
      </c>
    </row>
    <row r="88" spans="1:31" x14ac:dyDescent="0.35">
      <c r="A88">
        <f t="shared" si="13"/>
        <v>85</v>
      </c>
      <c r="B88">
        <v>9.9215034890634719</v>
      </c>
      <c r="D88">
        <f t="shared" si="22"/>
        <v>85</v>
      </c>
      <c r="E88" t="e">
        <f t="shared" ca="1" si="14"/>
        <v>#NAME?</v>
      </c>
      <c r="F88" t="e">
        <f t="shared" ca="1" si="25"/>
        <v>#NAME?</v>
      </c>
      <c r="V88">
        <f t="shared" si="15"/>
        <v>85</v>
      </c>
      <c r="W88" t="e">
        <f t="shared" ca="1" si="16"/>
        <v>#NAME?</v>
      </c>
      <c r="X88" t="e">
        <f t="shared" ca="1" si="17"/>
        <v>#NAME?</v>
      </c>
      <c r="Y88" t="e">
        <f t="shared" ca="1" si="18"/>
        <v>#NAME?</v>
      </c>
      <c r="Z88" t="e">
        <f t="shared" ca="1" si="19"/>
        <v>#NAME?</v>
      </c>
      <c r="AA88" t="e">
        <f t="shared" ca="1" si="20"/>
        <v>#NAME?</v>
      </c>
      <c r="AB88" t="e">
        <f t="shared" ca="1" si="21"/>
        <v>#NAME?</v>
      </c>
      <c r="AD88">
        <f t="shared" si="23"/>
        <v>85</v>
      </c>
      <c r="AE88">
        <f t="shared" si="24"/>
        <v>9.9215034890634719</v>
      </c>
    </row>
    <row r="89" spans="1:31" x14ac:dyDescent="0.35">
      <c r="A89">
        <f t="shared" si="13"/>
        <v>86</v>
      </c>
      <c r="B89">
        <v>10.653018863925139</v>
      </c>
      <c r="D89">
        <f t="shared" si="22"/>
        <v>86</v>
      </c>
      <c r="E89" t="e">
        <f t="shared" ca="1" si="14"/>
        <v>#NAME?</v>
      </c>
      <c r="F89" t="e">
        <f t="shared" ca="1" si="25"/>
        <v>#NAME?</v>
      </c>
      <c r="V89">
        <f t="shared" si="15"/>
        <v>86</v>
      </c>
      <c r="W89" t="e">
        <f t="shared" ca="1" si="16"/>
        <v>#NAME?</v>
      </c>
      <c r="X89" t="e">
        <f t="shared" ca="1" si="17"/>
        <v>#NAME?</v>
      </c>
      <c r="Y89" t="e">
        <f t="shared" ca="1" si="18"/>
        <v>#NAME?</v>
      </c>
      <c r="Z89" t="e">
        <f t="shared" ca="1" si="19"/>
        <v>#NAME?</v>
      </c>
      <c r="AA89" t="e">
        <f t="shared" ca="1" si="20"/>
        <v>#NAME?</v>
      </c>
      <c r="AB89" t="e">
        <f t="shared" ca="1" si="21"/>
        <v>#NAME?</v>
      </c>
      <c r="AD89">
        <f t="shared" si="23"/>
        <v>86</v>
      </c>
      <c r="AE89">
        <f t="shared" si="24"/>
        <v>10.653018863925139</v>
      </c>
    </row>
    <row r="90" spans="1:31" x14ac:dyDescent="0.35">
      <c r="A90">
        <f t="shared" si="13"/>
        <v>87</v>
      </c>
      <c r="B90">
        <v>10.300965035959745</v>
      </c>
      <c r="D90">
        <f t="shared" si="22"/>
        <v>87</v>
      </c>
      <c r="E90" t="e">
        <f t="shared" ca="1" si="14"/>
        <v>#NAME?</v>
      </c>
      <c r="F90" t="e">
        <f t="shared" ca="1" si="25"/>
        <v>#NAME?</v>
      </c>
      <c r="V90">
        <f t="shared" si="15"/>
        <v>87</v>
      </c>
      <c r="W90" t="e">
        <f t="shared" ca="1" si="16"/>
        <v>#NAME?</v>
      </c>
      <c r="X90" t="e">
        <f t="shared" ca="1" si="17"/>
        <v>#NAME?</v>
      </c>
      <c r="Y90" t="e">
        <f t="shared" ca="1" si="18"/>
        <v>#NAME?</v>
      </c>
      <c r="Z90" t="e">
        <f t="shared" ca="1" si="19"/>
        <v>#NAME?</v>
      </c>
      <c r="AA90" t="e">
        <f t="shared" ca="1" si="20"/>
        <v>#NAME?</v>
      </c>
      <c r="AB90" t="e">
        <f t="shared" ca="1" si="21"/>
        <v>#NAME?</v>
      </c>
      <c r="AD90">
        <f t="shared" si="23"/>
        <v>87</v>
      </c>
      <c r="AE90">
        <f t="shared" si="24"/>
        <v>10.300965035959745</v>
      </c>
    </row>
    <row r="91" spans="1:31" x14ac:dyDescent="0.35">
      <c r="A91">
        <f t="shared" si="13"/>
        <v>88</v>
      </c>
      <c r="B91">
        <v>9.322711642040451</v>
      </c>
      <c r="D91">
        <f t="shared" si="22"/>
        <v>88</v>
      </c>
      <c r="E91" t="e">
        <f t="shared" ca="1" si="14"/>
        <v>#NAME?</v>
      </c>
      <c r="F91" t="e">
        <f t="shared" ca="1" si="25"/>
        <v>#NAME?</v>
      </c>
      <c r="V91">
        <f t="shared" si="15"/>
        <v>88</v>
      </c>
      <c r="W91" t="e">
        <f t="shared" ca="1" si="16"/>
        <v>#NAME?</v>
      </c>
      <c r="X91" t="e">
        <f t="shared" ca="1" si="17"/>
        <v>#NAME?</v>
      </c>
      <c r="Y91" t="e">
        <f t="shared" ca="1" si="18"/>
        <v>#NAME?</v>
      </c>
      <c r="Z91" t="e">
        <f t="shared" ca="1" si="19"/>
        <v>#NAME?</v>
      </c>
      <c r="AA91" t="e">
        <f t="shared" ca="1" si="20"/>
        <v>#NAME?</v>
      </c>
      <c r="AB91" t="e">
        <f t="shared" ca="1" si="21"/>
        <v>#NAME?</v>
      </c>
      <c r="AD91">
        <f t="shared" si="23"/>
        <v>88</v>
      </c>
      <c r="AE91">
        <f t="shared" si="24"/>
        <v>9.322711642040451</v>
      </c>
    </row>
    <row r="92" spans="1:31" x14ac:dyDescent="0.35">
      <c r="A92">
        <f t="shared" si="13"/>
        <v>89</v>
      </c>
      <c r="B92">
        <v>11.208496897982</v>
      </c>
      <c r="D92">
        <f t="shared" si="22"/>
        <v>89</v>
      </c>
      <c r="E92" t="e">
        <f t="shared" ca="1" si="14"/>
        <v>#NAME?</v>
      </c>
      <c r="F92" t="e">
        <f t="shared" ca="1" si="25"/>
        <v>#NAME?</v>
      </c>
      <c r="V92">
        <f t="shared" si="15"/>
        <v>89</v>
      </c>
      <c r="W92" t="e">
        <f t="shared" ca="1" si="16"/>
        <v>#NAME?</v>
      </c>
      <c r="X92" t="e">
        <f t="shared" ca="1" si="17"/>
        <v>#NAME?</v>
      </c>
      <c r="Y92" t="e">
        <f t="shared" ca="1" si="18"/>
        <v>#NAME?</v>
      </c>
      <c r="Z92" t="e">
        <f t="shared" ca="1" si="19"/>
        <v>#NAME?</v>
      </c>
      <c r="AA92" t="e">
        <f t="shared" ca="1" si="20"/>
        <v>#NAME?</v>
      </c>
      <c r="AB92" t="e">
        <f t="shared" ca="1" si="21"/>
        <v>#NAME?</v>
      </c>
      <c r="AD92">
        <f t="shared" si="23"/>
        <v>89</v>
      </c>
      <c r="AE92">
        <f t="shared" si="24"/>
        <v>11.208496897982</v>
      </c>
    </row>
    <row r="93" spans="1:31" x14ac:dyDescent="0.35">
      <c r="A93">
        <f t="shared" si="13"/>
        <v>90</v>
      </c>
      <c r="B93">
        <v>9.8337122512150579</v>
      </c>
      <c r="D93">
        <f t="shared" si="22"/>
        <v>90</v>
      </c>
      <c r="E93" t="e">
        <f t="shared" ca="1" si="14"/>
        <v>#NAME?</v>
      </c>
      <c r="F93" t="e">
        <f t="shared" ca="1" si="25"/>
        <v>#NAME?</v>
      </c>
      <c r="V93">
        <f t="shared" si="15"/>
        <v>90</v>
      </c>
      <c r="W93" t="e">
        <f t="shared" ca="1" si="16"/>
        <v>#NAME?</v>
      </c>
      <c r="X93" t="e">
        <f t="shared" ca="1" si="17"/>
        <v>#NAME?</v>
      </c>
      <c r="Y93" t="e">
        <f t="shared" ca="1" si="18"/>
        <v>#NAME?</v>
      </c>
      <c r="Z93" t="e">
        <f t="shared" ca="1" si="19"/>
        <v>#NAME?</v>
      </c>
      <c r="AA93" t="e">
        <f t="shared" ca="1" si="20"/>
        <v>#NAME?</v>
      </c>
      <c r="AB93" t="e">
        <f t="shared" ca="1" si="21"/>
        <v>#NAME?</v>
      </c>
      <c r="AD93">
        <f t="shared" si="23"/>
        <v>90</v>
      </c>
      <c r="AE93">
        <f t="shared" si="24"/>
        <v>9.8337122512150579</v>
      </c>
    </row>
    <row r="94" spans="1:31" x14ac:dyDescent="0.35">
      <c r="A94">
        <f t="shared" si="13"/>
        <v>91</v>
      </c>
      <c r="B94">
        <v>11.009228904367124</v>
      </c>
      <c r="D94">
        <f t="shared" si="22"/>
        <v>91</v>
      </c>
      <c r="E94" t="e">
        <f t="shared" ca="1" si="14"/>
        <v>#NAME?</v>
      </c>
      <c r="F94" t="e">
        <f t="shared" ca="1" si="25"/>
        <v>#NAME?</v>
      </c>
      <c r="V94">
        <f t="shared" si="15"/>
        <v>91</v>
      </c>
      <c r="W94" t="e">
        <f t="shared" ca="1" si="16"/>
        <v>#NAME?</v>
      </c>
      <c r="X94" t="e">
        <f t="shared" ca="1" si="17"/>
        <v>#NAME?</v>
      </c>
      <c r="Y94" t="e">
        <f t="shared" ca="1" si="18"/>
        <v>#NAME?</v>
      </c>
      <c r="Z94" t="e">
        <f t="shared" ca="1" si="19"/>
        <v>#NAME?</v>
      </c>
      <c r="AA94" t="e">
        <f t="shared" ca="1" si="20"/>
        <v>#NAME?</v>
      </c>
      <c r="AB94" t="e">
        <f t="shared" ca="1" si="21"/>
        <v>#NAME?</v>
      </c>
      <c r="AD94">
        <f t="shared" si="23"/>
        <v>91</v>
      </c>
      <c r="AE94">
        <f t="shared" si="24"/>
        <v>11.009228904367124</v>
      </c>
    </row>
    <row r="95" spans="1:31" x14ac:dyDescent="0.35">
      <c r="A95">
        <f t="shared" si="13"/>
        <v>92</v>
      </c>
      <c r="B95">
        <v>9.672211664259164</v>
      </c>
      <c r="D95">
        <f t="shared" si="22"/>
        <v>92</v>
      </c>
      <c r="E95" t="e">
        <f t="shared" ca="1" si="14"/>
        <v>#NAME?</v>
      </c>
      <c r="F95" t="e">
        <f t="shared" ca="1" si="25"/>
        <v>#NAME?</v>
      </c>
      <c r="V95">
        <f t="shared" si="15"/>
        <v>92</v>
      </c>
      <c r="W95" t="e">
        <f t="shared" ca="1" si="16"/>
        <v>#NAME?</v>
      </c>
      <c r="X95" t="e">
        <f t="shared" ca="1" si="17"/>
        <v>#NAME?</v>
      </c>
      <c r="Y95" t="e">
        <f t="shared" ca="1" si="18"/>
        <v>#NAME?</v>
      </c>
      <c r="Z95" t="e">
        <f t="shared" ca="1" si="19"/>
        <v>#NAME?</v>
      </c>
      <c r="AA95" t="e">
        <f t="shared" ca="1" si="20"/>
        <v>#NAME?</v>
      </c>
      <c r="AB95" t="e">
        <f t="shared" ca="1" si="21"/>
        <v>#NAME?</v>
      </c>
      <c r="AD95">
        <f t="shared" si="23"/>
        <v>92</v>
      </c>
      <c r="AE95">
        <f t="shared" si="24"/>
        <v>9.672211664259164</v>
      </c>
    </row>
    <row r="96" spans="1:31" x14ac:dyDescent="0.35">
      <c r="A96">
        <f t="shared" si="13"/>
        <v>93</v>
      </c>
      <c r="B96">
        <v>8.0220551654262664</v>
      </c>
      <c r="D96">
        <f t="shared" si="22"/>
        <v>93</v>
      </c>
      <c r="E96" t="e">
        <f t="shared" ca="1" si="14"/>
        <v>#NAME?</v>
      </c>
      <c r="F96" t="e">
        <f t="shared" ca="1" si="25"/>
        <v>#NAME?</v>
      </c>
      <c r="V96">
        <f t="shared" si="15"/>
        <v>93</v>
      </c>
      <c r="W96" t="e">
        <f t="shared" ca="1" si="16"/>
        <v>#NAME?</v>
      </c>
      <c r="X96" t="e">
        <f t="shared" ca="1" si="17"/>
        <v>#NAME?</v>
      </c>
      <c r="Y96" t="e">
        <f t="shared" ca="1" si="18"/>
        <v>#NAME?</v>
      </c>
      <c r="Z96" t="e">
        <f t="shared" ca="1" si="19"/>
        <v>#NAME?</v>
      </c>
      <c r="AA96" t="e">
        <f t="shared" ca="1" si="20"/>
        <v>#NAME?</v>
      </c>
      <c r="AB96" t="e">
        <f t="shared" ca="1" si="21"/>
        <v>#NAME?</v>
      </c>
      <c r="AD96">
        <f t="shared" si="23"/>
        <v>93</v>
      </c>
      <c r="AE96">
        <f t="shared" si="24"/>
        <v>8.0220551654262664</v>
      </c>
    </row>
    <row r="97" spans="1:31" x14ac:dyDescent="0.35">
      <c r="A97">
        <f t="shared" si="13"/>
        <v>94</v>
      </c>
      <c r="B97">
        <v>9.1001604867082797</v>
      </c>
      <c r="D97">
        <f t="shared" si="22"/>
        <v>94</v>
      </c>
      <c r="E97" t="e">
        <f t="shared" ca="1" si="14"/>
        <v>#NAME?</v>
      </c>
      <c r="F97" t="e">
        <f t="shared" ca="1" si="25"/>
        <v>#NAME?</v>
      </c>
      <c r="V97">
        <f t="shared" si="15"/>
        <v>94</v>
      </c>
      <c r="W97" t="e">
        <f t="shared" ca="1" si="16"/>
        <v>#NAME?</v>
      </c>
      <c r="X97" t="e">
        <f t="shared" ca="1" si="17"/>
        <v>#NAME?</v>
      </c>
      <c r="Y97" t="e">
        <f t="shared" ca="1" si="18"/>
        <v>#NAME?</v>
      </c>
      <c r="Z97" t="e">
        <f t="shared" ca="1" si="19"/>
        <v>#NAME?</v>
      </c>
      <c r="AA97" t="e">
        <f t="shared" ca="1" si="20"/>
        <v>#NAME?</v>
      </c>
      <c r="AB97" t="e">
        <f t="shared" ca="1" si="21"/>
        <v>#NAME?</v>
      </c>
      <c r="AD97">
        <f t="shared" si="23"/>
        <v>94</v>
      </c>
      <c r="AE97">
        <f t="shared" si="24"/>
        <v>9.1001604867082797</v>
      </c>
    </row>
    <row r="98" spans="1:31" x14ac:dyDescent="0.35">
      <c r="A98">
        <f t="shared" si="13"/>
        <v>95</v>
      </c>
      <c r="B98">
        <v>10.293563569831946</v>
      </c>
      <c r="D98">
        <f t="shared" si="22"/>
        <v>95</v>
      </c>
      <c r="E98" t="e">
        <f t="shared" ca="1" si="14"/>
        <v>#NAME?</v>
      </c>
      <c r="F98" t="e">
        <f t="shared" ca="1" si="25"/>
        <v>#NAME?</v>
      </c>
      <c r="V98">
        <f t="shared" si="15"/>
        <v>95</v>
      </c>
      <c r="W98" t="e">
        <f t="shared" ca="1" si="16"/>
        <v>#NAME?</v>
      </c>
      <c r="X98" t="e">
        <f t="shared" ca="1" si="17"/>
        <v>#NAME?</v>
      </c>
      <c r="Y98" t="e">
        <f t="shared" ca="1" si="18"/>
        <v>#NAME?</v>
      </c>
      <c r="Z98" t="e">
        <f t="shared" ca="1" si="19"/>
        <v>#NAME?</v>
      </c>
      <c r="AA98" t="e">
        <f t="shared" ca="1" si="20"/>
        <v>#NAME?</v>
      </c>
      <c r="AB98" t="e">
        <f t="shared" ca="1" si="21"/>
        <v>#NAME?</v>
      </c>
      <c r="AD98">
        <f t="shared" si="23"/>
        <v>95</v>
      </c>
      <c r="AE98">
        <f t="shared" si="24"/>
        <v>10.293563569831946</v>
      </c>
    </row>
    <row r="99" spans="1:31" x14ac:dyDescent="0.35">
      <c r="A99">
        <f t="shared" si="13"/>
        <v>96</v>
      </c>
      <c r="B99">
        <v>10.874137892356456</v>
      </c>
      <c r="D99">
        <f t="shared" si="22"/>
        <v>96</v>
      </c>
      <c r="E99" t="e">
        <f t="shared" ca="1" si="14"/>
        <v>#NAME?</v>
      </c>
      <c r="F99" t="e">
        <f t="shared" ca="1" si="25"/>
        <v>#NAME?</v>
      </c>
      <c r="V99">
        <f t="shared" si="15"/>
        <v>96</v>
      </c>
      <c r="W99" t="e">
        <f t="shared" ca="1" si="16"/>
        <v>#NAME?</v>
      </c>
      <c r="X99" t="e">
        <f t="shared" ca="1" si="17"/>
        <v>#NAME?</v>
      </c>
      <c r="Y99" t="e">
        <f t="shared" ca="1" si="18"/>
        <v>#NAME?</v>
      </c>
      <c r="Z99" t="e">
        <f t="shared" ca="1" si="19"/>
        <v>#NAME?</v>
      </c>
      <c r="AA99" t="e">
        <f t="shared" ca="1" si="20"/>
        <v>#NAME?</v>
      </c>
      <c r="AB99" t="e">
        <f t="shared" ca="1" si="21"/>
        <v>#NAME?</v>
      </c>
      <c r="AD99">
        <f t="shared" si="23"/>
        <v>96</v>
      </c>
      <c r="AE99">
        <f t="shared" si="24"/>
        <v>10.874137892356456</v>
      </c>
    </row>
    <row r="100" spans="1:31" x14ac:dyDescent="0.35">
      <c r="A100">
        <f t="shared" si="13"/>
        <v>97</v>
      </c>
      <c r="B100">
        <v>11.048588930382071</v>
      </c>
      <c r="D100">
        <f t="shared" si="22"/>
        <v>97</v>
      </c>
      <c r="E100" t="e">
        <f t="shared" ca="1" si="14"/>
        <v>#NAME?</v>
      </c>
      <c r="F100" t="e">
        <f t="shared" ca="1" si="25"/>
        <v>#NAME?</v>
      </c>
      <c r="V100">
        <f t="shared" si="15"/>
        <v>97</v>
      </c>
      <c r="W100" t="e">
        <f t="shared" ca="1" si="16"/>
        <v>#NAME?</v>
      </c>
      <c r="X100" t="e">
        <f t="shared" ca="1" si="17"/>
        <v>#NAME?</v>
      </c>
      <c r="Y100" t="e">
        <f t="shared" ca="1" si="18"/>
        <v>#NAME?</v>
      </c>
      <c r="Z100" t="e">
        <f t="shared" ca="1" si="19"/>
        <v>#NAME?</v>
      </c>
      <c r="AA100" t="e">
        <f t="shared" ca="1" si="20"/>
        <v>#NAME?</v>
      </c>
      <c r="AB100" t="e">
        <f t="shared" ca="1" si="21"/>
        <v>#NAME?</v>
      </c>
      <c r="AD100">
        <f t="shared" si="23"/>
        <v>97</v>
      </c>
      <c r="AE100">
        <f t="shared" si="24"/>
        <v>11.048588930382071</v>
      </c>
    </row>
    <row r="101" spans="1:31" x14ac:dyDescent="0.35">
      <c r="A101">
        <f t="shared" si="13"/>
        <v>98</v>
      </c>
      <c r="B101">
        <v>10.377103608405847</v>
      </c>
      <c r="D101">
        <f t="shared" si="22"/>
        <v>98</v>
      </c>
      <c r="E101" t="e">
        <f t="shared" ca="1" si="14"/>
        <v>#NAME?</v>
      </c>
      <c r="F101" t="e">
        <f t="shared" ca="1" si="25"/>
        <v>#NAME?</v>
      </c>
      <c r="V101">
        <f t="shared" si="15"/>
        <v>98</v>
      </c>
      <c r="W101" t="e">
        <f t="shared" ca="1" si="16"/>
        <v>#NAME?</v>
      </c>
      <c r="X101" t="e">
        <f t="shared" ca="1" si="17"/>
        <v>#NAME?</v>
      </c>
      <c r="Y101" t="e">
        <f t="shared" ca="1" si="18"/>
        <v>#NAME?</v>
      </c>
      <c r="Z101" t="e">
        <f t="shared" ca="1" si="19"/>
        <v>#NAME?</v>
      </c>
      <c r="AA101" t="e">
        <f t="shared" ca="1" si="20"/>
        <v>#NAME?</v>
      </c>
      <c r="AB101" t="e">
        <f t="shared" ca="1" si="21"/>
        <v>#NAME?</v>
      </c>
      <c r="AD101">
        <f t="shared" si="23"/>
        <v>98</v>
      </c>
      <c r="AE101">
        <f t="shared" si="24"/>
        <v>10.377103608405847</v>
      </c>
    </row>
    <row r="102" spans="1:31" x14ac:dyDescent="0.35">
      <c r="A102">
        <f t="shared" si="13"/>
        <v>99</v>
      </c>
      <c r="B102">
        <v>11.10073340647541</v>
      </c>
      <c r="D102">
        <f t="shared" si="22"/>
        <v>99</v>
      </c>
      <c r="E102" t="e">
        <f t="shared" ca="1" si="14"/>
        <v>#NAME?</v>
      </c>
      <c r="F102" t="e">
        <f t="shared" ca="1" si="25"/>
        <v>#NAME?</v>
      </c>
      <c r="V102">
        <f t="shared" si="15"/>
        <v>99</v>
      </c>
      <c r="W102" t="e">
        <f t="shared" ca="1" si="16"/>
        <v>#NAME?</v>
      </c>
      <c r="X102" t="e">
        <f t="shared" ca="1" si="17"/>
        <v>#NAME?</v>
      </c>
      <c r="Y102" t="e">
        <f t="shared" ca="1" si="18"/>
        <v>#NAME?</v>
      </c>
      <c r="Z102" t="e">
        <f t="shared" ca="1" si="19"/>
        <v>#NAME?</v>
      </c>
      <c r="AA102" t="e">
        <f t="shared" ca="1" si="20"/>
        <v>#NAME?</v>
      </c>
      <c r="AB102" t="e">
        <f t="shared" ca="1" si="21"/>
        <v>#NAME?</v>
      </c>
      <c r="AD102">
        <f t="shared" si="23"/>
        <v>99</v>
      </c>
      <c r="AE102">
        <f t="shared" si="24"/>
        <v>11.10073340647541</v>
      </c>
    </row>
    <row r="103" spans="1:31" x14ac:dyDescent="0.35">
      <c r="A103">
        <f t="shared" si="13"/>
        <v>100</v>
      </c>
      <c r="B103">
        <v>9.5564566897714425</v>
      </c>
      <c r="D103">
        <f t="shared" si="22"/>
        <v>100</v>
      </c>
      <c r="E103" t="e">
        <f t="shared" ca="1" si="14"/>
        <v>#NAME?</v>
      </c>
      <c r="F103" t="e">
        <f t="shared" ca="1" si="25"/>
        <v>#NAME?</v>
      </c>
      <c r="V103">
        <f t="shared" si="15"/>
        <v>100</v>
      </c>
      <c r="W103" t="e">
        <f t="shared" ca="1" si="16"/>
        <v>#NAME?</v>
      </c>
      <c r="X103" t="e">
        <f t="shared" ca="1" si="17"/>
        <v>#NAME?</v>
      </c>
      <c r="Y103" t="e">
        <f t="shared" ca="1" si="18"/>
        <v>#NAME?</v>
      </c>
      <c r="Z103" t="e">
        <f t="shared" ca="1" si="19"/>
        <v>#NAME?</v>
      </c>
      <c r="AA103" t="e">
        <f t="shared" ca="1" si="20"/>
        <v>#NAME?</v>
      </c>
      <c r="AB103" t="e">
        <f t="shared" ca="1" si="21"/>
        <v>#NAME?</v>
      </c>
      <c r="AD103">
        <f t="shared" si="23"/>
        <v>100</v>
      </c>
      <c r="AE103">
        <f t="shared" si="24"/>
        <v>9.5564566897714425</v>
      </c>
    </row>
    <row r="104" spans="1:31" x14ac:dyDescent="0.35">
      <c r="A104">
        <f t="shared" si="13"/>
        <v>101</v>
      </c>
      <c r="B104">
        <v>10.126612012197914</v>
      </c>
      <c r="D104">
        <f t="shared" si="22"/>
        <v>101</v>
      </c>
      <c r="E104" t="e">
        <f t="shared" ca="1" si="14"/>
        <v>#NAME?</v>
      </c>
      <c r="F104" t="e">
        <f t="shared" ca="1" si="25"/>
        <v>#NAME?</v>
      </c>
      <c r="V104">
        <f t="shared" si="15"/>
        <v>101</v>
      </c>
      <c r="W104" t="e">
        <f t="shared" ca="1" si="16"/>
        <v>#NAME?</v>
      </c>
      <c r="X104" t="e">
        <f t="shared" ca="1" si="17"/>
        <v>#NAME?</v>
      </c>
      <c r="Y104" t="e">
        <f t="shared" ca="1" si="18"/>
        <v>#NAME?</v>
      </c>
      <c r="Z104" t="e">
        <f t="shared" ca="1" si="19"/>
        <v>#NAME?</v>
      </c>
      <c r="AA104" t="e">
        <f t="shared" ca="1" si="20"/>
        <v>#NAME?</v>
      </c>
      <c r="AB104" t="e">
        <f t="shared" ca="1" si="21"/>
        <v>#NAME?</v>
      </c>
      <c r="AD104">
        <f t="shared" si="23"/>
        <v>101</v>
      </c>
      <c r="AE104">
        <f t="shared" si="24"/>
        <v>10.126612012197914</v>
      </c>
    </row>
    <row r="105" spans="1:31" x14ac:dyDescent="0.35">
      <c r="A105">
        <f t="shared" si="13"/>
        <v>102</v>
      </c>
      <c r="B105">
        <v>10.618656799718755</v>
      </c>
      <c r="D105">
        <f t="shared" si="22"/>
        <v>102</v>
      </c>
      <c r="E105" t="e">
        <f t="shared" ca="1" si="14"/>
        <v>#NAME?</v>
      </c>
      <c r="F105" t="e">
        <f t="shared" ca="1" si="25"/>
        <v>#NAME?</v>
      </c>
      <c r="V105">
        <f t="shared" si="15"/>
        <v>102</v>
      </c>
      <c r="W105" t="e">
        <f t="shared" ca="1" si="16"/>
        <v>#NAME?</v>
      </c>
      <c r="X105" t="e">
        <f t="shared" ca="1" si="17"/>
        <v>#NAME?</v>
      </c>
      <c r="Y105" t="e">
        <f t="shared" ca="1" si="18"/>
        <v>#NAME?</v>
      </c>
      <c r="Z105" t="e">
        <f t="shared" ca="1" si="19"/>
        <v>#NAME?</v>
      </c>
      <c r="AA105" t="e">
        <f t="shared" ca="1" si="20"/>
        <v>#NAME?</v>
      </c>
      <c r="AB105" t="e">
        <f t="shared" ca="1" si="21"/>
        <v>#NAME?</v>
      </c>
      <c r="AD105">
        <f t="shared" si="23"/>
        <v>102</v>
      </c>
      <c r="AE105">
        <f t="shared" si="24"/>
        <v>10.618656799718755</v>
      </c>
    </row>
    <row r="106" spans="1:31" x14ac:dyDescent="0.35">
      <c r="A106">
        <f t="shared" si="13"/>
        <v>103</v>
      </c>
      <c r="B106">
        <v>11.369377647513675</v>
      </c>
      <c r="D106">
        <f t="shared" si="22"/>
        <v>103</v>
      </c>
      <c r="E106" t="e">
        <f t="shared" ca="1" si="14"/>
        <v>#NAME?</v>
      </c>
      <c r="F106" t="e">
        <f t="shared" ca="1" si="25"/>
        <v>#NAME?</v>
      </c>
      <c r="V106">
        <f t="shared" si="15"/>
        <v>103</v>
      </c>
      <c r="W106" t="e">
        <f t="shared" ca="1" si="16"/>
        <v>#NAME?</v>
      </c>
      <c r="X106" t="e">
        <f t="shared" ca="1" si="17"/>
        <v>#NAME?</v>
      </c>
      <c r="Y106" t="e">
        <f t="shared" ca="1" si="18"/>
        <v>#NAME?</v>
      </c>
      <c r="Z106" t="e">
        <f t="shared" ca="1" si="19"/>
        <v>#NAME?</v>
      </c>
      <c r="AA106" t="e">
        <f t="shared" ca="1" si="20"/>
        <v>#NAME?</v>
      </c>
      <c r="AB106" t="e">
        <f t="shared" ca="1" si="21"/>
        <v>#NAME?</v>
      </c>
      <c r="AD106">
        <f t="shared" si="23"/>
        <v>103</v>
      </c>
      <c r="AE106">
        <f t="shared" si="24"/>
        <v>11.369377647513675</v>
      </c>
    </row>
    <row r="107" spans="1:31" x14ac:dyDescent="0.35">
      <c r="A107">
        <f t="shared" si="13"/>
        <v>104</v>
      </c>
      <c r="B107">
        <v>10.761442220235375</v>
      </c>
      <c r="D107">
        <f t="shared" si="22"/>
        <v>104</v>
      </c>
      <c r="E107" t="e">
        <f t="shared" ca="1" si="14"/>
        <v>#NAME?</v>
      </c>
      <c r="F107" t="e">
        <f t="shared" ca="1" si="25"/>
        <v>#NAME?</v>
      </c>
      <c r="V107">
        <f t="shared" si="15"/>
        <v>104</v>
      </c>
      <c r="W107" t="e">
        <f t="shared" ca="1" si="16"/>
        <v>#NAME?</v>
      </c>
      <c r="X107" t="e">
        <f t="shared" ca="1" si="17"/>
        <v>#NAME?</v>
      </c>
      <c r="Y107" t="e">
        <f t="shared" ca="1" si="18"/>
        <v>#NAME?</v>
      </c>
      <c r="Z107" t="e">
        <f t="shared" ca="1" si="19"/>
        <v>#NAME?</v>
      </c>
      <c r="AA107" t="e">
        <f t="shared" ca="1" si="20"/>
        <v>#NAME?</v>
      </c>
      <c r="AB107" t="e">
        <f t="shared" ca="1" si="21"/>
        <v>#NAME?</v>
      </c>
      <c r="AD107">
        <f t="shared" si="23"/>
        <v>104</v>
      </c>
      <c r="AE107">
        <f t="shared" si="24"/>
        <v>10.761442220235375</v>
      </c>
    </row>
    <row r="108" spans="1:31" x14ac:dyDescent="0.35">
      <c r="A108">
        <f t="shared" si="13"/>
        <v>105</v>
      </c>
      <c r="B108" s="4">
        <v>11.954765055482959</v>
      </c>
      <c r="D108" s="4">
        <f t="shared" si="22"/>
        <v>105</v>
      </c>
      <c r="E108" s="4" t="e">
        <f t="shared" ca="1" si="14"/>
        <v>#NAME?</v>
      </c>
      <c r="F108" s="4" t="e">
        <f t="shared" ca="1" si="25"/>
        <v>#NAME?</v>
      </c>
      <c r="V108">
        <f t="shared" si="15"/>
        <v>105</v>
      </c>
      <c r="W108" t="e">
        <f t="shared" ca="1" si="16"/>
        <v>#NAME?</v>
      </c>
      <c r="X108" t="e">
        <f t="shared" ca="1" si="17"/>
        <v>#NAME?</v>
      </c>
      <c r="Y108" t="e">
        <f t="shared" ca="1" si="18"/>
        <v>#NAME?</v>
      </c>
      <c r="Z108" t="e">
        <f t="shared" ca="1" si="19"/>
        <v>#NAME?</v>
      </c>
      <c r="AA108" t="e">
        <f t="shared" ca="1" si="20"/>
        <v>#NAME?</v>
      </c>
      <c r="AB108" t="e">
        <f t="shared" ca="1" si="21"/>
        <v>#NAME?</v>
      </c>
      <c r="AD108" s="4">
        <f t="shared" si="23"/>
        <v>105</v>
      </c>
      <c r="AE108" s="4">
        <f t="shared" si="24"/>
        <v>11.954765055482959</v>
      </c>
    </row>
    <row r="109" spans="1:31" x14ac:dyDescent="0.35">
      <c r="V109">
        <f>V108+1</f>
        <v>106</v>
      </c>
      <c r="Y109" t="e">
        <f ca="1">SUMPRODUCT(W107:W108,I$4:I$5)+SUMPRODUCT(X107:X108,J$4:J$5)</f>
        <v>#NAME?</v>
      </c>
      <c r="Z109" t="e">
        <f ca="1">J$15*SQRT(SUMSQ(M$16:M16))</f>
        <v>#NAME?</v>
      </c>
      <c r="AA109" t="e">
        <f ca="1">Y109-NORMSINV(1-Z$2/2)*Z109</f>
        <v>#NAME?</v>
      </c>
      <c r="AB109" t="e">
        <f ca="1">Y109+NORMSINV(1-Z$2/2)*Z109</f>
        <v>#NAME?</v>
      </c>
      <c r="AD109">
        <f t="shared" si="23"/>
        <v>106</v>
      </c>
      <c r="AE109" t="e">
        <f ca="1">Y109+J$6</f>
        <v>#NAME?</v>
      </c>
    </row>
    <row r="110" spans="1:31" x14ac:dyDescent="0.35">
      <c r="V110">
        <f>V109+1</f>
        <v>107</v>
      </c>
      <c r="Y110" t="e">
        <f ca="1">SUMPRODUCT(W108,I4)+SUMPRODUCT(Y109,I5)+SUMPRODUCT(X108,J4)</f>
        <v>#NAME?</v>
      </c>
      <c r="Z110" t="e">
        <f ca="1">J$15*SQRT(SUMSQ(M$16:M17))</f>
        <v>#NAME?</v>
      </c>
      <c r="AA110" t="e">
        <f ca="1">Y110-NORMSINV(1-Z$2/2)*Z110</f>
        <v>#NAME?</v>
      </c>
      <c r="AB110" t="e">
        <f ca="1">Y110+NORMSINV(1-Z$2/2)*Z110</f>
        <v>#NAME?</v>
      </c>
      <c r="AD110">
        <f t="shared" si="23"/>
        <v>107</v>
      </c>
      <c r="AE110" t="e">
        <f ca="1">Y110+J$6</f>
        <v>#NAME?</v>
      </c>
    </row>
    <row r="111" spans="1:31" x14ac:dyDescent="0.35">
      <c r="V111">
        <f>V110+1</f>
        <v>108</v>
      </c>
      <c r="Y111" t="e">
        <f ca="1">SUMPRODUCT(Y109:Y110,I4:I5)</f>
        <v>#NAME?</v>
      </c>
      <c r="Z111" t="e">
        <f ca="1">J$15*SQRT(SUMSQ(M$16:M18))</f>
        <v>#NAME?</v>
      </c>
      <c r="AA111" t="e">
        <f ca="1">Y111-NORMSINV(1-Z$2/2)*Z111</f>
        <v>#NAME?</v>
      </c>
      <c r="AB111" t="e">
        <f ca="1">Y111+NORMSINV(1-Z$2/2)*Z111</f>
        <v>#NAME?</v>
      </c>
      <c r="AD111">
        <f t="shared" si="23"/>
        <v>108</v>
      </c>
      <c r="AE111" t="e">
        <f ca="1">Y111+J$6</f>
        <v>#NAME?</v>
      </c>
    </row>
    <row r="112" spans="1:31" x14ac:dyDescent="0.35">
      <c r="V112">
        <f>V111+1</f>
        <v>109</v>
      </c>
      <c r="Y112" t="e">
        <f ca="1">SUMPRODUCT(Y110:Y111,I4:I5)</f>
        <v>#NAME?</v>
      </c>
      <c r="Z112" t="e">
        <f ca="1">J$15*SQRT(SUMSQ(M$16:M19))</f>
        <v>#NAME?</v>
      </c>
      <c r="AA112" t="e">
        <f ca="1">Y112-NORMSINV(1-Z$2/2)*Z112</f>
        <v>#NAME?</v>
      </c>
      <c r="AB112" t="e">
        <f ca="1">Y112+NORMSINV(1-Z$2/2)*Z112</f>
        <v>#NAME?</v>
      </c>
      <c r="AD112">
        <f t="shared" si="23"/>
        <v>109</v>
      </c>
      <c r="AE112" t="e">
        <f ca="1">Y112+J$6</f>
        <v>#NAME?</v>
      </c>
    </row>
    <row r="113" spans="22:31" x14ac:dyDescent="0.35">
      <c r="V113" s="4">
        <f>V112+1</f>
        <v>110</v>
      </c>
      <c r="W113" s="4"/>
      <c r="X113" s="4"/>
      <c r="Y113" s="4" t="e">
        <f ca="1">SUMPRODUCT(Y111:Y112,I4:I5)</f>
        <v>#NAME?</v>
      </c>
      <c r="Z113" s="4" t="e">
        <f ca="1">J$15*SQRT(SUMSQ(M$16:M20))</f>
        <v>#NAME?</v>
      </c>
      <c r="AA113" s="4" t="e">
        <f ca="1">Y113-NORMSINV(1-Z$2/2)*Z113</f>
        <v>#NAME?</v>
      </c>
      <c r="AB113" s="4" t="e">
        <f ca="1">Y113+NORMSINV(1-Z$2/2)*Z113</f>
        <v>#NAME?</v>
      </c>
      <c r="AD113" s="4">
        <f t="shared" si="23"/>
        <v>110</v>
      </c>
      <c r="AE113" s="4" t="e">
        <f ca="1">Y113+J$6</f>
        <v>#NAME?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4"/>
  <dimension ref="A1:J23"/>
  <sheetViews>
    <sheetView workbookViewId="0"/>
  </sheetViews>
  <sheetFormatPr defaultRowHeight="14.5" x14ac:dyDescent="0.35"/>
  <sheetData>
    <row r="1" spans="1:10" x14ac:dyDescent="0.35">
      <c r="A1" s="7" t="s">
        <v>460</v>
      </c>
    </row>
    <row r="3" spans="1:10" x14ac:dyDescent="0.35">
      <c r="A3" s="138" t="s">
        <v>110</v>
      </c>
      <c r="B3" s="138">
        <v>1</v>
      </c>
      <c r="C3" s="138">
        <f>B3+1</f>
        <v>2</v>
      </c>
      <c r="D3" s="138">
        <f>C3+1</f>
        <v>3</v>
      </c>
      <c r="E3" s="138">
        <f>D3+1</f>
        <v>4</v>
      </c>
      <c r="G3" s="138">
        <v>1</v>
      </c>
      <c r="H3" s="138">
        <f>G3+1</f>
        <v>2</v>
      </c>
      <c r="I3" s="138">
        <f>H3+1</f>
        <v>3</v>
      </c>
      <c r="J3" s="138">
        <f>I3+1</f>
        <v>4</v>
      </c>
    </row>
    <row r="4" spans="1:10" x14ac:dyDescent="0.35">
      <c r="A4">
        <v>3.1176756475655343</v>
      </c>
      <c r="B4">
        <f>A5-A4</f>
        <v>2.6905754382333931</v>
      </c>
      <c r="C4">
        <f>B5-B4</f>
        <v>-3.5920579256505447</v>
      </c>
      <c r="D4">
        <f>C5-C4</f>
        <v>5.7062462969461638</v>
      </c>
      <c r="E4">
        <f>D5-D4</f>
        <v>-7.0172887226147846</v>
      </c>
      <c r="G4" t="e">
        <f t="array" aca="1" ref="G4:G22" ca="1">ADIFF($A$4:$A$23,G3)</f>
        <v>#NAME?</v>
      </c>
      <c r="H4" t="e">
        <f t="array" aca="1" ref="H4:H22" ca="1">ADIFF($A$4:$A$23,H3)</f>
        <v>#NAME?</v>
      </c>
      <c r="I4" t="e">
        <f t="array" aca="1" ref="I4:I22" ca="1">ADIFF($A$4:$A$23,I3)</f>
        <v>#NAME?</v>
      </c>
      <c r="J4" t="e">
        <f t="array" aca="1" ref="J4:J22" ca="1">ADIFF($A$4:$A$23,J3)</f>
        <v>#NAME?</v>
      </c>
    </row>
    <row r="5" spans="1:10" x14ac:dyDescent="0.35">
      <c r="A5">
        <v>5.8082510857989273</v>
      </c>
      <c r="B5">
        <f t="shared" ref="B5:B22" si="0">A6-A5</f>
        <v>-0.90148248741715165</v>
      </c>
      <c r="C5">
        <f t="shared" ref="C5:D21" si="1">B6-B5</f>
        <v>2.1141883712956187</v>
      </c>
      <c r="D5">
        <f t="shared" si="1"/>
        <v>-1.3110424256686208</v>
      </c>
      <c r="E5">
        <f t="shared" ref="E5:E19" si="2">D6-D5</f>
        <v>-0.29841423458357497</v>
      </c>
      <c r="G5" t="e">
        <f ca="1"/>
        <v>#NAME?</v>
      </c>
      <c r="H5" t="e">
        <f ca="1"/>
        <v>#NAME?</v>
      </c>
      <c r="I5" t="e">
        <f ca="1"/>
        <v>#NAME?</v>
      </c>
      <c r="J5" t="e">
        <f ca="1"/>
        <v>#NAME?</v>
      </c>
    </row>
    <row r="6" spans="1:10" x14ac:dyDescent="0.35">
      <c r="A6">
        <v>4.9067685983817757</v>
      </c>
      <c r="B6">
        <f t="shared" si="0"/>
        <v>1.212705883878467</v>
      </c>
      <c r="C6">
        <f t="shared" si="1"/>
        <v>0.80314594562699781</v>
      </c>
      <c r="D6">
        <f t="shared" si="1"/>
        <v>-1.6094566602521958</v>
      </c>
      <c r="E6">
        <f t="shared" si="2"/>
        <v>1.0090095172383116</v>
      </c>
      <c r="G6" t="e">
        <f ca="1"/>
        <v>#NAME?</v>
      </c>
      <c r="H6" t="e">
        <f ca="1"/>
        <v>#NAME?</v>
      </c>
      <c r="I6" t="e">
        <f ca="1"/>
        <v>#NAME?</v>
      </c>
      <c r="J6" t="e">
        <f ca="1"/>
        <v>#NAME?</v>
      </c>
    </row>
    <row r="7" spans="1:10" x14ac:dyDescent="0.35">
      <c r="A7">
        <v>6.1194744822602427</v>
      </c>
      <c r="B7">
        <f t="shared" si="0"/>
        <v>2.0158518295054648</v>
      </c>
      <c r="C7">
        <f t="shared" si="1"/>
        <v>-0.80631071462519799</v>
      </c>
      <c r="D7">
        <f t="shared" si="1"/>
        <v>-0.60044714301388424</v>
      </c>
      <c r="E7">
        <f t="shared" si="2"/>
        <v>1.1582643408276017</v>
      </c>
      <c r="G7" t="e">
        <f ca="1"/>
        <v>#NAME?</v>
      </c>
      <c r="H7" t="e">
        <f ca="1"/>
        <v>#NAME?</v>
      </c>
      <c r="I7" t="e">
        <f ca="1"/>
        <v>#NAME?</v>
      </c>
      <c r="J7" t="e">
        <f ca="1"/>
        <v>#NAME?</v>
      </c>
    </row>
    <row r="8" spans="1:10" x14ac:dyDescent="0.35">
      <c r="A8">
        <v>8.1353263117657075</v>
      </c>
      <c r="B8">
        <f t="shared" si="0"/>
        <v>1.2095411148802668</v>
      </c>
      <c r="C8">
        <f t="shared" si="1"/>
        <v>-1.4067578576390822</v>
      </c>
      <c r="D8">
        <f t="shared" si="1"/>
        <v>0.55781719781371741</v>
      </c>
      <c r="E8">
        <f t="shared" si="2"/>
        <v>3.3822066124657777</v>
      </c>
      <c r="G8" t="e">
        <f ca="1"/>
        <v>#NAME?</v>
      </c>
      <c r="H8" t="e">
        <f ca="1"/>
        <v>#NAME?</v>
      </c>
      <c r="I8" t="e">
        <f ca="1"/>
        <v>#NAME?</v>
      </c>
      <c r="J8" t="e">
        <f ca="1"/>
        <v>#NAME?</v>
      </c>
    </row>
    <row r="9" spans="1:10" x14ac:dyDescent="0.35">
      <c r="A9">
        <v>9.3448674266459744</v>
      </c>
      <c r="B9">
        <f t="shared" si="0"/>
        <v>-0.1972167427588154</v>
      </c>
      <c r="C9">
        <f t="shared" si="1"/>
        <v>-0.84894065982536482</v>
      </c>
      <c r="D9">
        <f t="shared" si="1"/>
        <v>3.9400238102794951</v>
      </c>
      <c r="E9">
        <f t="shared" si="2"/>
        <v>-8.1772553887723252</v>
      </c>
      <c r="G9" t="e">
        <f ca="1"/>
        <v>#NAME?</v>
      </c>
      <c r="H9" t="e">
        <f ca="1"/>
        <v>#NAME?</v>
      </c>
      <c r="I9" t="e">
        <f ca="1"/>
        <v>#NAME?</v>
      </c>
      <c r="J9" t="e">
        <f ca="1"/>
        <v>#NAME?</v>
      </c>
    </row>
    <row r="10" spans="1:10" x14ac:dyDescent="0.35">
      <c r="A10">
        <v>9.147650683887159</v>
      </c>
      <c r="B10">
        <f t="shared" si="0"/>
        <v>-1.0461574025841802</v>
      </c>
      <c r="C10">
        <f t="shared" si="1"/>
        <v>3.0910831504541303</v>
      </c>
      <c r="D10">
        <f t="shared" si="1"/>
        <v>-4.2372315784928301</v>
      </c>
      <c r="E10">
        <f t="shared" si="2"/>
        <v>3.5619844178790867</v>
      </c>
      <c r="G10" t="e">
        <f ca="1"/>
        <v>#NAME?</v>
      </c>
      <c r="H10" t="e">
        <f ca="1"/>
        <v>#NAME?</v>
      </c>
      <c r="I10" t="e">
        <f ca="1"/>
        <v>#NAME?</v>
      </c>
      <c r="J10" t="e">
        <f ca="1"/>
        <v>#NAME?</v>
      </c>
    </row>
    <row r="11" spans="1:10" x14ac:dyDescent="0.35">
      <c r="A11">
        <v>8.1014932813029787</v>
      </c>
      <c r="B11">
        <f t="shared" si="0"/>
        <v>2.0449257478699501</v>
      </c>
      <c r="C11">
        <f t="shared" si="1"/>
        <v>-1.1461484280386998</v>
      </c>
      <c r="D11">
        <f t="shared" si="1"/>
        <v>-0.67524716061374335</v>
      </c>
      <c r="E11">
        <f t="shared" si="2"/>
        <v>3.4702851823564416</v>
      </c>
      <c r="G11" t="e">
        <f ca="1"/>
        <v>#NAME?</v>
      </c>
      <c r="H11" t="e">
        <f ca="1"/>
        <v>#NAME?</v>
      </c>
      <c r="I11" t="e">
        <f ca="1"/>
        <v>#NAME?</v>
      </c>
      <c r="J11" t="e">
        <f ca="1"/>
        <v>#NAME?</v>
      </c>
    </row>
    <row r="12" spans="1:10" x14ac:dyDescent="0.35">
      <c r="A12">
        <v>10.146419029172929</v>
      </c>
      <c r="B12">
        <f t="shared" si="0"/>
        <v>0.89877731983125031</v>
      </c>
      <c r="C12">
        <f t="shared" si="1"/>
        <v>-1.8213955886524431</v>
      </c>
      <c r="D12">
        <f t="shared" si="1"/>
        <v>2.7950380217426982</v>
      </c>
      <c r="E12">
        <f t="shared" si="2"/>
        <v>-3.1719970626612515</v>
      </c>
      <c r="G12" t="e">
        <f ca="1"/>
        <v>#NAME?</v>
      </c>
      <c r="H12" t="e">
        <f ca="1"/>
        <v>#NAME?</v>
      </c>
      <c r="I12" t="e">
        <f ca="1"/>
        <v>#NAME?</v>
      </c>
      <c r="J12" t="e">
        <f ca="1"/>
        <v>#NAME?</v>
      </c>
    </row>
    <row r="13" spans="1:10" x14ac:dyDescent="0.35">
      <c r="A13">
        <v>11.045196349004179</v>
      </c>
      <c r="B13">
        <f t="shared" si="0"/>
        <v>-0.9226182688211928</v>
      </c>
      <c r="C13">
        <f t="shared" si="1"/>
        <v>0.97364243309025511</v>
      </c>
      <c r="D13">
        <f t="shared" si="1"/>
        <v>-0.37695904091855326</v>
      </c>
      <c r="E13">
        <f t="shared" si="2"/>
        <v>-1.604678459012769</v>
      </c>
      <c r="G13" t="e">
        <f ca="1"/>
        <v>#NAME?</v>
      </c>
      <c r="H13" t="e">
        <f ca="1"/>
        <v>#NAME?</v>
      </c>
      <c r="I13" t="e">
        <f ca="1"/>
        <v>#NAME?</v>
      </c>
      <c r="J13" t="e">
        <f ca="1"/>
        <v>#NAME?</v>
      </c>
    </row>
    <row r="14" spans="1:10" x14ac:dyDescent="0.35">
      <c r="A14">
        <v>10.122578080182986</v>
      </c>
      <c r="B14">
        <f t="shared" si="0"/>
        <v>5.1024164269062311E-2</v>
      </c>
      <c r="C14">
        <f t="shared" si="1"/>
        <v>0.59668339217170185</v>
      </c>
      <c r="D14">
        <f t="shared" si="1"/>
        <v>-1.9816374999313222</v>
      </c>
      <c r="E14">
        <f t="shared" si="2"/>
        <v>4.3658289649913193</v>
      </c>
      <c r="G14" t="e">
        <f ca="1"/>
        <v>#NAME?</v>
      </c>
      <c r="H14" t="e">
        <f ca="1"/>
        <v>#NAME?</v>
      </c>
      <c r="I14" t="e">
        <f ca="1"/>
        <v>#NAME?</v>
      </c>
      <c r="J14" t="e">
        <f ca="1"/>
        <v>#NAME?</v>
      </c>
    </row>
    <row r="15" spans="1:10" x14ac:dyDescent="0.35">
      <c r="A15">
        <v>10.173602244452049</v>
      </c>
      <c r="B15">
        <f t="shared" si="0"/>
        <v>0.64770755644076417</v>
      </c>
      <c r="C15">
        <f t="shared" si="1"/>
        <v>-1.3849541077596204</v>
      </c>
      <c r="D15">
        <f t="shared" si="1"/>
        <v>2.3841914650599971</v>
      </c>
      <c r="E15">
        <f t="shared" si="2"/>
        <v>-4.2992707445947769</v>
      </c>
      <c r="G15" t="e">
        <f ca="1"/>
        <v>#NAME?</v>
      </c>
      <c r="H15" t="e">
        <f ca="1"/>
        <v>#NAME?</v>
      </c>
      <c r="I15" t="e">
        <f ca="1"/>
        <v>#NAME?</v>
      </c>
      <c r="J15" t="e">
        <f ca="1"/>
        <v>#NAME?</v>
      </c>
    </row>
    <row r="16" spans="1:10" x14ac:dyDescent="0.35">
      <c r="A16">
        <v>10.821309800892813</v>
      </c>
      <c r="B16">
        <f t="shared" si="0"/>
        <v>-0.73724655131885619</v>
      </c>
      <c r="C16">
        <f t="shared" si="1"/>
        <v>0.99923735730037677</v>
      </c>
      <c r="D16">
        <f t="shared" si="1"/>
        <v>-1.9150792795347797</v>
      </c>
      <c r="E16">
        <f t="shared" si="2"/>
        <v>4.9981441493453378</v>
      </c>
      <c r="G16" t="e">
        <f ca="1"/>
        <v>#NAME?</v>
      </c>
      <c r="H16" t="e">
        <f ca="1"/>
        <v>#NAME?</v>
      </c>
      <c r="I16" t="e">
        <f ca="1"/>
        <v>#NAME?</v>
      </c>
      <c r="J16" t="e">
        <f ca="1"/>
        <v>#NAME?</v>
      </c>
    </row>
    <row r="17" spans="1:10" x14ac:dyDescent="0.35">
      <c r="A17">
        <v>10.084063249573957</v>
      </c>
      <c r="B17">
        <f t="shared" si="0"/>
        <v>0.26199080598152058</v>
      </c>
      <c r="C17">
        <f t="shared" si="1"/>
        <v>-0.91584192223440297</v>
      </c>
      <c r="D17">
        <f t="shared" si="1"/>
        <v>3.0830648698105581</v>
      </c>
      <c r="E17">
        <f t="shared" si="2"/>
        <v>-5.3171180028210081</v>
      </c>
      <c r="G17" t="e">
        <f ca="1"/>
        <v>#NAME?</v>
      </c>
      <c r="H17" t="e">
        <f ca="1"/>
        <v>#NAME?</v>
      </c>
      <c r="I17" t="e">
        <f ca="1"/>
        <v>#NAME?</v>
      </c>
      <c r="J17" t="e">
        <f ca="1"/>
        <v>#NAME?</v>
      </c>
    </row>
    <row r="18" spans="1:10" x14ac:dyDescent="0.35">
      <c r="A18">
        <v>10.346054055555477</v>
      </c>
      <c r="B18">
        <f t="shared" si="0"/>
        <v>-0.65385111625288239</v>
      </c>
      <c r="C18">
        <f t="shared" si="1"/>
        <v>2.1672229475761551</v>
      </c>
      <c r="D18">
        <f t="shared" si="1"/>
        <v>-2.2340531330104501</v>
      </c>
      <c r="E18">
        <f t="shared" si="2"/>
        <v>1.6085544246763206</v>
      </c>
      <c r="G18" t="e">
        <f ca="1"/>
        <v>#NAME?</v>
      </c>
      <c r="H18" t="e">
        <f ca="1"/>
        <v>#NAME?</v>
      </c>
      <c r="I18" t="e">
        <f ca="1"/>
        <v>#NAME?</v>
      </c>
      <c r="J18" t="e">
        <f ca="1"/>
        <v>#NAME?</v>
      </c>
    </row>
    <row r="19" spans="1:10" x14ac:dyDescent="0.35">
      <c r="A19">
        <v>9.6922029393025948</v>
      </c>
      <c r="B19">
        <f t="shared" si="0"/>
        <v>1.5133718313232727</v>
      </c>
      <c r="C19">
        <f t="shared" si="1"/>
        <v>-6.6830185434294975E-2</v>
      </c>
      <c r="D19">
        <f t="shared" si="1"/>
        <v>-0.62549870833412946</v>
      </c>
      <c r="E19">
        <f t="shared" si="2"/>
        <v>-0.61149638846942267</v>
      </c>
      <c r="G19" t="e">
        <f ca="1"/>
        <v>#NAME?</v>
      </c>
      <c r="H19" t="e">
        <f ca="1"/>
        <v>#NAME?</v>
      </c>
      <c r="I19" t="e">
        <f ca="1"/>
        <v>#NAME?</v>
      </c>
      <c r="J19" t="e">
        <f ca="1"/>
        <v>#NAME?</v>
      </c>
    </row>
    <row r="20" spans="1:10" x14ac:dyDescent="0.35">
      <c r="A20">
        <v>11.205574770625867</v>
      </c>
      <c r="B20">
        <f t="shared" si="0"/>
        <v>1.4465416458889777</v>
      </c>
      <c r="C20">
        <f t="shared" si="1"/>
        <v>-0.69232889376842444</v>
      </c>
      <c r="D20">
        <f t="shared" si="1"/>
        <v>-1.2369950968035521</v>
      </c>
      <c r="G20" t="e">
        <f ca="1"/>
        <v>#NAME?</v>
      </c>
      <c r="H20" t="e">
        <f ca="1"/>
        <v>#NAME?</v>
      </c>
      <c r="I20" t="e">
        <f ca="1"/>
        <v>#NAME?</v>
      </c>
      <c r="J20" t="e">
        <f ca="1"/>
        <v>#NAME?</v>
      </c>
    </row>
    <row r="21" spans="1:10" x14ac:dyDescent="0.35">
      <c r="A21">
        <v>12.652116416514845</v>
      </c>
      <c r="B21">
        <f t="shared" si="0"/>
        <v>0.75421275212055328</v>
      </c>
      <c r="C21">
        <f t="shared" si="1"/>
        <v>-1.9293239905719766</v>
      </c>
      <c r="G21" t="e">
        <f ca="1"/>
        <v>#NAME?</v>
      </c>
      <c r="H21" t="e">
        <f ca="1"/>
        <v>#NAME?</v>
      </c>
      <c r="I21" t="e">
        <f ca="1"/>
        <v>#NAME?</v>
      </c>
      <c r="J21" t="e">
        <f ca="1"/>
        <v>#NAME?</v>
      </c>
    </row>
    <row r="22" spans="1:10" x14ac:dyDescent="0.35">
      <c r="A22">
        <v>13.406329168635398</v>
      </c>
      <c r="B22">
        <f t="shared" si="0"/>
        <v>-1.1751112384514233</v>
      </c>
      <c r="G22" t="e">
        <f ca="1"/>
        <v>#NAME?</v>
      </c>
      <c r="H22" t="e">
        <f ca="1"/>
        <v>#NAME?</v>
      </c>
      <c r="I22" t="e">
        <f ca="1"/>
        <v>#NAME?</v>
      </c>
      <c r="J22" t="e">
        <f ca="1"/>
        <v>#NAME?</v>
      </c>
    </row>
    <row r="23" spans="1:10" x14ac:dyDescent="0.35">
      <c r="A23">
        <v>12.231217930183975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11"/>
  <dimension ref="A1:AE113"/>
  <sheetViews>
    <sheetView workbookViewId="0"/>
  </sheetViews>
  <sheetFormatPr defaultRowHeight="14.5" x14ac:dyDescent="0.35"/>
  <cols>
    <col min="1" max="1" width="4.81640625" customWidth="1"/>
    <col min="3" max="3" width="7.81640625" customWidth="1"/>
    <col min="4" max="4" width="9.1796875" customWidth="1"/>
    <col min="9" max="10" width="10.1796875" customWidth="1"/>
    <col min="22" max="22" width="9.1796875" customWidth="1"/>
    <col min="30" max="30" width="9.1796875" customWidth="1"/>
  </cols>
  <sheetData>
    <row r="1" spans="1:31" x14ac:dyDescent="0.35">
      <c r="A1" s="7" t="s">
        <v>431</v>
      </c>
      <c r="D1" t="s">
        <v>353</v>
      </c>
      <c r="H1" t="s">
        <v>355</v>
      </c>
      <c r="L1" t="s">
        <v>374</v>
      </c>
      <c r="P1" t="s">
        <v>379</v>
      </c>
      <c r="V1" t="s">
        <v>383</v>
      </c>
      <c r="AD1" t="s">
        <v>384</v>
      </c>
    </row>
    <row r="2" spans="1:31" ht="15" thickBot="1" x14ac:dyDescent="0.4">
      <c r="A2" s="72"/>
      <c r="B2" s="72"/>
      <c r="Y2" t="s">
        <v>156</v>
      </c>
      <c r="Z2">
        <v>0.05</v>
      </c>
    </row>
    <row r="3" spans="1:31" ht="15" thickTop="1" x14ac:dyDescent="0.35">
      <c r="B3" s="135" t="s">
        <v>110</v>
      </c>
      <c r="D3" s="45" t="s">
        <v>291</v>
      </c>
      <c r="E3" s="45" t="s">
        <v>194</v>
      </c>
      <c r="F3" s="45" t="s">
        <v>354</v>
      </c>
      <c r="H3" s="45" t="s">
        <v>356</v>
      </c>
      <c r="I3" s="45" t="s">
        <v>357</v>
      </c>
      <c r="J3" s="45" t="s">
        <v>358</v>
      </c>
      <c r="L3" s="45" t="s">
        <v>173</v>
      </c>
      <c r="M3" s="45" t="s">
        <v>174</v>
      </c>
      <c r="N3" s="45" t="s">
        <v>375</v>
      </c>
      <c r="P3" s="45" t="s">
        <v>380</v>
      </c>
      <c r="Q3" s="45" t="s">
        <v>162</v>
      </c>
      <c r="R3" s="45" t="s">
        <v>81</v>
      </c>
      <c r="S3" s="45" t="s">
        <v>392</v>
      </c>
      <c r="T3" s="45" t="s">
        <v>92</v>
      </c>
      <c r="V3" s="45" t="s">
        <v>291</v>
      </c>
      <c r="W3" s="45" t="s">
        <v>194</v>
      </c>
      <c r="X3" s="45" t="s">
        <v>354</v>
      </c>
      <c r="Y3" s="45" t="s">
        <v>138</v>
      </c>
      <c r="Z3" s="45" t="s">
        <v>81</v>
      </c>
      <c r="AA3" s="45" t="s">
        <v>127</v>
      </c>
      <c r="AB3" s="45" t="s">
        <v>128</v>
      </c>
      <c r="AD3" s="45" t="s">
        <v>291</v>
      </c>
      <c r="AE3" s="45" t="s">
        <v>179</v>
      </c>
    </row>
    <row r="4" spans="1:31" x14ac:dyDescent="0.35">
      <c r="A4">
        <v>1</v>
      </c>
      <c r="B4">
        <v>3.1176756475655343</v>
      </c>
      <c r="D4">
        <v>1</v>
      </c>
      <c r="E4">
        <f>B5-B4</f>
        <v>2.6905754382333931</v>
      </c>
      <c r="F4">
        <v>0</v>
      </c>
      <c r="H4" s="137">
        <v>2</v>
      </c>
      <c r="I4" t="e">
        <f ca="1">Q6</f>
        <v>#NAME?</v>
      </c>
      <c r="J4">
        <v>0</v>
      </c>
      <c r="L4" t="e">
        <f t="array" aca="1" ref="L4:N5" ca="1">ARRoots(I4:I5)</f>
        <v>#NAME?</v>
      </c>
      <c r="M4" t="e">
        <f ca="1"/>
        <v>#NAME?</v>
      </c>
      <c r="N4" t="e">
        <f ca="1"/>
        <v>#NAME?</v>
      </c>
      <c r="P4" t="s">
        <v>359</v>
      </c>
      <c r="Q4" t="e">
        <f t="array" aca="1" ref="Q4:R7" ca="1">ARIMA_Coeff(B4:B108,2,1,1,FALSE)</f>
        <v>#NAME?</v>
      </c>
      <c r="R4" t="e">
        <f ca="1"/>
        <v>#NAME?</v>
      </c>
      <c r="S4" t="e">
        <f ca="1">Q4/R4</f>
        <v>#NAME?</v>
      </c>
      <c r="T4" t="e">
        <f ca="1">TDIST(ABS(S4),J$18-J$10-J$11-1,2)</f>
        <v>#NAME?</v>
      </c>
      <c r="V4">
        <f>D4</f>
        <v>1</v>
      </c>
      <c r="W4">
        <f>E4</f>
        <v>2.6905754382333931</v>
      </c>
      <c r="X4">
        <f>F4</f>
        <v>0</v>
      </c>
      <c r="Y4">
        <f>W4-X4</f>
        <v>2.6905754382333931</v>
      </c>
      <c r="Z4" t="e">
        <f ca="1">J$15</f>
        <v>#NAME?</v>
      </c>
      <c r="AA4" t="e">
        <f ca="1">Y4-NORMSINV(1-Z$2/2)*Z4</f>
        <v>#NAME?</v>
      </c>
      <c r="AB4" t="e">
        <f ca="1">Y4+NORMSINV(1-Z$2/2)*Z4</f>
        <v>#NAME?</v>
      </c>
      <c r="AD4">
        <v>1</v>
      </c>
      <c r="AE4">
        <f>B4</f>
        <v>3.1176756475655343</v>
      </c>
    </row>
    <row r="5" spans="1:31" x14ac:dyDescent="0.35">
      <c r="A5">
        <f t="shared" ref="A5:A68" si="0">A4+1</f>
        <v>2</v>
      </c>
      <c r="B5">
        <v>5.8082510857989273</v>
      </c>
      <c r="D5">
        <f>D4+1</f>
        <v>2</v>
      </c>
      <c r="E5">
        <f t="shared" ref="E5:E68" si="1">B6-B5</f>
        <v>-0.90148248741715165</v>
      </c>
      <c r="F5">
        <v>0</v>
      </c>
      <c r="H5" s="137">
        <f>H4-1</f>
        <v>1</v>
      </c>
      <c r="I5" t="e">
        <f ca="1">Q5</f>
        <v>#NAME?</v>
      </c>
      <c r="J5" t="e">
        <f ca="1">Q7</f>
        <v>#NAME?</v>
      </c>
      <c r="L5" s="4" t="e">
        <f ca="1"/>
        <v>#NAME?</v>
      </c>
      <c r="M5" s="4" t="e">
        <f ca="1"/>
        <v>#NAME?</v>
      </c>
      <c r="N5" s="4" t="e">
        <f ca="1"/>
        <v>#NAME?</v>
      </c>
      <c r="P5" t="s">
        <v>381</v>
      </c>
      <c r="Q5" t="e">
        <f ca="1"/>
        <v>#NAME?</v>
      </c>
      <c r="R5" t="e">
        <f ca="1"/>
        <v>#NAME?</v>
      </c>
      <c r="S5" t="e">
        <f ca="1">Q5/R5</f>
        <v>#NAME?</v>
      </c>
      <c r="T5" t="e">
        <f ca="1">TDIST(ABS(S5),J$18-J$10-J$11-1,2)</f>
        <v>#NAME?</v>
      </c>
      <c r="V5">
        <f t="shared" ref="V5:V68" si="2">D5</f>
        <v>2</v>
      </c>
      <c r="W5">
        <f t="shared" ref="W5:W68" si="3">E5</f>
        <v>-0.90148248741715165</v>
      </c>
      <c r="X5">
        <f t="shared" ref="X5:X68" si="4">F5</f>
        <v>0</v>
      </c>
      <c r="Y5">
        <f t="shared" ref="Y5:Y68" si="5">W5-X5</f>
        <v>-0.90148248741715165</v>
      </c>
      <c r="Z5" t="e">
        <f t="shared" ref="Z5:Z68" ca="1" si="6">J$15</f>
        <v>#NAME?</v>
      </c>
      <c r="AA5" t="e">
        <f t="shared" ref="AA5:AA68" ca="1" si="7">Y5-NORMSINV(1-Z$2/2)*Z5</f>
        <v>#NAME?</v>
      </c>
      <c r="AB5" t="e">
        <f t="shared" ref="AB5:AB68" ca="1" si="8">Y5+NORMSINV(1-Z$2/2)*Z5</f>
        <v>#NAME?</v>
      </c>
      <c r="AD5">
        <f>AD4+1</f>
        <v>2</v>
      </c>
      <c r="AE5">
        <f>B5</f>
        <v>5.8082510857989273</v>
      </c>
    </row>
    <row r="6" spans="1:31" x14ac:dyDescent="0.35">
      <c r="A6">
        <f t="shared" si="0"/>
        <v>3</v>
      </c>
      <c r="B6">
        <v>4.9067685983817757</v>
      </c>
      <c r="D6">
        <f t="shared" ref="D6:D69" si="9">D5+1</f>
        <v>3</v>
      </c>
      <c r="E6">
        <f t="shared" si="1"/>
        <v>1.212705883878467</v>
      </c>
      <c r="F6" t="e">
        <f ca="1">E6-SUMPRODUCT(E4:E5,I$4:I$5)-SUMPRODUCT(F5,J$5)</f>
        <v>#NAME?</v>
      </c>
      <c r="H6" s="10" t="s">
        <v>359</v>
      </c>
      <c r="I6" s="4" t="e">
        <f ca="1">Q4</f>
        <v>#NAME?</v>
      </c>
      <c r="J6" s="4" t="e">
        <f ca="1">I6/(1-SUM(I4:I5))</f>
        <v>#NAME?</v>
      </c>
      <c r="P6" t="s">
        <v>399</v>
      </c>
      <c r="Q6" t="e">
        <f ca="1"/>
        <v>#NAME?</v>
      </c>
      <c r="R6" t="e">
        <f ca="1"/>
        <v>#NAME?</v>
      </c>
      <c r="S6" t="e">
        <f ca="1">Q6/R6</f>
        <v>#NAME?</v>
      </c>
      <c r="T6" t="e">
        <f ca="1">TDIST(ABS(S6),J$18-J$10-J$11-1,2)</f>
        <v>#NAME?</v>
      </c>
      <c r="V6">
        <f t="shared" si="2"/>
        <v>3</v>
      </c>
      <c r="W6">
        <f t="shared" si="3"/>
        <v>1.212705883878467</v>
      </c>
      <c r="X6" t="e">
        <f t="shared" ca="1" si="4"/>
        <v>#NAME?</v>
      </c>
      <c r="Y6" t="e">
        <f t="shared" ca="1" si="5"/>
        <v>#NAME?</v>
      </c>
      <c r="Z6" t="e">
        <f t="shared" ca="1" si="6"/>
        <v>#NAME?</v>
      </c>
      <c r="AA6" t="e">
        <f t="shared" ca="1" si="7"/>
        <v>#NAME?</v>
      </c>
      <c r="AB6" t="e">
        <f t="shared" ca="1" si="8"/>
        <v>#NAME?</v>
      </c>
      <c r="AD6">
        <f t="shared" ref="AD6:AD69" si="10">AD5+1</f>
        <v>3</v>
      </c>
      <c r="AE6">
        <f t="shared" ref="AE6:AE69" si="11">B6</f>
        <v>4.9067685983817757</v>
      </c>
    </row>
    <row r="7" spans="1:31" x14ac:dyDescent="0.35">
      <c r="A7">
        <f t="shared" si="0"/>
        <v>4</v>
      </c>
      <c r="B7">
        <v>6.1194744822602427</v>
      </c>
      <c r="D7">
        <f t="shared" si="9"/>
        <v>4</v>
      </c>
      <c r="E7">
        <f t="shared" si="1"/>
        <v>2.0158518295054648</v>
      </c>
      <c r="F7" t="e">
        <f t="shared" ref="F7:F70" ca="1" si="12">E7-SUMPRODUCT(E5:E6,I$4:I$5)-SUMPRODUCT(F6,J$5)</f>
        <v>#NAME?</v>
      </c>
      <c r="L7" t="s">
        <v>376</v>
      </c>
      <c r="P7" s="4" t="s">
        <v>382</v>
      </c>
      <c r="Q7" s="4" t="e">
        <f ca="1"/>
        <v>#NAME?</v>
      </c>
      <c r="R7" s="4" t="e">
        <f ca="1"/>
        <v>#NAME?</v>
      </c>
      <c r="S7" s="4" t="e">
        <f ca="1">Q7/R7</f>
        <v>#NAME?</v>
      </c>
      <c r="T7" s="4" t="e">
        <f ca="1">TDIST(ABS(S7),J$18-J$10-J$11-1,2)</f>
        <v>#NAME?</v>
      </c>
      <c r="V7">
        <f t="shared" si="2"/>
        <v>4</v>
      </c>
      <c r="W7">
        <f t="shared" si="3"/>
        <v>2.0158518295054648</v>
      </c>
      <c r="X7" t="e">
        <f t="shared" ca="1" si="4"/>
        <v>#NAME?</v>
      </c>
      <c r="Y7" t="e">
        <f t="shared" ca="1" si="5"/>
        <v>#NAME?</v>
      </c>
      <c r="Z7" t="e">
        <f t="shared" ca="1" si="6"/>
        <v>#NAME?</v>
      </c>
      <c r="AA7" t="e">
        <f t="shared" ca="1" si="7"/>
        <v>#NAME?</v>
      </c>
      <c r="AB7" t="e">
        <f t="shared" ca="1" si="8"/>
        <v>#NAME?</v>
      </c>
      <c r="AD7">
        <f t="shared" si="10"/>
        <v>4</v>
      </c>
      <c r="AE7">
        <f t="shared" si="11"/>
        <v>6.1194744822602427</v>
      </c>
    </row>
    <row r="8" spans="1:31" ht="15" thickBot="1" x14ac:dyDescent="0.4">
      <c r="A8">
        <f t="shared" si="0"/>
        <v>5</v>
      </c>
      <c r="B8">
        <v>8.1353263117657075</v>
      </c>
      <c r="D8">
        <f t="shared" si="9"/>
        <v>5</v>
      </c>
      <c r="E8">
        <f t="shared" si="1"/>
        <v>1.2095411148802668</v>
      </c>
      <c r="F8" t="e">
        <f t="shared" ca="1" si="12"/>
        <v>#NAME?</v>
      </c>
      <c r="I8" t="s">
        <v>121</v>
      </c>
      <c r="J8" s="150" t="e">
        <f ca="1">SUMSQ(F6:F107)</f>
        <v>#NAME?</v>
      </c>
      <c r="V8">
        <f t="shared" si="2"/>
        <v>5</v>
      </c>
      <c r="W8">
        <f t="shared" si="3"/>
        <v>1.2095411148802668</v>
      </c>
      <c r="X8" t="e">
        <f t="shared" ca="1" si="4"/>
        <v>#NAME?</v>
      </c>
      <c r="Y8" t="e">
        <f t="shared" ca="1" si="5"/>
        <v>#NAME?</v>
      </c>
      <c r="Z8" t="e">
        <f t="shared" ca="1" si="6"/>
        <v>#NAME?</v>
      </c>
      <c r="AA8" t="e">
        <f t="shared" ca="1" si="7"/>
        <v>#NAME?</v>
      </c>
      <c r="AB8" t="e">
        <f t="shared" ca="1" si="8"/>
        <v>#NAME?</v>
      </c>
      <c r="AD8">
        <f t="shared" si="10"/>
        <v>5</v>
      </c>
      <c r="AE8">
        <f t="shared" si="11"/>
        <v>8.1353263117657075</v>
      </c>
    </row>
    <row r="9" spans="1:31" ht="15" thickTop="1" x14ac:dyDescent="0.35">
      <c r="A9">
        <f t="shared" si="0"/>
        <v>6</v>
      </c>
      <c r="B9">
        <v>9.3448674266459744</v>
      </c>
      <c r="D9">
        <f t="shared" si="9"/>
        <v>6</v>
      </c>
      <c r="E9">
        <f t="shared" si="1"/>
        <v>-0.1972167427588154</v>
      </c>
      <c r="F9" t="e">
        <f t="shared" ca="1" si="12"/>
        <v>#NAME?</v>
      </c>
      <c r="L9" s="45" t="s">
        <v>173</v>
      </c>
      <c r="M9" s="45" t="s">
        <v>174</v>
      </c>
      <c r="N9" s="45" t="s">
        <v>375</v>
      </c>
      <c r="V9">
        <f t="shared" si="2"/>
        <v>6</v>
      </c>
      <c r="W9">
        <f t="shared" si="3"/>
        <v>-0.1972167427588154</v>
      </c>
      <c r="X9" t="e">
        <f t="shared" ca="1" si="4"/>
        <v>#NAME?</v>
      </c>
      <c r="Y9" t="e">
        <f t="shared" ca="1" si="5"/>
        <v>#NAME?</v>
      </c>
      <c r="Z9" t="e">
        <f t="shared" ca="1" si="6"/>
        <v>#NAME?</v>
      </c>
      <c r="AA9" t="e">
        <f t="shared" ca="1" si="7"/>
        <v>#NAME?</v>
      </c>
      <c r="AB9" t="e">
        <f t="shared" ca="1" si="8"/>
        <v>#NAME?</v>
      </c>
      <c r="AD9">
        <f t="shared" si="10"/>
        <v>6</v>
      </c>
      <c r="AE9">
        <f t="shared" si="11"/>
        <v>9.3448674266459744</v>
      </c>
    </row>
    <row r="10" spans="1:31" x14ac:dyDescent="0.35">
      <c r="A10">
        <f t="shared" si="0"/>
        <v>7</v>
      </c>
      <c r="B10">
        <v>9.147650683887159</v>
      </c>
      <c r="D10">
        <f t="shared" si="9"/>
        <v>7</v>
      </c>
      <c r="E10">
        <f t="shared" si="1"/>
        <v>-1.0461574025841802</v>
      </c>
      <c r="F10" t="e">
        <f t="shared" ca="1" si="12"/>
        <v>#NAME?</v>
      </c>
      <c r="I10" t="s">
        <v>361</v>
      </c>
      <c r="J10" s="151">
        <v>2</v>
      </c>
      <c r="L10" s="152" t="e">
        <f t="array" aca="1" ref="L10:N10" ca="1">MARoots(J5)</f>
        <v>#NAME?</v>
      </c>
      <c r="M10" s="152" t="e">
        <f ca="1"/>
        <v>#NAME?</v>
      </c>
      <c r="N10" s="152" t="e">
        <f ca="1"/>
        <v>#NAME?</v>
      </c>
      <c r="V10">
        <f t="shared" si="2"/>
        <v>7</v>
      </c>
      <c r="W10">
        <f t="shared" si="3"/>
        <v>-1.0461574025841802</v>
      </c>
      <c r="X10" t="e">
        <f t="shared" ca="1" si="4"/>
        <v>#NAME?</v>
      </c>
      <c r="Y10" t="e">
        <f t="shared" ca="1" si="5"/>
        <v>#NAME?</v>
      </c>
      <c r="Z10" t="e">
        <f t="shared" ca="1" si="6"/>
        <v>#NAME?</v>
      </c>
      <c r="AA10" t="e">
        <f t="shared" ca="1" si="7"/>
        <v>#NAME?</v>
      </c>
      <c r="AB10" t="e">
        <f t="shared" ca="1" si="8"/>
        <v>#NAME?</v>
      </c>
      <c r="AD10">
        <f t="shared" si="10"/>
        <v>7</v>
      </c>
      <c r="AE10">
        <f t="shared" si="11"/>
        <v>9.147650683887159</v>
      </c>
    </row>
    <row r="11" spans="1:31" x14ac:dyDescent="0.35">
      <c r="A11">
        <f t="shared" si="0"/>
        <v>8</v>
      </c>
      <c r="B11">
        <v>8.1014932813029787</v>
      </c>
      <c r="D11">
        <f t="shared" si="9"/>
        <v>8</v>
      </c>
      <c r="E11">
        <f t="shared" si="1"/>
        <v>2.0449257478699501</v>
      </c>
      <c r="F11" t="e">
        <f t="shared" ca="1" si="12"/>
        <v>#NAME?</v>
      </c>
      <c r="I11" t="s">
        <v>362</v>
      </c>
      <c r="J11" s="107">
        <v>1</v>
      </c>
      <c r="V11">
        <f t="shared" si="2"/>
        <v>8</v>
      </c>
      <c r="W11">
        <f t="shared" si="3"/>
        <v>2.0449257478699501</v>
      </c>
      <c r="X11" t="e">
        <f t="shared" ca="1" si="4"/>
        <v>#NAME?</v>
      </c>
      <c r="Y11" t="e">
        <f t="shared" ca="1" si="5"/>
        <v>#NAME?</v>
      </c>
      <c r="Z11" t="e">
        <f t="shared" ca="1" si="6"/>
        <v>#NAME?</v>
      </c>
      <c r="AA11" t="e">
        <f t="shared" ca="1" si="7"/>
        <v>#NAME?</v>
      </c>
      <c r="AB11" t="e">
        <f t="shared" ca="1" si="8"/>
        <v>#NAME?</v>
      </c>
      <c r="AD11">
        <f t="shared" si="10"/>
        <v>8</v>
      </c>
      <c r="AE11">
        <f t="shared" si="11"/>
        <v>8.1014932813029787</v>
      </c>
    </row>
    <row r="12" spans="1:31" x14ac:dyDescent="0.35">
      <c r="A12">
        <f t="shared" si="0"/>
        <v>9</v>
      </c>
      <c r="B12">
        <v>10.146419029172929</v>
      </c>
      <c r="D12">
        <f t="shared" si="9"/>
        <v>9</v>
      </c>
      <c r="E12">
        <f t="shared" si="1"/>
        <v>0.89877731983125031</v>
      </c>
      <c r="F12" t="e">
        <f t="shared" ca="1" si="12"/>
        <v>#NAME?</v>
      </c>
      <c r="I12" t="s">
        <v>363</v>
      </c>
      <c r="J12" s="107">
        <v>1</v>
      </c>
      <c r="L12" t="s">
        <v>377</v>
      </c>
      <c r="V12">
        <f t="shared" si="2"/>
        <v>9</v>
      </c>
      <c r="W12">
        <f t="shared" si="3"/>
        <v>0.89877731983125031</v>
      </c>
      <c r="X12" t="e">
        <f t="shared" ca="1" si="4"/>
        <v>#NAME?</v>
      </c>
      <c r="Y12" t="e">
        <f t="shared" ca="1" si="5"/>
        <v>#NAME?</v>
      </c>
      <c r="Z12" t="e">
        <f t="shared" ca="1" si="6"/>
        <v>#NAME?</v>
      </c>
      <c r="AA12" t="e">
        <f t="shared" ca="1" si="7"/>
        <v>#NAME?</v>
      </c>
      <c r="AB12" t="e">
        <f t="shared" ca="1" si="8"/>
        <v>#NAME?</v>
      </c>
      <c r="AD12">
        <f t="shared" si="10"/>
        <v>9</v>
      </c>
      <c r="AE12">
        <f t="shared" si="11"/>
        <v>10.146419029172929</v>
      </c>
    </row>
    <row r="13" spans="1:31" ht="15" thickBot="1" x14ac:dyDescent="0.4">
      <c r="A13">
        <f t="shared" si="0"/>
        <v>10</v>
      </c>
      <c r="B13">
        <v>11.045196349004179</v>
      </c>
      <c r="D13">
        <f t="shared" si="9"/>
        <v>10</v>
      </c>
      <c r="E13">
        <f t="shared" si="1"/>
        <v>-0.9226182688211928</v>
      </c>
      <c r="F13" t="e">
        <f t="shared" ca="1" si="12"/>
        <v>#NAME?</v>
      </c>
      <c r="I13" t="s">
        <v>364</v>
      </c>
      <c r="J13" s="107" t="e">
        <f ca="1">AVERAGE(F6:F107)</f>
        <v>#NAME?</v>
      </c>
      <c r="V13">
        <f t="shared" si="2"/>
        <v>10</v>
      </c>
      <c r="W13">
        <f t="shared" si="3"/>
        <v>-0.9226182688211928</v>
      </c>
      <c r="X13" t="e">
        <f t="shared" ca="1" si="4"/>
        <v>#NAME?</v>
      </c>
      <c r="Y13" t="e">
        <f t="shared" ca="1" si="5"/>
        <v>#NAME?</v>
      </c>
      <c r="Z13" t="e">
        <f t="shared" ca="1" si="6"/>
        <v>#NAME?</v>
      </c>
      <c r="AA13" t="e">
        <f t="shared" ca="1" si="7"/>
        <v>#NAME?</v>
      </c>
      <c r="AB13" t="e">
        <f t="shared" ca="1" si="8"/>
        <v>#NAME?</v>
      </c>
      <c r="AD13">
        <f t="shared" si="10"/>
        <v>10</v>
      </c>
      <c r="AE13">
        <f t="shared" si="11"/>
        <v>11.045196349004179</v>
      </c>
    </row>
    <row r="14" spans="1:31" ht="15" thickTop="1" x14ac:dyDescent="0.35">
      <c r="A14">
        <f t="shared" si="0"/>
        <v>11</v>
      </c>
      <c r="B14">
        <v>10.122578080182986</v>
      </c>
      <c r="D14">
        <f t="shared" si="9"/>
        <v>11</v>
      </c>
      <c r="E14">
        <f t="shared" si="1"/>
        <v>5.1024164269062311E-2</v>
      </c>
      <c r="F14" t="e">
        <f t="shared" ca="1" si="12"/>
        <v>#NAME?</v>
      </c>
      <c r="I14" t="s">
        <v>365</v>
      </c>
      <c r="J14" s="107" t="e">
        <f ca="1">STDEV(F6:F107)</f>
        <v>#NAME?</v>
      </c>
      <c r="L14" s="45" t="s">
        <v>356</v>
      </c>
      <c r="M14" s="45" t="s">
        <v>378</v>
      </c>
      <c r="V14">
        <f t="shared" si="2"/>
        <v>11</v>
      </c>
      <c r="W14">
        <f t="shared" si="3"/>
        <v>5.1024164269062311E-2</v>
      </c>
      <c r="X14" t="e">
        <f t="shared" ca="1" si="4"/>
        <v>#NAME?</v>
      </c>
      <c r="Y14" t="e">
        <f t="shared" ca="1" si="5"/>
        <v>#NAME?</v>
      </c>
      <c r="Z14" t="e">
        <f t="shared" ca="1" si="6"/>
        <v>#NAME?</v>
      </c>
      <c r="AA14" t="e">
        <f t="shared" ca="1" si="7"/>
        <v>#NAME?</v>
      </c>
      <c r="AB14" t="e">
        <f t="shared" ca="1" si="8"/>
        <v>#NAME?</v>
      </c>
      <c r="AD14">
        <f t="shared" si="10"/>
        <v>11</v>
      </c>
      <c r="AE14">
        <f t="shared" si="11"/>
        <v>10.122578080182986</v>
      </c>
    </row>
    <row r="15" spans="1:31" x14ac:dyDescent="0.35">
      <c r="A15">
        <f t="shared" si="0"/>
        <v>12</v>
      </c>
      <c r="B15">
        <v>10.173602244452049</v>
      </c>
      <c r="D15">
        <f t="shared" si="9"/>
        <v>12</v>
      </c>
      <c r="E15">
        <f t="shared" si="1"/>
        <v>0.64770755644076417</v>
      </c>
      <c r="F15" t="e">
        <f t="shared" ca="1" si="12"/>
        <v>#NAME?</v>
      </c>
      <c r="I15" t="s">
        <v>366</v>
      </c>
      <c r="J15" s="107" t="e">
        <f ca="1">SQRT(J8/J18)</f>
        <v>#NAME?</v>
      </c>
      <c r="L15" s="59">
        <v>0</v>
      </c>
      <c r="M15" s="59" t="e">
        <f t="array" aca="1" ref="M15:M19" ca="1">PSICoeff(I4:I5,J5)</f>
        <v>#NAME?</v>
      </c>
      <c r="V15">
        <f t="shared" si="2"/>
        <v>12</v>
      </c>
      <c r="W15">
        <f t="shared" si="3"/>
        <v>0.64770755644076417</v>
      </c>
      <c r="X15" t="e">
        <f t="shared" ca="1" si="4"/>
        <v>#NAME?</v>
      </c>
      <c r="Y15" t="e">
        <f t="shared" ca="1" si="5"/>
        <v>#NAME?</v>
      </c>
      <c r="Z15" t="e">
        <f t="shared" ca="1" si="6"/>
        <v>#NAME?</v>
      </c>
      <c r="AA15" t="e">
        <f t="shared" ca="1" si="7"/>
        <v>#NAME?</v>
      </c>
      <c r="AB15" t="e">
        <f t="shared" ca="1" si="8"/>
        <v>#NAME?</v>
      </c>
      <c r="AD15">
        <f t="shared" si="10"/>
        <v>12</v>
      </c>
      <c r="AE15">
        <f t="shared" si="11"/>
        <v>10.173602244452049</v>
      </c>
    </row>
    <row r="16" spans="1:31" x14ac:dyDescent="0.35">
      <c r="A16">
        <f t="shared" si="0"/>
        <v>13</v>
      </c>
      <c r="B16">
        <v>10.821309800892813</v>
      </c>
      <c r="D16">
        <f t="shared" si="9"/>
        <v>13</v>
      </c>
      <c r="E16">
        <f t="shared" si="1"/>
        <v>-0.73724655131885619</v>
      </c>
      <c r="F16" t="e">
        <f t="shared" ca="1" si="12"/>
        <v>#NAME?</v>
      </c>
      <c r="I16" t="s">
        <v>367</v>
      </c>
      <c r="J16" s="107">
        <f>AVERAGE(E6:E107)</f>
        <v>6.9098004481384145E-2</v>
      </c>
      <c r="L16" s="13">
        <f>L15+1</f>
        <v>1</v>
      </c>
      <c r="M16" s="13" t="e">
        <f ca="1"/>
        <v>#NAME?</v>
      </c>
      <c r="V16">
        <f t="shared" si="2"/>
        <v>13</v>
      </c>
      <c r="W16">
        <f t="shared" si="3"/>
        <v>-0.73724655131885619</v>
      </c>
      <c r="X16" t="e">
        <f t="shared" ca="1" si="4"/>
        <v>#NAME?</v>
      </c>
      <c r="Y16" t="e">
        <f t="shared" ca="1" si="5"/>
        <v>#NAME?</v>
      </c>
      <c r="Z16" t="e">
        <f t="shared" ca="1" si="6"/>
        <v>#NAME?</v>
      </c>
      <c r="AA16" t="e">
        <f t="shared" ca="1" si="7"/>
        <v>#NAME?</v>
      </c>
      <c r="AB16" t="e">
        <f t="shared" ca="1" si="8"/>
        <v>#NAME?</v>
      </c>
      <c r="AD16">
        <f t="shared" si="10"/>
        <v>13</v>
      </c>
      <c r="AE16">
        <f t="shared" si="11"/>
        <v>10.821309800892813</v>
      </c>
    </row>
    <row r="17" spans="1:31" x14ac:dyDescent="0.35">
      <c r="A17">
        <f t="shared" si="0"/>
        <v>14</v>
      </c>
      <c r="B17">
        <v>10.084063249573957</v>
      </c>
      <c r="D17">
        <f t="shared" si="9"/>
        <v>14</v>
      </c>
      <c r="E17">
        <f t="shared" si="1"/>
        <v>0.26199080598152058</v>
      </c>
      <c r="F17" t="e">
        <f t="shared" ca="1" si="12"/>
        <v>#NAME?</v>
      </c>
      <c r="I17" t="s">
        <v>368</v>
      </c>
      <c r="J17" s="107">
        <f>STDEV(E6:E107)</f>
        <v>1.2827577882400476</v>
      </c>
      <c r="L17" s="13">
        <f>L16+1</f>
        <v>2</v>
      </c>
      <c r="M17" s="13" t="e">
        <f ca="1"/>
        <v>#NAME?</v>
      </c>
      <c r="V17">
        <f t="shared" si="2"/>
        <v>14</v>
      </c>
      <c r="W17">
        <f t="shared" si="3"/>
        <v>0.26199080598152058</v>
      </c>
      <c r="X17" t="e">
        <f t="shared" ca="1" si="4"/>
        <v>#NAME?</v>
      </c>
      <c r="Y17" t="e">
        <f t="shared" ca="1" si="5"/>
        <v>#NAME?</v>
      </c>
      <c r="Z17" t="e">
        <f t="shared" ca="1" si="6"/>
        <v>#NAME?</v>
      </c>
      <c r="AA17" t="e">
        <f t="shared" ca="1" si="7"/>
        <v>#NAME?</v>
      </c>
      <c r="AB17" t="e">
        <f t="shared" ca="1" si="8"/>
        <v>#NAME?</v>
      </c>
      <c r="AD17">
        <f t="shared" si="10"/>
        <v>14</v>
      </c>
      <c r="AE17">
        <f t="shared" si="11"/>
        <v>10.084063249573957</v>
      </c>
    </row>
    <row r="18" spans="1:31" x14ac:dyDescent="0.35">
      <c r="A18">
        <f t="shared" si="0"/>
        <v>15</v>
      </c>
      <c r="B18">
        <v>10.346054055555477</v>
      </c>
      <c r="D18">
        <f t="shared" si="9"/>
        <v>15</v>
      </c>
      <c r="E18">
        <f t="shared" si="1"/>
        <v>-0.65385111625288239</v>
      </c>
      <c r="F18" t="e">
        <f t="shared" ca="1" si="12"/>
        <v>#NAME?</v>
      </c>
      <c r="I18" t="s">
        <v>369</v>
      </c>
      <c r="J18" s="108">
        <f>COUNT(E6:E107)</f>
        <v>102</v>
      </c>
      <c r="L18" s="13">
        <f>L17+1</f>
        <v>3</v>
      </c>
      <c r="M18" s="13" t="e">
        <f ca="1"/>
        <v>#NAME?</v>
      </c>
      <c r="V18">
        <f t="shared" si="2"/>
        <v>15</v>
      </c>
      <c r="W18">
        <f t="shared" si="3"/>
        <v>-0.65385111625288239</v>
      </c>
      <c r="X18" t="e">
        <f t="shared" ca="1" si="4"/>
        <v>#NAME?</v>
      </c>
      <c r="Y18" t="e">
        <f t="shared" ca="1" si="5"/>
        <v>#NAME?</v>
      </c>
      <c r="Z18" t="e">
        <f t="shared" ca="1" si="6"/>
        <v>#NAME?</v>
      </c>
      <c r="AA18" t="e">
        <f t="shared" ca="1" si="7"/>
        <v>#NAME?</v>
      </c>
      <c r="AB18" t="e">
        <f t="shared" ca="1" si="8"/>
        <v>#NAME?</v>
      </c>
      <c r="AD18">
        <f t="shared" si="10"/>
        <v>15</v>
      </c>
      <c r="AE18">
        <f t="shared" si="11"/>
        <v>10.346054055555477</v>
      </c>
    </row>
    <row r="19" spans="1:31" x14ac:dyDescent="0.35">
      <c r="A19">
        <f t="shared" si="0"/>
        <v>16</v>
      </c>
      <c r="B19">
        <v>9.6922029393025948</v>
      </c>
      <c r="D19">
        <f t="shared" si="9"/>
        <v>16</v>
      </c>
      <c r="E19">
        <f t="shared" si="1"/>
        <v>1.5133718313232727</v>
      </c>
      <c r="F19" t="e">
        <f t="shared" ca="1" si="12"/>
        <v>#NAME?</v>
      </c>
      <c r="L19" s="4">
        <f>L18+1</f>
        <v>4</v>
      </c>
      <c r="M19" s="4" t="e">
        <f ca="1"/>
        <v>#NAME?</v>
      </c>
      <c r="V19">
        <f t="shared" si="2"/>
        <v>16</v>
      </c>
      <c r="W19">
        <f t="shared" si="3"/>
        <v>1.5133718313232727</v>
      </c>
      <c r="X19" t="e">
        <f t="shared" ca="1" si="4"/>
        <v>#NAME?</v>
      </c>
      <c r="Y19" t="e">
        <f t="shared" ca="1" si="5"/>
        <v>#NAME?</v>
      </c>
      <c r="Z19" t="e">
        <f t="shared" ca="1" si="6"/>
        <v>#NAME?</v>
      </c>
      <c r="AA19" t="e">
        <f t="shared" ca="1" si="7"/>
        <v>#NAME?</v>
      </c>
      <c r="AB19" t="e">
        <f t="shared" ca="1" si="8"/>
        <v>#NAME?</v>
      </c>
      <c r="AD19">
        <f t="shared" si="10"/>
        <v>16</v>
      </c>
      <c r="AE19">
        <f t="shared" si="11"/>
        <v>9.6922029393025948</v>
      </c>
    </row>
    <row r="20" spans="1:31" x14ac:dyDescent="0.35">
      <c r="A20">
        <f t="shared" si="0"/>
        <v>17</v>
      </c>
      <c r="B20">
        <v>11.205574770625867</v>
      </c>
      <c r="D20">
        <f t="shared" si="9"/>
        <v>17</v>
      </c>
      <c r="E20">
        <f t="shared" si="1"/>
        <v>1.4465416458889777</v>
      </c>
      <c r="F20" t="e">
        <f t="shared" ca="1" si="12"/>
        <v>#NAME?</v>
      </c>
      <c r="I20" t="s">
        <v>370</v>
      </c>
      <c r="J20" s="151" t="e">
        <f ca="1">-(J23-2*(J10+J11+1))/2</f>
        <v>#NAME?</v>
      </c>
      <c r="V20">
        <f t="shared" si="2"/>
        <v>17</v>
      </c>
      <c r="W20">
        <f t="shared" si="3"/>
        <v>1.4465416458889777</v>
      </c>
      <c r="X20" t="e">
        <f t="shared" ca="1" si="4"/>
        <v>#NAME?</v>
      </c>
      <c r="Y20" t="e">
        <f t="shared" ca="1" si="5"/>
        <v>#NAME?</v>
      </c>
      <c r="Z20" t="e">
        <f t="shared" ca="1" si="6"/>
        <v>#NAME?</v>
      </c>
      <c r="AA20" t="e">
        <f t="shared" ca="1" si="7"/>
        <v>#NAME?</v>
      </c>
      <c r="AB20" t="e">
        <f t="shared" ca="1" si="8"/>
        <v>#NAME?</v>
      </c>
      <c r="AD20">
        <f t="shared" si="10"/>
        <v>17</v>
      </c>
      <c r="AE20">
        <f t="shared" si="11"/>
        <v>11.205574770625867</v>
      </c>
    </row>
    <row r="21" spans="1:31" x14ac:dyDescent="0.35">
      <c r="A21">
        <f t="shared" si="0"/>
        <v>18</v>
      </c>
      <c r="B21">
        <v>12.652116416514845</v>
      </c>
      <c r="D21">
        <f t="shared" si="9"/>
        <v>18</v>
      </c>
      <c r="E21">
        <f t="shared" si="1"/>
        <v>0.75421275212055328</v>
      </c>
      <c r="F21" t="e">
        <f t="shared" ca="1" si="12"/>
        <v>#NAME?</v>
      </c>
      <c r="I21" t="s">
        <v>145</v>
      </c>
      <c r="J21" s="107" t="e">
        <f ca="1">J18*LN(J8/J18)+2*(J10+J11+1)</f>
        <v>#NAME?</v>
      </c>
      <c r="V21">
        <f t="shared" si="2"/>
        <v>18</v>
      </c>
      <c r="W21">
        <f t="shared" si="3"/>
        <v>0.75421275212055328</v>
      </c>
      <c r="X21" t="e">
        <f t="shared" ca="1" si="4"/>
        <v>#NAME?</v>
      </c>
      <c r="Y21" t="e">
        <f t="shared" ca="1" si="5"/>
        <v>#NAME?</v>
      </c>
      <c r="Z21" t="e">
        <f t="shared" ca="1" si="6"/>
        <v>#NAME?</v>
      </c>
      <c r="AA21" t="e">
        <f t="shared" ca="1" si="7"/>
        <v>#NAME?</v>
      </c>
      <c r="AB21" t="e">
        <f t="shared" ca="1" si="8"/>
        <v>#NAME?</v>
      </c>
      <c r="AD21">
        <f t="shared" si="10"/>
        <v>18</v>
      </c>
      <c r="AE21">
        <f t="shared" si="11"/>
        <v>12.652116416514845</v>
      </c>
    </row>
    <row r="22" spans="1:31" x14ac:dyDescent="0.35">
      <c r="A22">
        <f t="shared" si="0"/>
        <v>19</v>
      </c>
      <c r="B22">
        <v>13.406329168635398</v>
      </c>
      <c r="D22">
        <f t="shared" si="9"/>
        <v>19</v>
      </c>
      <c r="E22">
        <f t="shared" si="1"/>
        <v>-1.1751112384514233</v>
      </c>
      <c r="F22" t="e">
        <f t="shared" ca="1" si="12"/>
        <v>#NAME?</v>
      </c>
      <c r="I22" t="s">
        <v>371</v>
      </c>
      <c r="J22" s="107" t="e">
        <f ca="1">J18*LN(J8/J18)+LN(J18)*(J10+J11+1)</f>
        <v>#NAME?</v>
      </c>
      <c r="V22">
        <f t="shared" si="2"/>
        <v>19</v>
      </c>
      <c r="W22">
        <f t="shared" si="3"/>
        <v>-1.1751112384514233</v>
      </c>
      <c r="X22" t="e">
        <f t="shared" ca="1" si="4"/>
        <v>#NAME?</v>
      </c>
      <c r="Y22" t="e">
        <f t="shared" ca="1" si="5"/>
        <v>#NAME?</v>
      </c>
      <c r="Z22" t="e">
        <f t="shared" ca="1" si="6"/>
        <v>#NAME?</v>
      </c>
      <c r="AA22" t="e">
        <f t="shared" ca="1" si="7"/>
        <v>#NAME?</v>
      </c>
      <c r="AB22" t="e">
        <f t="shared" ca="1" si="8"/>
        <v>#NAME?</v>
      </c>
      <c r="AD22">
        <f t="shared" si="10"/>
        <v>19</v>
      </c>
      <c r="AE22">
        <f t="shared" si="11"/>
        <v>13.406329168635398</v>
      </c>
    </row>
    <row r="23" spans="1:31" x14ac:dyDescent="0.35">
      <c r="A23">
        <f t="shared" si="0"/>
        <v>20</v>
      </c>
      <c r="B23">
        <v>12.231217930183975</v>
      </c>
      <c r="D23">
        <f t="shared" si="9"/>
        <v>20</v>
      </c>
      <c r="E23">
        <f t="shared" si="1"/>
        <v>-0.1142434742247378</v>
      </c>
      <c r="F23" t="e">
        <f t="shared" ca="1" si="12"/>
        <v>#NAME?</v>
      </c>
      <c r="I23" t="s">
        <v>372</v>
      </c>
      <c r="J23" s="107" t="e">
        <f ca="1">J18*(1+LN(2*PI()))+J21</f>
        <v>#NAME?</v>
      </c>
      <c r="V23">
        <f t="shared" si="2"/>
        <v>20</v>
      </c>
      <c r="W23">
        <f t="shared" si="3"/>
        <v>-0.1142434742247378</v>
      </c>
      <c r="X23" t="e">
        <f t="shared" ca="1" si="4"/>
        <v>#NAME?</v>
      </c>
      <c r="Y23" t="e">
        <f t="shared" ca="1" si="5"/>
        <v>#NAME?</v>
      </c>
      <c r="Z23" t="e">
        <f t="shared" ca="1" si="6"/>
        <v>#NAME?</v>
      </c>
      <c r="AA23" t="e">
        <f t="shared" ca="1" si="7"/>
        <v>#NAME?</v>
      </c>
      <c r="AB23" t="e">
        <f t="shared" ca="1" si="8"/>
        <v>#NAME?</v>
      </c>
      <c r="AD23">
        <f t="shared" si="10"/>
        <v>20</v>
      </c>
      <c r="AE23">
        <f t="shared" si="11"/>
        <v>12.231217930183975</v>
      </c>
    </row>
    <row r="24" spans="1:31" x14ac:dyDescent="0.35">
      <c r="A24">
        <f t="shared" si="0"/>
        <v>21</v>
      </c>
      <c r="B24">
        <v>12.116974455959237</v>
      </c>
      <c r="D24">
        <f t="shared" si="9"/>
        <v>21</v>
      </c>
      <c r="E24">
        <f t="shared" si="1"/>
        <v>-1.6570855615983273</v>
      </c>
      <c r="F24" t="e">
        <f t="shared" ca="1" si="12"/>
        <v>#NAME?</v>
      </c>
      <c r="I24" t="s">
        <v>373</v>
      </c>
      <c r="J24" s="108" t="e">
        <f ca="1">J18*(1+LN(2*PI()))+J22</f>
        <v>#NAME?</v>
      </c>
      <c r="V24">
        <f t="shared" si="2"/>
        <v>21</v>
      </c>
      <c r="W24">
        <f t="shared" si="3"/>
        <v>-1.6570855615983273</v>
      </c>
      <c r="X24" t="e">
        <f t="shared" ca="1" si="4"/>
        <v>#NAME?</v>
      </c>
      <c r="Y24" t="e">
        <f t="shared" ca="1" si="5"/>
        <v>#NAME?</v>
      </c>
      <c r="Z24" t="e">
        <f t="shared" ca="1" si="6"/>
        <v>#NAME?</v>
      </c>
      <c r="AA24" t="e">
        <f t="shared" ca="1" si="7"/>
        <v>#NAME?</v>
      </c>
      <c r="AB24" t="e">
        <f t="shared" ca="1" si="8"/>
        <v>#NAME?</v>
      </c>
      <c r="AD24">
        <f t="shared" si="10"/>
        <v>21</v>
      </c>
      <c r="AE24">
        <f t="shared" si="11"/>
        <v>12.116974455959237</v>
      </c>
    </row>
    <row r="25" spans="1:31" x14ac:dyDescent="0.35">
      <c r="A25">
        <f t="shared" si="0"/>
        <v>22</v>
      </c>
      <c r="B25">
        <v>10.45988889436091</v>
      </c>
      <c r="D25">
        <f t="shared" si="9"/>
        <v>22</v>
      </c>
      <c r="E25">
        <f t="shared" si="1"/>
        <v>-1.0134312232796834</v>
      </c>
      <c r="F25" t="e">
        <f t="shared" ca="1" si="12"/>
        <v>#NAME?</v>
      </c>
      <c r="V25">
        <f t="shared" si="2"/>
        <v>22</v>
      </c>
      <c r="W25">
        <f t="shared" si="3"/>
        <v>-1.0134312232796834</v>
      </c>
      <c r="X25" t="e">
        <f t="shared" ca="1" si="4"/>
        <v>#NAME?</v>
      </c>
      <c r="Y25" t="e">
        <f t="shared" ca="1" si="5"/>
        <v>#NAME?</v>
      </c>
      <c r="Z25" t="e">
        <f t="shared" ca="1" si="6"/>
        <v>#NAME?</v>
      </c>
      <c r="AA25" t="e">
        <f t="shared" ca="1" si="7"/>
        <v>#NAME?</v>
      </c>
      <c r="AB25" t="e">
        <f t="shared" ca="1" si="8"/>
        <v>#NAME?</v>
      </c>
      <c r="AD25">
        <f t="shared" si="10"/>
        <v>22</v>
      </c>
      <c r="AE25">
        <f t="shared" si="11"/>
        <v>10.45988889436091</v>
      </c>
    </row>
    <row r="26" spans="1:31" x14ac:dyDescent="0.35">
      <c r="A26">
        <f t="shared" si="0"/>
        <v>23</v>
      </c>
      <c r="B26">
        <v>9.4464576710812267</v>
      </c>
      <c r="D26">
        <f t="shared" si="9"/>
        <v>23</v>
      </c>
      <c r="E26">
        <f t="shared" si="1"/>
        <v>1.7345727637130945</v>
      </c>
      <c r="F26" t="e">
        <f t="shared" ca="1" si="12"/>
        <v>#NAME?</v>
      </c>
      <c r="V26">
        <f t="shared" si="2"/>
        <v>23</v>
      </c>
      <c r="W26">
        <f t="shared" si="3"/>
        <v>1.7345727637130945</v>
      </c>
      <c r="X26" t="e">
        <f t="shared" ca="1" si="4"/>
        <v>#NAME?</v>
      </c>
      <c r="Y26" t="e">
        <f t="shared" ca="1" si="5"/>
        <v>#NAME?</v>
      </c>
      <c r="Z26" t="e">
        <f t="shared" ca="1" si="6"/>
        <v>#NAME?</v>
      </c>
      <c r="AA26" t="e">
        <f t="shared" ca="1" si="7"/>
        <v>#NAME?</v>
      </c>
      <c r="AB26" t="e">
        <f t="shared" ca="1" si="8"/>
        <v>#NAME?</v>
      </c>
      <c r="AD26">
        <f t="shared" si="10"/>
        <v>23</v>
      </c>
      <c r="AE26">
        <f t="shared" si="11"/>
        <v>9.4464576710812267</v>
      </c>
    </row>
    <row r="27" spans="1:31" x14ac:dyDescent="0.35">
      <c r="A27">
        <f t="shared" si="0"/>
        <v>24</v>
      </c>
      <c r="B27">
        <v>11.181030434794321</v>
      </c>
      <c r="D27">
        <f t="shared" si="9"/>
        <v>24</v>
      </c>
      <c r="E27">
        <f t="shared" si="1"/>
        <v>-3.595670218448646</v>
      </c>
      <c r="F27" t="e">
        <f t="shared" ca="1" si="12"/>
        <v>#NAME?</v>
      </c>
      <c r="V27">
        <f t="shared" si="2"/>
        <v>24</v>
      </c>
      <c r="W27">
        <f t="shared" si="3"/>
        <v>-3.595670218448646</v>
      </c>
      <c r="X27" t="e">
        <f t="shared" ca="1" si="4"/>
        <v>#NAME?</v>
      </c>
      <c r="Y27" t="e">
        <f t="shared" ca="1" si="5"/>
        <v>#NAME?</v>
      </c>
      <c r="Z27" t="e">
        <f t="shared" ca="1" si="6"/>
        <v>#NAME?</v>
      </c>
      <c r="AA27" t="e">
        <f t="shared" ca="1" si="7"/>
        <v>#NAME?</v>
      </c>
      <c r="AB27" t="e">
        <f t="shared" ca="1" si="8"/>
        <v>#NAME?</v>
      </c>
      <c r="AD27">
        <f t="shared" si="10"/>
        <v>24</v>
      </c>
      <c r="AE27">
        <f t="shared" si="11"/>
        <v>11.181030434794321</v>
      </c>
    </row>
    <row r="28" spans="1:31" x14ac:dyDescent="0.35">
      <c r="A28">
        <f t="shared" si="0"/>
        <v>25</v>
      </c>
      <c r="B28">
        <v>7.5853602163456753</v>
      </c>
      <c r="D28">
        <f t="shared" si="9"/>
        <v>25</v>
      </c>
      <c r="E28">
        <f t="shared" si="1"/>
        <v>3.3931716450659923</v>
      </c>
      <c r="F28" t="e">
        <f t="shared" ca="1" si="12"/>
        <v>#NAME?</v>
      </c>
      <c r="V28">
        <f t="shared" si="2"/>
        <v>25</v>
      </c>
      <c r="W28">
        <f t="shared" si="3"/>
        <v>3.3931716450659923</v>
      </c>
      <c r="X28" t="e">
        <f t="shared" ca="1" si="4"/>
        <v>#NAME?</v>
      </c>
      <c r="Y28" t="e">
        <f t="shared" ca="1" si="5"/>
        <v>#NAME?</v>
      </c>
      <c r="Z28" t="e">
        <f t="shared" ca="1" si="6"/>
        <v>#NAME?</v>
      </c>
      <c r="AA28" t="e">
        <f t="shared" ca="1" si="7"/>
        <v>#NAME?</v>
      </c>
      <c r="AB28" t="e">
        <f t="shared" ca="1" si="8"/>
        <v>#NAME?</v>
      </c>
      <c r="AD28">
        <f t="shared" si="10"/>
        <v>25</v>
      </c>
      <c r="AE28">
        <f t="shared" si="11"/>
        <v>7.5853602163456753</v>
      </c>
    </row>
    <row r="29" spans="1:31" x14ac:dyDescent="0.35">
      <c r="A29">
        <f t="shared" si="0"/>
        <v>26</v>
      </c>
      <c r="B29">
        <v>10.978531861411668</v>
      </c>
      <c r="D29">
        <f t="shared" si="9"/>
        <v>26</v>
      </c>
      <c r="E29">
        <f t="shared" si="1"/>
        <v>-0.42830665278593116</v>
      </c>
      <c r="F29" t="e">
        <f t="shared" ca="1" si="12"/>
        <v>#NAME?</v>
      </c>
      <c r="V29">
        <f t="shared" si="2"/>
        <v>26</v>
      </c>
      <c r="W29">
        <f t="shared" si="3"/>
        <v>-0.42830665278593116</v>
      </c>
      <c r="X29" t="e">
        <f t="shared" ca="1" si="4"/>
        <v>#NAME?</v>
      </c>
      <c r="Y29" t="e">
        <f t="shared" ca="1" si="5"/>
        <v>#NAME?</v>
      </c>
      <c r="Z29" t="e">
        <f t="shared" ca="1" si="6"/>
        <v>#NAME?</v>
      </c>
      <c r="AA29" t="e">
        <f t="shared" ca="1" si="7"/>
        <v>#NAME?</v>
      </c>
      <c r="AB29" t="e">
        <f t="shared" ca="1" si="8"/>
        <v>#NAME?</v>
      </c>
      <c r="AD29">
        <f t="shared" si="10"/>
        <v>26</v>
      </c>
      <c r="AE29">
        <f t="shared" si="11"/>
        <v>10.978531861411668</v>
      </c>
    </row>
    <row r="30" spans="1:31" x14ac:dyDescent="0.35">
      <c r="A30">
        <f t="shared" si="0"/>
        <v>27</v>
      </c>
      <c r="B30">
        <v>10.550225208625736</v>
      </c>
      <c r="D30">
        <f t="shared" si="9"/>
        <v>27</v>
      </c>
      <c r="E30">
        <f t="shared" si="1"/>
        <v>0.67723622241925874</v>
      </c>
      <c r="F30" t="e">
        <f t="shared" ca="1" si="12"/>
        <v>#NAME?</v>
      </c>
      <c r="V30">
        <f t="shared" si="2"/>
        <v>27</v>
      </c>
      <c r="W30">
        <f t="shared" si="3"/>
        <v>0.67723622241925874</v>
      </c>
      <c r="X30" t="e">
        <f t="shared" ca="1" si="4"/>
        <v>#NAME?</v>
      </c>
      <c r="Y30" t="e">
        <f t="shared" ca="1" si="5"/>
        <v>#NAME?</v>
      </c>
      <c r="Z30" t="e">
        <f t="shared" ca="1" si="6"/>
        <v>#NAME?</v>
      </c>
      <c r="AA30" t="e">
        <f t="shared" ca="1" si="7"/>
        <v>#NAME?</v>
      </c>
      <c r="AB30" t="e">
        <f t="shared" ca="1" si="8"/>
        <v>#NAME?</v>
      </c>
      <c r="AD30">
        <f t="shared" si="10"/>
        <v>27</v>
      </c>
      <c r="AE30">
        <f t="shared" si="11"/>
        <v>10.550225208625736</v>
      </c>
    </row>
    <row r="31" spans="1:31" x14ac:dyDescent="0.35">
      <c r="A31">
        <f t="shared" si="0"/>
        <v>28</v>
      </c>
      <c r="B31">
        <v>11.227461431044995</v>
      </c>
      <c r="D31">
        <f t="shared" si="9"/>
        <v>28</v>
      </c>
      <c r="E31">
        <f t="shared" si="1"/>
        <v>-2.1512901055133078</v>
      </c>
      <c r="F31" t="e">
        <f t="shared" ca="1" si="12"/>
        <v>#NAME?</v>
      </c>
      <c r="V31">
        <f t="shared" si="2"/>
        <v>28</v>
      </c>
      <c r="W31">
        <f t="shared" si="3"/>
        <v>-2.1512901055133078</v>
      </c>
      <c r="X31" t="e">
        <f t="shared" ca="1" si="4"/>
        <v>#NAME?</v>
      </c>
      <c r="Y31" t="e">
        <f t="shared" ca="1" si="5"/>
        <v>#NAME?</v>
      </c>
      <c r="Z31" t="e">
        <f t="shared" ca="1" si="6"/>
        <v>#NAME?</v>
      </c>
      <c r="AA31" t="e">
        <f t="shared" ca="1" si="7"/>
        <v>#NAME?</v>
      </c>
      <c r="AB31" t="e">
        <f t="shared" ca="1" si="8"/>
        <v>#NAME?</v>
      </c>
      <c r="AD31">
        <f t="shared" si="10"/>
        <v>28</v>
      </c>
      <c r="AE31">
        <f t="shared" si="11"/>
        <v>11.227461431044995</v>
      </c>
    </row>
    <row r="32" spans="1:31" x14ac:dyDescent="0.35">
      <c r="A32">
        <f t="shared" si="0"/>
        <v>29</v>
      </c>
      <c r="B32">
        <v>9.0761713255316874</v>
      </c>
      <c r="D32">
        <f t="shared" si="9"/>
        <v>29</v>
      </c>
      <c r="E32">
        <f t="shared" si="1"/>
        <v>0.83332432537685008</v>
      </c>
      <c r="F32" t="e">
        <f t="shared" ca="1" si="12"/>
        <v>#NAME?</v>
      </c>
      <c r="V32">
        <f t="shared" si="2"/>
        <v>29</v>
      </c>
      <c r="W32">
        <f t="shared" si="3"/>
        <v>0.83332432537685008</v>
      </c>
      <c r="X32" t="e">
        <f t="shared" ca="1" si="4"/>
        <v>#NAME?</v>
      </c>
      <c r="Y32" t="e">
        <f t="shared" ca="1" si="5"/>
        <v>#NAME?</v>
      </c>
      <c r="Z32" t="e">
        <f t="shared" ca="1" si="6"/>
        <v>#NAME?</v>
      </c>
      <c r="AA32" t="e">
        <f t="shared" ca="1" si="7"/>
        <v>#NAME?</v>
      </c>
      <c r="AB32" t="e">
        <f t="shared" ca="1" si="8"/>
        <v>#NAME?</v>
      </c>
      <c r="AD32">
        <f t="shared" si="10"/>
        <v>29</v>
      </c>
      <c r="AE32">
        <f t="shared" si="11"/>
        <v>9.0761713255316874</v>
      </c>
    </row>
    <row r="33" spans="1:31" x14ac:dyDescent="0.35">
      <c r="A33">
        <f t="shared" si="0"/>
        <v>30</v>
      </c>
      <c r="B33">
        <v>9.9094956509085375</v>
      </c>
      <c r="D33">
        <f t="shared" si="9"/>
        <v>30</v>
      </c>
      <c r="E33">
        <f t="shared" si="1"/>
        <v>1.7741399200726011</v>
      </c>
      <c r="F33" t="e">
        <f t="shared" ca="1" si="12"/>
        <v>#NAME?</v>
      </c>
      <c r="V33">
        <f t="shared" si="2"/>
        <v>30</v>
      </c>
      <c r="W33">
        <f t="shared" si="3"/>
        <v>1.7741399200726011</v>
      </c>
      <c r="X33" t="e">
        <f t="shared" ca="1" si="4"/>
        <v>#NAME?</v>
      </c>
      <c r="Y33" t="e">
        <f t="shared" ca="1" si="5"/>
        <v>#NAME?</v>
      </c>
      <c r="Z33" t="e">
        <f t="shared" ca="1" si="6"/>
        <v>#NAME?</v>
      </c>
      <c r="AA33" t="e">
        <f t="shared" ca="1" si="7"/>
        <v>#NAME?</v>
      </c>
      <c r="AB33" t="e">
        <f t="shared" ca="1" si="8"/>
        <v>#NAME?</v>
      </c>
      <c r="AD33">
        <f t="shared" si="10"/>
        <v>30</v>
      </c>
      <c r="AE33">
        <f t="shared" si="11"/>
        <v>9.9094956509085375</v>
      </c>
    </row>
    <row r="34" spans="1:31" x14ac:dyDescent="0.35">
      <c r="A34">
        <f t="shared" si="0"/>
        <v>31</v>
      </c>
      <c r="B34">
        <v>11.683635570981139</v>
      </c>
      <c r="D34">
        <f t="shared" si="9"/>
        <v>31</v>
      </c>
      <c r="E34">
        <f t="shared" si="1"/>
        <v>-2.2945174619354827</v>
      </c>
      <c r="F34" t="e">
        <f t="shared" ca="1" si="12"/>
        <v>#NAME?</v>
      </c>
      <c r="V34">
        <f t="shared" si="2"/>
        <v>31</v>
      </c>
      <c r="W34">
        <f t="shared" si="3"/>
        <v>-2.2945174619354827</v>
      </c>
      <c r="X34" t="e">
        <f t="shared" ca="1" si="4"/>
        <v>#NAME?</v>
      </c>
      <c r="Y34" t="e">
        <f t="shared" ca="1" si="5"/>
        <v>#NAME?</v>
      </c>
      <c r="Z34" t="e">
        <f t="shared" ca="1" si="6"/>
        <v>#NAME?</v>
      </c>
      <c r="AA34" t="e">
        <f t="shared" ca="1" si="7"/>
        <v>#NAME?</v>
      </c>
      <c r="AB34" t="e">
        <f t="shared" ca="1" si="8"/>
        <v>#NAME?</v>
      </c>
      <c r="AD34">
        <f t="shared" si="10"/>
        <v>31</v>
      </c>
      <c r="AE34">
        <f t="shared" si="11"/>
        <v>11.683635570981139</v>
      </c>
    </row>
    <row r="35" spans="1:31" x14ac:dyDescent="0.35">
      <c r="A35">
        <f t="shared" si="0"/>
        <v>32</v>
      </c>
      <c r="B35">
        <v>9.3891181090456559</v>
      </c>
      <c r="D35">
        <f t="shared" si="9"/>
        <v>32</v>
      </c>
      <c r="E35">
        <f t="shared" si="1"/>
        <v>1.8918492439179051</v>
      </c>
      <c r="F35" t="e">
        <f t="shared" ca="1" si="12"/>
        <v>#NAME?</v>
      </c>
      <c r="V35">
        <f t="shared" si="2"/>
        <v>32</v>
      </c>
      <c r="W35">
        <f t="shared" si="3"/>
        <v>1.8918492439179051</v>
      </c>
      <c r="X35" t="e">
        <f t="shared" ca="1" si="4"/>
        <v>#NAME?</v>
      </c>
      <c r="Y35" t="e">
        <f t="shared" ca="1" si="5"/>
        <v>#NAME?</v>
      </c>
      <c r="Z35" t="e">
        <f t="shared" ca="1" si="6"/>
        <v>#NAME?</v>
      </c>
      <c r="AA35" t="e">
        <f t="shared" ca="1" si="7"/>
        <v>#NAME?</v>
      </c>
      <c r="AB35" t="e">
        <f t="shared" ca="1" si="8"/>
        <v>#NAME?</v>
      </c>
      <c r="AD35">
        <f t="shared" si="10"/>
        <v>32</v>
      </c>
      <c r="AE35">
        <f t="shared" si="11"/>
        <v>9.3891181090456559</v>
      </c>
    </row>
    <row r="36" spans="1:31" x14ac:dyDescent="0.35">
      <c r="A36">
        <f t="shared" si="0"/>
        <v>33</v>
      </c>
      <c r="B36">
        <v>11.280967352963561</v>
      </c>
      <c r="D36">
        <f t="shared" si="9"/>
        <v>33</v>
      </c>
      <c r="E36">
        <f t="shared" si="1"/>
        <v>-2.2032672986261925</v>
      </c>
      <c r="F36" t="e">
        <f t="shared" ca="1" si="12"/>
        <v>#NAME?</v>
      </c>
      <c r="V36">
        <f t="shared" si="2"/>
        <v>33</v>
      </c>
      <c r="W36">
        <f t="shared" si="3"/>
        <v>-2.2032672986261925</v>
      </c>
      <c r="X36" t="e">
        <f t="shared" ca="1" si="4"/>
        <v>#NAME?</v>
      </c>
      <c r="Y36" t="e">
        <f t="shared" ca="1" si="5"/>
        <v>#NAME?</v>
      </c>
      <c r="Z36" t="e">
        <f t="shared" ca="1" si="6"/>
        <v>#NAME?</v>
      </c>
      <c r="AA36" t="e">
        <f t="shared" ca="1" si="7"/>
        <v>#NAME?</v>
      </c>
      <c r="AB36" t="e">
        <f t="shared" ca="1" si="8"/>
        <v>#NAME?</v>
      </c>
      <c r="AD36">
        <f t="shared" si="10"/>
        <v>33</v>
      </c>
      <c r="AE36">
        <f t="shared" si="11"/>
        <v>11.280967352963561</v>
      </c>
    </row>
    <row r="37" spans="1:31" x14ac:dyDescent="0.35">
      <c r="A37">
        <f t="shared" si="0"/>
        <v>34</v>
      </c>
      <c r="B37">
        <v>9.0777000543373685</v>
      </c>
      <c r="D37">
        <f t="shared" si="9"/>
        <v>34</v>
      </c>
      <c r="E37">
        <f t="shared" si="1"/>
        <v>0.34415202537282141</v>
      </c>
      <c r="F37" t="e">
        <f t="shared" ca="1" si="12"/>
        <v>#NAME?</v>
      </c>
      <c r="V37">
        <f t="shared" si="2"/>
        <v>34</v>
      </c>
      <c r="W37">
        <f t="shared" si="3"/>
        <v>0.34415202537282141</v>
      </c>
      <c r="X37" t="e">
        <f t="shared" ca="1" si="4"/>
        <v>#NAME?</v>
      </c>
      <c r="Y37" t="e">
        <f t="shared" ca="1" si="5"/>
        <v>#NAME?</v>
      </c>
      <c r="Z37" t="e">
        <f t="shared" ca="1" si="6"/>
        <v>#NAME?</v>
      </c>
      <c r="AA37" t="e">
        <f t="shared" ca="1" si="7"/>
        <v>#NAME?</v>
      </c>
      <c r="AB37" t="e">
        <f t="shared" ca="1" si="8"/>
        <v>#NAME?</v>
      </c>
      <c r="AD37">
        <f t="shared" si="10"/>
        <v>34</v>
      </c>
      <c r="AE37">
        <f t="shared" si="11"/>
        <v>9.0777000543373685</v>
      </c>
    </row>
    <row r="38" spans="1:31" x14ac:dyDescent="0.35">
      <c r="A38">
        <f t="shared" si="0"/>
        <v>35</v>
      </c>
      <c r="B38">
        <v>9.4218520797101899</v>
      </c>
      <c r="D38">
        <f t="shared" si="9"/>
        <v>35</v>
      </c>
      <c r="E38">
        <f t="shared" si="1"/>
        <v>1.3468186870160324</v>
      </c>
      <c r="F38" t="e">
        <f t="shared" ca="1" si="12"/>
        <v>#NAME?</v>
      </c>
      <c r="V38">
        <f t="shared" si="2"/>
        <v>35</v>
      </c>
      <c r="W38">
        <f t="shared" si="3"/>
        <v>1.3468186870160324</v>
      </c>
      <c r="X38" t="e">
        <f t="shared" ca="1" si="4"/>
        <v>#NAME?</v>
      </c>
      <c r="Y38" t="e">
        <f t="shared" ca="1" si="5"/>
        <v>#NAME?</v>
      </c>
      <c r="Z38" t="e">
        <f t="shared" ca="1" si="6"/>
        <v>#NAME?</v>
      </c>
      <c r="AA38" t="e">
        <f t="shared" ca="1" si="7"/>
        <v>#NAME?</v>
      </c>
      <c r="AB38" t="e">
        <f t="shared" ca="1" si="8"/>
        <v>#NAME?</v>
      </c>
      <c r="AD38">
        <f t="shared" si="10"/>
        <v>35</v>
      </c>
      <c r="AE38">
        <f t="shared" si="11"/>
        <v>9.4218520797101899</v>
      </c>
    </row>
    <row r="39" spans="1:31" x14ac:dyDescent="0.35">
      <c r="A39">
        <f t="shared" si="0"/>
        <v>36</v>
      </c>
      <c r="B39">
        <v>10.768670766726222</v>
      </c>
      <c r="D39">
        <f t="shared" si="9"/>
        <v>36</v>
      </c>
      <c r="E39">
        <f t="shared" si="1"/>
        <v>-0.723984340505611</v>
      </c>
      <c r="F39" t="e">
        <f t="shared" ca="1" si="12"/>
        <v>#NAME?</v>
      </c>
      <c r="V39">
        <f t="shared" si="2"/>
        <v>36</v>
      </c>
      <c r="W39">
        <f t="shared" si="3"/>
        <v>-0.723984340505611</v>
      </c>
      <c r="X39" t="e">
        <f t="shared" ca="1" si="4"/>
        <v>#NAME?</v>
      </c>
      <c r="Y39" t="e">
        <f t="shared" ca="1" si="5"/>
        <v>#NAME?</v>
      </c>
      <c r="Z39" t="e">
        <f t="shared" ca="1" si="6"/>
        <v>#NAME?</v>
      </c>
      <c r="AA39" t="e">
        <f t="shared" ca="1" si="7"/>
        <v>#NAME?</v>
      </c>
      <c r="AB39" t="e">
        <f t="shared" ca="1" si="8"/>
        <v>#NAME?</v>
      </c>
      <c r="AD39">
        <f t="shared" si="10"/>
        <v>36</v>
      </c>
      <c r="AE39">
        <f t="shared" si="11"/>
        <v>10.768670766726222</v>
      </c>
    </row>
    <row r="40" spans="1:31" x14ac:dyDescent="0.35">
      <c r="A40">
        <f t="shared" si="0"/>
        <v>37</v>
      </c>
      <c r="B40">
        <v>10.044686426220611</v>
      </c>
      <c r="D40">
        <f t="shared" si="9"/>
        <v>37</v>
      </c>
      <c r="E40">
        <f t="shared" si="1"/>
        <v>-0.54203888534851785</v>
      </c>
      <c r="F40" t="e">
        <f t="shared" ca="1" si="12"/>
        <v>#NAME?</v>
      </c>
      <c r="V40">
        <f t="shared" si="2"/>
        <v>37</v>
      </c>
      <c r="W40">
        <f t="shared" si="3"/>
        <v>-0.54203888534851785</v>
      </c>
      <c r="X40" t="e">
        <f t="shared" ca="1" si="4"/>
        <v>#NAME?</v>
      </c>
      <c r="Y40" t="e">
        <f t="shared" ca="1" si="5"/>
        <v>#NAME?</v>
      </c>
      <c r="Z40" t="e">
        <f t="shared" ca="1" si="6"/>
        <v>#NAME?</v>
      </c>
      <c r="AA40" t="e">
        <f t="shared" ca="1" si="7"/>
        <v>#NAME?</v>
      </c>
      <c r="AB40" t="e">
        <f t="shared" ca="1" si="8"/>
        <v>#NAME?</v>
      </c>
      <c r="AD40">
        <f t="shared" si="10"/>
        <v>37</v>
      </c>
      <c r="AE40">
        <f t="shared" si="11"/>
        <v>10.044686426220611</v>
      </c>
    </row>
    <row r="41" spans="1:31" x14ac:dyDescent="0.35">
      <c r="A41">
        <f t="shared" si="0"/>
        <v>38</v>
      </c>
      <c r="B41">
        <v>9.5026475408720934</v>
      </c>
      <c r="D41">
        <f t="shared" si="9"/>
        <v>38</v>
      </c>
      <c r="E41">
        <f t="shared" si="1"/>
        <v>2.513987604337796</v>
      </c>
      <c r="F41" t="e">
        <f t="shared" ca="1" si="12"/>
        <v>#NAME?</v>
      </c>
      <c r="V41">
        <f t="shared" si="2"/>
        <v>38</v>
      </c>
      <c r="W41">
        <f t="shared" si="3"/>
        <v>2.513987604337796</v>
      </c>
      <c r="X41" t="e">
        <f t="shared" ca="1" si="4"/>
        <v>#NAME?</v>
      </c>
      <c r="Y41" t="e">
        <f t="shared" ca="1" si="5"/>
        <v>#NAME?</v>
      </c>
      <c r="Z41" t="e">
        <f t="shared" ca="1" si="6"/>
        <v>#NAME?</v>
      </c>
      <c r="AA41" t="e">
        <f t="shared" ca="1" si="7"/>
        <v>#NAME?</v>
      </c>
      <c r="AB41" t="e">
        <f t="shared" ca="1" si="8"/>
        <v>#NAME?</v>
      </c>
      <c r="AD41">
        <f t="shared" si="10"/>
        <v>38</v>
      </c>
      <c r="AE41">
        <f t="shared" si="11"/>
        <v>9.5026475408720934</v>
      </c>
    </row>
    <row r="42" spans="1:31" x14ac:dyDescent="0.35">
      <c r="A42">
        <f t="shared" si="0"/>
        <v>39</v>
      </c>
      <c r="B42">
        <v>12.016635145209889</v>
      </c>
      <c r="D42">
        <f t="shared" si="9"/>
        <v>39</v>
      </c>
      <c r="E42">
        <f t="shared" si="1"/>
        <v>-2.4090527207463346</v>
      </c>
      <c r="F42" t="e">
        <f t="shared" ca="1" si="12"/>
        <v>#NAME?</v>
      </c>
      <c r="V42">
        <f t="shared" si="2"/>
        <v>39</v>
      </c>
      <c r="W42">
        <f t="shared" si="3"/>
        <v>-2.4090527207463346</v>
      </c>
      <c r="X42" t="e">
        <f t="shared" ca="1" si="4"/>
        <v>#NAME?</v>
      </c>
      <c r="Y42" t="e">
        <f t="shared" ca="1" si="5"/>
        <v>#NAME?</v>
      </c>
      <c r="Z42" t="e">
        <f t="shared" ca="1" si="6"/>
        <v>#NAME?</v>
      </c>
      <c r="AA42" t="e">
        <f t="shared" ca="1" si="7"/>
        <v>#NAME?</v>
      </c>
      <c r="AB42" t="e">
        <f t="shared" ca="1" si="8"/>
        <v>#NAME?</v>
      </c>
      <c r="AD42">
        <f t="shared" si="10"/>
        <v>39</v>
      </c>
      <c r="AE42">
        <f t="shared" si="11"/>
        <v>12.016635145209889</v>
      </c>
    </row>
    <row r="43" spans="1:31" x14ac:dyDescent="0.35">
      <c r="A43">
        <f t="shared" si="0"/>
        <v>40</v>
      </c>
      <c r="B43">
        <v>9.6075824244635548</v>
      </c>
      <c r="D43">
        <f t="shared" si="9"/>
        <v>40</v>
      </c>
      <c r="E43">
        <f t="shared" si="1"/>
        <v>0.87121628214646485</v>
      </c>
      <c r="F43" t="e">
        <f t="shared" ca="1" si="12"/>
        <v>#NAME?</v>
      </c>
      <c r="V43">
        <f t="shared" si="2"/>
        <v>40</v>
      </c>
      <c r="W43">
        <f t="shared" si="3"/>
        <v>0.87121628214646485</v>
      </c>
      <c r="X43" t="e">
        <f t="shared" ca="1" si="4"/>
        <v>#NAME?</v>
      </c>
      <c r="Y43" t="e">
        <f t="shared" ca="1" si="5"/>
        <v>#NAME?</v>
      </c>
      <c r="Z43" t="e">
        <f t="shared" ca="1" si="6"/>
        <v>#NAME?</v>
      </c>
      <c r="AA43" t="e">
        <f t="shared" ca="1" si="7"/>
        <v>#NAME?</v>
      </c>
      <c r="AB43" t="e">
        <f t="shared" ca="1" si="8"/>
        <v>#NAME?</v>
      </c>
      <c r="AD43">
        <f t="shared" si="10"/>
        <v>40</v>
      </c>
      <c r="AE43">
        <f t="shared" si="11"/>
        <v>9.6075824244635548</v>
      </c>
    </row>
    <row r="44" spans="1:31" x14ac:dyDescent="0.35">
      <c r="A44">
        <f t="shared" si="0"/>
        <v>41</v>
      </c>
      <c r="B44">
        <v>10.47879870661002</v>
      </c>
      <c r="D44">
        <f t="shared" si="9"/>
        <v>41</v>
      </c>
      <c r="E44">
        <f t="shared" si="1"/>
        <v>-0.34765271049188229</v>
      </c>
      <c r="F44" t="e">
        <f t="shared" ca="1" si="12"/>
        <v>#NAME?</v>
      </c>
      <c r="V44">
        <f t="shared" si="2"/>
        <v>41</v>
      </c>
      <c r="W44">
        <f t="shared" si="3"/>
        <v>-0.34765271049188229</v>
      </c>
      <c r="X44" t="e">
        <f t="shared" ca="1" si="4"/>
        <v>#NAME?</v>
      </c>
      <c r="Y44" t="e">
        <f t="shared" ca="1" si="5"/>
        <v>#NAME?</v>
      </c>
      <c r="Z44" t="e">
        <f t="shared" ca="1" si="6"/>
        <v>#NAME?</v>
      </c>
      <c r="AA44" t="e">
        <f t="shared" ca="1" si="7"/>
        <v>#NAME?</v>
      </c>
      <c r="AB44" t="e">
        <f t="shared" ca="1" si="8"/>
        <v>#NAME?</v>
      </c>
      <c r="AD44">
        <f t="shared" si="10"/>
        <v>41</v>
      </c>
      <c r="AE44">
        <f t="shared" si="11"/>
        <v>10.47879870661002</v>
      </c>
    </row>
    <row r="45" spans="1:31" x14ac:dyDescent="0.35">
      <c r="A45">
        <f t="shared" si="0"/>
        <v>42</v>
      </c>
      <c r="B45">
        <v>10.131145996118137</v>
      </c>
      <c r="D45">
        <f t="shared" si="9"/>
        <v>42</v>
      </c>
      <c r="E45">
        <f t="shared" si="1"/>
        <v>-0.82089300302419232</v>
      </c>
      <c r="F45" t="e">
        <f t="shared" ca="1" si="12"/>
        <v>#NAME?</v>
      </c>
      <c r="V45">
        <f t="shared" si="2"/>
        <v>42</v>
      </c>
      <c r="W45">
        <f t="shared" si="3"/>
        <v>-0.82089300302419232</v>
      </c>
      <c r="X45" t="e">
        <f t="shared" ca="1" si="4"/>
        <v>#NAME?</v>
      </c>
      <c r="Y45" t="e">
        <f t="shared" ca="1" si="5"/>
        <v>#NAME?</v>
      </c>
      <c r="Z45" t="e">
        <f t="shared" ca="1" si="6"/>
        <v>#NAME?</v>
      </c>
      <c r="AA45" t="e">
        <f t="shared" ca="1" si="7"/>
        <v>#NAME?</v>
      </c>
      <c r="AB45" t="e">
        <f t="shared" ca="1" si="8"/>
        <v>#NAME?</v>
      </c>
      <c r="AD45">
        <f t="shared" si="10"/>
        <v>42</v>
      </c>
      <c r="AE45">
        <f t="shared" si="11"/>
        <v>10.131145996118137</v>
      </c>
    </row>
    <row r="46" spans="1:31" x14ac:dyDescent="0.35">
      <c r="A46">
        <f t="shared" si="0"/>
        <v>43</v>
      </c>
      <c r="B46">
        <v>9.3102529930939451</v>
      </c>
      <c r="D46">
        <f t="shared" si="9"/>
        <v>43</v>
      </c>
      <c r="E46">
        <f t="shared" si="1"/>
        <v>0.64298446388596986</v>
      </c>
      <c r="F46" t="e">
        <f t="shared" ca="1" si="12"/>
        <v>#NAME?</v>
      </c>
      <c r="V46">
        <f t="shared" si="2"/>
        <v>43</v>
      </c>
      <c r="W46">
        <f t="shared" si="3"/>
        <v>0.64298446388596986</v>
      </c>
      <c r="X46" t="e">
        <f t="shared" ca="1" si="4"/>
        <v>#NAME?</v>
      </c>
      <c r="Y46" t="e">
        <f t="shared" ca="1" si="5"/>
        <v>#NAME?</v>
      </c>
      <c r="Z46" t="e">
        <f t="shared" ca="1" si="6"/>
        <v>#NAME?</v>
      </c>
      <c r="AA46" t="e">
        <f t="shared" ca="1" si="7"/>
        <v>#NAME?</v>
      </c>
      <c r="AB46" t="e">
        <f t="shared" ca="1" si="8"/>
        <v>#NAME?</v>
      </c>
      <c r="AD46">
        <f t="shared" si="10"/>
        <v>43</v>
      </c>
      <c r="AE46">
        <f t="shared" si="11"/>
        <v>9.3102529930939451</v>
      </c>
    </row>
    <row r="47" spans="1:31" x14ac:dyDescent="0.35">
      <c r="A47">
        <f t="shared" si="0"/>
        <v>44</v>
      </c>
      <c r="B47">
        <v>9.9532374569799149</v>
      </c>
      <c r="D47">
        <f t="shared" si="9"/>
        <v>44</v>
      </c>
      <c r="E47">
        <f t="shared" si="1"/>
        <v>-2.1154482950354492E-2</v>
      </c>
      <c r="F47" t="e">
        <f t="shared" ca="1" si="12"/>
        <v>#NAME?</v>
      </c>
      <c r="V47">
        <f t="shared" si="2"/>
        <v>44</v>
      </c>
      <c r="W47">
        <f t="shared" si="3"/>
        <v>-2.1154482950354492E-2</v>
      </c>
      <c r="X47" t="e">
        <f t="shared" ca="1" si="4"/>
        <v>#NAME?</v>
      </c>
      <c r="Y47" t="e">
        <f t="shared" ca="1" si="5"/>
        <v>#NAME?</v>
      </c>
      <c r="Z47" t="e">
        <f t="shared" ca="1" si="6"/>
        <v>#NAME?</v>
      </c>
      <c r="AA47" t="e">
        <f t="shared" ca="1" si="7"/>
        <v>#NAME?</v>
      </c>
      <c r="AB47" t="e">
        <f t="shared" ca="1" si="8"/>
        <v>#NAME?</v>
      </c>
      <c r="AD47">
        <f t="shared" si="10"/>
        <v>44</v>
      </c>
      <c r="AE47">
        <f t="shared" si="11"/>
        <v>9.9532374569799149</v>
      </c>
    </row>
    <row r="48" spans="1:31" x14ac:dyDescent="0.35">
      <c r="A48">
        <f t="shared" si="0"/>
        <v>45</v>
      </c>
      <c r="B48">
        <v>9.9320829740295604</v>
      </c>
      <c r="D48">
        <f t="shared" si="9"/>
        <v>45</v>
      </c>
      <c r="E48">
        <f t="shared" si="1"/>
        <v>1.7030190054590548</v>
      </c>
      <c r="F48" t="e">
        <f t="shared" ca="1" si="12"/>
        <v>#NAME?</v>
      </c>
      <c r="V48">
        <f t="shared" si="2"/>
        <v>45</v>
      </c>
      <c r="W48">
        <f t="shared" si="3"/>
        <v>1.7030190054590548</v>
      </c>
      <c r="X48" t="e">
        <f t="shared" ca="1" si="4"/>
        <v>#NAME?</v>
      </c>
      <c r="Y48" t="e">
        <f t="shared" ca="1" si="5"/>
        <v>#NAME?</v>
      </c>
      <c r="Z48" t="e">
        <f t="shared" ca="1" si="6"/>
        <v>#NAME?</v>
      </c>
      <c r="AA48" t="e">
        <f t="shared" ca="1" si="7"/>
        <v>#NAME?</v>
      </c>
      <c r="AB48" t="e">
        <f t="shared" ca="1" si="8"/>
        <v>#NAME?</v>
      </c>
      <c r="AD48">
        <f t="shared" si="10"/>
        <v>45</v>
      </c>
      <c r="AE48">
        <f t="shared" si="11"/>
        <v>9.9320829740295604</v>
      </c>
    </row>
    <row r="49" spans="1:31" x14ac:dyDescent="0.35">
      <c r="A49">
        <f t="shared" si="0"/>
        <v>46</v>
      </c>
      <c r="B49">
        <v>11.635101979488615</v>
      </c>
      <c r="D49">
        <f t="shared" si="9"/>
        <v>46</v>
      </c>
      <c r="E49">
        <f t="shared" si="1"/>
        <v>-1.2068591570904239</v>
      </c>
      <c r="F49" t="e">
        <f t="shared" ca="1" si="12"/>
        <v>#NAME?</v>
      </c>
      <c r="V49">
        <f t="shared" si="2"/>
        <v>46</v>
      </c>
      <c r="W49">
        <f t="shared" si="3"/>
        <v>-1.2068591570904239</v>
      </c>
      <c r="X49" t="e">
        <f t="shared" ca="1" si="4"/>
        <v>#NAME?</v>
      </c>
      <c r="Y49" t="e">
        <f t="shared" ca="1" si="5"/>
        <v>#NAME?</v>
      </c>
      <c r="Z49" t="e">
        <f t="shared" ca="1" si="6"/>
        <v>#NAME?</v>
      </c>
      <c r="AA49" t="e">
        <f t="shared" ca="1" si="7"/>
        <v>#NAME?</v>
      </c>
      <c r="AB49" t="e">
        <f t="shared" ca="1" si="8"/>
        <v>#NAME?</v>
      </c>
      <c r="AD49">
        <f t="shared" si="10"/>
        <v>46</v>
      </c>
      <c r="AE49">
        <f t="shared" si="11"/>
        <v>11.635101979488615</v>
      </c>
    </row>
    <row r="50" spans="1:31" x14ac:dyDescent="0.35">
      <c r="A50">
        <f t="shared" si="0"/>
        <v>47</v>
      </c>
      <c r="B50">
        <v>10.428242822398191</v>
      </c>
      <c r="D50">
        <f t="shared" si="9"/>
        <v>47</v>
      </c>
      <c r="E50">
        <f t="shared" si="1"/>
        <v>-0.73401213664843112</v>
      </c>
      <c r="F50" t="e">
        <f t="shared" ca="1" si="12"/>
        <v>#NAME?</v>
      </c>
      <c r="V50">
        <f t="shared" si="2"/>
        <v>47</v>
      </c>
      <c r="W50">
        <f t="shared" si="3"/>
        <v>-0.73401213664843112</v>
      </c>
      <c r="X50" t="e">
        <f t="shared" ca="1" si="4"/>
        <v>#NAME?</v>
      </c>
      <c r="Y50" t="e">
        <f t="shared" ca="1" si="5"/>
        <v>#NAME?</v>
      </c>
      <c r="Z50" t="e">
        <f t="shared" ca="1" si="6"/>
        <v>#NAME?</v>
      </c>
      <c r="AA50" t="e">
        <f t="shared" ca="1" si="7"/>
        <v>#NAME?</v>
      </c>
      <c r="AB50" t="e">
        <f t="shared" ca="1" si="8"/>
        <v>#NAME?</v>
      </c>
      <c r="AD50">
        <f t="shared" si="10"/>
        <v>47</v>
      </c>
      <c r="AE50">
        <f t="shared" si="11"/>
        <v>10.428242822398191</v>
      </c>
    </row>
    <row r="51" spans="1:31" x14ac:dyDescent="0.35">
      <c r="A51">
        <f t="shared" si="0"/>
        <v>48</v>
      </c>
      <c r="B51">
        <v>9.6942306857497602</v>
      </c>
      <c r="D51">
        <f t="shared" si="9"/>
        <v>48</v>
      </c>
      <c r="E51">
        <f t="shared" si="1"/>
        <v>0.4748060666269982</v>
      </c>
      <c r="F51" t="e">
        <f t="shared" ca="1" si="12"/>
        <v>#NAME?</v>
      </c>
      <c r="V51">
        <f t="shared" si="2"/>
        <v>48</v>
      </c>
      <c r="W51">
        <f t="shared" si="3"/>
        <v>0.4748060666269982</v>
      </c>
      <c r="X51" t="e">
        <f t="shared" ca="1" si="4"/>
        <v>#NAME?</v>
      </c>
      <c r="Y51" t="e">
        <f t="shared" ca="1" si="5"/>
        <v>#NAME?</v>
      </c>
      <c r="Z51" t="e">
        <f t="shared" ca="1" si="6"/>
        <v>#NAME?</v>
      </c>
      <c r="AA51" t="e">
        <f t="shared" ca="1" si="7"/>
        <v>#NAME?</v>
      </c>
      <c r="AB51" t="e">
        <f t="shared" ca="1" si="8"/>
        <v>#NAME?</v>
      </c>
      <c r="AD51">
        <f t="shared" si="10"/>
        <v>48</v>
      </c>
      <c r="AE51">
        <f t="shared" si="11"/>
        <v>9.6942306857497602</v>
      </c>
    </row>
    <row r="52" spans="1:31" x14ac:dyDescent="0.35">
      <c r="A52">
        <f t="shared" si="0"/>
        <v>49</v>
      </c>
      <c r="B52">
        <v>10.169036752376758</v>
      </c>
      <c r="D52">
        <f t="shared" si="9"/>
        <v>49</v>
      </c>
      <c r="E52">
        <f t="shared" si="1"/>
        <v>0.31761896021325597</v>
      </c>
      <c r="F52" t="e">
        <f t="shared" ca="1" si="12"/>
        <v>#NAME?</v>
      </c>
      <c r="V52">
        <f t="shared" si="2"/>
        <v>49</v>
      </c>
      <c r="W52">
        <f t="shared" si="3"/>
        <v>0.31761896021325597</v>
      </c>
      <c r="X52" t="e">
        <f t="shared" ca="1" si="4"/>
        <v>#NAME?</v>
      </c>
      <c r="Y52" t="e">
        <f t="shared" ca="1" si="5"/>
        <v>#NAME?</v>
      </c>
      <c r="Z52" t="e">
        <f t="shared" ca="1" si="6"/>
        <v>#NAME?</v>
      </c>
      <c r="AA52" t="e">
        <f t="shared" ca="1" si="7"/>
        <v>#NAME?</v>
      </c>
      <c r="AB52" t="e">
        <f t="shared" ca="1" si="8"/>
        <v>#NAME?</v>
      </c>
      <c r="AD52">
        <f t="shared" si="10"/>
        <v>49</v>
      </c>
      <c r="AE52">
        <f t="shared" si="11"/>
        <v>10.169036752376758</v>
      </c>
    </row>
    <row r="53" spans="1:31" x14ac:dyDescent="0.35">
      <c r="A53">
        <f t="shared" si="0"/>
        <v>50</v>
      </c>
      <c r="B53">
        <v>10.486655712590014</v>
      </c>
      <c r="D53">
        <f t="shared" si="9"/>
        <v>50</v>
      </c>
      <c r="E53">
        <f t="shared" si="1"/>
        <v>0.16949392746280267</v>
      </c>
      <c r="F53" t="e">
        <f t="shared" ca="1" si="12"/>
        <v>#NAME?</v>
      </c>
      <c r="V53">
        <f t="shared" si="2"/>
        <v>50</v>
      </c>
      <c r="W53">
        <f t="shared" si="3"/>
        <v>0.16949392746280267</v>
      </c>
      <c r="X53" t="e">
        <f t="shared" ca="1" si="4"/>
        <v>#NAME?</v>
      </c>
      <c r="Y53" t="e">
        <f t="shared" ca="1" si="5"/>
        <v>#NAME?</v>
      </c>
      <c r="Z53" t="e">
        <f t="shared" ca="1" si="6"/>
        <v>#NAME?</v>
      </c>
      <c r="AA53" t="e">
        <f t="shared" ca="1" si="7"/>
        <v>#NAME?</v>
      </c>
      <c r="AB53" t="e">
        <f t="shared" ca="1" si="8"/>
        <v>#NAME?</v>
      </c>
      <c r="AD53">
        <f t="shared" si="10"/>
        <v>50</v>
      </c>
      <c r="AE53">
        <f t="shared" si="11"/>
        <v>10.486655712590014</v>
      </c>
    </row>
    <row r="54" spans="1:31" x14ac:dyDescent="0.35">
      <c r="A54">
        <f t="shared" si="0"/>
        <v>51</v>
      </c>
      <c r="B54">
        <v>10.656149640052817</v>
      </c>
      <c r="D54">
        <f t="shared" si="9"/>
        <v>51</v>
      </c>
      <c r="E54">
        <f t="shared" si="1"/>
        <v>-0.52683207343680571</v>
      </c>
      <c r="F54" t="e">
        <f t="shared" ca="1" si="12"/>
        <v>#NAME?</v>
      </c>
      <c r="V54">
        <f t="shared" si="2"/>
        <v>51</v>
      </c>
      <c r="W54">
        <f t="shared" si="3"/>
        <v>-0.52683207343680571</v>
      </c>
      <c r="X54" t="e">
        <f t="shared" ca="1" si="4"/>
        <v>#NAME?</v>
      </c>
      <c r="Y54" t="e">
        <f t="shared" ca="1" si="5"/>
        <v>#NAME?</v>
      </c>
      <c r="Z54" t="e">
        <f t="shared" ca="1" si="6"/>
        <v>#NAME?</v>
      </c>
      <c r="AA54" t="e">
        <f t="shared" ca="1" si="7"/>
        <v>#NAME?</v>
      </c>
      <c r="AB54" t="e">
        <f t="shared" ca="1" si="8"/>
        <v>#NAME?</v>
      </c>
      <c r="AD54">
        <f t="shared" si="10"/>
        <v>51</v>
      </c>
      <c r="AE54">
        <f t="shared" si="11"/>
        <v>10.656149640052817</v>
      </c>
    </row>
    <row r="55" spans="1:31" x14ac:dyDescent="0.35">
      <c r="A55">
        <f t="shared" si="0"/>
        <v>52</v>
      </c>
      <c r="B55">
        <v>10.129317566616011</v>
      </c>
      <c r="D55">
        <f t="shared" si="9"/>
        <v>52</v>
      </c>
      <c r="E55">
        <f t="shared" si="1"/>
        <v>-1.1630118141978052</v>
      </c>
      <c r="F55" t="e">
        <f t="shared" ca="1" si="12"/>
        <v>#NAME?</v>
      </c>
      <c r="V55">
        <f t="shared" si="2"/>
        <v>52</v>
      </c>
      <c r="W55">
        <f t="shared" si="3"/>
        <v>-1.1630118141978052</v>
      </c>
      <c r="X55" t="e">
        <f t="shared" ca="1" si="4"/>
        <v>#NAME?</v>
      </c>
      <c r="Y55" t="e">
        <f t="shared" ca="1" si="5"/>
        <v>#NAME?</v>
      </c>
      <c r="Z55" t="e">
        <f t="shared" ca="1" si="6"/>
        <v>#NAME?</v>
      </c>
      <c r="AA55" t="e">
        <f t="shared" ca="1" si="7"/>
        <v>#NAME?</v>
      </c>
      <c r="AB55" t="e">
        <f t="shared" ca="1" si="8"/>
        <v>#NAME?</v>
      </c>
      <c r="AD55">
        <f t="shared" si="10"/>
        <v>52</v>
      </c>
      <c r="AE55">
        <f t="shared" si="11"/>
        <v>10.129317566616011</v>
      </c>
    </row>
    <row r="56" spans="1:31" x14ac:dyDescent="0.35">
      <c r="A56">
        <f t="shared" si="0"/>
        <v>53</v>
      </c>
      <c r="B56">
        <v>8.9663057524182062</v>
      </c>
      <c r="D56">
        <f t="shared" si="9"/>
        <v>53</v>
      </c>
      <c r="E56">
        <f t="shared" si="1"/>
        <v>-0.85955431342572375</v>
      </c>
      <c r="F56" t="e">
        <f t="shared" ca="1" si="12"/>
        <v>#NAME?</v>
      </c>
      <c r="V56">
        <f t="shared" si="2"/>
        <v>53</v>
      </c>
      <c r="W56">
        <f t="shared" si="3"/>
        <v>-0.85955431342572375</v>
      </c>
      <c r="X56" t="e">
        <f t="shared" ca="1" si="4"/>
        <v>#NAME?</v>
      </c>
      <c r="Y56" t="e">
        <f t="shared" ca="1" si="5"/>
        <v>#NAME?</v>
      </c>
      <c r="Z56" t="e">
        <f t="shared" ca="1" si="6"/>
        <v>#NAME?</v>
      </c>
      <c r="AA56" t="e">
        <f t="shared" ca="1" si="7"/>
        <v>#NAME?</v>
      </c>
      <c r="AB56" t="e">
        <f t="shared" ca="1" si="8"/>
        <v>#NAME?</v>
      </c>
      <c r="AD56">
        <f t="shared" si="10"/>
        <v>53</v>
      </c>
      <c r="AE56">
        <f t="shared" si="11"/>
        <v>8.9663057524182062</v>
      </c>
    </row>
    <row r="57" spans="1:31" x14ac:dyDescent="0.35">
      <c r="A57">
        <f t="shared" si="0"/>
        <v>54</v>
      </c>
      <c r="B57">
        <v>8.1067514389924824</v>
      </c>
      <c r="D57">
        <f t="shared" si="9"/>
        <v>54</v>
      </c>
      <c r="E57">
        <f t="shared" si="1"/>
        <v>0.56714731885902125</v>
      </c>
      <c r="F57" t="e">
        <f t="shared" ca="1" si="12"/>
        <v>#NAME?</v>
      </c>
      <c r="V57">
        <f t="shared" si="2"/>
        <v>54</v>
      </c>
      <c r="W57">
        <f t="shared" si="3"/>
        <v>0.56714731885902125</v>
      </c>
      <c r="X57" t="e">
        <f t="shared" ca="1" si="4"/>
        <v>#NAME?</v>
      </c>
      <c r="Y57" t="e">
        <f t="shared" ca="1" si="5"/>
        <v>#NAME?</v>
      </c>
      <c r="Z57" t="e">
        <f t="shared" ca="1" si="6"/>
        <v>#NAME?</v>
      </c>
      <c r="AA57" t="e">
        <f t="shared" ca="1" si="7"/>
        <v>#NAME?</v>
      </c>
      <c r="AB57" t="e">
        <f t="shared" ca="1" si="8"/>
        <v>#NAME?</v>
      </c>
      <c r="AD57">
        <f t="shared" si="10"/>
        <v>54</v>
      </c>
      <c r="AE57">
        <f t="shared" si="11"/>
        <v>8.1067514389924824</v>
      </c>
    </row>
    <row r="58" spans="1:31" x14ac:dyDescent="0.35">
      <c r="A58">
        <f t="shared" si="0"/>
        <v>55</v>
      </c>
      <c r="B58">
        <v>8.6738987578515037</v>
      </c>
      <c r="D58">
        <f t="shared" si="9"/>
        <v>55</v>
      </c>
      <c r="E58">
        <f t="shared" si="1"/>
        <v>6.5963365907760974E-2</v>
      </c>
      <c r="F58" t="e">
        <f t="shared" ca="1" si="12"/>
        <v>#NAME?</v>
      </c>
      <c r="V58">
        <f t="shared" si="2"/>
        <v>55</v>
      </c>
      <c r="W58">
        <f t="shared" si="3"/>
        <v>6.5963365907760974E-2</v>
      </c>
      <c r="X58" t="e">
        <f t="shared" ca="1" si="4"/>
        <v>#NAME?</v>
      </c>
      <c r="Y58" t="e">
        <f t="shared" ca="1" si="5"/>
        <v>#NAME?</v>
      </c>
      <c r="Z58" t="e">
        <f t="shared" ca="1" si="6"/>
        <v>#NAME?</v>
      </c>
      <c r="AA58" t="e">
        <f t="shared" ca="1" si="7"/>
        <v>#NAME?</v>
      </c>
      <c r="AB58" t="e">
        <f t="shared" ca="1" si="8"/>
        <v>#NAME?</v>
      </c>
      <c r="AD58">
        <f t="shared" si="10"/>
        <v>55</v>
      </c>
      <c r="AE58">
        <f t="shared" si="11"/>
        <v>8.6738987578515037</v>
      </c>
    </row>
    <row r="59" spans="1:31" x14ac:dyDescent="0.35">
      <c r="A59">
        <f t="shared" si="0"/>
        <v>56</v>
      </c>
      <c r="B59">
        <v>8.7398621237592646</v>
      </c>
      <c r="D59">
        <f t="shared" si="9"/>
        <v>56</v>
      </c>
      <c r="E59">
        <f t="shared" si="1"/>
        <v>2.4113973768793429E-2</v>
      </c>
      <c r="F59" t="e">
        <f t="shared" ca="1" si="12"/>
        <v>#NAME?</v>
      </c>
      <c r="V59">
        <f t="shared" si="2"/>
        <v>56</v>
      </c>
      <c r="W59">
        <f t="shared" si="3"/>
        <v>2.4113973768793429E-2</v>
      </c>
      <c r="X59" t="e">
        <f t="shared" ca="1" si="4"/>
        <v>#NAME?</v>
      </c>
      <c r="Y59" t="e">
        <f t="shared" ca="1" si="5"/>
        <v>#NAME?</v>
      </c>
      <c r="Z59" t="e">
        <f t="shared" ca="1" si="6"/>
        <v>#NAME?</v>
      </c>
      <c r="AA59" t="e">
        <f t="shared" ca="1" si="7"/>
        <v>#NAME?</v>
      </c>
      <c r="AB59" t="e">
        <f t="shared" ca="1" si="8"/>
        <v>#NAME?</v>
      </c>
      <c r="AD59">
        <f t="shared" si="10"/>
        <v>56</v>
      </c>
      <c r="AE59">
        <f t="shared" si="11"/>
        <v>8.7398621237592646</v>
      </c>
    </row>
    <row r="60" spans="1:31" x14ac:dyDescent="0.35">
      <c r="A60">
        <f t="shared" si="0"/>
        <v>57</v>
      </c>
      <c r="B60">
        <v>8.7639760975280581</v>
      </c>
      <c r="D60">
        <f t="shared" si="9"/>
        <v>57</v>
      </c>
      <c r="E60">
        <f t="shared" si="1"/>
        <v>1.8436561727228504</v>
      </c>
      <c r="F60" t="e">
        <f t="shared" ca="1" si="12"/>
        <v>#NAME?</v>
      </c>
      <c r="V60">
        <f t="shared" si="2"/>
        <v>57</v>
      </c>
      <c r="W60">
        <f t="shared" si="3"/>
        <v>1.8436561727228504</v>
      </c>
      <c r="X60" t="e">
        <f t="shared" ca="1" si="4"/>
        <v>#NAME?</v>
      </c>
      <c r="Y60" t="e">
        <f t="shared" ca="1" si="5"/>
        <v>#NAME?</v>
      </c>
      <c r="Z60" t="e">
        <f t="shared" ca="1" si="6"/>
        <v>#NAME?</v>
      </c>
      <c r="AA60" t="e">
        <f t="shared" ca="1" si="7"/>
        <v>#NAME?</v>
      </c>
      <c r="AB60" t="e">
        <f t="shared" ca="1" si="8"/>
        <v>#NAME?</v>
      </c>
      <c r="AD60">
        <f t="shared" si="10"/>
        <v>57</v>
      </c>
      <c r="AE60">
        <f t="shared" si="11"/>
        <v>8.7639760975280581</v>
      </c>
    </row>
    <row r="61" spans="1:31" x14ac:dyDescent="0.35">
      <c r="A61">
        <f t="shared" si="0"/>
        <v>58</v>
      </c>
      <c r="B61">
        <v>10.607632270250908</v>
      </c>
      <c r="D61">
        <f t="shared" si="9"/>
        <v>58</v>
      </c>
      <c r="E61">
        <f t="shared" si="1"/>
        <v>-1.761347904139118</v>
      </c>
      <c r="F61" t="e">
        <f t="shared" ca="1" si="12"/>
        <v>#NAME?</v>
      </c>
      <c r="V61">
        <f t="shared" si="2"/>
        <v>58</v>
      </c>
      <c r="W61">
        <f t="shared" si="3"/>
        <v>-1.761347904139118</v>
      </c>
      <c r="X61" t="e">
        <f t="shared" ca="1" si="4"/>
        <v>#NAME?</v>
      </c>
      <c r="Y61" t="e">
        <f t="shared" ca="1" si="5"/>
        <v>#NAME?</v>
      </c>
      <c r="Z61" t="e">
        <f t="shared" ca="1" si="6"/>
        <v>#NAME?</v>
      </c>
      <c r="AA61" t="e">
        <f t="shared" ca="1" si="7"/>
        <v>#NAME?</v>
      </c>
      <c r="AB61" t="e">
        <f t="shared" ca="1" si="8"/>
        <v>#NAME?</v>
      </c>
      <c r="AD61">
        <f t="shared" si="10"/>
        <v>58</v>
      </c>
      <c r="AE61">
        <f t="shared" si="11"/>
        <v>10.607632270250908</v>
      </c>
    </row>
    <row r="62" spans="1:31" x14ac:dyDescent="0.35">
      <c r="A62">
        <f t="shared" si="0"/>
        <v>59</v>
      </c>
      <c r="B62">
        <v>8.8462843661117905</v>
      </c>
      <c r="D62">
        <f t="shared" si="9"/>
        <v>59</v>
      </c>
      <c r="E62">
        <f t="shared" si="1"/>
        <v>-0.64885389403297644</v>
      </c>
      <c r="F62" t="e">
        <f t="shared" ca="1" si="12"/>
        <v>#NAME?</v>
      </c>
      <c r="V62">
        <f t="shared" si="2"/>
        <v>59</v>
      </c>
      <c r="W62">
        <f t="shared" si="3"/>
        <v>-0.64885389403297644</v>
      </c>
      <c r="X62" t="e">
        <f t="shared" ca="1" si="4"/>
        <v>#NAME?</v>
      </c>
      <c r="Y62" t="e">
        <f t="shared" ca="1" si="5"/>
        <v>#NAME?</v>
      </c>
      <c r="Z62" t="e">
        <f t="shared" ca="1" si="6"/>
        <v>#NAME?</v>
      </c>
      <c r="AA62" t="e">
        <f t="shared" ca="1" si="7"/>
        <v>#NAME?</v>
      </c>
      <c r="AB62" t="e">
        <f t="shared" ca="1" si="8"/>
        <v>#NAME?</v>
      </c>
      <c r="AD62">
        <f t="shared" si="10"/>
        <v>59</v>
      </c>
      <c r="AE62">
        <f t="shared" si="11"/>
        <v>8.8462843661117905</v>
      </c>
    </row>
    <row r="63" spans="1:31" x14ac:dyDescent="0.35">
      <c r="A63">
        <f t="shared" si="0"/>
        <v>60</v>
      </c>
      <c r="B63">
        <v>8.197430472078814</v>
      </c>
      <c r="D63">
        <f t="shared" si="9"/>
        <v>60</v>
      </c>
      <c r="E63">
        <f t="shared" si="1"/>
        <v>1.5030373387145843</v>
      </c>
      <c r="F63" t="e">
        <f t="shared" ca="1" si="12"/>
        <v>#NAME?</v>
      </c>
      <c r="V63">
        <f t="shared" si="2"/>
        <v>60</v>
      </c>
      <c r="W63">
        <f t="shared" si="3"/>
        <v>1.5030373387145843</v>
      </c>
      <c r="X63" t="e">
        <f t="shared" ca="1" si="4"/>
        <v>#NAME?</v>
      </c>
      <c r="Y63" t="e">
        <f t="shared" ca="1" si="5"/>
        <v>#NAME?</v>
      </c>
      <c r="Z63" t="e">
        <f t="shared" ca="1" si="6"/>
        <v>#NAME?</v>
      </c>
      <c r="AA63" t="e">
        <f t="shared" ca="1" si="7"/>
        <v>#NAME?</v>
      </c>
      <c r="AB63" t="e">
        <f t="shared" ca="1" si="8"/>
        <v>#NAME?</v>
      </c>
      <c r="AD63">
        <f t="shared" si="10"/>
        <v>60</v>
      </c>
      <c r="AE63">
        <f t="shared" si="11"/>
        <v>8.197430472078814</v>
      </c>
    </row>
    <row r="64" spans="1:31" x14ac:dyDescent="0.35">
      <c r="A64">
        <f t="shared" si="0"/>
        <v>61</v>
      </c>
      <c r="B64">
        <v>9.7004678107933984</v>
      </c>
      <c r="D64">
        <f t="shared" si="9"/>
        <v>61</v>
      </c>
      <c r="E64">
        <f t="shared" si="1"/>
        <v>-0.20165934776715311</v>
      </c>
      <c r="F64" t="e">
        <f t="shared" ca="1" si="12"/>
        <v>#NAME?</v>
      </c>
      <c r="V64">
        <f t="shared" si="2"/>
        <v>61</v>
      </c>
      <c r="W64">
        <f t="shared" si="3"/>
        <v>-0.20165934776715311</v>
      </c>
      <c r="X64" t="e">
        <f t="shared" ca="1" si="4"/>
        <v>#NAME?</v>
      </c>
      <c r="Y64" t="e">
        <f t="shared" ca="1" si="5"/>
        <v>#NAME?</v>
      </c>
      <c r="Z64" t="e">
        <f t="shared" ca="1" si="6"/>
        <v>#NAME?</v>
      </c>
      <c r="AA64" t="e">
        <f t="shared" ca="1" si="7"/>
        <v>#NAME?</v>
      </c>
      <c r="AB64" t="e">
        <f t="shared" ca="1" si="8"/>
        <v>#NAME?</v>
      </c>
      <c r="AD64">
        <f t="shared" si="10"/>
        <v>61</v>
      </c>
      <c r="AE64">
        <f t="shared" si="11"/>
        <v>9.7004678107933984</v>
      </c>
    </row>
    <row r="65" spans="1:31" x14ac:dyDescent="0.35">
      <c r="A65">
        <f t="shared" si="0"/>
        <v>62</v>
      </c>
      <c r="B65">
        <v>9.4988084630262453</v>
      </c>
      <c r="D65">
        <f t="shared" si="9"/>
        <v>62</v>
      </c>
      <c r="E65">
        <f t="shared" si="1"/>
        <v>0.20157731591234551</v>
      </c>
      <c r="F65" t="e">
        <f t="shared" ca="1" si="12"/>
        <v>#NAME?</v>
      </c>
      <c r="V65">
        <f t="shared" si="2"/>
        <v>62</v>
      </c>
      <c r="W65">
        <f t="shared" si="3"/>
        <v>0.20157731591234551</v>
      </c>
      <c r="X65" t="e">
        <f t="shared" ca="1" si="4"/>
        <v>#NAME?</v>
      </c>
      <c r="Y65" t="e">
        <f t="shared" ca="1" si="5"/>
        <v>#NAME?</v>
      </c>
      <c r="Z65" t="e">
        <f t="shared" ca="1" si="6"/>
        <v>#NAME?</v>
      </c>
      <c r="AA65" t="e">
        <f t="shared" ca="1" si="7"/>
        <v>#NAME?</v>
      </c>
      <c r="AB65" t="e">
        <f t="shared" ca="1" si="8"/>
        <v>#NAME?</v>
      </c>
      <c r="AD65">
        <f t="shared" si="10"/>
        <v>62</v>
      </c>
      <c r="AE65">
        <f t="shared" si="11"/>
        <v>9.4988084630262453</v>
      </c>
    </row>
    <row r="66" spans="1:31" x14ac:dyDescent="0.35">
      <c r="A66">
        <f t="shared" si="0"/>
        <v>63</v>
      </c>
      <c r="B66">
        <v>9.7003857789385908</v>
      </c>
      <c r="D66">
        <f t="shared" si="9"/>
        <v>63</v>
      </c>
      <c r="E66">
        <f t="shared" si="1"/>
        <v>0.11924221499984178</v>
      </c>
      <c r="F66" t="e">
        <f t="shared" ca="1" si="12"/>
        <v>#NAME?</v>
      </c>
      <c r="V66">
        <f t="shared" si="2"/>
        <v>63</v>
      </c>
      <c r="W66">
        <f t="shared" si="3"/>
        <v>0.11924221499984178</v>
      </c>
      <c r="X66" t="e">
        <f t="shared" ca="1" si="4"/>
        <v>#NAME?</v>
      </c>
      <c r="Y66" t="e">
        <f t="shared" ca="1" si="5"/>
        <v>#NAME?</v>
      </c>
      <c r="Z66" t="e">
        <f t="shared" ca="1" si="6"/>
        <v>#NAME?</v>
      </c>
      <c r="AA66" t="e">
        <f t="shared" ca="1" si="7"/>
        <v>#NAME?</v>
      </c>
      <c r="AB66" t="e">
        <f t="shared" ca="1" si="8"/>
        <v>#NAME?</v>
      </c>
      <c r="AD66">
        <f t="shared" si="10"/>
        <v>63</v>
      </c>
      <c r="AE66">
        <f t="shared" si="11"/>
        <v>9.7003857789385908</v>
      </c>
    </row>
    <row r="67" spans="1:31" x14ac:dyDescent="0.35">
      <c r="A67">
        <f t="shared" si="0"/>
        <v>64</v>
      </c>
      <c r="B67">
        <v>9.8196279939384326</v>
      </c>
      <c r="D67">
        <f t="shared" si="9"/>
        <v>64</v>
      </c>
      <c r="E67">
        <f t="shared" si="1"/>
        <v>2.537417591296272</v>
      </c>
      <c r="F67" t="e">
        <f t="shared" ca="1" si="12"/>
        <v>#NAME?</v>
      </c>
      <c r="V67">
        <f t="shared" si="2"/>
        <v>64</v>
      </c>
      <c r="W67">
        <f t="shared" si="3"/>
        <v>2.537417591296272</v>
      </c>
      <c r="X67" t="e">
        <f t="shared" ca="1" si="4"/>
        <v>#NAME?</v>
      </c>
      <c r="Y67" t="e">
        <f t="shared" ca="1" si="5"/>
        <v>#NAME?</v>
      </c>
      <c r="Z67" t="e">
        <f t="shared" ca="1" si="6"/>
        <v>#NAME?</v>
      </c>
      <c r="AA67" t="e">
        <f t="shared" ca="1" si="7"/>
        <v>#NAME?</v>
      </c>
      <c r="AB67" t="e">
        <f t="shared" ca="1" si="8"/>
        <v>#NAME?</v>
      </c>
      <c r="AD67">
        <f t="shared" si="10"/>
        <v>64</v>
      </c>
      <c r="AE67">
        <f t="shared" si="11"/>
        <v>9.8196279939384326</v>
      </c>
    </row>
    <row r="68" spans="1:31" x14ac:dyDescent="0.35">
      <c r="A68">
        <f t="shared" si="0"/>
        <v>65</v>
      </c>
      <c r="B68">
        <v>12.357045585234705</v>
      </c>
      <c r="D68">
        <f t="shared" si="9"/>
        <v>65</v>
      </c>
      <c r="E68">
        <f t="shared" si="1"/>
        <v>-1.4334411711336639</v>
      </c>
      <c r="F68" t="e">
        <f t="shared" ca="1" si="12"/>
        <v>#NAME?</v>
      </c>
      <c r="V68">
        <f t="shared" si="2"/>
        <v>65</v>
      </c>
      <c r="W68">
        <f t="shared" si="3"/>
        <v>-1.4334411711336639</v>
      </c>
      <c r="X68" t="e">
        <f t="shared" ca="1" si="4"/>
        <v>#NAME?</v>
      </c>
      <c r="Y68" t="e">
        <f t="shared" ca="1" si="5"/>
        <v>#NAME?</v>
      </c>
      <c r="Z68" t="e">
        <f t="shared" ca="1" si="6"/>
        <v>#NAME?</v>
      </c>
      <c r="AA68" t="e">
        <f t="shared" ca="1" si="7"/>
        <v>#NAME?</v>
      </c>
      <c r="AB68" t="e">
        <f t="shared" ca="1" si="8"/>
        <v>#NAME?</v>
      </c>
      <c r="AD68">
        <f t="shared" si="10"/>
        <v>65</v>
      </c>
      <c r="AE68">
        <f t="shared" si="11"/>
        <v>12.357045585234705</v>
      </c>
    </row>
    <row r="69" spans="1:31" x14ac:dyDescent="0.35">
      <c r="A69">
        <f t="shared" ref="A69:A108" si="13">A68+1</f>
        <v>66</v>
      </c>
      <c r="B69">
        <v>10.923604414101041</v>
      </c>
      <c r="D69">
        <f t="shared" si="9"/>
        <v>66</v>
      </c>
      <c r="E69">
        <f t="shared" ref="E69:E107" si="14">B70-B69</f>
        <v>-1.2228385674944615</v>
      </c>
      <c r="F69" t="e">
        <f t="shared" ca="1" si="12"/>
        <v>#NAME?</v>
      </c>
      <c r="V69">
        <f t="shared" ref="V69:V107" si="15">D69</f>
        <v>66</v>
      </c>
      <c r="W69">
        <f t="shared" ref="W69:W107" si="16">E69</f>
        <v>-1.2228385674944615</v>
      </c>
      <c r="X69" t="e">
        <f t="shared" ref="X69:X107" ca="1" si="17">F69</f>
        <v>#NAME?</v>
      </c>
      <c r="Y69" t="e">
        <f t="shared" ref="Y69:Y107" ca="1" si="18">W69-X69</f>
        <v>#NAME?</v>
      </c>
      <c r="Z69" t="e">
        <f t="shared" ref="Z69:Z107" ca="1" si="19">J$15</f>
        <v>#NAME?</v>
      </c>
      <c r="AA69" t="e">
        <f t="shared" ref="AA69:AA107" ca="1" si="20">Y69-NORMSINV(1-Z$2/2)*Z69</f>
        <v>#NAME?</v>
      </c>
      <c r="AB69" t="e">
        <f t="shared" ref="AB69:AB107" ca="1" si="21">Y69+NORMSINV(1-Z$2/2)*Z69</f>
        <v>#NAME?</v>
      </c>
      <c r="AD69">
        <f t="shared" si="10"/>
        <v>66</v>
      </c>
      <c r="AE69">
        <f t="shared" si="11"/>
        <v>10.923604414101041</v>
      </c>
    </row>
    <row r="70" spans="1:31" x14ac:dyDescent="0.35">
      <c r="A70">
        <f t="shared" si="13"/>
        <v>67</v>
      </c>
      <c r="B70">
        <v>9.7007658466065791</v>
      </c>
      <c r="D70">
        <f t="shared" ref="D70:D107" si="22">D69+1</f>
        <v>67</v>
      </c>
      <c r="E70">
        <f t="shared" si="14"/>
        <v>0.57339521810750504</v>
      </c>
      <c r="F70" t="e">
        <f t="shared" ca="1" si="12"/>
        <v>#NAME?</v>
      </c>
      <c r="V70">
        <f t="shared" si="15"/>
        <v>67</v>
      </c>
      <c r="W70">
        <f t="shared" si="16"/>
        <v>0.57339521810750504</v>
      </c>
      <c r="X70" t="e">
        <f t="shared" ca="1" si="17"/>
        <v>#NAME?</v>
      </c>
      <c r="Y70" t="e">
        <f t="shared" ca="1" si="18"/>
        <v>#NAME?</v>
      </c>
      <c r="Z70" t="e">
        <f t="shared" ca="1" si="19"/>
        <v>#NAME?</v>
      </c>
      <c r="AA70" t="e">
        <f t="shared" ca="1" si="20"/>
        <v>#NAME?</v>
      </c>
      <c r="AB70" t="e">
        <f t="shared" ca="1" si="21"/>
        <v>#NAME?</v>
      </c>
      <c r="AD70">
        <f t="shared" ref="AD70:AD113" si="23">AD69+1</f>
        <v>67</v>
      </c>
      <c r="AE70">
        <f t="shared" ref="AE70:AE108" si="24">B70</f>
        <v>9.7007658466065791</v>
      </c>
    </row>
    <row r="71" spans="1:31" x14ac:dyDescent="0.35">
      <c r="A71">
        <f t="shared" si="13"/>
        <v>68</v>
      </c>
      <c r="B71">
        <v>10.274161064714084</v>
      </c>
      <c r="D71">
        <f t="shared" si="22"/>
        <v>68</v>
      </c>
      <c r="E71">
        <f t="shared" si="14"/>
        <v>-0.51808019115808257</v>
      </c>
      <c r="F71" t="e">
        <f t="shared" ref="F71:F107" ca="1" si="25">E71-SUMPRODUCT(E69:E70,I$4:I$5)-SUMPRODUCT(F70,J$5)</f>
        <v>#NAME?</v>
      </c>
      <c r="V71">
        <f t="shared" si="15"/>
        <v>68</v>
      </c>
      <c r="W71">
        <f t="shared" si="16"/>
        <v>-0.51808019115808257</v>
      </c>
      <c r="X71" t="e">
        <f t="shared" ca="1" si="17"/>
        <v>#NAME?</v>
      </c>
      <c r="Y71" t="e">
        <f t="shared" ca="1" si="18"/>
        <v>#NAME?</v>
      </c>
      <c r="Z71" t="e">
        <f t="shared" ca="1" si="19"/>
        <v>#NAME?</v>
      </c>
      <c r="AA71" t="e">
        <f t="shared" ca="1" si="20"/>
        <v>#NAME?</v>
      </c>
      <c r="AB71" t="e">
        <f t="shared" ca="1" si="21"/>
        <v>#NAME?</v>
      </c>
      <c r="AD71">
        <f t="shared" si="23"/>
        <v>68</v>
      </c>
      <c r="AE71">
        <f t="shared" si="24"/>
        <v>10.274161064714084</v>
      </c>
    </row>
    <row r="72" spans="1:31" x14ac:dyDescent="0.35">
      <c r="A72">
        <f t="shared" si="13"/>
        <v>69</v>
      </c>
      <c r="B72">
        <v>9.7560808735560016</v>
      </c>
      <c r="D72">
        <f t="shared" si="22"/>
        <v>69</v>
      </c>
      <c r="E72">
        <f t="shared" si="14"/>
        <v>-0.46834903150442564</v>
      </c>
      <c r="F72" t="e">
        <f t="shared" ca="1" si="25"/>
        <v>#NAME?</v>
      </c>
      <c r="V72">
        <f t="shared" si="15"/>
        <v>69</v>
      </c>
      <c r="W72">
        <f t="shared" si="16"/>
        <v>-0.46834903150442564</v>
      </c>
      <c r="X72" t="e">
        <f t="shared" ca="1" si="17"/>
        <v>#NAME?</v>
      </c>
      <c r="Y72" t="e">
        <f t="shared" ca="1" si="18"/>
        <v>#NAME?</v>
      </c>
      <c r="Z72" t="e">
        <f t="shared" ca="1" si="19"/>
        <v>#NAME?</v>
      </c>
      <c r="AA72" t="e">
        <f t="shared" ca="1" si="20"/>
        <v>#NAME?</v>
      </c>
      <c r="AB72" t="e">
        <f t="shared" ca="1" si="21"/>
        <v>#NAME?</v>
      </c>
      <c r="AD72">
        <f t="shared" si="23"/>
        <v>69</v>
      </c>
      <c r="AE72">
        <f t="shared" si="24"/>
        <v>9.7560808735560016</v>
      </c>
    </row>
    <row r="73" spans="1:31" x14ac:dyDescent="0.35">
      <c r="A73">
        <f t="shared" si="13"/>
        <v>70</v>
      </c>
      <c r="B73">
        <v>9.287731842051576</v>
      </c>
      <c r="D73">
        <f t="shared" si="22"/>
        <v>70</v>
      </c>
      <c r="E73">
        <f t="shared" si="14"/>
        <v>-0.49292414514580152</v>
      </c>
      <c r="F73" t="e">
        <f t="shared" ca="1" si="25"/>
        <v>#NAME?</v>
      </c>
      <c r="V73">
        <f t="shared" si="15"/>
        <v>70</v>
      </c>
      <c r="W73">
        <f t="shared" si="16"/>
        <v>-0.49292414514580152</v>
      </c>
      <c r="X73" t="e">
        <f t="shared" ca="1" si="17"/>
        <v>#NAME?</v>
      </c>
      <c r="Y73" t="e">
        <f t="shared" ca="1" si="18"/>
        <v>#NAME?</v>
      </c>
      <c r="Z73" t="e">
        <f t="shared" ca="1" si="19"/>
        <v>#NAME?</v>
      </c>
      <c r="AA73" t="e">
        <f t="shared" ca="1" si="20"/>
        <v>#NAME?</v>
      </c>
      <c r="AB73" t="e">
        <f t="shared" ca="1" si="21"/>
        <v>#NAME?</v>
      </c>
      <c r="AD73">
        <f t="shared" si="23"/>
        <v>70</v>
      </c>
      <c r="AE73">
        <f t="shared" si="24"/>
        <v>9.287731842051576</v>
      </c>
    </row>
    <row r="74" spans="1:31" x14ac:dyDescent="0.35">
      <c r="A74">
        <f t="shared" si="13"/>
        <v>71</v>
      </c>
      <c r="B74">
        <v>8.7948076969057745</v>
      </c>
      <c r="D74">
        <f t="shared" si="22"/>
        <v>71</v>
      </c>
      <c r="E74">
        <f t="shared" si="14"/>
        <v>1.1573582483518763</v>
      </c>
      <c r="F74" t="e">
        <f t="shared" ca="1" si="25"/>
        <v>#NAME?</v>
      </c>
      <c r="V74">
        <f t="shared" si="15"/>
        <v>71</v>
      </c>
      <c r="W74">
        <f t="shared" si="16"/>
        <v>1.1573582483518763</v>
      </c>
      <c r="X74" t="e">
        <f t="shared" ca="1" si="17"/>
        <v>#NAME?</v>
      </c>
      <c r="Y74" t="e">
        <f t="shared" ca="1" si="18"/>
        <v>#NAME?</v>
      </c>
      <c r="Z74" t="e">
        <f t="shared" ca="1" si="19"/>
        <v>#NAME?</v>
      </c>
      <c r="AA74" t="e">
        <f t="shared" ca="1" si="20"/>
        <v>#NAME?</v>
      </c>
      <c r="AB74" t="e">
        <f t="shared" ca="1" si="21"/>
        <v>#NAME?</v>
      </c>
      <c r="AD74">
        <f t="shared" si="23"/>
        <v>71</v>
      </c>
      <c r="AE74">
        <f t="shared" si="24"/>
        <v>8.7948076969057745</v>
      </c>
    </row>
    <row r="75" spans="1:31" x14ac:dyDescent="0.35">
      <c r="A75">
        <f t="shared" si="13"/>
        <v>72</v>
      </c>
      <c r="B75">
        <v>9.9521659452576507</v>
      </c>
      <c r="D75">
        <f t="shared" si="22"/>
        <v>72</v>
      </c>
      <c r="E75">
        <f t="shared" si="14"/>
        <v>-0.80564815197410766</v>
      </c>
      <c r="F75" t="e">
        <f t="shared" ca="1" si="25"/>
        <v>#NAME?</v>
      </c>
      <c r="V75">
        <f t="shared" si="15"/>
        <v>72</v>
      </c>
      <c r="W75">
        <f t="shared" si="16"/>
        <v>-0.80564815197410766</v>
      </c>
      <c r="X75" t="e">
        <f t="shared" ca="1" si="17"/>
        <v>#NAME?</v>
      </c>
      <c r="Y75" t="e">
        <f t="shared" ca="1" si="18"/>
        <v>#NAME?</v>
      </c>
      <c r="Z75" t="e">
        <f t="shared" ca="1" si="19"/>
        <v>#NAME?</v>
      </c>
      <c r="AA75" t="e">
        <f t="shared" ca="1" si="20"/>
        <v>#NAME?</v>
      </c>
      <c r="AB75" t="e">
        <f t="shared" ca="1" si="21"/>
        <v>#NAME?</v>
      </c>
      <c r="AD75">
        <f t="shared" si="23"/>
        <v>72</v>
      </c>
      <c r="AE75">
        <f t="shared" si="24"/>
        <v>9.9521659452576507</v>
      </c>
    </row>
    <row r="76" spans="1:31" x14ac:dyDescent="0.35">
      <c r="A76">
        <f t="shared" si="13"/>
        <v>73</v>
      </c>
      <c r="B76">
        <v>9.1465177932835431</v>
      </c>
      <c r="D76">
        <f t="shared" si="22"/>
        <v>73</v>
      </c>
      <c r="E76">
        <f t="shared" si="14"/>
        <v>-0.73444497047406898</v>
      </c>
      <c r="F76" t="e">
        <f t="shared" ca="1" si="25"/>
        <v>#NAME?</v>
      </c>
      <c r="V76">
        <f t="shared" si="15"/>
        <v>73</v>
      </c>
      <c r="W76">
        <f t="shared" si="16"/>
        <v>-0.73444497047406898</v>
      </c>
      <c r="X76" t="e">
        <f t="shared" ca="1" si="17"/>
        <v>#NAME?</v>
      </c>
      <c r="Y76" t="e">
        <f t="shared" ca="1" si="18"/>
        <v>#NAME?</v>
      </c>
      <c r="Z76" t="e">
        <f t="shared" ca="1" si="19"/>
        <v>#NAME?</v>
      </c>
      <c r="AA76" t="e">
        <f t="shared" ca="1" si="20"/>
        <v>#NAME?</v>
      </c>
      <c r="AB76" t="e">
        <f t="shared" ca="1" si="21"/>
        <v>#NAME?</v>
      </c>
      <c r="AD76">
        <f t="shared" si="23"/>
        <v>73</v>
      </c>
      <c r="AE76">
        <f t="shared" si="24"/>
        <v>9.1465177932835431</v>
      </c>
    </row>
    <row r="77" spans="1:31" x14ac:dyDescent="0.35">
      <c r="A77">
        <f t="shared" si="13"/>
        <v>74</v>
      </c>
      <c r="B77">
        <v>8.4120728228094741</v>
      </c>
      <c r="D77">
        <f t="shared" si="22"/>
        <v>74</v>
      </c>
      <c r="E77">
        <f t="shared" si="14"/>
        <v>1.3117745178152749</v>
      </c>
      <c r="F77" t="e">
        <f t="shared" ca="1" si="25"/>
        <v>#NAME?</v>
      </c>
      <c r="V77">
        <f t="shared" si="15"/>
        <v>74</v>
      </c>
      <c r="W77">
        <f t="shared" si="16"/>
        <v>1.3117745178152749</v>
      </c>
      <c r="X77" t="e">
        <f t="shared" ca="1" si="17"/>
        <v>#NAME?</v>
      </c>
      <c r="Y77" t="e">
        <f t="shared" ca="1" si="18"/>
        <v>#NAME?</v>
      </c>
      <c r="Z77" t="e">
        <f t="shared" ca="1" si="19"/>
        <v>#NAME?</v>
      </c>
      <c r="AA77" t="e">
        <f t="shared" ca="1" si="20"/>
        <v>#NAME?</v>
      </c>
      <c r="AB77" t="e">
        <f t="shared" ca="1" si="21"/>
        <v>#NAME?</v>
      </c>
      <c r="AD77">
        <f t="shared" si="23"/>
        <v>74</v>
      </c>
      <c r="AE77">
        <f t="shared" si="24"/>
        <v>8.4120728228094741</v>
      </c>
    </row>
    <row r="78" spans="1:31" x14ac:dyDescent="0.35">
      <c r="A78">
        <f t="shared" si="13"/>
        <v>75</v>
      </c>
      <c r="B78">
        <v>9.723847340624749</v>
      </c>
      <c r="D78">
        <f t="shared" si="22"/>
        <v>75</v>
      </c>
      <c r="E78">
        <f t="shared" si="14"/>
        <v>-1.2750585872641551</v>
      </c>
      <c r="F78" t="e">
        <f t="shared" ca="1" si="25"/>
        <v>#NAME?</v>
      </c>
      <c r="V78">
        <f t="shared" si="15"/>
        <v>75</v>
      </c>
      <c r="W78">
        <f t="shared" si="16"/>
        <v>-1.2750585872641551</v>
      </c>
      <c r="X78" t="e">
        <f t="shared" ca="1" si="17"/>
        <v>#NAME?</v>
      </c>
      <c r="Y78" t="e">
        <f t="shared" ca="1" si="18"/>
        <v>#NAME?</v>
      </c>
      <c r="Z78" t="e">
        <f t="shared" ca="1" si="19"/>
        <v>#NAME?</v>
      </c>
      <c r="AA78" t="e">
        <f t="shared" ca="1" si="20"/>
        <v>#NAME?</v>
      </c>
      <c r="AB78" t="e">
        <f t="shared" ca="1" si="21"/>
        <v>#NAME?</v>
      </c>
      <c r="AD78">
        <f t="shared" si="23"/>
        <v>75</v>
      </c>
      <c r="AE78">
        <f t="shared" si="24"/>
        <v>9.723847340624749</v>
      </c>
    </row>
    <row r="79" spans="1:31" x14ac:dyDescent="0.35">
      <c r="A79">
        <f t="shared" si="13"/>
        <v>76</v>
      </c>
      <c r="B79">
        <v>8.4487887533605939</v>
      </c>
      <c r="D79">
        <f t="shared" si="22"/>
        <v>76</v>
      </c>
      <c r="E79">
        <f t="shared" si="14"/>
        <v>0.86038087462530122</v>
      </c>
      <c r="F79" t="e">
        <f t="shared" ca="1" si="25"/>
        <v>#NAME?</v>
      </c>
      <c r="V79">
        <f t="shared" si="15"/>
        <v>76</v>
      </c>
      <c r="W79">
        <f t="shared" si="16"/>
        <v>0.86038087462530122</v>
      </c>
      <c r="X79" t="e">
        <f t="shared" ca="1" si="17"/>
        <v>#NAME?</v>
      </c>
      <c r="Y79" t="e">
        <f t="shared" ca="1" si="18"/>
        <v>#NAME?</v>
      </c>
      <c r="Z79" t="e">
        <f t="shared" ca="1" si="19"/>
        <v>#NAME?</v>
      </c>
      <c r="AA79" t="e">
        <f t="shared" ca="1" si="20"/>
        <v>#NAME?</v>
      </c>
      <c r="AB79" t="e">
        <f t="shared" ca="1" si="21"/>
        <v>#NAME?</v>
      </c>
      <c r="AD79">
        <f t="shared" si="23"/>
        <v>76</v>
      </c>
      <c r="AE79">
        <f t="shared" si="24"/>
        <v>8.4487887533605939</v>
      </c>
    </row>
    <row r="80" spans="1:31" x14ac:dyDescent="0.35">
      <c r="A80">
        <f t="shared" si="13"/>
        <v>77</v>
      </c>
      <c r="B80">
        <v>9.3091696279858951</v>
      </c>
      <c r="D80">
        <f t="shared" si="22"/>
        <v>77</v>
      </c>
      <c r="E80">
        <f t="shared" si="14"/>
        <v>0.31992544424648273</v>
      </c>
      <c r="F80" t="e">
        <f t="shared" ca="1" si="25"/>
        <v>#NAME?</v>
      </c>
      <c r="V80">
        <f t="shared" si="15"/>
        <v>77</v>
      </c>
      <c r="W80">
        <f t="shared" si="16"/>
        <v>0.31992544424648273</v>
      </c>
      <c r="X80" t="e">
        <f t="shared" ca="1" si="17"/>
        <v>#NAME?</v>
      </c>
      <c r="Y80" t="e">
        <f t="shared" ca="1" si="18"/>
        <v>#NAME?</v>
      </c>
      <c r="Z80" t="e">
        <f t="shared" ca="1" si="19"/>
        <v>#NAME?</v>
      </c>
      <c r="AA80" t="e">
        <f t="shared" ca="1" si="20"/>
        <v>#NAME?</v>
      </c>
      <c r="AB80" t="e">
        <f t="shared" ca="1" si="21"/>
        <v>#NAME?</v>
      </c>
      <c r="AD80">
        <f t="shared" si="23"/>
        <v>77</v>
      </c>
      <c r="AE80">
        <f t="shared" si="24"/>
        <v>9.3091696279858951</v>
      </c>
    </row>
    <row r="81" spans="1:31" x14ac:dyDescent="0.35">
      <c r="A81">
        <f t="shared" si="13"/>
        <v>78</v>
      </c>
      <c r="B81">
        <v>9.6290950722323778</v>
      </c>
      <c r="D81">
        <f t="shared" si="22"/>
        <v>78</v>
      </c>
      <c r="E81">
        <f t="shared" si="14"/>
        <v>0.86965926988917097</v>
      </c>
      <c r="F81" t="e">
        <f t="shared" ca="1" si="25"/>
        <v>#NAME?</v>
      </c>
      <c r="V81">
        <f t="shared" si="15"/>
        <v>78</v>
      </c>
      <c r="W81">
        <f t="shared" si="16"/>
        <v>0.86965926988917097</v>
      </c>
      <c r="X81" t="e">
        <f t="shared" ca="1" si="17"/>
        <v>#NAME?</v>
      </c>
      <c r="Y81" t="e">
        <f t="shared" ca="1" si="18"/>
        <v>#NAME?</v>
      </c>
      <c r="Z81" t="e">
        <f t="shared" ca="1" si="19"/>
        <v>#NAME?</v>
      </c>
      <c r="AA81" t="e">
        <f t="shared" ca="1" si="20"/>
        <v>#NAME?</v>
      </c>
      <c r="AB81" t="e">
        <f t="shared" ca="1" si="21"/>
        <v>#NAME?</v>
      </c>
      <c r="AD81">
        <f t="shared" si="23"/>
        <v>78</v>
      </c>
      <c r="AE81">
        <f t="shared" si="24"/>
        <v>9.6290950722323778</v>
      </c>
    </row>
    <row r="82" spans="1:31" x14ac:dyDescent="0.35">
      <c r="A82">
        <f t="shared" si="13"/>
        <v>79</v>
      </c>
      <c r="B82">
        <v>10.498754342121549</v>
      </c>
      <c r="D82">
        <f t="shared" si="22"/>
        <v>79</v>
      </c>
      <c r="E82">
        <f t="shared" si="14"/>
        <v>-2.3641983074957871</v>
      </c>
      <c r="F82" t="e">
        <f t="shared" ca="1" si="25"/>
        <v>#NAME?</v>
      </c>
      <c r="V82">
        <f t="shared" si="15"/>
        <v>79</v>
      </c>
      <c r="W82">
        <f t="shared" si="16"/>
        <v>-2.3641983074957871</v>
      </c>
      <c r="X82" t="e">
        <f t="shared" ca="1" si="17"/>
        <v>#NAME?</v>
      </c>
      <c r="Y82" t="e">
        <f t="shared" ca="1" si="18"/>
        <v>#NAME?</v>
      </c>
      <c r="Z82" t="e">
        <f t="shared" ca="1" si="19"/>
        <v>#NAME?</v>
      </c>
      <c r="AA82" t="e">
        <f t="shared" ca="1" si="20"/>
        <v>#NAME?</v>
      </c>
      <c r="AB82" t="e">
        <f t="shared" ca="1" si="21"/>
        <v>#NAME?</v>
      </c>
      <c r="AD82">
        <f t="shared" si="23"/>
        <v>79</v>
      </c>
      <c r="AE82">
        <f t="shared" si="24"/>
        <v>10.498754342121549</v>
      </c>
    </row>
    <row r="83" spans="1:31" x14ac:dyDescent="0.35">
      <c r="A83">
        <f t="shared" si="13"/>
        <v>80</v>
      </c>
      <c r="B83">
        <v>8.1345560346257617</v>
      </c>
      <c r="D83">
        <f t="shared" si="22"/>
        <v>80</v>
      </c>
      <c r="E83">
        <f t="shared" si="14"/>
        <v>1.0206275277374743</v>
      </c>
      <c r="F83" t="e">
        <f t="shared" ca="1" si="25"/>
        <v>#NAME?</v>
      </c>
      <c r="V83">
        <f t="shared" si="15"/>
        <v>80</v>
      </c>
      <c r="W83">
        <f t="shared" si="16"/>
        <v>1.0206275277374743</v>
      </c>
      <c r="X83" t="e">
        <f t="shared" ca="1" si="17"/>
        <v>#NAME?</v>
      </c>
      <c r="Y83" t="e">
        <f t="shared" ca="1" si="18"/>
        <v>#NAME?</v>
      </c>
      <c r="Z83" t="e">
        <f t="shared" ca="1" si="19"/>
        <v>#NAME?</v>
      </c>
      <c r="AA83" t="e">
        <f t="shared" ca="1" si="20"/>
        <v>#NAME?</v>
      </c>
      <c r="AB83" t="e">
        <f t="shared" ca="1" si="21"/>
        <v>#NAME?</v>
      </c>
      <c r="AD83">
        <f t="shared" si="23"/>
        <v>80</v>
      </c>
      <c r="AE83">
        <f t="shared" si="24"/>
        <v>8.1345560346257617</v>
      </c>
    </row>
    <row r="84" spans="1:31" x14ac:dyDescent="0.35">
      <c r="A84">
        <f t="shared" si="13"/>
        <v>81</v>
      </c>
      <c r="B84">
        <v>9.155183562363236</v>
      </c>
      <c r="D84">
        <f t="shared" si="22"/>
        <v>81</v>
      </c>
      <c r="E84">
        <f t="shared" si="14"/>
        <v>-1.1630981222893864</v>
      </c>
      <c r="F84" t="e">
        <f t="shared" ca="1" si="25"/>
        <v>#NAME?</v>
      </c>
      <c r="V84">
        <f t="shared" si="15"/>
        <v>81</v>
      </c>
      <c r="W84">
        <f t="shared" si="16"/>
        <v>-1.1630981222893864</v>
      </c>
      <c r="X84" t="e">
        <f t="shared" ca="1" si="17"/>
        <v>#NAME?</v>
      </c>
      <c r="Y84" t="e">
        <f t="shared" ca="1" si="18"/>
        <v>#NAME?</v>
      </c>
      <c r="Z84" t="e">
        <f t="shared" ca="1" si="19"/>
        <v>#NAME?</v>
      </c>
      <c r="AA84" t="e">
        <f t="shared" ca="1" si="20"/>
        <v>#NAME?</v>
      </c>
      <c r="AB84" t="e">
        <f t="shared" ca="1" si="21"/>
        <v>#NAME?</v>
      </c>
      <c r="AD84">
        <f t="shared" si="23"/>
        <v>81</v>
      </c>
      <c r="AE84">
        <f t="shared" si="24"/>
        <v>9.155183562363236</v>
      </c>
    </row>
    <row r="85" spans="1:31" x14ac:dyDescent="0.35">
      <c r="A85">
        <f t="shared" si="13"/>
        <v>82</v>
      </c>
      <c r="B85">
        <v>7.9920854400738497</v>
      </c>
      <c r="D85">
        <f t="shared" si="22"/>
        <v>82</v>
      </c>
      <c r="E85">
        <f t="shared" si="14"/>
        <v>2.4474415565955097</v>
      </c>
      <c r="F85" t="e">
        <f t="shared" ca="1" si="25"/>
        <v>#NAME?</v>
      </c>
      <c r="V85">
        <f t="shared" si="15"/>
        <v>82</v>
      </c>
      <c r="W85">
        <f t="shared" si="16"/>
        <v>2.4474415565955097</v>
      </c>
      <c r="X85" t="e">
        <f t="shared" ca="1" si="17"/>
        <v>#NAME?</v>
      </c>
      <c r="Y85" t="e">
        <f t="shared" ca="1" si="18"/>
        <v>#NAME?</v>
      </c>
      <c r="Z85" t="e">
        <f t="shared" ca="1" si="19"/>
        <v>#NAME?</v>
      </c>
      <c r="AA85" t="e">
        <f t="shared" ca="1" si="20"/>
        <v>#NAME?</v>
      </c>
      <c r="AB85" t="e">
        <f t="shared" ca="1" si="21"/>
        <v>#NAME?</v>
      </c>
      <c r="AD85">
        <f t="shared" si="23"/>
        <v>82</v>
      </c>
      <c r="AE85">
        <f t="shared" si="24"/>
        <v>7.9920854400738497</v>
      </c>
    </row>
    <row r="86" spans="1:31" x14ac:dyDescent="0.35">
      <c r="A86">
        <f t="shared" si="13"/>
        <v>83</v>
      </c>
      <c r="B86">
        <v>10.439526996669359</v>
      </c>
      <c r="D86">
        <f t="shared" si="22"/>
        <v>83</v>
      </c>
      <c r="E86">
        <f t="shared" si="14"/>
        <v>0.7357257317525665</v>
      </c>
      <c r="F86" t="e">
        <f t="shared" ca="1" si="25"/>
        <v>#NAME?</v>
      </c>
      <c r="V86">
        <f t="shared" si="15"/>
        <v>83</v>
      </c>
      <c r="W86">
        <f t="shared" si="16"/>
        <v>0.7357257317525665</v>
      </c>
      <c r="X86" t="e">
        <f t="shared" ca="1" si="17"/>
        <v>#NAME?</v>
      </c>
      <c r="Y86" t="e">
        <f t="shared" ca="1" si="18"/>
        <v>#NAME?</v>
      </c>
      <c r="Z86" t="e">
        <f t="shared" ca="1" si="19"/>
        <v>#NAME?</v>
      </c>
      <c r="AA86" t="e">
        <f t="shared" ca="1" si="20"/>
        <v>#NAME?</v>
      </c>
      <c r="AB86" t="e">
        <f t="shared" ca="1" si="21"/>
        <v>#NAME?</v>
      </c>
      <c r="AD86">
        <f t="shared" si="23"/>
        <v>83</v>
      </c>
      <c r="AE86">
        <f t="shared" si="24"/>
        <v>10.439526996669359</v>
      </c>
    </row>
    <row r="87" spans="1:31" x14ac:dyDescent="0.35">
      <c r="A87">
        <f t="shared" si="13"/>
        <v>84</v>
      </c>
      <c r="B87">
        <v>11.175252728421926</v>
      </c>
      <c r="D87">
        <f t="shared" si="22"/>
        <v>84</v>
      </c>
      <c r="E87">
        <f t="shared" si="14"/>
        <v>-1.2537492393584539</v>
      </c>
      <c r="F87" t="e">
        <f t="shared" ca="1" si="25"/>
        <v>#NAME?</v>
      </c>
      <c r="V87">
        <f t="shared" si="15"/>
        <v>84</v>
      </c>
      <c r="W87">
        <f t="shared" si="16"/>
        <v>-1.2537492393584539</v>
      </c>
      <c r="X87" t="e">
        <f t="shared" ca="1" si="17"/>
        <v>#NAME?</v>
      </c>
      <c r="Y87" t="e">
        <f t="shared" ca="1" si="18"/>
        <v>#NAME?</v>
      </c>
      <c r="Z87" t="e">
        <f t="shared" ca="1" si="19"/>
        <v>#NAME?</v>
      </c>
      <c r="AA87" t="e">
        <f t="shared" ca="1" si="20"/>
        <v>#NAME?</v>
      </c>
      <c r="AB87" t="e">
        <f t="shared" ca="1" si="21"/>
        <v>#NAME?</v>
      </c>
      <c r="AD87">
        <f t="shared" si="23"/>
        <v>84</v>
      </c>
      <c r="AE87">
        <f t="shared" si="24"/>
        <v>11.175252728421926</v>
      </c>
    </row>
    <row r="88" spans="1:31" x14ac:dyDescent="0.35">
      <c r="A88">
        <f t="shared" si="13"/>
        <v>85</v>
      </c>
      <c r="B88">
        <v>9.9215034890634719</v>
      </c>
      <c r="D88">
        <f t="shared" si="22"/>
        <v>85</v>
      </c>
      <c r="E88">
        <f t="shared" si="14"/>
        <v>0.73151537486166696</v>
      </c>
      <c r="F88" t="e">
        <f t="shared" ca="1" si="25"/>
        <v>#NAME?</v>
      </c>
      <c r="V88">
        <f t="shared" si="15"/>
        <v>85</v>
      </c>
      <c r="W88">
        <f t="shared" si="16"/>
        <v>0.73151537486166696</v>
      </c>
      <c r="X88" t="e">
        <f t="shared" ca="1" si="17"/>
        <v>#NAME?</v>
      </c>
      <c r="Y88" t="e">
        <f t="shared" ca="1" si="18"/>
        <v>#NAME?</v>
      </c>
      <c r="Z88" t="e">
        <f t="shared" ca="1" si="19"/>
        <v>#NAME?</v>
      </c>
      <c r="AA88" t="e">
        <f t="shared" ca="1" si="20"/>
        <v>#NAME?</v>
      </c>
      <c r="AB88" t="e">
        <f t="shared" ca="1" si="21"/>
        <v>#NAME?</v>
      </c>
      <c r="AD88">
        <f t="shared" si="23"/>
        <v>85</v>
      </c>
      <c r="AE88">
        <f t="shared" si="24"/>
        <v>9.9215034890634719</v>
      </c>
    </row>
    <row r="89" spans="1:31" x14ac:dyDescent="0.35">
      <c r="A89">
        <f t="shared" si="13"/>
        <v>86</v>
      </c>
      <c r="B89">
        <v>10.653018863925139</v>
      </c>
      <c r="D89">
        <f t="shared" si="22"/>
        <v>86</v>
      </c>
      <c r="E89">
        <f t="shared" si="14"/>
        <v>-0.35205382796539375</v>
      </c>
      <c r="F89" t="e">
        <f t="shared" ca="1" si="25"/>
        <v>#NAME?</v>
      </c>
      <c r="V89">
        <f t="shared" si="15"/>
        <v>86</v>
      </c>
      <c r="W89">
        <f t="shared" si="16"/>
        <v>-0.35205382796539375</v>
      </c>
      <c r="X89" t="e">
        <f t="shared" ca="1" si="17"/>
        <v>#NAME?</v>
      </c>
      <c r="Y89" t="e">
        <f t="shared" ca="1" si="18"/>
        <v>#NAME?</v>
      </c>
      <c r="Z89" t="e">
        <f t="shared" ca="1" si="19"/>
        <v>#NAME?</v>
      </c>
      <c r="AA89" t="e">
        <f t="shared" ca="1" si="20"/>
        <v>#NAME?</v>
      </c>
      <c r="AB89" t="e">
        <f t="shared" ca="1" si="21"/>
        <v>#NAME?</v>
      </c>
      <c r="AD89">
        <f t="shared" si="23"/>
        <v>86</v>
      </c>
      <c r="AE89">
        <f t="shared" si="24"/>
        <v>10.653018863925139</v>
      </c>
    </row>
    <row r="90" spans="1:31" x14ac:dyDescent="0.35">
      <c r="A90">
        <f t="shared" si="13"/>
        <v>87</v>
      </c>
      <c r="B90">
        <v>10.300965035959745</v>
      </c>
      <c r="D90">
        <f t="shared" si="22"/>
        <v>87</v>
      </c>
      <c r="E90">
        <f t="shared" si="14"/>
        <v>-0.97825339391929411</v>
      </c>
      <c r="F90" t="e">
        <f t="shared" ca="1" si="25"/>
        <v>#NAME?</v>
      </c>
      <c r="V90">
        <f t="shared" si="15"/>
        <v>87</v>
      </c>
      <c r="W90">
        <f t="shared" si="16"/>
        <v>-0.97825339391929411</v>
      </c>
      <c r="X90" t="e">
        <f t="shared" ca="1" si="17"/>
        <v>#NAME?</v>
      </c>
      <c r="Y90" t="e">
        <f t="shared" ca="1" si="18"/>
        <v>#NAME?</v>
      </c>
      <c r="Z90" t="e">
        <f t="shared" ca="1" si="19"/>
        <v>#NAME?</v>
      </c>
      <c r="AA90" t="e">
        <f t="shared" ca="1" si="20"/>
        <v>#NAME?</v>
      </c>
      <c r="AB90" t="e">
        <f t="shared" ca="1" si="21"/>
        <v>#NAME?</v>
      </c>
      <c r="AD90">
        <f t="shared" si="23"/>
        <v>87</v>
      </c>
      <c r="AE90">
        <f t="shared" si="24"/>
        <v>10.300965035959745</v>
      </c>
    </row>
    <row r="91" spans="1:31" x14ac:dyDescent="0.35">
      <c r="A91">
        <f t="shared" si="13"/>
        <v>88</v>
      </c>
      <c r="B91">
        <v>9.322711642040451</v>
      </c>
      <c r="D91">
        <f t="shared" si="22"/>
        <v>88</v>
      </c>
      <c r="E91">
        <f t="shared" si="14"/>
        <v>1.8857852559415491</v>
      </c>
      <c r="F91" t="e">
        <f t="shared" ca="1" si="25"/>
        <v>#NAME?</v>
      </c>
      <c r="V91">
        <f t="shared" si="15"/>
        <v>88</v>
      </c>
      <c r="W91">
        <f t="shared" si="16"/>
        <v>1.8857852559415491</v>
      </c>
      <c r="X91" t="e">
        <f t="shared" ca="1" si="17"/>
        <v>#NAME?</v>
      </c>
      <c r="Y91" t="e">
        <f t="shared" ca="1" si="18"/>
        <v>#NAME?</v>
      </c>
      <c r="Z91" t="e">
        <f t="shared" ca="1" si="19"/>
        <v>#NAME?</v>
      </c>
      <c r="AA91" t="e">
        <f t="shared" ca="1" si="20"/>
        <v>#NAME?</v>
      </c>
      <c r="AB91" t="e">
        <f t="shared" ca="1" si="21"/>
        <v>#NAME?</v>
      </c>
      <c r="AD91">
        <f t="shared" si="23"/>
        <v>88</v>
      </c>
      <c r="AE91">
        <f t="shared" si="24"/>
        <v>9.322711642040451</v>
      </c>
    </row>
    <row r="92" spans="1:31" x14ac:dyDescent="0.35">
      <c r="A92">
        <f t="shared" si="13"/>
        <v>89</v>
      </c>
      <c r="B92">
        <v>11.208496897982</v>
      </c>
      <c r="D92">
        <f t="shared" si="22"/>
        <v>89</v>
      </c>
      <c r="E92">
        <f t="shared" si="14"/>
        <v>-1.3747846467669422</v>
      </c>
      <c r="F92" t="e">
        <f t="shared" ca="1" si="25"/>
        <v>#NAME?</v>
      </c>
      <c r="V92">
        <f t="shared" si="15"/>
        <v>89</v>
      </c>
      <c r="W92">
        <f t="shared" si="16"/>
        <v>-1.3747846467669422</v>
      </c>
      <c r="X92" t="e">
        <f t="shared" ca="1" si="17"/>
        <v>#NAME?</v>
      </c>
      <c r="Y92" t="e">
        <f t="shared" ca="1" si="18"/>
        <v>#NAME?</v>
      </c>
      <c r="Z92" t="e">
        <f t="shared" ca="1" si="19"/>
        <v>#NAME?</v>
      </c>
      <c r="AA92" t="e">
        <f t="shared" ca="1" si="20"/>
        <v>#NAME?</v>
      </c>
      <c r="AB92" t="e">
        <f t="shared" ca="1" si="21"/>
        <v>#NAME?</v>
      </c>
      <c r="AD92">
        <f t="shared" si="23"/>
        <v>89</v>
      </c>
      <c r="AE92">
        <f t="shared" si="24"/>
        <v>11.208496897982</v>
      </c>
    </row>
    <row r="93" spans="1:31" x14ac:dyDescent="0.35">
      <c r="A93">
        <f t="shared" si="13"/>
        <v>90</v>
      </c>
      <c r="B93">
        <v>9.8337122512150579</v>
      </c>
      <c r="D93">
        <f t="shared" si="22"/>
        <v>90</v>
      </c>
      <c r="E93">
        <f t="shared" si="14"/>
        <v>1.1755166531520658</v>
      </c>
      <c r="F93" t="e">
        <f t="shared" ca="1" si="25"/>
        <v>#NAME?</v>
      </c>
      <c r="V93">
        <f t="shared" si="15"/>
        <v>90</v>
      </c>
      <c r="W93">
        <f t="shared" si="16"/>
        <v>1.1755166531520658</v>
      </c>
      <c r="X93" t="e">
        <f t="shared" ca="1" si="17"/>
        <v>#NAME?</v>
      </c>
      <c r="Y93" t="e">
        <f t="shared" ca="1" si="18"/>
        <v>#NAME?</v>
      </c>
      <c r="Z93" t="e">
        <f t="shared" ca="1" si="19"/>
        <v>#NAME?</v>
      </c>
      <c r="AA93" t="e">
        <f t="shared" ca="1" si="20"/>
        <v>#NAME?</v>
      </c>
      <c r="AB93" t="e">
        <f t="shared" ca="1" si="21"/>
        <v>#NAME?</v>
      </c>
      <c r="AD93">
        <f t="shared" si="23"/>
        <v>90</v>
      </c>
      <c r="AE93">
        <f t="shared" si="24"/>
        <v>9.8337122512150579</v>
      </c>
    </row>
    <row r="94" spans="1:31" x14ac:dyDescent="0.35">
      <c r="A94">
        <f t="shared" si="13"/>
        <v>91</v>
      </c>
      <c r="B94">
        <v>11.009228904367124</v>
      </c>
      <c r="D94">
        <f t="shared" si="22"/>
        <v>91</v>
      </c>
      <c r="E94">
        <f t="shared" si="14"/>
        <v>-1.3370172401079596</v>
      </c>
      <c r="F94" t="e">
        <f t="shared" ca="1" si="25"/>
        <v>#NAME?</v>
      </c>
      <c r="V94">
        <f t="shared" si="15"/>
        <v>91</v>
      </c>
      <c r="W94">
        <f t="shared" si="16"/>
        <v>-1.3370172401079596</v>
      </c>
      <c r="X94" t="e">
        <f t="shared" ca="1" si="17"/>
        <v>#NAME?</v>
      </c>
      <c r="Y94" t="e">
        <f t="shared" ca="1" si="18"/>
        <v>#NAME?</v>
      </c>
      <c r="Z94" t="e">
        <f t="shared" ca="1" si="19"/>
        <v>#NAME?</v>
      </c>
      <c r="AA94" t="e">
        <f t="shared" ca="1" si="20"/>
        <v>#NAME?</v>
      </c>
      <c r="AB94" t="e">
        <f t="shared" ca="1" si="21"/>
        <v>#NAME?</v>
      </c>
      <c r="AD94">
        <f t="shared" si="23"/>
        <v>91</v>
      </c>
      <c r="AE94">
        <f t="shared" si="24"/>
        <v>11.009228904367124</v>
      </c>
    </row>
    <row r="95" spans="1:31" x14ac:dyDescent="0.35">
      <c r="A95">
        <f t="shared" si="13"/>
        <v>92</v>
      </c>
      <c r="B95">
        <v>9.672211664259164</v>
      </c>
      <c r="D95">
        <f t="shared" si="22"/>
        <v>92</v>
      </c>
      <c r="E95">
        <f t="shared" si="14"/>
        <v>-1.6501564988328976</v>
      </c>
      <c r="F95" t="e">
        <f t="shared" ca="1" si="25"/>
        <v>#NAME?</v>
      </c>
      <c r="V95">
        <f t="shared" si="15"/>
        <v>92</v>
      </c>
      <c r="W95">
        <f t="shared" si="16"/>
        <v>-1.6501564988328976</v>
      </c>
      <c r="X95" t="e">
        <f t="shared" ca="1" si="17"/>
        <v>#NAME?</v>
      </c>
      <c r="Y95" t="e">
        <f t="shared" ca="1" si="18"/>
        <v>#NAME?</v>
      </c>
      <c r="Z95" t="e">
        <f t="shared" ca="1" si="19"/>
        <v>#NAME?</v>
      </c>
      <c r="AA95" t="e">
        <f t="shared" ca="1" si="20"/>
        <v>#NAME?</v>
      </c>
      <c r="AB95" t="e">
        <f t="shared" ca="1" si="21"/>
        <v>#NAME?</v>
      </c>
      <c r="AD95">
        <f t="shared" si="23"/>
        <v>92</v>
      </c>
      <c r="AE95">
        <f t="shared" si="24"/>
        <v>9.672211664259164</v>
      </c>
    </row>
    <row r="96" spans="1:31" x14ac:dyDescent="0.35">
      <c r="A96">
        <f t="shared" si="13"/>
        <v>93</v>
      </c>
      <c r="B96">
        <v>8.0220551654262664</v>
      </c>
      <c r="D96">
        <f t="shared" si="22"/>
        <v>93</v>
      </c>
      <c r="E96">
        <f t="shared" si="14"/>
        <v>1.0781053212820133</v>
      </c>
      <c r="F96" t="e">
        <f t="shared" ca="1" si="25"/>
        <v>#NAME?</v>
      </c>
      <c r="V96">
        <f t="shared" si="15"/>
        <v>93</v>
      </c>
      <c r="W96">
        <f t="shared" si="16"/>
        <v>1.0781053212820133</v>
      </c>
      <c r="X96" t="e">
        <f t="shared" ca="1" si="17"/>
        <v>#NAME?</v>
      </c>
      <c r="Y96" t="e">
        <f t="shared" ca="1" si="18"/>
        <v>#NAME?</v>
      </c>
      <c r="Z96" t="e">
        <f t="shared" ca="1" si="19"/>
        <v>#NAME?</v>
      </c>
      <c r="AA96" t="e">
        <f t="shared" ca="1" si="20"/>
        <v>#NAME?</v>
      </c>
      <c r="AB96" t="e">
        <f t="shared" ca="1" si="21"/>
        <v>#NAME?</v>
      </c>
      <c r="AD96">
        <f t="shared" si="23"/>
        <v>93</v>
      </c>
      <c r="AE96">
        <f t="shared" si="24"/>
        <v>8.0220551654262664</v>
      </c>
    </row>
    <row r="97" spans="1:31" x14ac:dyDescent="0.35">
      <c r="A97">
        <f t="shared" si="13"/>
        <v>94</v>
      </c>
      <c r="B97">
        <v>9.1001604867082797</v>
      </c>
      <c r="D97">
        <f t="shared" si="22"/>
        <v>94</v>
      </c>
      <c r="E97">
        <f t="shared" si="14"/>
        <v>1.1934030831236662</v>
      </c>
      <c r="F97" t="e">
        <f t="shared" ca="1" si="25"/>
        <v>#NAME?</v>
      </c>
      <c r="V97">
        <f t="shared" si="15"/>
        <v>94</v>
      </c>
      <c r="W97">
        <f t="shared" si="16"/>
        <v>1.1934030831236662</v>
      </c>
      <c r="X97" t="e">
        <f t="shared" ca="1" si="17"/>
        <v>#NAME?</v>
      </c>
      <c r="Y97" t="e">
        <f t="shared" ca="1" si="18"/>
        <v>#NAME?</v>
      </c>
      <c r="Z97" t="e">
        <f t="shared" ca="1" si="19"/>
        <v>#NAME?</v>
      </c>
      <c r="AA97" t="e">
        <f t="shared" ca="1" si="20"/>
        <v>#NAME?</v>
      </c>
      <c r="AB97" t="e">
        <f t="shared" ca="1" si="21"/>
        <v>#NAME?</v>
      </c>
      <c r="AD97">
        <f t="shared" si="23"/>
        <v>94</v>
      </c>
      <c r="AE97">
        <f t="shared" si="24"/>
        <v>9.1001604867082797</v>
      </c>
    </row>
    <row r="98" spans="1:31" x14ac:dyDescent="0.35">
      <c r="A98">
        <f t="shared" si="13"/>
        <v>95</v>
      </c>
      <c r="B98">
        <v>10.293563569831946</v>
      </c>
      <c r="D98">
        <f t="shared" si="22"/>
        <v>95</v>
      </c>
      <c r="E98">
        <f t="shared" si="14"/>
        <v>0.58057432252451058</v>
      </c>
      <c r="F98" t="e">
        <f t="shared" ca="1" si="25"/>
        <v>#NAME?</v>
      </c>
      <c r="V98">
        <f t="shared" si="15"/>
        <v>95</v>
      </c>
      <c r="W98">
        <f t="shared" si="16"/>
        <v>0.58057432252451058</v>
      </c>
      <c r="X98" t="e">
        <f t="shared" ca="1" si="17"/>
        <v>#NAME?</v>
      </c>
      <c r="Y98" t="e">
        <f t="shared" ca="1" si="18"/>
        <v>#NAME?</v>
      </c>
      <c r="Z98" t="e">
        <f t="shared" ca="1" si="19"/>
        <v>#NAME?</v>
      </c>
      <c r="AA98" t="e">
        <f t="shared" ca="1" si="20"/>
        <v>#NAME?</v>
      </c>
      <c r="AB98" t="e">
        <f t="shared" ca="1" si="21"/>
        <v>#NAME?</v>
      </c>
      <c r="AD98">
        <f t="shared" si="23"/>
        <v>95</v>
      </c>
      <c r="AE98">
        <f t="shared" si="24"/>
        <v>10.293563569831946</v>
      </c>
    </row>
    <row r="99" spans="1:31" x14ac:dyDescent="0.35">
      <c r="A99">
        <f t="shared" si="13"/>
        <v>96</v>
      </c>
      <c r="B99">
        <v>10.874137892356456</v>
      </c>
      <c r="D99">
        <f t="shared" si="22"/>
        <v>96</v>
      </c>
      <c r="E99">
        <f t="shared" si="14"/>
        <v>0.17445103802561412</v>
      </c>
      <c r="F99" t="e">
        <f t="shared" ca="1" si="25"/>
        <v>#NAME?</v>
      </c>
      <c r="V99">
        <f t="shared" si="15"/>
        <v>96</v>
      </c>
      <c r="W99">
        <f t="shared" si="16"/>
        <v>0.17445103802561412</v>
      </c>
      <c r="X99" t="e">
        <f t="shared" ca="1" si="17"/>
        <v>#NAME?</v>
      </c>
      <c r="Y99" t="e">
        <f t="shared" ca="1" si="18"/>
        <v>#NAME?</v>
      </c>
      <c r="Z99" t="e">
        <f t="shared" ca="1" si="19"/>
        <v>#NAME?</v>
      </c>
      <c r="AA99" t="e">
        <f t="shared" ca="1" si="20"/>
        <v>#NAME?</v>
      </c>
      <c r="AB99" t="e">
        <f t="shared" ca="1" si="21"/>
        <v>#NAME?</v>
      </c>
      <c r="AD99">
        <f t="shared" si="23"/>
        <v>96</v>
      </c>
      <c r="AE99">
        <f t="shared" si="24"/>
        <v>10.874137892356456</v>
      </c>
    </row>
    <row r="100" spans="1:31" x14ac:dyDescent="0.35">
      <c r="A100">
        <f t="shared" si="13"/>
        <v>97</v>
      </c>
      <c r="B100">
        <v>11.048588930382071</v>
      </c>
      <c r="D100">
        <f t="shared" si="22"/>
        <v>97</v>
      </c>
      <c r="E100">
        <f t="shared" si="14"/>
        <v>-0.67148532197622401</v>
      </c>
      <c r="F100" t="e">
        <f t="shared" ca="1" si="25"/>
        <v>#NAME?</v>
      </c>
      <c r="V100">
        <f t="shared" si="15"/>
        <v>97</v>
      </c>
      <c r="W100">
        <f t="shared" si="16"/>
        <v>-0.67148532197622401</v>
      </c>
      <c r="X100" t="e">
        <f t="shared" ca="1" si="17"/>
        <v>#NAME?</v>
      </c>
      <c r="Y100" t="e">
        <f t="shared" ca="1" si="18"/>
        <v>#NAME?</v>
      </c>
      <c r="Z100" t="e">
        <f t="shared" ca="1" si="19"/>
        <v>#NAME?</v>
      </c>
      <c r="AA100" t="e">
        <f t="shared" ca="1" si="20"/>
        <v>#NAME?</v>
      </c>
      <c r="AB100" t="e">
        <f t="shared" ca="1" si="21"/>
        <v>#NAME?</v>
      </c>
      <c r="AD100">
        <f t="shared" si="23"/>
        <v>97</v>
      </c>
      <c r="AE100">
        <f t="shared" si="24"/>
        <v>11.048588930382071</v>
      </c>
    </row>
    <row r="101" spans="1:31" x14ac:dyDescent="0.35">
      <c r="A101">
        <f t="shared" si="13"/>
        <v>98</v>
      </c>
      <c r="B101">
        <v>10.377103608405847</v>
      </c>
      <c r="D101">
        <f t="shared" si="22"/>
        <v>98</v>
      </c>
      <c r="E101">
        <f t="shared" si="14"/>
        <v>0.72362979806956318</v>
      </c>
      <c r="F101" t="e">
        <f t="shared" ca="1" si="25"/>
        <v>#NAME?</v>
      </c>
      <c r="V101">
        <f t="shared" si="15"/>
        <v>98</v>
      </c>
      <c r="W101">
        <f t="shared" si="16"/>
        <v>0.72362979806956318</v>
      </c>
      <c r="X101" t="e">
        <f t="shared" ca="1" si="17"/>
        <v>#NAME?</v>
      </c>
      <c r="Y101" t="e">
        <f t="shared" ca="1" si="18"/>
        <v>#NAME?</v>
      </c>
      <c r="Z101" t="e">
        <f t="shared" ca="1" si="19"/>
        <v>#NAME?</v>
      </c>
      <c r="AA101" t="e">
        <f t="shared" ca="1" si="20"/>
        <v>#NAME?</v>
      </c>
      <c r="AB101" t="e">
        <f t="shared" ca="1" si="21"/>
        <v>#NAME?</v>
      </c>
      <c r="AD101">
        <f t="shared" si="23"/>
        <v>98</v>
      </c>
      <c r="AE101">
        <f t="shared" si="24"/>
        <v>10.377103608405847</v>
      </c>
    </row>
    <row r="102" spans="1:31" x14ac:dyDescent="0.35">
      <c r="A102">
        <f t="shared" si="13"/>
        <v>99</v>
      </c>
      <c r="B102">
        <v>11.10073340647541</v>
      </c>
      <c r="D102">
        <f t="shared" si="22"/>
        <v>99</v>
      </c>
      <c r="E102">
        <f t="shared" si="14"/>
        <v>-1.5442767167039673</v>
      </c>
      <c r="F102" t="e">
        <f t="shared" ca="1" si="25"/>
        <v>#NAME?</v>
      </c>
      <c r="V102">
        <f t="shared" si="15"/>
        <v>99</v>
      </c>
      <c r="W102">
        <f t="shared" si="16"/>
        <v>-1.5442767167039673</v>
      </c>
      <c r="X102" t="e">
        <f t="shared" ca="1" si="17"/>
        <v>#NAME?</v>
      </c>
      <c r="Y102" t="e">
        <f t="shared" ca="1" si="18"/>
        <v>#NAME?</v>
      </c>
      <c r="Z102" t="e">
        <f t="shared" ca="1" si="19"/>
        <v>#NAME?</v>
      </c>
      <c r="AA102" t="e">
        <f t="shared" ca="1" si="20"/>
        <v>#NAME?</v>
      </c>
      <c r="AB102" t="e">
        <f t="shared" ca="1" si="21"/>
        <v>#NAME?</v>
      </c>
      <c r="AD102">
        <f t="shared" si="23"/>
        <v>99</v>
      </c>
      <c r="AE102">
        <f t="shared" si="24"/>
        <v>11.10073340647541</v>
      </c>
    </row>
    <row r="103" spans="1:31" x14ac:dyDescent="0.35">
      <c r="A103">
        <f t="shared" si="13"/>
        <v>100</v>
      </c>
      <c r="B103">
        <v>9.5564566897714425</v>
      </c>
      <c r="D103">
        <f t="shared" si="22"/>
        <v>100</v>
      </c>
      <c r="E103">
        <f t="shared" si="14"/>
        <v>0.57015532242647105</v>
      </c>
      <c r="F103" t="e">
        <f t="shared" ca="1" si="25"/>
        <v>#NAME?</v>
      </c>
      <c r="V103">
        <f t="shared" si="15"/>
        <v>100</v>
      </c>
      <c r="W103">
        <f t="shared" si="16"/>
        <v>0.57015532242647105</v>
      </c>
      <c r="X103" t="e">
        <f t="shared" ca="1" si="17"/>
        <v>#NAME?</v>
      </c>
      <c r="Y103" t="e">
        <f t="shared" ca="1" si="18"/>
        <v>#NAME?</v>
      </c>
      <c r="Z103" t="e">
        <f t="shared" ca="1" si="19"/>
        <v>#NAME?</v>
      </c>
      <c r="AA103" t="e">
        <f t="shared" ca="1" si="20"/>
        <v>#NAME?</v>
      </c>
      <c r="AB103" t="e">
        <f t="shared" ca="1" si="21"/>
        <v>#NAME?</v>
      </c>
      <c r="AD103">
        <f t="shared" si="23"/>
        <v>100</v>
      </c>
      <c r="AE103">
        <f t="shared" si="24"/>
        <v>9.5564566897714425</v>
      </c>
    </row>
    <row r="104" spans="1:31" x14ac:dyDescent="0.35">
      <c r="A104">
        <f t="shared" si="13"/>
        <v>101</v>
      </c>
      <c r="B104">
        <v>10.126612012197914</v>
      </c>
      <c r="D104">
        <f t="shared" si="22"/>
        <v>101</v>
      </c>
      <c r="E104">
        <f t="shared" si="14"/>
        <v>0.49204478752084135</v>
      </c>
      <c r="F104" t="e">
        <f t="shared" ca="1" si="25"/>
        <v>#NAME?</v>
      </c>
      <c r="V104">
        <f t="shared" si="15"/>
        <v>101</v>
      </c>
      <c r="W104">
        <f t="shared" si="16"/>
        <v>0.49204478752084135</v>
      </c>
      <c r="X104" t="e">
        <f t="shared" ca="1" si="17"/>
        <v>#NAME?</v>
      </c>
      <c r="Y104" t="e">
        <f t="shared" ca="1" si="18"/>
        <v>#NAME?</v>
      </c>
      <c r="Z104" t="e">
        <f t="shared" ca="1" si="19"/>
        <v>#NAME?</v>
      </c>
      <c r="AA104" t="e">
        <f t="shared" ca="1" si="20"/>
        <v>#NAME?</v>
      </c>
      <c r="AB104" t="e">
        <f t="shared" ca="1" si="21"/>
        <v>#NAME?</v>
      </c>
      <c r="AD104">
        <f t="shared" si="23"/>
        <v>101</v>
      </c>
      <c r="AE104">
        <f t="shared" si="24"/>
        <v>10.126612012197914</v>
      </c>
    </row>
    <row r="105" spans="1:31" x14ac:dyDescent="0.35">
      <c r="A105">
        <f t="shared" si="13"/>
        <v>102</v>
      </c>
      <c r="B105">
        <v>10.618656799718755</v>
      </c>
      <c r="D105">
        <f t="shared" si="22"/>
        <v>102</v>
      </c>
      <c r="E105">
        <f t="shared" si="14"/>
        <v>0.75072084779491988</v>
      </c>
      <c r="F105" t="e">
        <f t="shared" ca="1" si="25"/>
        <v>#NAME?</v>
      </c>
      <c r="V105">
        <f t="shared" si="15"/>
        <v>102</v>
      </c>
      <c r="W105">
        <f t="shared" si="16"/>
        <v>0.75072084779491988</v>
      </c>
      <c r="X105" t="e">
        <f t="shared" ca="1" si="17"/>
        <v>#NAME?</v>
      </c>
      <c r="Y105" t="e">
        <f t="shared" ca="1" si="18"/>
        <v>#NAME?</v>
      </c>
      <c r="Z105" t="e">
        <f t="shared" ca="1" si="19"/>
        <v>#NAME?</v>
      </c>
      <c r="AA105" t="e">
        <f t="shared" ca="1" si="20"/>
        <v>#NAME?</v>
      </c>
      <c r="AB105" t="e">
        <f t="shared" ca="1" si="21"/>
        <v>#NAME?</v>
      </c>
      <c r="AD105">
        <f t="shared" si="23"/>
        <v>102</v>
      </c>
      <c r="AE105">
        <f t="shared" si="24"/>
        <v>10.618656799718755</v>
      </c>
    </row>
    <row r="106" spans="1:31" x14ac:dyDescent="0.35">
      <c r="A106">
        <f t="shared" si="13"/>
        <v>103</v>
      </c>
      <c r="B106">
        <v>11.369377647513675</v>
      </c>
      <c r="D106">
        <f t="shared" si="22"/>
        <v>103</v>
      </c>
      <c r="E106">
        <f t="shared" si="14"/>
        <v>-0.6079354272782993</v>
      </c>
      <c r="F106" t="e">
        <f t="shared" ca="1" si="25"/>
        <v>#NAME?</v>
      </c>
      <c r="V106">
        <f t="shared" si="15"/>
        <v>103</v>
      </c>
      <c r="W106">
        <f t="shared" si="16"/>
        <v>-0.6079354272782993</v>
      </c>
      <c r="X106" t="e">
        <f t="shared" ca="1" si="17"/>
        <v>#NAME?</v>
      </c>
      <c r="Y106" t="e">
        <f t="shared" ca="1" si="18"/>
        <v>#NAME?</v>
      </c>
      <c r="Z106" t="e">
        <f t="shared" ca="1" si="19"/>
        <v>#NAME?</v>
      </c>
      <c r="AA106" t="e">
        <f t="shared" ca="1" si="20"/>
        <v>#NAME?</v>
      </c>
      <c r="AB106" t="e">
        <f t="shared" ca="1" si="21"/>
        <v>#NAME?</v>
      </c>
      <c r="AD106">
        <f t="shared" si="23"/>
        <v>103</v>
      </c>
      <c r="AE106">
        <f t="shared" si="24"/>
        <v>11.369377647513675</v>
      </c>
    </row>
    <row r="107" spans="1:31" x14ac:dyDescent="0.35">
      <c r="A107">
        <f t="shared" si="13"/>
        <v>104</v>
      </c>
      <c r="B107">
        <v>10.761442220235375</v>
      </c>
      <c r="D107" s="4">
        <f t="shared" si="22"/>
        <v>104</v>
      </c>
      <c r="E107" s="4">
        <f t="shared" si="14"/>
        <v>1.1933228352475833</v>
      </c>
      <c r="F107" s="4" t="e">
        <f t="shared" ca="1" si="25"/>
        <v>#NAME?</v>
      </c>
      <c r="V107">
        <f t="shared" si="15"/>
        <v>104</v>
      </c>
      <c r="W107">
        <f t="shared" si="16"/>
        <v>1.1933228352475833</v>
      </c>
      <c r="X107" t="e">
        <f t="shared" ca="1" si="17"/>
        <v>#NAME?</v>
      </c>
      <c r="Y107" t="e">
        <f t="shared" ca="1" si="18"/>
        <v>#NAME?</v>
      </c>
      <c r="Z107" t="e">
        <f t="shared" ca="1" si="19"/>
        <v>#NAME?</v>
      </c>
      <c r="AA107" t="e">
        <f t="shared" ca="1" si="20"/>
        <v>#NAME?</v>
      </c>
      <c r="AB107" t="e">
        <f t="shared" ca="1" si="21"/>
        <v>#NAME?</v>
      </c>
      <c r="AD107">
        <f t="shared" si="23"/>
        <v>104</v>
      </c>
      <c r="AE107">
        <f t="shared" si="24"/>
        <v>10.761442220235375</v>
      </c>
    </row>
    <row r="108" spans="1:31" x14ac:dyDescent="0.35">
      <c r="A108">
        <f t="shared" si="13"/>
        <v>105</v>
      </c>
      <c r="B108" s="4">
        <v>11.954765055482959</v>
      </c>
      <c r="V108">
        <f>V107+1</f>
        <v>105</v>
      </c>
      <c r="Y108" t="e">
        <f ca="1">SUMPRODUCT(W106:W107,I$4:I$5)+SUMPRODUCT(X107,J$5)</f>
        <v>#NAME?</v>
      </c>
      <c r="Z108" t="e">
        <f ca="1">J$15*SQRT(SUMSQ(M$15:M15))</f>
        <v>#NAME?</v>
      </c>
      <c r="AA108" t="e">
        <f ca="1">Y108-NORMSINV(1-Z$2/2)*Z108</f>
        <v>#NAME?</v>
      </c>
      <c r="AB108" t="e">
        <f ca="1">Y108+NORMSINV(1-Z$2/2)*Z108</f>
        <v>#NAME?</v>
      </c>
      <c r="AD108" s="4">
        <f t="shared" si="23"/>
        <v>105</v>
      </c>
      <c r="AE108" s="4">
        <f t="shared" si="24"/>
        <v>11.954765055482959</v>
      </c>
    </row>
    <row r="109" spans="1:31" x14ac:dyDescent="0.35">
      <c r="V109">
        <f>V108+1</f>
        <v>106</v>
      </c>
      <c r="Y109" t="e">
        <f ca="1">SUMPRODUCT(W107,I4)+SUMPRODUCT(Y108,I5)</f>
        <v>#NAME?</v>
      </c>
      <c r="Z109" t="e">
        <f ca="1">J$15*SQRT(SUMSQ(M$15:M16))</f>
        <v>#NAME?</v>
      </c>
      <c r="AA109" t="e">
        <f ca="1">Y109-NORMSINV(1-Z$2/2)*Z109</f>
        <v>#NAME?</v>
      </c>
      <c r="AB109" t="e">
        <f ca="1">Y109+NORMSINV(1-Z$2/2)*Z109</f>
        <v>#NAME?</v>
      </c>
      <c r="AD109">
        <f t="shared" si="23"/>
        <v>106</v>
      </c>
      <c r="AE109" t="e">
        <f ca="1">Y108+AE108</f>
        <v>#NAME?</v>
      </c>
    </row>
    <row r="110" spans="1:31" x14ac:dyDescent="0.35">
      <c r="V110">
        <f>V109+1</f>
        <v>107</v>
      </c>
      <c r="Y110" t="e">
        <f ca="1">SUMPRODUCT(Y108:Y109,I4:I5)</f>
        <v>#NAME?</v>
      </c>
      <c r="Z110" t="e">
        <f ca="1">J$15*SQRT(SUMSQ(M$15:M17))</f>
        <v>#NAME?</v>
      </c>
      <c r="AA110" t="e">
        <f ca="1">Y110-NORMSINV(1-Z$2/2)*Z110</f>
        <v>#NAME?</v>
      </c>
      <c r="AB110" t="e">
        <f ca="1">Y110+NORMSINV(1-Z$2/2)*Z110</f>
        <v>#NAME?</v>
      </c>
      <c r="AD110">
        <f t="shared" si="23"/>
        <v>107</v>
      </c>
      <c r="AE110" t="e">
        <f ca="1">Y109+AE109</f>
        <v>#NAME?</v>
      </c>
    </row>
    <row r="111" spans="1:31" x14ac:dyDescent="0.35">
      <c r="V111">
        <f>V110+1</f>
        <v>108</v>
      </c>
      <c r="Y111" t="e">
        <f ca="1">SUMPRODUCT(Y109:Y110,I4:I5)</f>
        <v>#NAME?</v>
      </c>
      <c r="Z111" t="e">
        <f ca="1">J$15*SQRT(SUMSQ(M$15:M18))</f>
        <v>#NAME?</v>
      </c>
      <c r="AA111" t="e">
        <f ca="1">Y111-NORMSINV(1-Z$2/2)*Z111</f>
        <v>#NAME?</v>
      </c>
      <c r="AB111" t="e">
        <f ca="1">Y111+NORMSINV(1-Z$2/2)*Z111</f>
        <v>#NAME?</v>
      </c>
      <c r="AD111">
        <f t="shared" si="23"/>
        <v>108</v>
      </c>
      <c r="AE111" t="e">
        <f ca="1">Y110+AE110</f>
        <v>#NAME?</v>
      </c>
    </row>
    <row r="112" spans="1:31" x14ac:dyDescent="0.35">
      <c r="V112" s="4">
        <f>V111+1</f>
        <v>109</v>
      </c>
      <c r="W112" s="4"/>
      <c r="X112" s="4"/>
      <c r="Y112" s="4" t="e">
        <f ca="1">SUMPRODUCT(Y110:Y111,I4:I5)</f>
        <v>#NAME?</v>
      </c>
      <c r="Z112" s="4" t="e">
        <f ca="1">J$15*SQRT(SUMSQ(M$15:M19))</f>
        <v>#NAME?</v>
      </c>
      <c r="AA112" s="4" t="e">
        <f ca="1">Y112-NORMSINV(1-Z$2/2)*Z112</f>
        <v>#NAME?</v>
      </c>
      <c r="AB112" s="4" t="e">
        <f ca="1">Y112+NORMSINV(1-Z$2/2)*Z112</f>
        <v>#NAME?</v>
      </c>
      <c r="AD112">
        <f t="shared" si="23"/>
        <v>109</v>
      </c>
      <c r="AE112" t="e">
        <f ca="1">Y111+AE111</f>
        <v>#NAME?</v>
      </c>
    </row>
    <row r="113" spans="30:31" x14ac:dyDescent="0.35">
      <c r="AD113" s="4">
        <f t="shared" si="23"/>
        <v>110</v>
      </c>
      <c r="AE113" s="4" t="e">
        <f ca="1">Y112+AE112</f>
        <v>#NAME?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5"/>
  <dimension ref="A1:AE113"/>
  <sheetViews>
    <sheetView workbookViewId="0"/>
  </sheetViews>
  <sheetFormatPr defaultRowHeight="14.5" x14ac:dyDescent="0.35"/>
  <cols>
    <col min="1" max="1" width="4.81640625" customWidth="1"/>
  </cols>
  <sheetData>
    <row r="1" spans="1:31" x14ac:dyDescent="0.35">
      <c r="A1" s="7" t="s">
        <v>431</v>
      </c>
      <c r="D1" t="s">
        <v>353</v>
      </c>
      <c r="H1" t="s">
        <v>488</v>
      </c>
      <c r="L1" t="s">
        <v>374</v>
      </c>
      <c r="P1" t="s">
        <v>487</v>
      </c>
      <c r="V1" t="s">
        <v>383</v>
      </c>
      <c r="AD1" t="s">
        <v>384</v>
      </c>
    </row>
    <row r="2" spans="1:31" ht="15" thickBot="1" x14ac:dyDescent="0.4">
      <c r="A2" s="72"/>
      <c r="B2" s="72"/>
      <c r="Y2" t="s">
        <v>156</v>
      </c>
      <c r="Z2">
        <v>0.05</v>
      </c>
    </row>
    <row r="3" spans="1:31" ht="15" thickTop="1" x14ac:dyDescent="0.35">
      <c r="B3" s="149" t="s">
        <v>110</v>
      </c>
      <c r="D3" s="45" t="s">
        <v>291</v>
      </c>
      <c r="E3" s="45" t="s">
        <v>194</v>
      </c>
      <c r="F3" s="45" t="s">
        <v>354</v>
      </c>
      <c r="H3" s="45" t="s">
        <v>356</v>
      </c>
      <c r="I3" s="45" t="s">
        <v>357</v>
      </c>
      <c r="J3" s="45" t="s">
        <v>358</v>
      </c>
      <c r="L3" s="45" t="s">
        <v>173</v>
      </c>
      <c r="M3" s="45" t="s">
        <v>174</v>
      </c>
      <c r="N3" s="45" t="s">
        <v>375</v>
      </c>
      <c r="P3" s="45" t="s">
        <v>380</v>
      </c>
      <c r="Q3" s="45" t="s">
        <v>167</v>
      </c>
      <c r="R3" s="45" t="s">
        <v>81</v>
      </c>
      <c r="S3" s="45" t="s">
        <v>392</v>
      </c>
      <c r="T3" s="45" t="s">
        <v>92</v>
      </c>
      <c r="V3" s="45" t="s">
        <v>291</v>
      </c>
      <c r="W3" s="45" t="s">
        <v>194</v>
      </c>
      <c r="X3" s="45" t="s">
        <v>354</v>
      </c>
      <c r="Y3" s="45" t="s">
        <v>138</v>
      </c>
      <c r="Z3" s="45" t="s">
        <v>81</v>
      </c>
      <c r="AA3" s="45" t="s">
        <v>127</v>
      </c>
      <c r="AB3" s="45" t="s">
        <v>128</v>
      </c>
      <c r="AD3" s="45" t="s">
        <v>291</v>
      </c>
      <c r="AE3" s="45" t="s">
        <v>179</v>
      </c>
    </row>
    <row r="4" spans="1:31" x14ac:dyDescent="0.35">
      <c r="A4">
        <v>1</v>
      </c>
      <c r="B4">
        <v>3.1176756475655343</v>
      </c>
      <c r="D4">
        <v>1</v>
      </c>
      <c r="E4">
        <f>B5-B4</f>
        <v>2.6905754382333931</v>
      </c>
      <c r="F4">
        <v>0</v>
      </c>
      <c r="H4" s="137">
        <v>2</v>
      </c>
      <c r="I4">
        <v>0.58342163784420886</v>
      </c>
      <c r="J4">
        <v>0</v>
      </c>
      <c r="L4" t="e">
        <f t="array" aca="1" ref="L4:N5" ca="1">ARRoots(I4:I5)</f>
        <v>#NAME?</v>
      </c>
      <c r="M4" t="e">
        <f ca="1"/>
        <v>#NAME?</v>
      </c>
      <c r="N4" t="e">
        <f ca="1"/>
        <v>#NAME?</v>
      </c>
      <c r="P4" s="152" t="s">
        <v>120</v>
      </c>
      <c r="Q4" s="152">
        <f>J16</f>
        <v>6.9098004481384145E-2</v>
      </c>
      <c r="R4" s="152">
        <f>J17/SQRT(J18)</f>
        <v>0.12701194722600762</v>
      </c>
      <c r="S4" s="152">
        <f>Q4/R4</f>
        <v>0.54402759732853923</v>
      </c>
      <c r="T4" s="152">
        <f>TDIST(ABS(S4),J$18-1,2)</f>
        <v>0.58762144566862218</v>
      </c>
      <c r="V4">
        <f>D4</f>
        <v>1</v>
      </c>
      <c r="W4">
        <f>E4</f>
        <v>2.6905754382333931</v>
      </c>
      <c r="X4">
        <f>F4</f>
        <v>0</v>
      </c>
      <c r="Y4">
        <f>W4-X4</f>
        <v>2.6905754382333931</v>
      </c>
      <c r="Z4">
        <f>J$15</f>
        <v>1.1002814389079172</v>
      </c>
      <c r="AA4">
        <f>Y4-NORMSINV(1-Z$2/2)*Z4</f>
        <v>0.53406344511596826</v>
      </c>
      <c r="AB4">
        <f>Y4+NORMSINV(1-Z$2/2)*Z4</f>
        <v>4.8470874313508183</v>
      </c>
      <c r="AD4">
        <v>1</v>
      </c>
      <c r="AE4">
        <f>B4</f>
        <v>3.1176756475655343</v>
      </c>
    </row>
    <row r="5" spans="1:31" x14ac:dyDescent="0.35">
      <c r="A5">
        <f t="shared" ref="A5:A68" si="0">A4+1</f>
        <v>2</v>
      </c>
      <c r="B5">
        <v>5.8082510857989273</v>
      </c>
      <c r="D5">
        <f>D4+1</f>
        <v>2</v>
      </c>
      <c r="E5">
        <f t="shared" ref="E5:E68" si="1">B6-B5</f>
        <v>-0.90148248741715165</v>
      </c>
      <c r="F5">
        <v>0</v>
      </c>
      <c r="H5" s="137">
        <f>H4-1</f>
        <v>1</v>
      </c>
      <c r="I5">
        <v>0.38799563487101507</v>
      </c>
      <c r="J5">
        <v>-1.0903416610931291</v>
      </c>
      <c r="L5" s="4" t="e">
        <f ca="1"/>
        <v>#NAME?</v>
      </c>
      <c r="M5" s="4" t="e">
        <f ca="1"/>
        <v>#NAME?</v>
      </c>
      <c r="N5" s="4" t="e">
        <f ca="1"/>
        <v>#NAME?</v>
      </c>
      <c r="V5">
        <f t="shared" ref="V5:V68" si="2">D5</f>
        <v>2</v>
      </c>
      <c r="W5">
        <f t="shared" ref="W5:W68" si="3">E5</f>
        <v>-0.90148248741715165</v>
      </c>
      <c r="X5">
        <f t="shared" ref="X5:X68" si="4">F5</f>
        <v>0</v>
      </c>
      <c r="Y5">
        <f t="shared" ref="Y5:Y68" si="5">W5-X5</f>
        <v>-0.90148248741715165</v>
      </c>
      <c r="Z5">
        <f t="shared" ref="Z5:Z68" si="6">J$15</f>
        <v>1.1002814389079172</v>
      </c>
      <c r="AA5">
        <f t="shared" ref="AA5:AA68" si="7">Y5-NORMSINV(1-Z$2/2)*Z5</f>
        <v>-3.0579944805345765</v>
      </c>
      <c r="AB5">
        <f t="shared" ref="AB5:AB68" si="8">Y5+NORMSINV(1-Z$2/2)*Z5</f>
        <v>1.2550295057002732</v>
      </c>
      <c r="AD5">
        <f>AD4+1</f>
        <v>2</v>
      </c>
      <c r="AE5">
        <f>B5</f>
        <v>5.8082510857989273</v>
      </c>
    </row>
    <row r="6" spans="1:31" x14ac:dyDescent="0.35">
      <c r="A6">
        <f t="shared" si="0"/>
        <v>3</v>
      </c>
      <c r="B6">
        <v>4.9067685983817757</v>
      </c>
      <c r="D6">
        <f t="shared" ref="D6:D69" si="9">D5+1</f>
        <v>3</v>
      </c>
      <c r="E6">
        <f t="shared" si="1"/>
        <v>1.212705883878467</v>
      </c>
      <c r="F6">
        <f>E6-SUMPRODUCT(E4:E5,I$4:I$5)-SUMPRODUCT(F5,J$5)</f>
        <v>-7.2627750085396681E-3</v>
      </c>
      <c r="H6" s="10" t="s">
        <v>359</v>
      </c>
      <c r="I6" s="4">
        <v>0</v>
      </c>
      <c r="J6" s="4">
        <v>0</v>
      </c>
      <c r="V6">
        <f t="shared" si="2"/>
        <v>3</v>
      </c>
      <c r="W6">
        <f t="shared" si="3"/>
        <v>1.212705883878467</v>
      </c>
      <c r="X6">
        <f t="shared" si="4"/>
        <v>-7.2627750085396681E-3</v>
      </c>
      <c r="Y6">
        <f t="shared" si="5"/>
        <v>1.2199686588870067</v>
      </c>
      <c r="Z6">
        <f t="shared" si="6"/>
        <v>1.1002814389079172</v>
      </c>
      <c r="AA6">
        <f t="shared" si="7"/>
        <v>-0.93654333423041813</v>
      </c>
      <c r="AB6">
        <f t="shared" si="8"/>
        <v>3.3764806520044317</v>
      </c>
      <c r="AD6">
        <f t="shared" ref="AD6:AD69" si="10">AD5+1</f>
        <v>3</v>
      </c>
      <c r="AE6">
        <f t="shared" ref="AE6:AE69" si="11">B6</f>
        <v>4.9067685983817757</v>
      </c>
    </row>
    <row r="7" spans="1:31" x14ac:dyDescent="0.35">
      <c r="A7">
        <f t="shared" si="0"/>
        <v>4</v>
      </c>
      <c r="B7">
        <v>6.1194744822602427</v>
      </c>
      <c r="D7">
        <f t="shared" si="9"/>
        <v>4</v>
      </c>
      <c r="E7">
        <f t="shared" si="1"/>
        <v>2.0158518295054648</v>
      </c>
      <c r="F7">
        <f t="shared" ref="F7:F70" si="12">E7-SUMPRODUCT(E5:E6,I$4:I$5)-SUMPRODUCT(F6,J$5)</f>
        <v>2.0633527233080526</v>
      </c>
      <c r="L7" t="s">
        <v>376</v>
      </c>
      <c r="V7">
        <f t="shared" si="2"/>
        <v>4</v>
      </c>
      <c r="W7">
        <f t="shared" si="3"/>
        <v>2.0158518295054648</v>
      </c>
      <c r="X7">
        <f t="shared" si="4"/>
        <v>2.0633527233080526</v>
      </c>
      <c r="Y7">
        <f t="shared" si="5"/>
        <v>-4.7500893802587818E-2</v>
      </c>
      <c r="Z7">
        <f t="shared" si="6"/>
        <v>1.1002814389079172</v>
      </c>
      <c r="AA7">
        <f t="shared" si="7"/>
        <v>-2.2040128869200126</v>
      </c>
      <c r="AB7">
        <f t="shared" si="8"/>
        <v>2.109011099314837</v>
      </c>
      <c r="AD7">
        <f t="shared" si="10"/>
        <v>4</v>
      </c>
      <c r="AE7">
        <f t="shared" si="11"/>
        <v>6.1194744822602427</v>
      </c>
    </row>
    <row r="8" spans="1:31" ht="15" thickBot="1" x14ac:dyDescent="0.4">
      <c r="A8">
        <f t="shared" si="0"/>
        <v>5</v>
      </c>
      <c r="B8">
        <v>8.1353263117657075</v>
      </c>
      <c r="D8">
        <f t="shared" si="9"/>
        <v>5</v>
      </c>
      <c r="E8">
        <f t="shared" si="1"/>
        <v>1.2095411148802668</v>
      </c>
      <c r="F8">
        <f t="shared" si="12"/>
        <v>1.9696399872424466</v>
      </c>
      <c r="I8" t="s">
        <v>121</v>
      </c>
      <c r="J8" s="150">
        <f>SUMSQ(F6:F107)</f>
        <v>123.48316297013822</v>
      </c>
      <c r="V8">
        <f t="shared" si="2"/>
        <v>5</v>
      </c>
      <c r="W8">
        <f t="shared" si="3"/>
        <v>1.2095411148802668</v>
      </c>
      <c r="X8">
        <f t="shared" si="4"/>
        <v>1.9696399872424466</v>
      </c>
      <c r="Y8">
        <f t="shared" si="5"/>
        <v>-0.76009887236217977</v>
      </c>
      <c r="Z8">
        <f t="shared" si="6"/>
        <v>1.1002814389079172</v>
      </c>
      <c r="AA8">
        <f t="shared" si="7"/>
        <v>-2.9166108654796048</v>
      </c>
      <c r="AB8">
        <f t="shared" si="8"/>
        <v>1.396413120755245</v>
      </c>
      <c r="AD8">
        <f t="shared" si="10"/>
        <v>5</v>
      </c>
      <c r="AE8">
        <f t="shared" si="11"/>
        <v>8.1353263117657075</v>
      </c>
    </row>
    <row r="9" spans="1:31" ht="15" thickTop="1" x14ac:dyDescent="0.35">
      <c r="A9">
        <f t="shared" si="0"/>
        <v>6</v>
      </c>
      <c r="B9">
        <v>9.3448674266459744</v>
      </c>
      <c r="D9">
        <f t="shared" si="9"/>
        <v>6</v>
      </c>
      <c r="E9">
        <f t="shared" si="1"/>
        <v>-0.1972167427588154</v>
      </c>
      <c r="F9">
        <f t="shared" si="12"/>
        <v>0.30497554389467574</v>
      </c>
      <c r="L9" s="45" t="s">
        <v>173</v>
      </c>
      <c r="M9" s="45" t="s">
        <v>174</v>
      </c>
      <c r="N9" s="45" t="s">
        <v>375</v>
      </c>
      <c r="V9">
        <f t="shared" si="2"/>
        <v>6</v>
      </c>
      <c r="W9">
        <f t="shared" si="3"/>
        <v>-0.1972167427588154</v>
      </c>
      <c r="X9">
        <f t="shared" si="4"/>
        <v>0.30497554389467574</v>
      </c>
      <c r="Y9">
        <f t="shared" si="5"/>
        <v>-0.50219228665349114</v>
      </c>
      <c r="Z9">
        <f t="shared" si="6"/>
        <v>1.1002814389079172</v>
      </c>
      <c r="AA9">
        <f t="shared" si="7"/>
        <v>-2.6587042797709159</v>
      </c>
      <c r="AB9">
        <f t="shared" si="8"/>
        <v>1.6543197064639337</v>
      </c>
      <c r="AD9">
        <f t="shared" si="10"/>
        <v>6</v>
      </c>
      <c r="AE9">
        <f t="shared" si="11"/>
        <v>9.3448674266459744</v>
      </c>
    </row>
    <row r="10" spans="1:31" x14ac:dyDescent="0.35">
      <c r="A10">
        <f t="shared" si="0"/>
        <v>7</v>
      </c>
      <c r="B10">
        <v>9.147650683887159</v>
      </c>
      <c r="D10">
        <f t="shared" si="9"/>
        <v>7</v>
      </c>
      <c r="E10">
        <f t="shared" si="1"/>
        <v>-1.0461574025841802</v>
      </c>
      <c r="F10">
        <f t="shared" si="12"/>
        <v>-1.3427830844307342</v>
      </c>
      <c r="I10" t="s">
        <v>361</v>
      </c>
      <c r="J10" s="151">
        <v>2</v>
      </c>
      <c r="L10" s="152" t="e">
        <f t="array" aca="1" ref="L10:N10" ca="1">MARoots(J5)</f>
        <v>#NAME?</v>
      </c>
      <c r="M10" s="152" t="e">
        <f ca="1"/>
        <v>#NAME?</v>
      </c>
      <c r="N10" s="152" t="e">
        <f ca="1"/>
        <v>#NAME?</v>
      </c>
      <c r="V10">
        <f t="shared" si="2"/>
        <v>7</v>
      </c>
      <c r="W10">
        <f t="shared" si="3"/>
        <v>-1.0461574025841802</v>
      </c>
      <c r="X10">
        <f t="shared" si="4"/>
        <v>-1.3427830844307342</v>
      </c>
      <c r="Y10">
        <f t="shared" si="5"/>
        <v>0.29662568184655402</v>
      </c>
      <c r="Z10">
        <f t="shared" si="6"/>
        <v>1.1002814389079172</v>
      </c>
      <c r="AA10">
        <f t="shared" si="7"/>
        <v>-1.8598863112708708</v>
      </c>
      <c r="AB10">
        <f t="shared" si="8"/>
        <v>2.4531376749639788</v>
      </c>
      <c r="AD10">
        <f t="shared" si="10"/>
        <v>7</v>
      </c>
      <c r="AE10">
        <f t="shared" si="11"/>
        <v>9.147650683887159</v>
      </c>
    </row>
    <row r="11" spans="1:31" x14ac:dyDescent="0.35">
      <c r="A11">
        <f t="shared" si="0"/>
        <v>8</v>
      </c>
      <c r="B11">
        <v>8.1014932813029787</v>
      </c>
      <c r="D11">
        <f t="shared" si="9"/>
        <v>8</v>
      </c>
      <c r="E11">
        <f t="shared" si="1"/>
        <v>2.0449257478699501</v>
      </c>
      <c r="F11">
        <f t="shared" si="12"/>
        <v>1.1017984297652972</v>
      </c>
      <c r="I11" t="s">
        <v>362</v>
      </c>
      <c r="J11" s="107">
        <v>1</v>
      </c>
      <c r="V11">
        <f t="shared" si="2"/>
        <v>8</v>
      </c>
      <c r="W11">
        <f t="shared" si="3"/>
        <v>2.0449257478699501</v>
      </c>
      <c r="X11">
        <f t="shared" si="4"/>
        <v>1.1017984297652972</v>
      </c>
      <c r="Y11">
        <f t="shared" si="5"/>
        <v>0.94312731810465289</v>
      </c>
      <c r="Z11">
        <f t="shared" si="6"/>
        <v>1.1002814389079172</v>
      </c>
      <c r="AA11">
        <f t="shared" si="7"/>
        <v>-1.2133846750127719</v>
      </c>
      <c r="AB11">
        <f t="shared" si="8"/>
        <v>3.0996393112220777</v>
      </c>
      <c r="AD11">
        <f t="shared" si="10"/>
        <v>8</v>
      </c>
      <c r="AE11">
        <f t="shared" si="11"/>
        <v>8.1014932813029787</v>
      </c>
    </row>
    <row r="12" spans="1:31" x14ac:dyDescent="0.35">
      <c r="A12">
        <f t="shared" si="0"/>
        <v>9</v>
      </c>
      <c r="B12">
        <v>10.146419029172929</v>
      </c>
      <c r="D12">
        <f t="shared" si="9"/>
        <v>9</v>
      </c>
      <c r="E12">
        <f t="shared" si="1"/>
        <v>0.89877731983125031</v>
      </c>
      <c r="F12">
        <f t="shared" si="12"/>
        <v>1.9170426513809651</v>
      </c>
      <c r="I12" t="s">
        <v>363</v>
      </c>
      <c r="J12" s="107">
        <v>1</v>
      </c>
      <c r="L12" t="s">
        <v>377</v>
      </c>
      <c r="V12">
        <f t="shared" si="2"/>
        <v>9</v>
      </c>
      <c r="W12">
        <f t="shared" si="3"/>
        <v>0.89877731983125031</v>
      </c>
      <c r="X12">
        <f t="shared" si="4"/>
        <v>1.9170426513809651</v>
      </c>
      <c r="Y12">
        <f t="shared" si="5"/>
        <v>-1.0182653315497148</v>
      </c>
      <c r="Z12">
        <f t="shared" si="6"/>
        <v>1.1002814389079172</v>
      </c>
      <c r="AA12">
        <f t="shared" si="7"/>
        <v>-3.1747773246671396</v>
      </c>
      <c r="AB12">
        <f t="shared" si="8"/>
        <v>1.13824666156771</v>
      </c>
      <c r="AD12">
        <f t="shared" si="10"/>
        <v>9</v>
      </c>
      <c r="AE12">
        <f t="shared" si="11"/>
        <v>10.146419029172929</v>
      </c>
    </row>
    <row r="13" spans="1:31" ht="15" thickBot="1" x14ac:dyDescent="0.4">
      <c r="A13">
        <f t="shared" si="0"/>
        <v>10</v>
      </c>
      <c r="B13">
        <v>11.045196349004179</v>
      </c>
      <c r="D13">
        <f t="shared" si="9"/>
        <v>10</v>
      </c>
      <c r="E13">
        <f t="shared" si="1"/>
        <v>-0.9226182688211928</v>
      </c>
      <c r="F13">
        <f t="shared" si="12"/>
        <v>-0.37416240583577043</v>
      </c>
      <c r="I13" t="s">
        <v>364</v>
      </c>
      <c r="J13" s="107">
        <f>AVERAGE(F6:F107)</f>
        <v>4.1858999451386394E-2</v>
      </c>
      <c r="V13">
        <f t="shared" si="2"/>
        <v>10</v>
      </c>
      <c r="W13">
        <f t="shared" si="3"/>
        <v>-0.9226182688211928</v>
      </c>
      <c r="X13">
        <f t="shared" si="4"/>
        <v>-0.37416240583577043</v>
      </c>
      <c r="Y13">
        <f t="shared" si="5"/>
        <v>-0.54845586298542237</v>
      </c>
      <c r="Z13">
        <f t="shared" si="6"/>
        <v>1.1002814389079172</v>
      </c>
      <c r="AA13">
        <f t="shared" si="7"/>
        <v>-2.7049678561028472</v>
      </c>
      <c r="AB13">
        <f t="shared" si="8"/>
        <v>1.6080561301320024</v>
      </c>
      <c r="AD13">
        <f t="shared" si="10"/>
        <v>10</v>
      </c>
      <c r="AE13">
        <f t="shared" si="11"/>
        <v>11.045196349004179</v>
      </c>
    </row>
    <row r="14" spans="1:31" ht="15" thickTop="1" x14ac:dyDescent="0.35">
      <c r="A14">
        <f t="shared" si="0"/>
        <v>11</v>
      </c>
      <c r="B14">
        <v>10.122578080182986</v>
      </c>
      <c r="D14">
        <f t="shared" si="9"/>
        <v>11</v>
      </c>
      <c r="E14">
        <f t="shared" si="1"/>
        <v>5.1024164269062311E-2</v>
      </c>
      <c r="F14">
        <f t="shared" si="12"/>
        <v>-0.52333496986681394</v>
      </c>
      <c r="I14" t="s">
        <v>365</v>
      </c>
      <c r="J14" s="107">
        <f>STDEV(F6:F107)</f>
        <v>1.1049144988871757</v>
      </c>
      <c r="L14" s="45" t="s">
        <v>356</v>
      </c>
      <c r="M14" s="45" t="s">
        <v>378</v>
      </c>
      <c r="V14">
        <f t="shared" si="2"/>
        <v>11</v>
      </c>
      <c r="W14">
        <f t="shared" si="3"/>
        <v>5.1024164269062311E-2</v>
      </c>
      <c r="X14">
        <f t="shared" si="4"/>
        <v>-0.52333496986681394</v>
      </c>
      <c r="Y14">
        <f t="shared" si="5"/>
        <v>0.57435913413587625</v>
      </c>
      <c r="Z14">
        <f t="shared" si="6"/>
        <v>1.1002814389079172</v>
      </c>
      <c r="AA14">
        <f t="shared" si="7"/>
        <v>-1.5821528589815486</v>
      </c>
      <c r="AB14">
        <f t="shared" si="8"/>
        <v>2.7308711272533008</v>
      </c>
      <c r="AD14">
        <f t="shared" si="10"/>
        <v>11</v>
      </c>
      <c r="AE14">
        <f t="shared" si="11"/>
        <v>10.122578080182986</v>
      </c>
    </row>
    <row r="15" spans="1:31" x14ac:dyDescent="0.35">
      <c r="A15">
        <f t="shared" si="0"/>
        <v>12</v>
      </c>
      <c r="B15">
        <v>10.173602244452049</v>
      </c>
      <c r="D15">
        <f t="shared" si="9"/>
        <v>12</v>
      </c>
      <c r="E15">
        <f t="shared" si="1"/>
        <v>0.64770755644076417</v>
      </c>
      <c r="F15">
        <f t="shared" si="12"/>
        <v>0.59557194457937068</v>
      </c>
      <c r="I15" t="s">
        <v>366</v>
      </c>
      <c r="J15" s="107">
        <f>SQRT(J8/J18)</f>
        <v>1.1002814389079172</v>
      </c>
      <c r="L15" s="59">
        <v>0</v>
      </c>
      <c r="M15" s="59" t="e">
        <f t="array" aca="1" ref="M15:M19" ca="1">PSICoeff(I4:I5,J5)</f>
        <v>#NAME?</v>
      </c>
      <c r="V15">
        <f t="shared" si="2"/>
        <v>12</v>
      </c>
      <c r="W15">
        <f t="shared" si="3"/>
        <v>0.64770755644076417</v>
      </c>
      <c r="X15">
        <f t="shared" si="4"/>
        <v>0.59557194457937068</v>
      </c>
      <c r="Y15">
        <f t="shared" si="5"/>
        <v>5.2135611861393483E-2</v>
      </c>
      <c r="Z15">
        <f t="shared" si="6"/>
        <v>1.1002814389079172</v>
      </c>
      <c r="AA15">
        <f t="shared" si="7"/>
        <v>-2.1043763812560314</v>
      </c>
      <c r="AB15">
        <f t="shared" si="8"/>
        <v>2.2086476049788182</v>
      </c>
      <c r="AD15">
        <f t="shared" si="10"/>
        <v>12</v>
      </c>
      <c r="AE15">
        <f t="shared" si="11"/>
        <v>10.173602244452049</v>
      </c>
    </row>
    <row r="16" spans="1:31" x14ac:dyDescent="0.35">
      <c r="A16">
        <f t="shared" si="0"/>
        <v>13</v>
      </c>
      <c r="B16">
        <v>10.821309800892813</v>
      </c>
      <c r="D16">
        <f t="shared" si="9"/>
        <v>13</v>
      </c>
      <c r="E16">
        <f t="shared" si="1"/>
        <v>-0.73724655131885619</v>
      </c>
      <c r="F16">
        <f t="shared" si="12"/>
        <v>-0.3689459540251967</v>
      </c>
      <c r="I16" t="s">
        <v>367</v>
      </c>
      <c r="J16" s="107">
        <f>AVERAGE(E6:E107)</f>
        <v>6.9098004481384145E-2</v>
      </c>
      <c r="L16" s="13">
        <f>L15+1</f>
        <v>1</v>
      </c>
      <c r="M16" s="13" t="e">
        <f ca="1"/>
        <v>#NAME?</v>
      </c>
      <c r="V16">
        <f t="shared" si="2"/>
        <v>13</v>
      </c>
      <c r="W16">
        <f t="shared" si="3"/>
        <v>-0.73724655131885619</v>
      </c>
      <c r="X16">
        <f t="shared" si="4"/>
        <v>-0.3689459540251967</v>
      </c>
      <c r="Y16">
        <f t="shared" si="5"/>
        <v>-0.36830059729365949</v>
      </c>
      <c r="Z16">
        <f t="shared" si="6"/>
        <v>1.1002814389079172</v>
      </c>
      <c r="AA16">
        <f t="shared" si="7"/>
        <v>-2.5248125904110843</v>
      </c>
      <c r="AB16">
        <f t="shared" si="8"/>
        <v>1.7882113958237653</v>
      </c>
      <c r="AD16">
        <f t="shared" si="10"/>
        <v>13</v>
      </c>
      <c r="AE16">
        <f t="shared" si="11"/>
        <v>10.821309800892813</v>
      </c>
    </row>
    <row r="17" spans="1:31" x14ac:dyDescent="0.35">
      <c r="A17">
        <f t="shared" si="0"/>
        <v>14</v>
      </c>
      <c r="B17">
        <v>10.084063249573957</v>
      </c>
      <c r="D17">
        <f t="shared" si="9"/>
        <v>14</v>
      </c>
      <c r="E17">
        <f t="shared" si="1"/>
        <v>0.26199080598152058</v>
      </c>
      <c r="F17">
        <f t="shared" si="12"/>
        <v>-0.23212449807121666</v>
      </c>
      <c r="I17" t="s">
        <v>368</v>
      </c>
      <c r="J17" s="107">
        <f>STDEV(E6:E107)</f>
        <v>1.2827577882400476</v>
      </c>
      <c r="L17" s="13">
        <f>L16+1</f>
        <v>2</v>
      </c>
      <c r="M17" s="13" t="e">
        <f ca="1"/>
        <v>#NAME?</v>
      </c>
      <c r="V17">
        <f t="shared" si="2"/>
        <v>14</v>
      </c>
      <c r="W17">
        <f t="shared" si="3"/>
        <v>0.26199080598152058</v>
      </c>
      <c r="X17">
        <f t="shared" si="4"/>
        <v>-0.23212449807121666</v>
      </c>
      <c r="Y17">
        <f t="shared" si="5"/>
        <v>0.49411530405273724</v>
      </c>
      <c r="Z17">
        <f t="shared" si="6"/>
        <v>1.1002814389079172</v>
      </c>
      <c r="AA17">
        <f t="shared" si="7"/>
        <v>-1.6623966890646875</v>
      </c>
      <c r="AB17">
        <f t="shared" si="8"/>
        <v>2.6506272971701619</v>
      </c>
      <c r="AD17">
        <f t="shared" si="10"/>
        <v>14</v>
      </c>
      <c r="AE17">
        <f t="shared" si="11"/>
        <v>10.084063249573957</v>
      </c>
    </row>
    <row r="18" spans="1:31" x14ac:dyDescent="0.35">
      <c r="A18">
        <f t="shared" si="0"/>
        <v>15</v>
      </c>
      <c r="B18">
        <v>10.346054055555477</v>
      </c>
      <c r="D18">
        <f t="shared" si="9"/>
        <v>15</v>
      </c>
      <c r="E18">
        <f t="shared" si="1"/>
        <v>-0.65385111625288239</v>
      </c>
      <c r="F18">
        <f t="shared" si="12"/>
        <v>-0.57847182569198896</v>
      </c>
      <c r="I18" t="s">
        <v>369</v>
      </c>
      <c r="J18" s="108">
        <f>COUNT(E6:E107)</f>
        <v>102</v>
      </c>
      <c r="L18" s="13">
        <f>L17+1</f>
        <v>3</v>
      </c>
      <c r="M18" s="13" t="e">
        <f ca="1"/>
        <v>#NAME?</v>
      </c>
      <c r="V18">
        <f t="shared" si="2"/>
        <v>15</v>
      </c>
      <c r="W18">
        <f t="shared" si="3"/>
        <v>-0.65385111625288239</v>
      </c>
      <c r="X18">
        <f t="shared" si="4"/>
        <v>-0.57847182569198896</v>
      </c>
      <c r="Y18">
        <f t="shared" si="5"/>
        <v>-7.537929056089343E-2</v>
      </c>
      <c r="Z18">
        <f t="shared" si="6"/>
        <v>1.1002814389079172</v>
      </c>
      <c r="AA18">
        <f t="shared" si="7"/>
        <v>-2.2318912836783182</v>
      </c>
      <c r="AB18">
        <f t="shared" si="8"/>
        <v>2.0811327025565314</v>
      </c>
      <c r="AD18">
        <f t="shared" si="10"/>
        <v>15</v>
      </c>
      <c r="AE18">
        <f t="shared" si="11"/>
        <v>10.346054055555477</v>
      </c>
    </row>
    <row r="19" spans="1:31" x14ac:dyDescent="0.35">
      <c r="A19">
        <f t="shared" si="0"/>
        <v>16</v>
      </c>
      <c r="B19">
        <v>9.6922029393025948</v>
      </c>
      <c r="D19">
        <f t="shared" si="9"/>
        <v>16</v>
      </c>
      <c r="E19">
        <f t="shared" si="1"/>
        <v>1.5133718313232727</v>
      </c>
      <c r="F19">
        <f t="shared" si="12"/>
        <v>0.98348017383849029</v>
      </c>
      <c r="L19" s="4">
        <f>L18+1</f>
        <v>4</v>
      </c>
      <c r="M19" s="4" t="e">
        <f ca="1"/>
        <v>#NAME?</v>
      </c>
      <c r="V19">
        <f t="shared" si="2"/>
        <v>16</v>
      </c>
      <c r="W19">
        <f t="shared" si="3"/>
        <v>1.5133718313232727</v>
      </c>
      <c r="X19">
        <f t="shared" si="4"/>
        <v>0.98348017383849029</v>
      </c>
      <c r="Y19">
        <f t="shared" si="5"/>
        <v>0.5298916574847824</v>
      </c>
      <c r="Z19">
        <f t="shared" si="6"/>
        <v>1.1002814389079172</v>
      </c>
      <c r="AA19">
        <f t="shared" si="7"/>
        <v>-1.6266203356326425</v>
      </c>
      <c r="AB19">
        <f t="shared" si="8"/>
        <v>2.6864036506022071</v>
      </c>
      <c r="AD19">
        <f t="shared" si="10"/>
        <v>16</v>
      </c>
      <c r="AE19">
        <f t="shared" si="11"/>
        <v>9.6922029393025948</v>
      </c>
    </row>
    <row r="20" spans="1:31" x14ac:dyDescent="0.35">
      <c r="A20">
        <f t="shared" si="0"/>
        <v>17</v>
      </c>
      <c r="B20">
        <v>11.205574770625867</v>
      </c>
      <c r="D20">
        <f t="shared" si="9"/>
        <v>17</v>
      </c>
      <c r="E20">
        <f t="shared" si="1"/>
        <v>1.4465416458889777</v>
      </c>
      <c r="F20">
        <f t="shared" si="12"/>
        <v>2.3131602769445339</v>
      </c>
      <c r="I20" t="s">
        <v>370</v>
      </c>
      <c r="J20" s="151">
        <f>-(J23-2*(J10+J11+1))/2</f>
        <v>-154.47946245134455</v>
      </c>
      <c r="V20">
        <f t="shared" si="2"/>
        <v>17</v>
      </c>
      <c r="W20">
        <f t="shared" si="3"/>
        <v>1.4465416458889777</v>
      </c>
      <c r="X20">
        <f t="shared" si="4"/>
        <v>2.3131602769445339</v>
      </c>
      <c r="Y20">
        <f t="shared" si="5"/>
        <v>-0.86661863105555614</v>
      </c>
      <c r="Z20">
        <f t="shared" si="6"/>
        <v>1.1002814389079172</v>
      </c>
      <c r="AA20">
        <f t="shared" si="7"/>
        <v>-3.023130624172981</v>
      </c>
      <c r="AB20">
        <f t="shared" si="8"/>
        <v>1.2898933620618687</v>
      </c>
      <c r="AD20">
        <f t="shared" si="10"/>
        <v>17</v>
      </c>
      <c r="AE20">
        <f t="shared" si="11"/>
        <v>11.205574770625867</v>
      </c>
    </row>
    <row r="21" spans="1:31" x14ac:dyDescent="0.35">
      <c r="A21">
        <f t="shared" si="0"/>
        <v>18</v>
      </c>
      <c r="B21">
        <v>12.652116416514845</v>
      </c>
      <c r="D21">
        <f t="shared" si="9"/>
        <v>18</v>
      </c>
      <c r="E21">
        <f t="shared" si="1"/>
        <v>0.75421275212055328</v>
      </c>
      <c r="F21">
        <f t="shared" si="12"/>
        <v>1.8321620540969283</v>
      </c>
      <c r="I21" t="s">
        <v>145</v>
      </c>
      <c r="J21" s="107">
        <f>J18*LN(J8/J18)+2*(J10+J11+1)</f>
        <v>27.495464128935822</v>
      </c>
      <c r="V21">
        <f t="shared" si="2"/>
        <v>18</v>
      </c>
      <c r="W21">
        <f t="shared" si="3"/>
        <v>0.75421275212055328</v>
      </c>
      <c r="X21">
        <f t="shared" si="4"/>
        <v>1.8321620540969283</v>
      </c>
      <c r="Y21">
        <f t="shared" si="5"/>
        <v>-1.0779493019763751</v>
      </c>
      <c r="Z21">
        <f t="shared" si="6"/>
        <v>1.1002814389079172</v>
      </c>
      <c r="AA21">
        <f t="shared" si="7"/>
        <v>-3.2344612950937996</v>
      </c>
      <c r="AB21">
        <f t="shared" si="8"/>
        <v>1.0785626911410497</v>
      </c>
      <c r="AD21">
        <f t="shared" si="10"/>
        <v>18</v>
      </c>
      <c r="AE21">
        <f t="shared" si="11"/>
        <v>12.652116416514845</v>
      </c>
    </row>
    <row r="22" spans="1:31" x14ac:dyDescent="0.35">
      <c r="A22">
        <f t="shared" si="0"/>
        <v>19</v>
      </c>
      <c r="B22">
        <v>13.406329168635398</v>
      </c>
      <c r="D22">
        <f t="shared" si="9"/>
        <v>19</v>
      </c>
      <c r="E22">
        <f t="shared" si="1"/>
        <v>-1.1751112384514233</v>
      </c>
      <c r="F22">
        <f t="shared" si="12"/>
        <v>-0.31400357283681357</v>
      </c>
      <c r="I22" t="s">
        <v>371</v>
      </c>
      <c r="J22" s="107">
        <f>J18*LN(J8/J18)+LN(J18)*(J10+J11+1)</f>
        <v>37.995355382072901</v>
      </c>
      <c r="V22">
        <f t="shared" si="2"/>
        <v>19</v>
      </c>
      <c r="W22">
        <f t="shared" si="3"/>
        <v>-1.1751112384514233</v>
      </c>
      <c r="X22">
        <f t="shared" si="4"/>
        <v>-0.31400357283681357</v>
      </c>
      <c r="Y22">
        <f t="shared" si="5"/>
        <v>-0.86110766561460972</v>
      </c>
      <c r="Z22">
        <f t="shared" si="6"/>
        <v>1.1002814389079172</v>
      </c>
      <c r="AA22">
        <f t="shared" si="7"/>
        <v>-3.0176196587320345</v>
      </c>
      <c r="AB22">
        <f t="shared" si="8"/>
        <v>1.2954043275028151</v>
      </c>
      <c r="AD22">
        <f t="shared" si="10"/>
        <v>19</v>
      </c>
      <c r="AE22">
        <f t="shared" si="11"/>
        <v>13.406329168635398</v>
      </c>
    </row>
    <row r="23" spans="1:31" x14ac:dyDescent="0.35">
      <c r="A23">
        <f t="shared" si="0"/>
        <v>20</v>
      </c>
      <c r="B23">
        <v>12.231217930183975</v>
      </c>
      <c r="D23">
        <f t="shared" si="9"/>
        <v>20</v>
      </c>
      <c r="E23">
        <f t="shared" si="1"/>
        <v>-0.1142434742247378</v>
      </c>
      <c r="F23">
        <f t="shared" si="12"/>
        <v>-0.44070065953894327</v>
      </c>
      <c r="I23" t="s">
        <v>372</v>
      </c>
      <c r="J23" s="107">
        <f>J18*(1+LN(2*PI()))+J21</f>
        <v>316.95892490268909</v>
      </c>
      <c r="V23">
        <f t="shared" si="2"/>
        <v>20</v>
      </c>
      <c r="W23">
        <f t="shared" si="3"/>
        <v>-0.1142434742247378</v>
      </c>
      <c r="X23">
        <f t="shared" si="4"/>
        <v>-0.44070065953894327</v>
      </c>
      <c r="Y23">
        <f t="shared" si="5"/>
        <v>0.32645718531420548</v>
      </c>
      <c r="Z23">
        <f t="shared" si="6"/>
        <v>1.1002814389079172</v>
      </c>
      <c r="AA23">
        <f t="shared" si="7"/>
        <v>-1.8300548078032193</v>
      </c>
      <c r="AB23">
        <f t="shared" si="8"/>
        <v>2.4829691784316301</v>
      </c>
      <c r="AD23">
        <f t="shared" si="10"/>
        <v>20</v>
      </c>
      <c r="AE23">
        <f t="shared" si="11"/>
        <v>12.231217930183975</v>
      </c>
    </row>
    <row r="24" spans="1:31" x14ac:dyDescent="0.35">
      <c r="A24">
        <f t="shared" si="0"/>
        <v>21</v>
      </c>
      <c r="B24">
        <v>12.116974455959237</v>
      </c>
      <c r="D24">
        <f t="shared" si="9"/>
        <v>21</v>
      </c>
      <c r="E24">
        <f t="shared" si="1"/>
        <v>-1.6570855615983273</v>
      </c>
      <c r="F24">
        <f t="shared" si="12"/>
        <v>-1.4076885580666927</v>
      </c>
      <c r="I24" t="s">
        <v>373</v>
      </c>
      <c r="J24" s="108">
        <f>J18*(1+LN(2*PI()))+J22</f>
        <v>327.45881615582613</v>
      </c>
      <c r="V24">
        <f t="shared" si="2"/>
        <v>21</v>
      </c>
      <c r="W24">
        <f t="shared" si="3"/>
        <v>-1.6570855615983273</v>
      </c>
      <c r="X24">
        <f t="shared" si="4"/>
        <v>-1.4076885580666927</v>
      </c>
      <c r="Y24">
        <f t="shared" si="5"/>
        <v>-0.24939700353163463</v>
      </c>
      <c r="Z24">
        <f t="shared" si="6"/>
        <v>1.1002814389079172</v>
      </c>
      <c r="AA24">
        <f t="shared" si="7"/>
        <v>-2.4059089966490594</v>
      </c>
      <c r="AB24">
        <f t="shared" si="8"/>
        <v>1.9071149895857902</v>
      </c>
      <c r="AD24">
        <f t="shared" si="10"/>
        <v>21</v>
      </c>
      <c r="AE24">
        <f t="shared" si="11"/>
        <v>12.116974455959237</v>
      </c>
    </row>
    <row r="25" spans="1:31" x14ac:dyDescent="0.35">
      <c r="A25">
        <f t="shared" si="0"/>
        <v>22</v>
      </c>
      <c r="B25">
        <v>10.45988889436091</v>
      </c>
      <c r="D25">
        <f t="shared" si="9"/>
        <v>22</v>
      </c>
      <c r="E25">
        <f t="shared" si="1"/>
        <v>-1.0134312232796834</v>
      </c>
      <c r="F25">
        <f t="shared" si="12"/>
        <v>-1.8386986246307682</v>
      </c>
      <c r="V25">
        <f t="shared" si="2"/>
        <v>22</v>
      </c>
      <c r="W25">
        <f t="shared" si="3"/>
        <v>-1.0134312232796834</v>
      </c>
      <c r="X25">
        <f t="shared" si="4"/>
        <v>-1.8386986246307682</v>
      </c>
      <c r="Y25">
        <f t="shared" si="5"/>
        <v>0.82526740135108478</v>
      </c>
      <c r="Z25">
        <f t="shared" si="6"/>
        <v>1.1002814389079172</v>
      </c>
      <c r="AA25">
        <f t="shared" si="7"/>
        <v>-1.33124459176634</v>
      </c>
      <c r="AB25">
        <f t="shared" si="8"/>
        <v>2.9817793944685098</v>
      </c>
      <c r="AD25">
        <f t="shared" si="10"/>
        <v>22</v>
      </c>
      <c r="AE25">
        <f t="shared" si="11"/>
        <v>10.45988889436091</v>
      </c>
    </row>
    <row r="26" spans="1:31" x14ac:dyDescent="0.35">
      <c r="A26">
        <f t="shared" si="0"/>
        <v>23</v>
      </c>
      <c r="B26">
        <v>9.4464576710812267</v>
      </c>
      <c r="D26">
        <f t="shared" si="9"/>
        <v>23</v>
      </c>
      <c r="E26">
        <f t="shared" si="1"/>
        <v>1.7345727637130945</v>
      </c>
      <c r="F26">
        <f t="shared" si="12"/>
        <v>1.0897495143537279</v>
      </c>
      <c r="I26" t="s">
        <v>360</v>
      </c>
      <c r="J26" s="153" t="s">
        <v>304</v>
      </c>
      <c r="V26">
        <f t="shared" si="2"/>
        <v>23</v>
      </c>
      <c r="W26">
        <f t="shared" si="3"/>
        <v>1.7345727637130945</v>
      </c>
      <c r="X26">
        <f t="shared" si="4"/>
        <v>1.0897495143537279</v>
      </c>
      <c r="Y26">
        <f t="shared" si="5"/>
        <v>0.64482324935936663</v>
      </c>
      <c r="Z26">
        <f t="shared" si="6"/>
        <v>1.1002814389079172</v>
      </c>
      <c r="AA26">
        <f t="shared" si="7"/>
        <v>-1.5116887437580582</v>
      </c>
      <c r="AB26">
        <f t="shared" si="8"/>
        <v>2.8013352424767914</v>
      </c>
      <c r="AD26">
        <f t="shared" si="10"/>
        <v>23</v>
      </c>
      <c r="AE26">
        <f t="shared" si="11"/>
        <v>9.4464576710812267</v>
      </c>
    </row>
    <row r="27" spans="1:31" x14ac:dyDescent="0.35">
      <c r="A27">
        <f t="shared" si="0"/>
        <v>24</v>
      </c>
      <c r="B27">
        <v>11.181030434794321</v>
      </c>
      <c r="D27">
        <f t="shared" si="9"/>
        <v>24</v>
      </c>
      <c r="E27">
        <f t="shared" si="1"/>
        <v>-3.595670218448646</v>
      </c>
      <c r="F27">
        <f t="shared" si="12"/>
        <v>-2.4892198793513116</v>
      </c>
      <c r="V27">
        <f t="shared" si="2"/>
        <v>24</v>
      </c>
      <c r="W27">
        <f t="shared" si="3"/>
        <v>-3.595670218448646</v>
      </c>
      <c r="X27">
        <f t="shared" si="4"/>
        <v>-2.4892198793513116</v>
      </c>
      <c r="Y27">
        <f t="shared" si="5"/>
        <v>-1.1064503390973344</v>
      </c>
      <c r="Z27">
        <f t="shared" si="6"/>
        <v>1.1002814389079172</v>
      </c>
      <c r="AA27">
        <f t="shared" si="7"/>
        <v>-3.2629623322147592</v>
      </c>
      <c r="AB27">
        <f t="shared" si="8"/>
        <v>1.0500616540200904</v>
      </c>
      <c r="AD27">
        <f t="shared" si="10"/>
        <v>24</v>
      </c>
      <c r="AE27">
        <f t="shared" si="11"/>
        <v>11.181030434794321</v>
      </c>
    </row>
    <row r="28" spans="1:31" x14ac:dyDescent="0.35">
      <c r="A28">
        <f t="shared" si="0"/>
        <v>25</v>
      </c>
      <c r="B28">
        <v>7.5853602163456753</v>
      </c>
      <c r="D28">
        <f t="shared" si="9"/>
        <v>25</v>
      </c>
      <c r="E28">
        <f t="shared" si="1"/>
        <v>3.3931716450659923</v>
      </c>
      <c r="F28">
        <f t="shared" si="12"/>
        <v>1.0621885734163792</v>
      </c>
      <c r="V28">
        <f t="shared" si="2"/>
        <v>25</v>
      </c>
      <c r="W28">
        <f t="shared" si="3"/>
        <v>3.3931716450659923</v>
      </c>
      <c r="X28">
        <f t="shared" si="4"/>
        <v>1.0621885734163792</v>
      </c>
      <c r="Y28">
        <f t="shared" si="5"/>
        <v>2.3309830716496132</v>
      </c>
      <c r="Z28">
        <f t="shared" si="6"/>
        <v>1.1002814389079172</v>
      </c>
      <c r="AA28">
        <f t="shared" si="7"/>
        <v>0.17447107853218835</v>
      </c>
      <c r="AB28">
        <f t="shared" si="8"/>
        <v>4.487495064767038</v>
      </c>
      <c r="AD28">
        <f t="shared" si="10"/>
        <v>25</v>
      </c>
      <c r="AE28">
        <f t="shared" si="11"/>
        <v>7.5853602163456753</v>
      </c>
    </row>
    <row r="29" spans="1:31" x14ac:dyDescent="0.35">
      <c r="A29">
        <f t="shared" si="0"/>
        <v>26</v>
      </c>
      <c r="B29">
        <v>10.978531861411668</v>
      </c>
      <c r="D29">
        <f t="shared" si="9"/>
        <v>26</v>
      </c>
      <c r="E29">
        <f t="shared" si="1"/>
        <v>-0.42830665278593116</v>
      </c>
      <c r="F29">
        <f t="shared" si="12"/>
        <v>1.5110978220882716</v>
      </c>
      <c r="V29">
        <f t="shared" si="2"/>
        <v>26</v>
      </c>
      <c r="W29">
        <f t="shared" si="3"/>
        <v>-0.42830665278593116</v>
      </c>
      <c r="X29">
        <f t="shared" si="4"/>
        <v>1.5110978220882716</v>
      </c>
      <c r="Y29">
        <f t="shared" si="5"/>
        <v>-1.9394044748742028</v>
      </c>
      <c r="Z29">
        <f t="shared" si="6"/>
        <v>1.1002814389079172</v>
      </c>
      <c r="AA29">
        <f t="shared" si="7"/>
        <v>-4.0959164679916276</v>
      </c>
      <c r="AB29">
        <f t="shared" si="8"/>
        <v>0.21710751824322205</v>
      </c>
      <c r="AD29">
        <f t="shared" si="10"/>
        <v>26</v>
      </c>
      <c r="AE29">
        <f t="shared" si="11"/>
        <v>10.978531861411668</v>
      </c>
    </row>
    <row r="30" spans="1:31" x14ac:dyDescent="0.35">
      <c r="A30">
        <f t="shared" si="0"/>
        <v>27</v>
      </c>
      <c r="B30">
        <v>10.550225208625736</v>
      </c>
      <c r="D30">
        <f t="shared" si="9"/>
        <v>27</v>
      </c>
      <c r="E30">
        <f t="shared" si="1"/>
        <v>0.67723622241925874</v>
      </c>
      <c r="F30">
        <f t="shared" si="12"/>
        <v>0.51138048484542131</v>
      </c>
      <c r="V30">
        <f t="shared" si="2"/>
        <v>27</v>
      </c>
      <c r="W30">
        <f t="shared" si="3"/>
        <v>0.67723622241925874</v>
      </c>
      <c r="X30">
        <f t="shared" si="4"/>
        <v>0.51138048484542131</v>
      </c>
      <c r="Y30">
        <f t="shared" si="5"/>
        <v>0.16585573757383743</v>
      </c>
      <c r="Z30">
        <f t="shared" si="6"/>
        <v>1.1002814389079172</v>
      </c>
      <c r="AA30">
        <f t="shared" si="7"/>
        <v>-1.9906562555435874</v>
      </c>
      <c r="AB30">
        <f t="shared" si="8"/>
        <v>2.322367730691262</v>
      </c>
      <c r="AD30">
        <f t="shared" si="10"/>
        <v>27</v>
      </c>
      <c r="AE30">
        <f t="shared" si="11"/>
        <v>10.550225208625736</v>
      </c>
    </row>
    <row r="31" spans="1:31" x14ac:dyDescent="0.35">
      <c r="A31">
        <f t="shared" si="0"/>
        <v>28</v>
      </c>
      <c r="B31">
        <v>11.227461431044995</v>
      </c>
      <c r="D31">
        <f t="shared" si="9"/>
        <v>28</v>
      </c>
      <c r="E31">
        <f t="shared" si="1"/>
        <v>-2.1512901055133078</v>
      </c>
      <c r="F31">
        <f t="shared" si="12"/>
        <v>-1.606591987423611</v>
      </c>
      <c r="V31">
        <f t="shared" si="2"/>
        <v>28</v>
      </c>
      <c r="W31">
        <f t="shared" si="3"/>
        <v>-2.1512901055133078</v>
      </c>
      <c r="X31">
        <f t="shared" si="4"/>
        <v>-1.606591987423611</v>
      </c>
      <c r="Y31">
        <f t="shared" si="5"/>
        <v>-0.54469811808969681</v>
      </c>
      <c r="Z31">
        <f t="shared" si="6"/>
        <v>1.1002814389079172</v>
      </c>
      <c r="AA31">
        <f t="shared" si="7"/>
        <v>-2.7012101112071214</v>
      </c>
      <c r="AB31">
        <f t="shared" si="8"/>
        <v>1.611813875027728</v>
      </c>
      <c r="AD31">
        <f t="shared" si="10"/>
        <v>28</v>
      </c>
      <c r="AE31">
        <f t="shared" si="11"/>
        <v>11.227461431044995</v>
      </c>
    </row>
    <row r="32" spans="1:31" x14ac:dyDescent="0.35">
      <c r="A32">
        <f t="shared" si="0"/>
        <v>29</v>
      </c>
      <c r="B32">
        <v>9.0761713255316874</v>
      </c>
      <c r="D32">
        <f t="shared" si="9"/>
        <v>29</v>
      </c>
      <c r="E32">
        <f t="shared" si="1"/>
        <v>0.83332432537685008</v>
      </c>
      <c r="F32">
        <f t="shared" si="12"/>
        <v>-0.47883294670042154</v>
      </c>
      <c r="V32">
        <f t="shared" si="2"/>
        <v>29</v>
      </c>
      <c r="W32">
        <f t="shared" si="3"/>
        <v>0.83332432537685008</v>
      </c>
      <c r="X32">
        <f t="shared" si="4"/>
        <v>-0.47883294670042154</v>
      </c>
      <c r="Y32">
        <f t="shared" si="5"/>
        <v>1.3121572720772716</v>
      </c>
      <c r="Z32">
        <f t="shared" si="6"/>
        <v>1.1002814389079172</v>
      </c>
      <c r="AA32">
        <f t="shared" si="7"/>
        <v>-0.84435472104015319</v>
      </c>
      <c r="AB32">
        <f t="shared" si="8"/>
        <v>3.4686692651946966</v>
      </c>
      <c r="AD32">
        <f t="shared" si="10"/>
        <v>29</v>
      </c>
      <c r="AE32">
        <f t="shared" si="11"/>
        <v>9.0761713255316874</v>
      </c>
    </row>
    <row r="33" spans="1:31" x14ac:dyDescent="0.35">
      <c r="A33">
        <f t="shared" si="0"/>
        <v>30</v>
      </c>
      <c r="B33">
        <v>9.9094956509085375</v>
      </c>
      <c r="D33">
        <f t="shared" si="9"/>
        <v>30</v>
      </c>
      <c r="E33">
        <f t="shared" si="1"/>
        <v>1.7741399200726011</v>
      </c>
      <c r="F33">
        <f t="shared" si="12"/>
        <v>2.1838314057397095</v>
      </c>
      <c r="V33">
        <f t="shared" si="2"/>
        <v>30</v>
      </c>
      <c r="W33">
        <f t="shared" si="3"/>
        <v>1.7741399200726011</v>
      </c>
      <c r="X33">
        <f t="shared" si="4"/>
        <v>2.1838314057397095</v>
      </c>
      <c r="Y33">
        <f t="shared" si="5"/>
        <v>-0.40969148566710833</v>
      </c>
      <c r="Z33">
        <f t="shared" si="6"/>
        <v>1.1002814389079172</v>
      </c>
      <c r="AA33">
        <f t="shared" si="7"/>
        <v>-2.5662034787845331</v>
      </c>
      <c r="AB33">
        <f t="shared" si="8"/>
        <v>1.7468205074503165</v>
      </c>
      <c r="AD33">
        <f t="shared" si="10"/>
        <v>30</v>
      </c>
      <c r="AE33">
        <f t="shared" si="11"/>
        <v>9.9094956509085375</v>
      </c>
    </row>
    <row r="34" spans="1:31" x14ac:dyDescent="0.35">
      <c r="A34">
        <f t="shared" si="0"/>
        <v>31</v>
      </c>
      <c r="B34">
        <v>11.683635570981139</v>
      </c>
      <c r="D34">
        <f t="shared" si="9"/>
        <v>31</v>
      </c>
      <c r="E34">
        <f t="shared" si="1"/>
        <v>-2.2945174619354827</v>
      </c>
      <c r="F34">
        <f t="shared" si="12"/>
        <v>-1.0879330868592678</v>
      </c>
      <c r="V34">
        <f t="shared" si="2"/>
        <v>31</v>
      </c>
      <c r="W34">
        <f t="shared" si="3"/>
        <v>-2.2945174619354827</v>
      </c>
      <c r="X34">
        <f t="shared" si="4"/>
        <v>-1.0879330868592678</v>
      </c>
      <c r="Y34">
        <f t="shared" si="5"/>
        <v>-1.2065843750762149</v>
      </c>
      <c r="Z34">
        <f t="shared" si="6"/>
        <v>1.1002814389079172</v>
      </c>
      <c r="AA34">
        <f t="shared" si="7"/>
        <v>-3.3630963681936397</v>
      </c>
      <c r="AB34">
        <f t="shared" si="8"/>
        <v>0.94992761804120995</v>
      </c>
      <c r="AD34">
        <f t="shared" si="10"/>
        <v>31</v>
      </c>
      <c r="AE34">
        <f t="shared" si="11"/>
        <v>11.683635570981139</v>
      </c>
    </row>
    <row r="35" spans="1:31" x14ac:dyDescent="0.35">
      <c r="A35">
        <f t="shared" si="0"/>
        <v>32</v>
      </c>
      <c r="B35">
        <v>9.3891181090456559</v>
      </c>
      <c r="D35">
        <f t="shared" si="9"/>
        <v>32</v>
      </c>
      <c r="E35">
        <f t="shared" si="1"/>
        <v>1.8918492439179051</v>
      </c>
      <c r="F35">
        <f t="shared" si="12"/>
        <v>0.56082161626633242</v>
      </c>
      <c r="V35">
        <f t="shared" si="2"/>
        <v>32</v>
      </c>
      <c r="W35">
        <f t="shared" si="3"/>
        <v>1.8918492439179051</v>
      </c>
      <c r="X35">
        <f t="shared" si="4"/>
        <v>0.56082161626633242</v>
      </c>
      <c r="Y35">
        <f t="shared" si="5"/>
        <v>1.3310276276515727</v>
      </c>
      <c r="Z35">
        <f t="shared" si="6"/>
        <v>1.1002814389079172</v>
      </c>
      <c r="AA35">
        <f t="shared" si="7"/>
        <v>-0.82548436546585213</v>
      </c>
      <c r="AB35">
        <f t="shared" si="8"/>
        <v>3.4875396207689975</v>
      </c>
      <c r="AD35">
        <f t="shared" si="10"/>
        <v>32</v>
      </c>
      <c r="AE35">
        <f t="shared" si="11"/>
        <v>9.3891181090456559</v>
      </c>
    </row>
    <row r="36" spans="1:31" x14ac:dyDescent="0.35">
      <c r="A36">
        <f t="shared" si="0"/>
        <v>33</v>
      </c>
      <c r="B36">
        <v>11.280967352963561</v>
      </c>
      <c r="D36">
        <f t="shared" si="9"/>
        <v>33</v>
      </c>
      <c r="E36">
        <f t="shared" si="1"/>
        <v>-2.2032672986261925</v>
      </c>
      <c r="F36">
        <f t="shared" si="12"/>
        <v>-0.98713823873906725</v>
      </c>
      <c r="V36">
        <f t="shared" si="2"/>
        <v>33</v>
      </c>
      <c r="W36">
        <f t="shared" si="3"/>
        <v>-2.2032672986261925</v>
      </c>
      <c r="X36">
        <f t="shared" si="4"/>
        <v>-0.98713823873906725</v>
      </c>
      <c r="Y36">
        <f t="shared" si="5"/>
        <v>-1.2161290598871253</v>
      </c>
      <c r="Z36">
        <f t="shared" si="6"/>
        <v>1.1002814389079172</v>
      </c>
      <c r="AA36">
        <f t="shared" si="7"/>
        <v>-3.3726410530045499</v>
      </c>
      <c r="AB36">
        <f t="shared" si="8"/>
        <v>0.94038293323029953</v>
      </c>
      <c r="AD36">
        <f t="shared" si="10"/>
        <v>33</v>
      </c>
      <c r="AE36">
        <f t="shared" si="11"/>
        <v>11.280967352963561</v>
      </c>
    </row>
    <row r="37" spans="1:31" x14ac:dyDescent="0.35">
      <c r="A37">
        <f t="shared" si="0"/>
        <v>34</v>
      </c>
      <c r="B37">
        <v>9.0777000543373685</v>
      </c>
      <c r="D37">
        <f t="shared" si="9"/>
        <v>34</v>
      </c>
      <c r="E37">
        <f t="shared" si="1"/>
        <v>0.34415202537282141</v>
      </c>
      <c r="F37">
        <f t="shared" si="12"/>
        <v>-0.98105361170237548</v>
      </c>
      <c r="V37">
        <f t="shared" si="2"/>
        <v>34</v>
      </c>
      <c r="W37">
        <f t="shared" si="3"/>
        <v>0.34415202537282141</v>
      </c>
      <c r="X37">
        <f t="shared" si="4"/>
        <v>-0.98105361170237548</v>
      </c>
      <c r="Y37">
        <f t="shared" si="5"/>
        <v>1.325205637075197</v>
      </c>
      <c r="Z37">
        <f t="shared" si="6"/>
        <v>1.1002814389079172</v>
      </c>
      <c r="AA37">
        <f t="shared" si="7"/>
        <v>-0.8313063560422278</v>
      </c>
      <c r="AB37">
        <f t="shared" si="8"/>
        <v>3.4817176301926218</v>
      </c>
      <c r="AD37">
        <f t="shared" si="10"/>
        <v>34</v>
      </c>
      <c r="AE37">
        <f t="shared" si="11"/>
        <v>9.0777000543373685</v>
      </c>
    </row>
    <row r="38" spans="1:31" x14ac:dyDescent="0.35">
      <c r="A38">
        <f t="shared" si="0"/>
        <v>35</v>
      </c>
      <c r="B38">
        <v>9.4218520797101899</v>
      </c>
      <c r="D38">
        <f t="shared" si="9"/>
        <v>35</v>
      </c>
      <c r="E38">
        <f t="shared" si="1"/>
        <v>1.3468186870160324</v>
      </c>
      <c r="F38">
        <f t="shared" si="12"/>
        <v>1.429039394807456</v>
      </c>
      <c r="V38">
        <f t="shared" si="2"/>
        <v>35</v>
      </c>
      <c r="W38">
        <f t="shared" si="3"/>
        <v>1.3468186870160324</v>
      </c>
      <c r="X38">
        <f t="shared" si="4"/>
        <v>1.429039394807456</v>
      </c>
      <c r="Y38">
        <f t="shared" si="5"/>
        <v>-8.2220707791423653E-2</v>
      </c>
      <c r="Z38">
        <f t="shared" si="6"/>
        <v>1.1002814389079172</v>
      </c>
      <c r="AA38">
        <f t="shared" si="7"/>
        <v>-2.2387327009088485</v>
      </c>
      <c r="AB38">
        <f t="shared" si="8"/>
        <v>2.0742912853260012</v>
      </c>
      <c r="AD38">
        <f t="shared" si="10"/>
        <v>35</v>
      </c>
      <c r="AE38">
        <f t="shared" si="11"/>
        <v>9.4218520797101899</v>
      </c>
    </row>
    <row r="39" spans="1:31" x14ac:dyDescent="0.35">
      <c r="A39">
        <f t="shared" si="0"/>
        <v>36</v>
      </c>
      <c r="B39">
        <v>10.768670766726222</v>
      </c>
      <c r="D39">
        <f t="shared" si="9"/>
        <v>36</v>
      </c>
      <c r="E39">
        <f t="shared" si="1"/>
        <v>-0.723984340505611</v>
      </c>
      <c r="F39">
        <f t="shared" si="12"/>
        <v>0.11081133716092495</v>
      </c>
      <c r="V39">
        <f t="shared" si="2"/>
        <v>36</v>
      </c>
      <c r="W39">
        <f t="shared" si="3"/>
        <v>-0.723984340505611</v>
      </c>
      <c r="X39">
        <f t="shared" si="4"/>
        <v>0.11081133716092495</v>
      </c>
      <c r="Y39">
        <f t="shared" si="5"/>
        <v>-0.83479567766653595</v>
      </c>
      <c r="Z39">
        <f t="shared" si="6"/>
        <v>1.1002814389079172</v>
      </c>
      <c r="AA39">
        <f t="shared" si="7"/>
        <v>-2.9913076707839608</v>
      </c>
      <c r="AB39">
        <f t="shared" si="8"/>
        <v>1.3217163154508889</v>
      </c>
      <c r="AD39">
        <f t="shared" si="10"/>
        <v>36</v>
      </c>
      <c r="AE39">
        <f t="shared" si="11"/>
        <v>10.768670766726222</v>
      </c>
    </row>
    <row r="40" spans="1:31" x14ac:dyDescent="0.35">
      <c r="A40">
        <f t="shared" si="0"/>
        <v>37</v>
      </c>
      <c r="B40">
        <v>10.044686426220611</v>
      </c>
      <c r="D40">
        <f t="shared" si="9"/>
        <v>37</v>
      </c>
      <c r="E40">
        <f t="shared" si="1"/>
        <v>-0.54203888534851785</v>
      </c>
      <c r="F40">
        <f t="shared" si="12"/>
        <v>-0.92607706834745696</v>
      </c>
      <c r="V40">
        <f t="shared" si="2"/>
        <v>37</v>
      </c>
      <c r="W40">
        <f t="shared" si="3"/>
        <v>-0.54203888534851785</v>
      </c>
      <c r="X40">
        <f t="shared" si="4"/>
        <v>-0.92607706834745696</v>
      </c>
      <c r="Y40">
        <f t="shared" si="5"/>
        <v>0.3840381829989391</v>
      </c>
      <c r="Z40">
        <f t="shared" si="6"/>
        <v>1.1002814389079172</v>
      </c>
      <c r="AA40">
        <f t="shared" si="7"/>
        <v>-1.7724738101184858</v>
      </c>
      <c r="AB40">
        <f t="shared" si="8"/>
        <v>2.5405501761163638</v>
      </c>
      <c r="AD40">
        <f t="shared" si="10"/>
        <v>37</v>
      </c>
      <c r="AE40">
        <f t="shared" si="11"/>
        <v>10.044686426220611</v>
      </c>
    </row>
    <row r="41" spans="1:31" x14ac:dyDescent="0.35">
      <c r="A41">
        <f t="shared" si="0"/>
        <v>38</v>
      </c>
      <c r="B41">
        <v>9.5026475408720934</v>
      </c>
      <c r="D41">
        <f t="shared" si="9"/>
        <v>38</v>
      </c>
      <c r="E41">
        <f t="shared" si="1"/>
        <v>2.513987604337796</v>
      </c>
      <c r="F41">
        <f t="shared" si="12"/>
        <v>2.1369440464924931</v>
      </c>
      <c r="V41">
        <f t="shared" si="2"/>
        <v>38</v>
      </c>
      <c r="W41">
        <f t="shared" si="3"/>
        <v>2.513987604337796</v>
      </c>
      <c r="X41">
        <f t="shared" si="4"/>
        <v>2.1369440464924931</v>
      </c>
      <c r="Y41">
        <f t="shared" si="5"/>
        <v>0.37704355784530286</v>
      </c>
      <c r="Z41">
        <f t="shared" si="6"/>
        <v>1.1002814389079172</v>
      </c>
      <c r="AA41">
        <f t="shared" si="7"/>
        <v>-1.779468435272122</v>
      </c>
      <c r="AB41">
        <f t="shared" si="8"/>
        <v>2.5335555509627277</v>
      </c>
      <c r="AD41">
        <f t="shared" si="10"/>
        <v>38</v>
      </c>
      <c r="AE41">
        <f t="shared" si="11"/>
        <v>9.5026475408720934</v>
      </c>
    </row>
    <row r="42" spans="1:31" x14ac:dyDescent="0.35">
      <c r="A42">
        <f t="shared" si="0"/>
        <v>39</v>
      </c>
      <c r="B42">
        <v>12.016635145209889</v>
      </c>
      <c r="D42">
        <f t="shared" si="9"/>
        <v>39</v>
      </c>
      <c r="E42">
        <f t="shared" si="1"/>
        <v>-2.4090527207463346</v>
      </c>
      <c r="F42">
        <f t="shared" si="12"/>
        <v>-0.73823260176826055</v>
      </c>
      <c r="V42">
        <f t="shared" si="2"/>
        <v>39</v>
      </c>
      <c r="W42">
        <f t="shared" si="3"/>
        <v>-2.4090527207463346</v>
      </c>
      <c r="X42">
        <f t="shared" si="4"/>
        <v>-0.73823260176826055</v>
      </c>
      <c r="Y42">
        <f t="shared" si="5"/>
        <v>-1.670820118978074</v>
      </c>
      <c r="Z42">
        <f t="shared" si="6"/>
        <v>1.1002814389079172</v>
      </c>
      <c r="AA42">
        <f t="shared" si="7"/>
        <v>-3.8273321120954988</v>
      </c>
      <c r="AB42">
        <f t="shared" si="8"/>
        <v>0.48569187413935078</v>
      </c>
      <c r="AD42">
        <f t="shared" si="10"/>
        <v>39</v>
      </c>
      <c r="AE42">
        <f t="shared" si="11"/>
        <v>12.016635145209889</v>
      </c>
    </row>
    <row r="43" spans="1:31" x14ac:dyDescent="0.35">
      <c r="A43">
        <f t="shared" si="0"/>
        <v>40</v>
      </c>
      <c r="B43">
        <v>9.6075824244635548</v>
      </c>
      <c r="D43">
        <f t="shared" si="9"/>
        <v>40</v>
      </c>
      <c r="E43">
        <f t="shared" si="1"/>
        <v>0.87121628214646485</v>
      </c>
      <c r="F43">
        <f t="shared" si="12"/>
        <v>-0.46572230495771849</v>
      </c>
      <c r="V43">
        <f t="shared" si="2"/>
        <v>40</v>
      </c>
      <c r="W43">
        <f t="shared" si="3"/>
        <v>0.87121628214646485</v>
      </c>
      <c r="X43">
        <f t="shared" si="4"/>
        <v>-0.46572230495771849</v>
      </c>
      <c r="Y43">
        <f t="shared" si="5"/>
        <v>1.3369385871041835</v>
      </c>
      <c r="Z43">
        <f t="shared" si="6"/>
        <v>1.1002814389079172</v>
      </c>
      <c r="AA43">
        <f t="shared" si="7"/>
        <v>-0.81957340601324136</v>
      </c>
      <c r="AB43">
        <f t="shared" si="8"/>
        <v>3.4934505802216083</v>
      </c>
      <c r="AD43">
        <f t="shared" si="10"/>
        <v>40</v>
      </c>
      <c r="AE43">
        <f t="shared" si="11"/>
        <v>9.6075824244635548</v>
      </c>
    </row>
    <row r="44" spans="1:31" x14ac:dyDescent="0.35">
      <c r="A44">
        <f t="shared" si="0"/>
        <v>41</v>
      </c>
      <c r="B44">
        <v>10.47879870661002</v>
      </c>
      <c r="D44">
        <f t="shared" si="9"/>
        <v>41</v>
      </c>
      <c r="E44">
        <f t="shared" si="1"/>
        <v>-0.34765271049188229</v>
      </c>
      <c r="F44">
        <f t="shared" si="12"/>
        <v>0.21201622740188919</v>
      </c>
      <c r="V44">
        <f t="shared" si="2"/>
        <v>41</v>
      </c>
      <c r="W44">
        <f t="shared" si="3"/>
        <v>-0.34765271049188229</v>
      </c>
      <c r="X44">
        <f t="shared" si="4"/>
        <v>0.21201622740188919</v>
      </c>
      <c r="Y44">
        <f t="shared" si="5"/>
        <v>-0.55966893789377148</v>
      </c>
      <c r="Z44">
        <f t="shared" si="6"/>
        <v>1.1002814389079172</v>
      </c>
      <c r="AA44">
        <f t="shared" si="7"/>
        <v>-2.7161809310111962</v>
      </c>
      <c r="AB44">
        <f t="shared" si="8"/>
        <v>1.5968430552236534</v>
      </c>
      <c r="AD44">
        <f t="shared" si="10"/>
        <v>41</v>
      </c>
      <c r="AE44">
        <f t="shared" si="11"/>
        <v>10.47879870661002</v>
      </c>
    </row>
    <row r="45" spans="1:31" x14ac:dyDescent="0.35">
      <c r="A45">
        <f t="shared" si="0"/>
        <v>42</v>
      </c>
      <c r="B45">
        <v>10.131145996118137</v>
      </c>
      <c r="D45">
        <f t="shared" si="9"/>
        <v>42</v>
      </c>
      <c r="E45">
        <f t="shared" si="1"/>
        <v>-0.82089300302419232</v>
      </c>
      <c r="F45">
        <f t="shared" si="12"/>
        <v>-0.9631215735846238</v>
      </c>
      <c r="V45">
        <f t="shared" si="2"/>
        <v>42</v>
      </c>
      <c r="W45">
        <f t="shared" si="3"/>
        <v>-0.82089300302419232</v>
      </c>
      <c r="X45">
        <f t="shared" si="4"/>
        <v>-0.9631215735846238</v>
      </c>
      <c r="Y45">
        <f t="shared" si="5"/>
        <v>0.14222857056043148</v>
      </c>
      <c r="Z45">
        <f t="shared" si="6"/>
        <v>1.1002814389079172</v>
      </c>
      <c r="AA45">
        <f t="shared" si="7"/>
        <v>-2.0142834225569932</v>
      </c>
      <c r="AB45">
        <f t="shared" si="8"/>
        <v>2.2987405636778564</v>
      </c>
      <c r="AD45">
        <f t="shared" si="10"/>
        <v>42</v>
      </c>
      <c r="AE45">
        <f t="shared" si="11"/>
        <v>10.131145996118137</v>
      </c>
    </row>
    <row r="46" spans="1:31" x14ac:dyDescent="0.35">
      <c r="A46">
        <f t="shared" si="0"/>
        <v>43</v>
      </c>
      <c r="B46">
        <v>9.3102529930939451</v>
      </c>
      <c r="D46">
        <f t="shared" si="9"/>
        <v>43</v>
      </c>
      <c r="E46">
        <f t="shared" si="1"/>
        <v>0.64298446388596986</v>
      </c>
      <c r="F46">
        <f t="shared" si="12"/>
        <v>0.11418390313478088</v>
      </c>
      <c r="V46">
        <f t="shared" si="2"/>
        <v>43</v>
      </c>
      <c r="W46">
        <f t="shared" si="3"/>
        <v>0.64298446388596986</v>
      </c>
      <c r="X46">
        <f t="shared" si="4"/>
        <v>0.11418390313478088</v>
      </c>
      <c r="Y46">
        <f t="shared" si="5"/>
        <v>0.52880056075118897</v>
      </c>
      <c r="Z46">
        <f t="shared" si="6"/>
        <v>1.1002814389079172</v>
      </c>
      <c r="AA46">
        <f t="shared" si="7"/>
        <v>-1.6277114323662358</v>
      </c>
      <c r="AB46">
        <f t="shared" si="8"/>
        <v>2.6853125538686138</v>
      </c>
      <c r="AD46">
        <f t="shared" si="10"/>
        <v>43</v>
      </c>
      <c r="AE46">
        <f t="shared" si="11"/>
        <v>9.3102529930939451</v>
      </c>
    </row>
    <row r="47" spans="1:31" x14ac:dyDescent="0.35">
      <c r="A47">
        <f t="shared" si="0"/>
        <v>44</v>
      </c>
      <c r="B47">
        <v>9.9532374569799149</v>
      </c>
      <c r="D47">
        <f t="shared" si="9"/>
        <v>44</v>
      </c>
      <c r="E47">
        <f t="shared" si="1"/>
        <v>-2.1154482950354492E-2</v>
      </c>
      <c r="F47">
        <f t="shared" si="12"/>
        <v>0.33279655870530872</v>
      </c>
      <c r="V47">
        <f t="shared" si="2"/>
        <v>44</v>
      </c>
      <c r="W47">
        <f t="shared" si="3"/>
        <v>-2.1154482950354492E-2</v>
      </c>
      <c r="X47">
        <f t="shared" si="4"/>
        <v>0.33279655870530872</v>
      </c>
      <c r="Y47">
        <f t="shared" si="5"/>
        <v>-0.35395104165566321</v>
      </c>
      <c r="Z47">
        <f t="shared" si="6"/>
        <v>1.1002814389079172</v>
      </c>
      <c r="AA47">
        <f t="shared" si="7"/>
        <v>-2.5104630347730881</v>
      </c>
      <c r="AB47">
        <f t="shared" si="8"/>
        <v>1.8025609514617615</v>
      </c>
      <c r="AD47">
        <f t="shared" si="10"/>
        <v>44</v>
      </c>
      <c r="AE47">
        <f t="shared" si="11"/>
        <v>9.9532374569799149</v>
      </c>
    </row>
    <row r="48" spans="1:31" x14ac:dyDescent="0.35">
      <c r="A48">
        <f t="shared" si="0"/>
        <v>45</v>
      </c>
      <c r="B48">
        <v>9.9320829740295604</v>
      </c>
      <c r="D48">
        <f t="shared" si="9"/>
        <v>45</v>
      </c>
      <c r="E48">
        <f t="shared" si="1"/>
        <v>1.7030190054590548</v>
      </c>
      <c r="F48">
        <f t="shared" si="12"/>
        <v>1.6989577560978359</v>
      </c>
      <c r="V48">
        <f t="shared" si="2"/>
        <v>45</v>
      </c>
      <c r="W48">
        <f t="shared" si="3"/>
        <v>1.7030190054590548</v>
      </c>
      <c r="X48">
        <f t="shared" si="4"/>
        <v>1.6989577560978359</v>
      </c>
      <c r="Y48">
        <f t="shared" si="5"/>
        <v>4.0612493612188771E-3</v>
      </c>
      <c r="Z48">
        <f t="shared" si="6"/>
        <v>1.1002814389079172</v>
      </c>
      <c r="AA48">
        <f t="shared" si="7"/>
        <v>-2.1524507437562059</v>
      </c>
      <c r="AB48">
        <f t="shared" si="8"/>
        <v>2.1605732424786437</v>
      </c>
      <c r="AD48">
        <f t="shared" si="10"/>
        <v>45</v>
      </c>
      <c r="AE48">
        <f t="shared" si="11"/>
        <v>9.9320829740295604</v>
      </c>
    </row>
    <row r="49" spans="1:31" x14ac:dyDescent="0.35">
      <c r="A49">
        <f t="shared" si="0"/>
        <v>46</v>
      </c>
      <c r="B49">
        <v>11.635101979488615</v>
      </c>
      <c r="D49">
        <f t="shared" si="9"/>
        <v>46</v>
      </c>
      <c r="E49">
        <f t="shared" si="1"/>
        <v>-1.2068591570904239</v>
      </c>
      <c r="F49">
        <f t="shared" si="12"/>
        <v>-2.836692309501565E-3</v>
      </c>
      <c r="V49">
        <f t="shared" si="2"/>
        <v>46</v>
      </c>
      <c r="W49">
        <f t="shared" si="3"/>
        <v>-1.2068591570904239</v>
      </c>
      <c r="X49">
        <f t="shared" si="4"/>
        <v>-2.836692309501565E-3</v>
      </c>
      <c r="Y49">
        <f t="shared" si="5"/>
        <v>-1.2040224647809223</v>
      </c>
      <c r="Z49">
        <f t="shared" si="6"/>
        <v>1.1002814389079172</v>
      </c>
      <c r="AA49">
        <f t="shared" si="7"/>
        <v>-3.3605344578983471</v>
      </c>
      <c r="AB49">
        <f t="shared" si="8"/>
        <v>0.95248952833650247</v>
      </c>
      <c r="AD49">
        <f t="shared" si="10"/>
        <v>46</v>
      </c>
      <c r="AE49">
        <f t="shared" si="11"/>
        <v>11.635101979488615</v>
      </c>
    </row>
    <row r="50" spans="1:31" x14ac:dyDescent="0.35">
      <c r="A50">
        <f t="shared" si="0"/>
        <v>47</v>
      </c>
      <c r="B50">
        <v>10.428242822398191</v>
      </c>
      <c r="D50">
        <f t="shared" si="9"/>
        <v>47</v>
      </c>
      <c r="E50">
        <f t="shared" si="1"/>
        <v>-0.73401213664843112</v>
      </c>
      <c r="F50">
        <f t="shared" si="12"/>
        <v>-1.2624271530427236</v>
      </c>
      <c r="V50">
        <f t="shared" si="2"/>
        <v>47</v>
      </c>
      <c r="W50">
        <f t="shared" si="3"/>
        <v>-0.73401213664843112</v>
      </c>
      <c r="X50">
        <f t="shared" si="4"/>
        <v>-1.2624271530427236</v>
      </c>
      <c r="Y50">
        <f t="shared" si="5"/>
        <v>0.52841501639429245</v>
      </c>
      <c r="Z50">
        <f t="shared" si="6"/>
        <v>1.1002814389079172</v>
      </c>
      <c r="AA50">
        <f t="shared" si="7"/>
        <v>-1.6280969767231324</v>
      </c>
      <c r="AB50">
        <f t="shared" si="8"/>
        <v>2.6849270095117173</v>
      </c>
      <c r="AD50">
        <f t="shared" si="10"/>
        <v>47</v>
      </c>
      <c r="AE50">
        <f t="shared" si="11"/>
        <v>10.428242822398191</v>
      </c>
    </row>
    <row r="51" spans="1:31" x14ac:dyDescent="0.35">
      <c r="A51">
        <f t="shared" si="0"/>
        <v>48</v>
      </c>
      <c r="B51">
        <v>9.6942306857497602</v>
      </c>
      <c r="D51">
        <f t="shared" si="9"/>
        <v>48</v>
      </c>
      <c r="E51">
        <f t="shared" si="1"/>
        <v>0.4748060666269982</v>
      </c>
      <c r="F51">
        <f t="shared" si="12"/>
        <v>8.723039860823989E-2</v>
      </c>
      <c r="V51">
        <f t="shared" si="2"/>
        <v>48</v>
      </c>
      <c r="W51">
        <f t="shared" si="3"/>
        <v>0.4748060666269982</v>
      </c>
      <c r="X51">
        <f t="shared" si="4"/>
        <v>8.723039860823989E-2</v>
      </c>
      <c r="Y51">
        <f t="shared" si="5"/>
        <v>0.38757566801875831</v>
      </c>
      <c r="Z51">
        <f t="shared" si="6"/>
        <v>1.1002814389079172</v>
      </c>
      <c r="AA51">
        <f t="shared" si="7"/>
        <v>-1.7689363250986665</v>
      </c>
      <c r="AB51">
        <f t="shared" si="8"/>
        <v>2.5440876611361833</v>
      </c>
      <c r="AD51">
        <f t="shared" si="10"/>
        <v>48</v>
      </c>
      <c r="AE51">
        <f t="shared" si="11"/>
        <v>9.6942306857497602</v>
      </c>
    </row>
    <row r="52" spans="1:31" x14ac:dyDescent="0.35">
      <c r="A52">
        <f t="shared" si="0"/>
        <v>49</v>
      </c>
      <c r="B52">
        <v>10.169036752376758</v>
      </c>
      <c r="D52">
        <f t="shared" si="9"/>
        <v>49</v>
      </c>
      <c r="E52">
        <f t="shared" si="1"/>
        <v>0.31761896021325597</v>
      </c>
      <c r="F52">
        <f t="shared" si="12"/>
        <v>0.65674577962898328</v>
      </c>
      <c r="V52">
        <f t="shared" si="2"/>
        <v>49</v>
      </c>
      <c r="W52">
        <f t="shared" si="3"/>
        <v>0.31761896021325597</v>
      </c>
      <c r="X52">
        <f t="shared" si="4"/>
        <v>0.65674577962898328</v>
      </c>
      <c r="Y52">
        <f t="shared" si="5"/>
        <v>-0.33912681941572731</v>
      </c>
      <c r="Z52">
        <f t="shared" si="6"/>
        <v>1.1002814389079172</v>
      </c>
      <c r="AA52">
        <f t="shared" si="7"/>
        <v>-2.4956388125331523</v>
      </c>
      <c r="AB52">
        <f t="shared" si="8"/>
        <v>1.8173851737016975</v>
      </c>
      <c r="AD52">
        <f t="shared" si="10"/>
        <v>49</v>
      </c>
      <c r="AE52">
        <f t="shared" si="11"/>
        <v>10.169036752376758</v>
      </c>
    </row>
    <row r="53" spans="1:31" x14ac:dyDescent="0.35">
      <c r="A53">
        <f t="shared" si="0"/>
        <v>50</v>
      </c>
      <c r="B53">
        <v>10.486655712590014</v>
      </c>
      <c r="D53">
        <f t="shared" si="9"/>
        <v>50</v>
      </c>
      <c r="E53">
        <f t="shared" si="1"/>
        <v>0.16949392746280267</v>
      </c>
      <c r="F53">
        <f t="shared" si="12"/>
        <v>0.48532430857446668</v>
      </c>
      <c r="V53">
        <f t="shared" si="2"/>
        <v>50</v>
      </c>
      <c r="W53">
        <f t="shared" si="3"/>
        <v>0.16949392746280267</v>
      </c>
      <c r="X53">
        <f t="shared" si="4"/>
        <v>0.48532430857446668</v>
      </c>
      <c r="Y53">
        <f t="shared" si="5"/>
        <v>-0.315830381111664</v>
      </c>
      <c r="Z53">
        <f t="shared" si="6"/>
        <v>1.1002814389079172</v>
      </c>
      <c r="AA53">
        <f t="shared" si="7"/>
        <v>-2.4723423742290889</v>
      </c>
      <c r="AB53">
        <f t="shared" si="8"/>
        <v>1.8406816120057607</v>
      </c>
      <c r="AD53">
        <f t="shared" si="10"/>
        <v>50</v>
      </c>
      <c r="AE53">
        <f t="shared" si="11"/>
        <v>10.486655712590014</v>
      </c>
    </row>
    <row r="54" spans="1:31" x14ac:dyDescent="0.35">
      <c r="A54">
        <f t="shared" si="0"/>
        <v>51</v>
      </c>
      <c r="B54">
        <v>10.656149640052817</v>
      </c>
      <c r="D54">
        <f t="shared" si="9"/>
        <v>51</v>
      </c>
      <c r="E54">
        <f t="shared" si="1"/>
        <v>-0.52683207343680571</v>
      </c>
      <c r="F54">
        <f t="shared" si="12"/>
        <v>-0.24873143862755165</v>
      </c>
      <c r="V54">
        <f t="shared" si="2"/>
        <v>51</v>
      </c>
      <c r="W54">
        <f t="shared" si="3"/>
        <v>-0.52683207343680571</v>
      </c>
      <c r="X54">
        <f t="shared" si="4"/>
        <v>-0.24873143862755165</v>
      </c>
      <c r="Y54">
        <f t="shared" si="5"/>
        <v>-0.27810063480925407</v>
      </c>
      <c r="Z54">
        <f t="shared" si="6"/>
        <v>1.1002814389079172</v>
      </c>
      <c r="AA54">
        <f t="shared" si="7"/>
        <v>-2.4346126279266791</v>
      </c>
      <c r="AB54">
        <f t="shared" si="8"/>
        <v>1.8784113583081707</v>
      </c>
      <c r="AD54">
        <f t="shared" si="10"/>
        <v>51</v>
      </c>
      <c r="AE54">
        <f t="shared" si="11"/>
        <v>10.656149640052817</v>
      </c>
    </row>
    <row r="55" spans="1:31" x14ac:dyDescent="0.35">
      <c r="A55">
        <f t="shared" si="0"/>
        <v>52</v>
      </c>
      <c r="B55">
        <v>10.129317566616011</v>
      </c>
      <c r="D55">
        <f t="shared" si="9"/>
        <v>52</v>
      </c>
      <c r="E55">
        <f t="shared" si="1"/>
        <v>-1.1630118141978052</v>
      </c>
      <c r="F55">
        <f t="shared" si="12"/>
        <v>-1.3286919441185228</v>
      </c>
      <c r="V55">
        <f t="shared" si="2"/>
        <v>52</v>
      </c>
      <c r="W55">
        <f t="shared" si="3"/>
        <v>-1.1630118141978052</v>
      </c>
      <c r="X55">
        <f t="shared" si="4"/>
        <v>-1.3286919441185228</v>
      </c>
      <c r="Y55">
        <f t="shared" si="5"/>
        <v>0.16568012992071757</v>
      </c>
      <c r="Z55">
        <f t="shared" si="6"/>
        <v>1.1002814389079172</v>
      </c>
      <c r="AA55">
        <f t="shared" si="7"/>
        <v>-1.9908318631967072</v>
      </c>
      <c r="AB55">
        <f t="shared" si="8"/>
        <v>2.3221921230381426</v>
      </c>
      <c r="AD55">
        <f t="shared" si="10"/>
        <v>52</v>
      </c>
      <c r="AE55">
        <f t="shared" si="11"/>
        <v>10.129317566616011</v>
      </c>
    </row>
    <row r="56" spans="1:31" x14ac:dyDescent="0.35">
      <c r="A56">
        <f t="shared" si="0"/>
        <v>53</v>
      </c>
      <c r="B56">
        <v>8.9663057524182062</v>
      </c>
      <c r="D56">
        <f t="shared" si="9"/>
        <v>53</v>
      </c>
      <c r="E56">
        <f t="shared" si="1"/>
        <v>-0.85955431342572375</v>
      </c>
      <c r="F56">
        <f t="shared" si="12"/>
        <v>-1.5496737564914427</v>
      </c>
      <c r="V56">
        <f t="shared" si="2"/>
        <v>53</v>
      </c>
      <c r="W56">
        <f t="shared" si="3"/>
        <v>-0.85955431342572375</v>
      </c>
      <c r="X56">
        <f t="shared" si="4"/>
        <v>-1.5496737564914427</v>
      </c>
      <c r="Y56">
        <f t="shared" si="5"/>
        <v>0.69011944306571893</v>
      </c>
      <c r="Z56">
        <f t="shared" si="6"/>
        <v>1.1002814389079172</v>
      </c>
      <c r="AA56">
        <f t="shared" si="7"/>
        <v>-1.4663925500517059</v>
      </c>
      <c r="AB56">
        <f t="shared" si="8"/>
        <v>2.8466314361831437</v>
      </c>
      <c r="AD56">
        <f t="shared" si="10"/>
        <v>53</v>
      </c>
      <c r="AE56">
        <f t="shared" si="11"/>
        <v>8.9663057524182062</v>
      </c>
    </row>
    <row r="57" spans="1:31" x14ac:dyDescent="0.35">
      <c r="A57">
        <f t="shared" si="0"/>
        <v>54</v>
      </c>
      <c r="B57">
        <v>8.1067514389924824</v>
      </c>
      <c r="D57">
        <f t="shared" si="9"/>
        <v>54</v>
      </c>
      <c r="E57">
        <f t="shared" si="1"/>
        <v>0.56714731885902125</v>
      </c>
      <c r="F57">
        <f t="shared" si="12"/>
        <v>-0.11049695993110631</v>
      </c>
      <c r="V57">
        <f t="shared" si="2"/>
        <v>54</v>
      </c>
      <c r="W57">
        <f t="shared" si="3"/>
        <v>0.56714731885902125</v>
      </c>
      <c r="X57">
        <f t="shared" si="4"/>
        <v>-0.11049695993110631</v>
      </c>
      <c r="Y57">
        <f t="shared" si="5"/>
        <v>0.67764427879012756</v>
      </c>
      <c r="Z57">
        <f t="shared" si="6"/>
        <v>1.1002814389079172</v>
      </c>
      <c r="AA57">
        <f t="shared" si="7"/>
        <v>-1.4788677143272972</v>
      </c>
      <c r="AB57">
        <f t="shared" si="8"/>
        <v>2.8341562719075526</v>
      </c>
      <c r="AD57">
        <f t="shared" si="10"/>
        <v>54</v>
      </c>
      <c r="AE57">
        <f t="shared" si="11"/>
        <v>8.1067514389924824</v>
      </c>
    </row>
    <row r="58" spans="1:31" x14ac:dyDescent="0.35">
      <c r="A58">
        <f t="shared" si="0"/>
        <v>55</v>
      </c>
      <c r="B58">
        <v>8.6738987578515037</v>
      </c>
      <c r="D58">
        <f t="shared" si="9"/>
        <v>55</v>
      </c>
      <c r="E58">
        <f t="shared" si="1"/>
        <v>6.5963365907760974E-2</v>
      </c>
      <c r="F58">
        <f t="shared" si="12"/>
        <v>0.22691582837952784</v>
      </c>
      <c r="V58">
        <f t="shared" si="2"/>
        <v>55</v>
      </c>
      <c r="W58">
        <f t="shared" si="3"/>
        <v>6.5963365907760974E-2</v>
      </c>
      <c r="X58">
        <f t="shared" si="4"/>
        <v>0.22691582837952784</v>
      </c>
      <c r="Y58">
        <f t="shared" si="5"/>
        <v>-0.16095246247176687</v>
      </c>
      <c r="Z58">
        <f t="shared" si="6"/>
        <v>1.1002814389079172</v>
      </c>
      <c r="AA58">
        <f t="shared" si="7"/>
        <v>-2.3174644555891915</v>
      </c>
      <c r="AB58">
        <f t="shared" si="8"/>
        <v>1.9955595306456579</v>
      </c>
      <c r="AD58">
        <f t="shared" si="10"/>
        <v>55</v>
      </c>
      <c r="AE58">
        <f t="shared" si="11"/>
        <v>8.6738987578515037</v>
      </c>
    </row>
    <row r="59" spans="1:31" x14ac:dyDescent="0.35">
      <c r="A59">
        <f t="shared" si="0"/>
        <v>56</v>
      </c>
      <c r="B59">
        <v>8.7398621237592646</v>
      </c>
      <c r="D59">
        <f t="shared" si="9"/>
        <v>56</v>
      </c>
      <c r="E59">
        <f t="shared" si="1"/>
        <v>2.4113973768793429E-2</v>
      </c>
      <c r="F59">
        <f t="shared" si="12"/>
        <v>-8.4949760688841497E-2</v>
      </c>
      <c r="V59">
        <f t="shared" si="2"/>
        <v>56</v>
      </c>
      <c r="W59">
        <f t="shared" si="3"/>
        <v>2.4113973768793429E-2</v>
      </c>
      <c r="X59">
        <f t="shared" si="4"/>
        <v>-8.4949760688841497E-2</v>
      </c>
      <c r="Y59">
        <f t="shared" si="5"/>
        <v>0.10906373445763493</v>
      </c>
      <c r="Z59">
        <f t="shared" si="6"/>
        <v>1.1002814389079172</v>
      </c>
      <c r="AA59">
        <f t="shared" si="7"/>
        <v>-2.0474482586597897</v>
      </c>
      <c r="AB59">
        <f t="shared" si="8"/>
        <v>2.2655757275750599</v>
      </c>
      <c r="AD59">
        <f t="shared" si="10"/>
        <v>56</v>
      </c>
      <c r="AE59">
        <f t="shared" si="11"/>
        <v>8.7398621237592646</v>
      </c>
    </row>
    <row r="60" spans="1:31" x14ac:dyDescent="0.35">
      <c r="A60">
        <f t="shared" si="0"/>
        <v>57</v>
      </c>
      <c r="B60">
        <v>8.7639760975280581</v>
      </c>
      <c r="D60">
        <f t="shared" si="9"/>
        <v>57</v>
      </c>
      <c r="E60">
        <f t="shared" si="1"/>
        <v>1.8436561727228504</v>
      </c>
      <c r="F60">
        <f t="shared" si="12"/>
        <v>1.7031913380066066</v>
      </c>
      <c r="V60">
        <f t="shared" si="2"/>
        <v>57</v>
      </c>
      <c r="W60">
        <f t="shared" si="3"/>
        <v>1.8436561727228504</v>
      </c>
      <c r="X60">
        <f t="shared" si="4"/>
        <v>1.7031913380066066</v>
      </c>
      <c r="Y60">
        <f t="shared" si="5"/>
        <v>0.14046483471624382</v>
      </c>
      <c r="Z60">
        <f t="shared" si="6"/>
        <v>1.1002814389079172</v>
      </c>
      <c r="AA60">
        <f t="shared" si="7"/>
        <v>-2.016047158401181</v>
      </c>
      <c r="AB60">
        <f t="shared" si="8"/>
        <v>2.2969768278336686</v>
      </c>
      <c r="AD60">
        <f t="shared" si="10"/>
        <v>57</v>
      </c>
      <c r="AE60">
        <f t="shared" si="11"/>
        <v>8.7639760975280581</v>
      </c>
    </row>
    <row r="61" spans="1:31" x14ac:dyDescent="0.35">
      <c r="A61">
        <f t="shared" si="0"/>
        <v>58</v>
      </c>
      <c r="B61">
        <v>10.607632270250908</v>
      </c>
      <c r="D61">
        <f t="shared" si="9"/>
        <v>58</v>
      </c>
      <c r="E61">
        <f t="shared" si="1"/>
        <v>-1.761347904139118</v>
      </c>
      <c r="F61">
        <f t="shared" si="12"/>
        <v>-0.6336865927881552</v>
      </c>
      <c r="V61">
        <f t="shared" si="2"/>
        <v>58</v>
      </c>
      <c r="W61">
        <f t="shared" si="3"/>
        <v>-1.761347904139118</v>
      </c>
      <c r="X61">
        <f t="shared" si="4"/>
        <v>-0.6336865927881552</v>
      </c>
      <c r="Y61">
        <f t="shared" si="5"/>
        <v>-1.1276613113509628</v>
      </c>
      <c r="Z61">
        <f t="shared" si="6"/>
        <v>1.1002814389079172</v>
      </c>
      <c r="AA61">
        <f t="shared" si="7"/>
        <v>-3.2841733044683874</v>
      </c>
      <c r="AB61">
        <f t="shared" si="8"/>
        <v>1.028850681766462</v>
      </c>
      <c r="AD61">
        <f t="shared" si="10"/>
        <v>58</v>
      </c>
      <c r="AE61">
        <f t="shared" si="11"/>
        <v>10.607632270250908</v>
      </c>
    </row>
    <row r="62" spans="1:31" x14ac:dyDescent="0.35">
      <c r="A62">
        <f t="shared" si="0"/>
        <v>59</v>
      </c>
      <c r="B62">
        <v>8.8462843661117905</v>
      </c>
      <c r="D62">
        <f t="shared" si="9"/>
        <v>59</v>
      </c>
      <c r="E62">
        <f t="shared" si="1"/>
        <v>-0.64885389403297644</v>
      </c>
      <c r="F62">
        <f t="shared" si="12"/>
        <v>-1.7320223918424209</v>
      </c>
      <c r="V62">
        <f t="shared" si="2"/>
        <v>59</v>
      </c>
      <c r="W62">
        <f t="shared" si="3"/>
        <v>-0.64885389403297644</v>
      </c>
      <c r="X62">
        <f t="shared" si="4"/>
        <v>-1.7320223918424209</v>
      </c>
      <c r="Y62">
        <f t="shared" si="5"/>
        <v>1.0831684978094445</v>
      </c>
      <c r="Z62">
        <f t="shared" si="6"/>
        <v>1.1002814389079172</v>
      </c>
      <c r="AA62">
        <f t="shared" si="7"/>
        <v>-1.0733434953079803</v>
      </c>
      <c r="AB62">
        <f t="shared" si="8"/>
        <v>3.2396804909268693</v>
      </c>
      <c r="AD62">
        <f t="shared" si="10"/>
        <v>59</v>
      </c>
      <c r="AE62">
        <f t="shared" si="11"/>
        <v>8.8462843661117905</v>
      </c>
    </row>
    <row r="63" spans="1:31" x14ac:dyDescent="0.35">
      <c r="A63">
        <f t="shared" si="0"/>
        <v>60</v>
      </c>
      <c r="B63">
        <v>8.197430472078814</v>
      </c>
      <c r="D63">
        <f t="shared" si="9"/>
        <v>60</v>
      </c>
      <c r="E63">
        <f t="shared" si="1"/>
        <v>1.5030373387145843</v>
      </c>
      <c r="F63">
        <f t="shared" si="12"/>
        <v>0.89390212454278872</v>
      </c>
      <c r="V63">
        <f t="shared" si="2"/>
        <v>60</v>
      </c>
      <c r="W63">
        <f t="shared" si="3"/>
        <v>1.5030373387145843</v>
      </c>
      <c r="X63">
        <f t="shared" si="4"/>
        <v>0.89390212454278872</v>
      </c>
      <c r="Y63">
        <f t="shared" si="5"/>
        <v>0.60913521417179561</v>
      </c>
      <c r="Z63">
        <f t="shared" si="6"/>
        <v>1.1002814389079172</v>
      </c>
      <c r="AA63">
        <f t="shared" si="7"/>
        <v>-1.5473767789456292</v>
      </c>
      <c r="AB63">
        <f t="shared" si="8"/>
        <v>2.7656472072892204</v>
      </c>
      <c r="AD63">
        <f t="shared" si="10"/>
        <v>60</v>
      </c>
      <c r="AE63">
        <f t="shared" si="11"/>
        <v>8.197430472078814</v>
      </c>
    </row>
    <row r="64" spans="1:31" x14ac:dyDescent="0.35">
      <c r="A64">
        <f t="shared" si="0"/>
        <v>61</v>
      </c>
      <c r="B64">
        <v>9.7004678107933984</v>
      </c>
      <c r="D64">
        <f t="shared" si="9"/>
        <v>61</v>
      </c>
      <c r="E64">
        <f t="shared" si="1"/>
        <v>-0.20165934776715311</v>
      </c>
      <c r="F64">
        <f t="shared" si="12"/>
        <v>0.56838285467041416</v>
      </c>
      <c r="V64">
        <f t="shared" si="2"/>
        <v>61</v>
      </c>
      <c r="W64">
        <f t="shared" si="3"/>
        <v>-0.20165934776715311</v>
      </c>
      <c r="X64">
        <f t="shared" si="4"/>
        <v>0.56838285467041416</v>
      </c>
      <c r="Y64">
        <f t="shared" si="5"/>
        <v>-0.77004220243756727</v>
      </c>
      <c r="Z64">
        <f t="shared" si="6"/>
        <v>1.1002814389079172</v>
      </c>
      <c r="AA64">
        <f t="shared" si="7"/>
        <v>-2.9265541955549921</v>
      </c>
      <c r="AB64">
        <f t="shared" si="8"/>
        <v>1.3864697906798575</v>
      </c>
      <c r="AD64">
        <f t="shared" si="10"/>
        <v>61</v>
      </c>
      <c r="AE64">
        <f t="shared" si="11"/>
        <v>9.7004678107933984</v>
      </c>
    </row>
    <row r="65" spans="1:31" x14ac:dyDescent="0.35">
      <c r="A65">
        <f t="shared" si="0"/>
        <v>62</v>
      </c>
      <c r="B65">
        <v>9.4988084630262453</v>
      </c>
      <c r="D65">
        <f t="shared" si="9"/>
        <v>62</v>
      </c>
      <c r="E65">
        <f t="shared" si="1"/>
        <v>0.20157731591234551</v>
      </c>
      <c r="F65">
        <f t="shared" si="12"/>
        <v>2.2647262581267258E-2</v>
      </c>
      <c r="V65">
        <f t="shared" si="2"/>
        <v>62</v>
      </c>
      <c r="W65">
        <f t="shared" si="3"/>
        <v>0.20157731591234551</v>
      </c>
      <c r="X65">
        <f t="shared" si="4"/>
        <v>2.2647262581267258E-2</v>
      </c>
      <c r="Y65">
        <f t="shared" si="5"/>
        <v>0.17893005333107825</v>
      </c>
      <c r="Z65">
        <f t="shared" si="6"/>
        <v>1.1002814389079172</v>
      </c>
      <c r="AA65">
        <f t="shared" si="7"/>
        <v>-1.9775819397863466</v>
      </c>
      <c r="AB65">
        <f t="shared" si="8"/>
        <v>2.3354420464485033</v>
      </c>
      <c r="AD65">
        <f t="shared" si="10"/>
        <v>62</v>
      </c>
      <c r="AE65">
        <f t="shared" si="11"/>
        <v>9.4988084630262453</v>
      </c>
    </row>
    <row r="66" spans="1:31" x14ac:dyDescent="0.35">
      <c r="A66">
        <f t="shared" si="0"/>
        <v>63</v>
      </c>
      <c r="B66">
        <v>9.7003857789385908</v>
      </c>
      <c r="D66">
        <f t="shared" si="9"/>
        <v>63</v>
      </c>
      <c r="E66">
        <f t="shared" si="1"/>
        <v>0.11924221499984178</v>
      </c>
      <c r="F66">
        <f t="shared" si="12"/>
        <v>0.18337677719981471</v>
      </c>
      <c r="V66">
        <f t="shared" si="2"/>
        <v>63</v>
      </c>
      <c r="W66">
        <f t="shared" si="3"/>
        <v>0.11924221499984178</v>
      </c>
      <c r="X66">
        <f t="shared" si="4"/>
        <v>0.18337677719981471</v>
      </c>
      <c r="Y66">
        <f t="shared" si="5"/>
        <v>-6.4134562199972933E-2</v>
      </c>
      <c r="Z66">
        <f t="shared" si="6"/>
        <v>1.1002814389079172</v>
      </c>
      <c r="AA66">
        <f t="shared" si="7"/>
        <v>-2.2206465553173977</v>
      </c>
      <c r="AB66">
        <f t="shared" si="8"/>
        <v>2.0923774309174519</v>
      </c>
      <c r="AD66">
        <f t="shared" si="10"/>
        <v>63</v>
      </c>
      <c r="AE66">
        <f t="shared" si="11"/>
        <v>9.7003857789385908</v>
      </c>
    </row>
    <row r="67" spans="1:31" x14ac:dyDescent="0.35">
      <c r="A67">
        <f t="shared" si="0"/>
        <v>64</v>
      </c>
      <c r="B67">
        <v>9.8196279939384326</v>
      </c>
      <c r="D67">
        <f t="shared" si="9"/>
        <v>64</v>
      </c>
      <c r="E67">
        <f t="shared" si="1"/>
        <v>2.537417591296272</v>
      </c>
      <c r="F67">
        <f t="shared" si="12"/>
        <v>2.5734909044401126</v>
      </c>
      <c r="V67">
        <f t="shared" si="2"/>
        <v>64</v>
      </c>
      <c r="W67">
        <f t="shared" si="3"/>
        <v>2.537417591296272</v>
      </c>
      <c r="X67">
        <f t="shared" si="4"/>
        <v>2.5734909044401126</v>
      </c>
      <c r="Y67">
        <f t="shared" si="5"/>
        <v>-3.6073313143840657E-2</v>
      </c>
      <c r="Z67">
        <f t="shared" si="6"/>
        <v>1.1002814389079172</v>
      </c>
      <c r="AA67">
        <f t="shared" si="7"/>
        <v>-2.1925853062612655</v>
      </c>
      <c r="AB67">
        <f t="shared" si="8"/>
        <v>2.1204386799735842</v>
      </c>
      <c r="AD67">
        <f t="shared" si="10"/>
        <v>64</v>
      </c>
      <c r="AE67">
        <f t="shared" si="11"/>
        <v>9.8196279939384326</v>
      </c>
    </row>
    <row r="68" spans="1:31" x14ac:dyDescent="0.35">
      <c r="A68">
        <f t="shared" si="0"/>
        <v>65</v>
      </c>
      <c r="B68">
        <v>12.357045585234705</v>
      </c>
      <c r="D68">
        <f t="shared" si="9"/>
        <v>65</v>
      </c>
      <c r="E68">
        <f t="shared" si="1"/>
        <v>-1.4334411711336639</v>
      </c>
      <c r="F68">
        <f t="shared" si="12"/>
        <v>0.31846773877837009</v>
      </c>
      <c r="V68">
        <f t="shared" si="2"/>
        <v>65</v>
      </c>
      <c r="W68">
        <f t="shared" si="3"/>
        <v>-1.4334411711336639</v>
      </c>
      <c r="X68">
        <f t="shared" si="4"/>
        <v>0.31846773877837009</v>
      </c>
      <c r="Y68">
        <f t="shared" si="5"/>
        <v>-1.751908909912034</v>
      </c>
      <c r="Z68">
        <f t="shared" si="6"/>
        <v>1.1002814389079172</v>
      </c>
      <c r="AA68">
        <f t="shared" si="7"/>
        <v>-3.9084209030294588</v>
      </c>
      <c r="AB68">
        <f t="shared" si="8"/>
        <v>0.40460308320539085</v>
      </c>
      <c r="AD68">
        <f t="shared" si="10"/>
        <v>65</v>
      </c>
      <c r="AE68">
        <f t="shared" si="11"/>
        <v>12.357045585234705</v>
      </c>
    </row>
    <row r="69" spans="1:31" x14ac:dyDescent="0.35">
      <c r="A69">
        <f t="shared" ref="A69:A108" si="13">A68+1</f>
        <v>66</v>
      </c>
      <c r="B69">
        <v>10.923604414101041</v>
      </c>
      <c r="D69">
        <f t="shared" si="9"/>
        <v>66</v>
      </c>
      <c r="E69">
        <f t="shared" ref="E69:E107" si="14">B70-B69</f>
        <v>-1.2228385674944615</v>
      </c>
      <c r="F69">
        <f t="shared" si="12"/>
        <v>-1.799815333954802</v>
      </c>
      <c r="V69">
        <f t="shared" ref="V69:V107" si="15">D69</f>
        <v>66</v>
      </c>
      <c r="W69">
        <f t="shared" ref="W69:W107" si="16">E69</f>
        <v>-1.2228385674944615</v>
      </c>
      <c r="X69">
        <f t="shared" ref="X69:X107" si="17">F69</f>
        <v>-1.799815333954802</v>
      </c>
      <c r="Y69">
        <f t="shared" ref="Y69:Y107" si="18">W69-X69</f>
        <v>0.57697676646034046</v>
      </c>
      <c r="Z69">
        <f t="shared" ref="Z69:Z107" si="19">J$15</f>
        <v>1.1002814389079172</v>
      </c>
      <c r="AA69">
        <f t="shared" ref="AA69:AA107" si="20">Y69-NORMSINV(1-Z$2/2)*Z69</f>
        <v>-1.5795352266570843</v>
      </c>
      <c r="AB69">
        <f t="shared" ref="AB69:AB107" si="21">Y69+NORMSINV(1-Z$2/2)*Z69</f>
        <v>2.7334887595777655</v>
      </c>
      <c r="AD69">
        <f t="shared" si="10"/>
        <v>66</v>
      </c>
      <c r="AE69">
        <f t="shared" si="11"/>
        <v>10.923604414101041</v>
      </c>
    </row>
    <row r="70" spans="1:31" x14ac:dyDescent="0.35">
      <c r="A70">
        <f t="shared" si="13"/>
        <v>67</v>
      </c>
      <c r="B70">
        <v>9.7007658466065791</v>
      </c>
      <c r="D70">
        <f t="shared" ref="D70:D107" si="22">D69+1</f>
        <v>67</v>
      </c>
      <c r="E70">
        <f t="shared" si="14"/>
        <v>0.57339521810750504</v>
      </c>
      <c r="F70">
        <f t="shared" si="12"/>
        <v>-7.826180062175947E-2</v>
      </c>
      <c r="V70">
        <f t="shared" si="15"/>
        <v>67</v>
      </c>
      <c r="W70">
        <f t="shared" si="16"/>
        <v>0.57339521810750504</v>
      </c>
      <c r="X70">
        <f t="shared" si="17"/>
        <v>-7.826180062175947E-2</v>
      </c>
      <c r="Y70">
        <f t="shared" si="18"/>
        <v>0.65165701872926451</v>
      </c>
      <c r="Z70">
        <f t="shared" si="19"/>
        <v>1.1002814389079172</v>
      </c>
      <c r="AA70">
        <f t="shared" si="20"/>
        <v>-1.5048549743881603</v>
      </c>
      <c r="AB70">
        <f t="shared" si="21"/>
        <v>2.8081690118466893</v>
      </c>
      <c r="AD70">
        <f t="shared" ref="AD70:AD113" si="23">AD69+1</f>
        <v>67</v>
      </c>
      <c r="AE70">
        <f t="shared" ref="AE70:AE108" si="24">B70</f>
        <v>9.7007658466065791</v>
      </c>
    </row>
    <row r="71" spans="1:31" x14ac:dyDescent="0.35">
      <c r="A71">
        <f t="shared" si="13"/>
        <v>68</v>
      </c>
      <c r="B71">
        <v>10.274161064714084</v>
      </c>
      <c r="D71">
        <f t="shared" si="22"/>
        <v>68</v>
      </c>
      <c r="E71">
        <f t="shared" si="14"/>
        <v>-0.51808019115808257</v>
      </c>
      <c r="F71">
        <f t="shared" ref="F71:F107" si="25">E71-SUMPRODUCT(E69:E70,I$4:I$5)-SUMPRODUCT(F70,J$5)</f>
        <v>-0.11245665466309181</v>
      </c>
      <c r="V71">
        <f t="shared" si="15"/>
        <v>68</v>
      </c>
      <c r="W71">
        <f t="shared" si="16"/>
        <v>-0.51808019115808257</v>
      </c>
      <c r="X71">
        <f t="shared" si="17"/>
        <v>-0.11245665466309181</v>
      </c>
      <c r="Y71">
        <f t="shared" si="18"/>
        <v>-0.40562353649499078</v>
      </c>
      <c r="Z71">
        <f t="shared" si="19"/>
        <v>1.1002814389079172</v>
      </c>
      <c r="AA71">
        <f t="shared" si="20"/>
        <v>-2.5621355296124158</v>
      </c>
      <c r="AB71">
        <f t="shared" si="21"/>
        <v>1.7508884566224341</v>
      </c>
      <c r="AD71">
        <f t="shared" si="23"/>
        <v>68</v>
      </c>
      <c r="AE71">
        <f t="shared" si="24"/>
        <v>10.274161064714084</v>
      </c>
    </row>
    <row r="72" spans="1:31" x14ac:dyDescent="0.35">
      <c r="A72">
        <f t="shared" si="13"/>
        <v>69</v>
      </c>
      <c r="B72">
        <v>9.7560808735560016</v>
      </c>
      <c r="D72">
        <f t="shared" si="22"/>
        <v>69</v>
      </c>
      <c r="E72">
        <f t="shared" si="14"/>
        <v>-0.46834903150442564</v>
      </c>
      <c r="F72">
        <f t="shared" si="25"/>
        <v>-0.72448353174859836</v>
      </c>
      <c r="V72">
        <f t="shared" si="15"/>
        <v>69</v>
      </c>
      <c r="W72">
        <f t="shared" si="16"/>
        <v>-0.46834903150442564</v>
      </c>
      <c r="X72">
        <f t="shared" si="17"/>
        <v>-0.72448353174859836</v>
      </c>
      <c r="Y72">
        <f t="shared" si="18"/>
        <v>0.25613450024417272</v>
      </c>
      <c r="Z72">
        <f t="shared" si="19"/>
        <v>1.1002814389079172</v>
      </c>
      <c r="AA72">
        <f t="shared" si="20"/>
        <v>-1.9003774928732522</v>
      </c>
      <c r="AB72">
        <f t="shared" si="21"/>
        <v>2.4126464933615974</v>
      </c>
      <c r="AD72">
        <f t="shared" si="23"/>
        <v>69</v>
      </c>
      <c r="AE72">
        <f t="shared" si="24"/>
        <v>9.7560808735560016</v>
      </c>
    </row>
    <row r="73" spans="1:31" x14ac:dyDescent="0.35">
      <c r="A73">
        <f t="shared" si="13"/>
        <v>70</v>
      </c>
      <c r="B73">
        <v>9.287731842051576</v>
      </c>
      <c r="D73">
        <f t="shared" si="22"/>
        <v>70</v>
      </c>
      <c r="E73">
        <f t="shared" si="14"/>
        <v>-0.49292414514580152</v>
      </c>
      <c r="F73">
        <f t="shared" si="25"/>
        <v>-0.79888214910731103</v>
      </c>
      <c r="V73">
        <f t="shared" si="15"/>
        <v>70</v>
      </c>
      <c r="W73">
        <f t="shared" si="16"/>
        <v>-0.49292414514580152</v>
      </c>
      <c r="X73">
        <f t="shared" si="17"/>
        <v>-0.79888214910731103</v>
      </c>
      <c r="Y73">
        <f t="shared" si="18"/>
        <v>0.30595800396150952</v>
      </c>
      <c r="Z73">
        <f t="shared" si="19"/>
        <v>1.1002814389079172</v>
      </c>
      <c r="AA73">
        <f t="shared" si="20"/>
        <v>-1.8505539891559153</v>
      </c>
      <c r="AB73">
        <f t="shared" si="21"/>
        <v>2.4624699970789345</v>
      </c>
      <c r="AD73">
        <f t="shared" si="23"/>
        <v>70</v>
      </c>
      <c r="AE73">
        <f t="shared" si="24"/>
        <v>9.287731842051576</v>
      </c>
    </row>
    <row r="74" spans="1:31" x14ac:dyDescent="0.35">
      <c r="A74">
        <f t="shared" si="13"/>
        <v>71</v>
      </c>
      <c r="B74">
        <v>8.7948076969057745</v>
      </c>
      <c r="D74">
        <f t="shared" si="22"/>
        <v>71</v>
      </c>
      <c r="E74">
        <f t="shared" si="14"/>
        <v>1.1573582483518763</v>
      </c>
      <c r="F74">
        <f t="shared" si="25"/>
        <v>0.75080113455872055</v>
      </c>
      <c r="V74">
        <f t="shared" si="15"/>
        <v>71</v>
      </c>
      <c r="W74">
        <f t="shared" si="16"/>
        <v>1.1573582483518763</v>
      </c>
      <c r="X74">
        <f t="shared" si="17"/>
        <v>0.75080113455872055</v>
      </c>
      <c r="Y74">
        <f t="shared" si="18"/>
        <v>0.40655711379315573</v>
      </c>
      <c r="Z74">
        <f t="shared" si="19"/>
        <v>1.1002814389079172</v>
      </c>
      <c r="AA74">
        <f t="shared" si="20"/>
        <v>-1.7499548793242692</v>
      </c>
      <c r="AB74">
        <f t="shared" si="21"/>
        <v>2.5630691069105804</v>
      </c>
      <c r="AD74">
        <f t="shared" si="23"/>
        <v>71</v>
      </c>
      <c r="AE74">
        <f t="shared" si="24"/>
        <v>8.7948076969057745</v>
      </c>
    </row>
    <row r="75" spans="1:31" x14ac:dyDescent="0.35">
      <c r="A75">
        <f t="shared" si="13"/>
        <v>72</v>
      </c>
      <c r="B75">
        <v>9.9521659452576507</v>
      </c>
      <c r="D75">
        <f t="shared" si="22"/>
        <v>72</v>
      </c>
      <c r="E75">
        <f t="shared" si="14"/>
        <v>-0.80564815197410766</v>
      </c>
      <c r="F75">
        <f t="shared" si="25"/>
        <v>-0.14848573201731841</v>
      </c>
      <c r="V75">
        <f t="shared" si="15"/>
        <v>72</v>
      </c>
      <c r="W75">
        <f t="shared" si="16"/>
        <v>-0.80564815197410766</v>
      </c>
      <c r="X75">
        <f t="shared" si="17"/>
        <v>-0.14848573201731841</v>
      </c>
      <c r="Y75">
        <f t="shared" si="18"/>
        <v>-0.65716241995678926</v>
      </c>
      <c r="Z75">
        <f t="shared" si="19"/>
        <v>1.1002814389079172</v>
      </c>
      <c r="AA75">
        <f t="shared" si="20"/>
        <v>-2.8136744130742142</v>
      </c>
      <c r="AB75">
        <f t="shared" si="21"/>
        <v>1.4993495731606354</v>
      </c>
      <c r="AD75">
        <f t="shared" si="23"/>
        <v>72</v>
      </c>
      <c r="AE75">
        <f t="shared" si="24"/>
        <v>9.9521659452576507</v>
      </c>
    </row>
    <row r="76" spans="1:31" x14ac:dyDescent="0.35">
      <c r="A76">
        <f t="shared" si="13"/>
        <v>73</v>
      </c>
      <c r="B76">
        <v>9.1465177932835431</v>
      </c>
      <c r="D76">
        <f t="shared" si="22"/>
        <v>73</v>
      </c>
      <c r="E76">
        <f t="shared" si="14"/>
        <v>-0.73444497047406898</v>
      </c>
      <c r="F76">
        <f t="shared" si="25"/>
        <v>-1.2589850287885636</v>
      </c>
      <c r="V76">
        <f t="shared" si="15"/>
        <v>73</v>
      </c>
      <c r="W76">
        <f t="shared" si="16"/>
        <v>-0.73444497047406898</v>
      </c>
      <c r="X76">
        <f t="shared" si="17"/>
        <v>-1.2589850287885636</v>
      </c>
      <c r="Y76">
        <f t="shared" si="18"/>
        <v>0.52454005831449457</v>
      </c>
      <c r="Z76">
        <f t="shared" si="19"/>
        <v>1.1002814389079172</v>
      </c>
      <c r="AA76">
        <f t="shared" si="20"/>
        <v>-1.6319719348029302</v>
      </c>
      <c r="AB76">
        <f t="shared" si="21"/>
        <v>2.6810520514319194</v>
      </c>
      <c r="AD76">
        <f t="shared" si="23"/>
        <v>73</v>
      </c>
      <c r="AE76">
        <f t="shared" si="24"/>
        <v>9.1465177932835431</v>
      </c>
    </row>
    <row r="77" spans="1:31" x14ac:dyDescent="0.35">
      <c r="A77">
        <f t="shared" si="13"/>
        <v>74</v>
      </c>
      <c r="B77">
        <v>8.4120728228094741</v>
      </c>
      <c r="D77">
        <f t="shared" si="22"/>
        <v>74</v>
      </c>
      <c r="E77">
        <f t="shared" si="14"/>
        <v>1.3117745178152749</v>
      </c>
      <c r="F77">
        <f t="shared" si="25"/>
        <v>0.69404469718237549</v>
      </c>
      <c r="V77">
        <f t="shared" si="15"/>
        <v>74</v>
      </c>
      <c r="W77">
        <f t="shared" si="16"/>
        <v>1.3117745178152749</v>
      </c>
      <c r="X77">
        <f t="shared" si="17"/>
        <v>0.69404469718237549</v>
      </c>
      <c r="Y77">
        <f t="shared" si="18"/>
        <v>0.61772982063289938</v>
      </c>
      <c r="Z77">
        <f t="shared" si="19"/>
        <v>1.1002814389079172</v>
      </c>
      <c r="AA77">
        <f t="shared" si="20"/>
        <v>-1.5387821724845254</v>
      </c>
      <c r="AB77">
        <f t="shared" si="21"/>
        <v>2.774241813750324</v>
      </c>
      <c r="AD77">
        <f t="shared" si="23"/>
        <v>74</v>
      </c>
      <c r="AE77">
        <f t="shared" si="24"/>
        <v>8.4120728228094741</v>
      </c>
    </row>
    <row r="78" spans="1:31" x14ac:dyDescent="0.35">
      <c r="A78">
        <f t="shared" si="13"/>
        <v>75</v>
      </c>
      <c r="B78">
        <v>9.723847340624749</v>
      </c>
      <c r="D78">
        <f t="shared" si="22"/>
        <v>75</v>
      </c>
      <c r="E78">
        <f t="shared" si="14"/>
        <v>-1.2750585872641551</v>
      </c>
      <c r="F78">
        <f t="shared" si="25"/>
        <v>-0.59878443853238028</v>
      </c>
      <c r="V78">
        <f t="shared" si="15"/>
        <v>75</v>
      </c>
      <c r="W78">
        <f t="shared" si="16"/>
        <v>-1.2750585872641551</v>
      </c>
      <c r="X78">
        <f t="shared" si="17"/>
        <v>-0.59878443853238028</v>
      </c>
      <c r="Y78">
        <f t="shared" si="18"/>
        <v>-0.67627414873177483</v>
      </c>
      <c r="Z78">
        <f t="shared" si="19"/>
        <v>1.1002814389079172</v>
      </c>
      <c r="AA78">
        <f t="shared" si="20"/>
        <v>-2.8327861418491995</v>
      </c>
      <c r="AB78">
        <f t="shared" si="21"/>
        <v>1.4802378443856501</v>
      </c>
      <c r="AD78">
        <f t="shared" si="23"/>
        <v>75</v>
      </c>
      <c r="AE78">
        <f t="shared" si="24"/>
        <v>9.723847340624749</v>
      </c>
    </row>
    <row r="79" spans="1:31" x14ac:dyDescent="0.35">
      <c r="A79">
        <f t="shared" si="13"/>
        <v>76</v>
      </c>
      <c r="B79">
        <v>8.4487887533605939</v>
      </c>
      <c r="D79">
        <f t="shared" si="22"/>
        <v>76</v>
      </c>
      <c r="E79">
        <f t="shared" si="14"/>
        <v>0.86038087462530122</v>
      </c>
      <c r="F79">
        <f t="shared" si="25"/>
        <v>-6.3099216323600493E-2</v>
      </c>
      <c r="V79">
        <f t="shared" si="15"/>
        <v>76</v>
      </c>
      <c r="W79">
        <f t="shared" si="16"/>
        <v>0.86038087462530122</v>
      </c>
      <c r="X79">
        <f t="shared" si="17"/>
        <v>-6.3099216323600493E-2</v>
      </c>
      <c r="Y79">
        <f t="shared" si="18"/>
        <v>0.92348009094890171</v>
      </c>
      <c r="Z79">
        <f t="shared" si="19"/>
        <v>1.1002814389079172</v>
      </c>
      <c r="AA79">
        <f t="shared" si="20"/>
        <v>-1.233031902168523</v>
      </c>
      <c r="AB79">
        <f t="shared" si="21"/>
        <v>3.0799920840663266</v>
      </c>
      <c r="AD79">
        <f t="shared" si="23"/>
        <v>76</v>
      </c>
      <c r="AE79">
        <f t="shared" si="24"/>
        <v>8.4487887533605939</v>
      </c>
    </row>
    <row r="80" spans="1:31" x14ac:dyDescent="0.35">
      <c r="A80">
        <f t="shared" si="13"/>
        <v>77</v>
      </c>
      <c r="B80">
        <v>9.3091696279858951</v>
      </c>
      <c r="D80">
        <f t="shared" si="22"/>
        <v>77</v>
      </c>
      <c r="E80">
        <f t="shared" si="14"/>
        <v>0.31992544424648273</v>
      </c>
      <c r="F80">
        <f t="shared" si="25"/>
        <v>0.66119848555438709</v>
      </c>
      <c r="V80">
        <f t="shared" si="15"/>
        <v>77</v>
      </c>
      <c r="W80">
        <f t="shared" si="16"/>
        <v>0.31992544424648273</v>
      </c>
      <c r="X80">
        <f t="shared" si="17"/>
        <v>0.66119848555438709</v>
      </c>
      <c r="Y80">
        <f t="shared" si="18"/>
        <v>-0.34127304130790437</v>
      </c>
      <c r="Z80">
        <f t="shared" si="19"/>
        <v>1.1002814389079172</v>
      </c>
      <c r="AA80">
        <f t="shared" si="20"/>
        <v>-2.4977850344253292</v>
      </c>
      <c r="AB80">
        <f t="shared" si="21"/>
        <v>1.8152389518095204</v>
      </c>
      <c r="AD80">
        <f t="shared" si="23"/>
        <v>77</v>
      </c>
      <c r="AE80">
        <f t="shared" si="24"/>
        <v>9.3091696279858951</v>
      </c>
    </row>
    <row r="81" spans="1:31" x14ac:dyDescent="0.35">
      <c r="A81">
        <f t="shared" si="13"/>
        <v>78</v>
      </c>
      <c r="B81">
        <v>9.6290950722323778</v>
      </c>
      <c r="D81">
        <f t="shared" si="22"/>
        <v>78</v>
      </c>
      <c r="E81">
        <f t="shared" si="14"/>
        <v>0.86965926988917097</v>
      </c>
      <c r="F81">
        <f t="shared" si="25"/>
        <v>0.96449703004527099</v>
      </c>
      <c r="V81">
        <f t="shared" si="15"/>
        <v>78</v>
      </c>
      <c r="W81">
        <f t="shared" si="16"/>
        <v>0.86965926988917097</v>
      </c>
      <c r="X81">
        <f t="shared" si="17"/>
        <v>0.96449703004527099</v>
      </c>
      <c r="Y81">
        <f t="shared" si="18"/>
        <v>-9.4837760156100015E-2</v>
      </c>
      <c r="Z81">
        <f t="shared" si="19"/>
        <v>1.1002814389079172</v>
      </c>
      <c r="AA81">
        <f t="shared" si="20"/>
        <v>-2.2513497532735247</v>
      </c>
      <c r="AB81">
        <f t="shared" si="21"/>
        <v>2.0616742329613249</v>
      </c>
      <c r="AD81">
        <f t="shared" si="23"/>
        <v>78</v>
      </c>
      <c r="AE81">
        <f t="shared" si="24"/>
        <v>9.6290950722323778</v>
      </c>
    </row>
    <row r="82" spans="1:31" x14ac:dyDescent="0.35">
      <c r="A82">
        <f t="shared" si="13"/>
        <v>79</v>
      </c>
      <c r="B82">
        <v>10.498754342121549</v>
      </c>
      <c r="D82">
        <f t="shared" si="22"/>
        <v>79</v>
      </c>
      <c r="E82">
        <f t="shared" si="14"/>
        <v>-2.3641983074957871</v>
      </c>
      <c r="F82">
        <f t="shared" si="25"/>
        <v>-1.8366424408492681</v>
      </c>
      <c r="V82">
        <f t="shared" si="15"/>
        <v>79</v>
      </c>
      <c r="W82">
        <f t="shared" si="16"/>
        <v>-2.3641983074957871</v>
      </c>
      <c r="X82">
        <f t="shared" si="17"/>
        <v>-1.8366424408492681</v>
      </c>
      <c r="Y82">
        <f t="shared" si="18"/>
        <v>-0.52755586664651899</v>
      </c>
      <c r="Z82">
        <f t="shared" si="19"/>
        <v>1.1002814389079172</v>
      </c>
      <c r="AA82">
        <f t="shared" si="20"/>
        <v>-2.6840678597639438</v>
      </c>
      <c r="AB82">
        <f t="shared" si="21"/>
        <v>1.6289561264709058</v>
      </c>
      <c r="AD82">
        <f t="shared" si="23"/>
        <v>79</v>
      </c>
      <c r="AE82">
        <f t="shared" si="24"/>
        <v>10.498754342121549</v>
      </c>
    </row>
    <row r="83" spans="1:31" x14ac:dyDescent="0.35">
      <c r="A83">
        <f t="shared" si="13"/>
        <v>80</v>
      </c>
      <c r="B83">
        <v>8.1345560346257617</v>
      </c>
      <c r="D83">
        <f t="shared" si="22"/>
        <v>80</v>
      </c>
      <c r="E83">
        <f t="shared" si="14"/>
        <v>1.0206275277374743</v>
      </c>
      <c r="F83">
        <f t="shared" si="25"/>
        <v>-0.57201965437958768</v>
      </c>
      <c r="V83">
        <f t="shared" si="15"/>
        <v>80</v>
      </c>
      <c r="W83">
        <f t="shared" si="16"/>
        <v>1.0206275277374743</v>
      </c>
      <c r="X83">
        <f t="shared" si="17"/>
        <v>-0.57201965437958768</v>
      </c>
      <c r="Y83">
        <f t="shared" si="18"/>
        <v>1.592647182117062</v>
      </c>
      <c r="Z83">
        <f t="shared" si="19"/>
        <v>1.1002814389079172</v>
      </c>
      <c r="AA83">
        <f t="shared" si="20"/>
        <v>-0.56386481100036279</v>
      </c>
      <c r="AB83">
        <f t="shared" si="21"/>
        <v>3.7491591752344871</v>
      </c>
      <c r="AD83">
        <f t="shared" si="23"/>
        <v>80</v>
      </c>
      <c r="AE83">
        <f t="shared" si="24"/>
        <v>8.1345560346257617</v>
      </c>
    </row>
    <row r="84" spans="1:31" x14ac:dyDescent="0.35">
      <c r="A84">
        <f t="shared" si="13"/>
        <v>81</v>
      </c>
      <c r="B84">
        <v>9.155183562363236</v>
      </c>
      <c r="D84">
        <f t="shared" si="22"/>
        <v>81</v>
      </c>
      <c r="E84">
        <f t="shared" si="14"/>
        <v>-1.1630981222893864</v>
      </c>
      <c r="F84">
        <f t="shared" si="25"/>
        <v>-0.803469559267181</v>
      </c>
      <c r="V84">
        <f t="shared" si="15"/>
        <v>81</v>
      </c>
      <c r="W84">
        <f t="shared" si="16"/>
        <v>-1.1630981222893864</v>
      </c>
      <c r="X84">
        <f t="shared" si="17"/>
        <v>-0.803469559267181</v>
      </c>
      <c r="Y84">
        <f t="shared" si="18"/>
        <v>-0.35962856302220536</v>
      </c>
      <c r="Z84">
        <f t="shared" si="19"/>
        <v>1.1002814389079172</v>
      </c>
      <c r="AA84">
        <f t="shared" si="20"/>
        <v>-2.5161405561396304</v>
      </c>
      <c r="AB84">
        <f t="shared" si="21"/>
        <v>1.7968834300952194</v>
      </c>
      <c r="AD84">
        <f t="shared" si="23"/>
        <v>81</v>
      </c>
      <c r="AE84">
        <f t="shared" si="24"/>
        <v>9.155183562363236</v>
      </c>
    </row>
    <row r="85" spans="1:31" x14ac:dyDescent="0.35">
      <c r="A85">
        <f t="shared" si="13"/>
        <v>82</v>
      </c>
      <c r="B85">
        <v>7.9920854400738497</v>
      </c>
      <c r="D85">
        <f t="shared" si="22"/>
        <v>82</v>
      </c>
      <c r="E85">
        <f t="shared" si="14"/>
        <v>2.4474415565955097</v>
      </c>
      <c r="F85">
        <f t="shared" si="25"/>
        <v>1.42720603321984</v>
      </c>
      <c r="V85">
        <f t="shared" si="15"/>
        <v>82</v>
      </c>
      <c r="W85">
        <f t="shared" si="16"/>
        <v>2.4474415565955097</v>
      </c>
      <c r="X85">
        <f t="shared" si="17"/>
        <v>1.42720603321984</v>
      </c>
      <c r="Y85">
        <f t="shared" si="18"/>
        <v>1.0202355233756697</v>
      </c>
      <c r="Z85">
        <f t="shared" si="19"/>
        <v>1.1002814389079172</v>
      </c>
      <c r="AA85">
        <f t="shared" si="20"/>
        <v>-1.1362764697417551</v>
      </c>
      <c r="AB85">
        <f t="shared" si="21"/>
        <v>3.1767475164930943</v>
      </c>
      <c r="AD85">
        <f t="shared" si="23"/>
        <v>82</v>
      </c>
      <c r="AE85">
        <f t="shared" si="24"/>
        <v>7.9920854400738497</v>
      </c>
    </row>
    <row r="86" spans="1:31" x14ac:dyDescent="0.35">
      <c r="A86">
        <f t="shared" si="13"/>
        <v>83</v>
      </c>
      <c r="B86">
        <v>10.439526996669359</v>
      </c>
      <c r="D86">
        <f t="shared" si="22"/>
        <v>83</v>
      </c>
      <c r="E86">
        <f t="shared" si="14"/>
        <v>0.7357257317525665</v>
      </c>
      <c r="F86">
        <f t="shared" si="25"/>
        <v>2.0208478996542398</v>
      </c>
      <c r="V86">
        <f t="shared" si="15"/>
        <v>83</v>
      </c>
      <c r="W86">
        <f t="shared" si="16"/>
        <v>0.7357257317525665</v>
      </c>
      <c r="X86">
        <f t="shared" si="17"/>
        <v>2.0208478996542398</v>
      </c>
      <c r="Y86">
        <f t="shared" si="18"/>
        <v>-1.2851221679016733</v>
      </c>
      <c r="Z86">
        <f t="shared" si="19"/>
        <v>1.1002814389079172</v>
      </c>
      <c r="AA86">
        <f t="shared" si="20"/>
        <v>-3.4416341610190981</v>
      </c>
      <c r="AB86">
        <f t="shared" si="21"/>
        <v>0.87138982521575148</v>
      </c>
      <c r="AD86">
        <f t="shared" si="23"/>
        <v>83</v>
      </c>
      <c r="AE86">
        <f t="shared" si="24"/>
        <v>10.439526996669359</v>
      </c>
    </row>
    <row r="87" spans="1:31" x14ac:dyDescent="0.35">
      <c r="A87">
        <f t="shared" si="13"/>
        <v>84</v>
      </c>
      <c r="B87">
        <v>11.175252728421926</v>
      </c>
      <c r="D87">
        <f t="shared" si="22"/>
        <v>84</v>
      </c>
      <c r="E87">
        <f t="shared" si="14"/>
        <v>-1.2537492393584539</v>
      </c>
      <c r="F87">
        <f t="shared" si="25"/>
        <v>-0.7636833174921005</v>
      </c>
      <c r="V87">
        <f t="shared" si="15"/>
        <v>84</v>
      </c>
      <c r="W87">
        <f t="shared" si="16"/>
        <v>-1.2537492393584539</v>
      </c>
      <c r="X87">
        <f t="shared" si="17"/>
        <v>-0.7636833174921005</v>
      </c>
      <c r="Y87">
        <f t="shared" si="18"/>
        <v>-0.49006592186635345</v>
      </c>
      <c r="Z87">
        <f t="shared" si="19"/>
        <v>1.1002814389079172</v>
      </c>
      <c r="AA87">
        <f t="shared" si="20"/>
        <v>-2.6465779149837783</v>
      </c>
      <c r="AB87">
        <f t="shared" si="21"/>
        <v>1.6664460712510714</v>
      </c>
      <c r="AD87">
        <f t="shared" si="23"/>
        <v>84</v>
      </c>
      <c r="AE87">
        <f t="shared" si="24"/>
        <v>11.175252728421926</v>
      </c>
    </row>
    <row r="88" spans="1:31" x14ac:dyDescent="0.35">
      <c r="A88">
        <f t="shared" si="13"/>
        <v>85</v>
      </c>
      <c r="B88">
        <v>9.9215034890634719</v>
      </c>
      <c r="D88">
        <f t="shared" si="22"/>
        <v>85</v>
      </c>
      <c r="E88">
        <f t="shared" si="14"/>
        <v>0.73151537486166696</v>
      </c>
      <c r="F88">
        <f t="shared" si="25"/>
        <v>-4.3949441411057277E-2</v>
      </c>
      <c r="V88">
        <f t="shared" si="15"/>
        <v>85</v>
      </c>
      <c r="W88">
        <f t="shared" si="16"/>
        <v>0.73151537486166696</v>
      </c>
      <c r="X88">
        <f t="shared" si="17"/>
        <v>-4.3949441411057277E-2</v>
      </c>
      <c r="Y88">
        <f t="shared" si="18"/>
        <v>0.77546481627272423</v>
      </c>
      <c r="Z88">
        <f t="shared" si="19"/>
        <v>1.1002814389079172</v>
      </c>
      <c r="AA88">
        <f t="shared" si="20"/>
        <v>-1.3810471768447006</v>
      </c>
      <c r="AB88">
        <f t="shared" si="21"/>
        <v>2.9319768093901493</v>
      </c>
      <c r="AD88">
        <f t="shared" si="23"/>
        <v>85</v>
      </c>
      <c r="AE88">
        <f t="shared" si="24"/>
        <v>9.9215034890634719</v>
      </c>
    </row>
    <row r="89" spans="1:31" x14ac:dyDescent="0.35">
      <c r="A89">
        <f t="shared" si="13"/>
        <v>86</v>
      </c>
      <c r="B89">
        <v>10.653018863925139</v>
      </c>
      <c r="D89">
        <f t="shared" si="22"/>
        <v>86</v>
      </c>
      <c r="E89">
        <f t="shared" si="14"/>
        <v>-0.35205382796539375</v>
      </c>
      <c r="F89">
        <f t="shared" si="25"/>
        <v>4.7665927467438141E-2</v>
      </c>
      <c r="V89">
        <f t="shared" si="15"/>
        <v>86</v>
      </c>
      <c r="W89">
        <f t="shared" si="16"/>
        <v>-0.35205382796539375</v>
      </c>
      <c r="X89">
        <f t="shared" si="17"/>
        <v>4.7665927467438141E-2</v>
      </c>
      <c r="Y89">
        <f t="shared" si="18"/>
        <v>-0.39971975543283189</v>
      </c>
      <c r="Z89">
        <f t="shared" si="19"/>
        <v>1.1002814389079172</v>
      </c>
      <c r="AA89">
        <f t="shared" si="20"/>
        <v>-2.5562317485502568</v>
      </c>
      <c r="AB89">
        <f t="shared" si="21"/>
        <v>1.7567922376845928</v>
      </c>
      <c r="AD89">
        <f t="shared" si="23"/>
        <v>86</v>
      </c>
      <c r="AE89">
        <f t="shared" si="24"/>
        <v>10.653018863925139</v>
      </c>
    </row>
    <row r="90" spans="1:31" x14ac:dyDescent="0.35">
      <c r="A90">
        <f t="shared" si="13"/>
        <v>87</v>
      </c>
      <c r="B90">
        <v>10.300965035959745</v>
      </c>
      <c r="D90">
        <f t="shared" si="22"/>
        <v>87</v>
      </c>
      <c r="E90">
        <f t="shared" si="14"/>
        <v>-0.97825339391929411</v>
      </c>
      <c r="F90">
        <f t="shared" si="25"/>
        <v>-1.216467797006713</v>
      </c>
      <c r="V90">
        <f t="shared" si="15"/>
        <v>87</v>
      </c>
      <c r="W90">
        <f t="shared" si="16"/>
        <v>-0.97825339391929411</v>
      </c>
      <c r="X90">
        <f t="shared" si="17"/>
        <v>-1.216467797006713</v>
      </c>
      <c r="Y90">
        <f t="shared" si="18"/>
        <v>0.23821440308741892</v>
      </c>
      <c r="Z90">
        <f t="shared" si="19"/>
        <v>1.1002814389079172</v>
      </c>
      <c r="AA90">
        <f t="shared" si="20"/>
        <v>-1.9182975900300059</v>
      </c>
      <c r="AB90">
        <f t="shared" si="21"/>
        <v>2.3947263962048435</v>
      </c>
      <c r="AD90">
        <f t="shared" si="23"/>
        <v>87</v>
      </c>
      <c r="AE90">
        <f t="shared" si="24"/>
        <v>10.300965035959745</v>
      </c>
    </row>
    <row r="91" spans="1:31" x14ac:dyDescent="0.35">
      <c r="A91">
        <f t="shared" si="13"/>
        <v>88</v>
      </c>
      <c r="B91">
        <v>9.322711642040451</v>
      </c>
      <c r="D91">
        <f t="shared" si="22"/>
        <v>88</v>
      </c>
      <c r="E91">
        <f t="shared" si="14"/>
        <v>1.8857852559415491</v>
      </c>
      <c r="F91">
        <f t="shared" si="25"/>
        <v>1.1443736050462854</v>
      </c>
      <c r="V91">
        <f t="shared" si="15"/>
        <v>88</v>
      </c>
      <c r="W91">
        <f t="shared" si="16"/>
        <v>1.8857852559415491</v>
      </c>
      <c r="X91">
        <f t="shared" si="17"/>
        <v>1.1443736050462854</v>
      </c>
      <c r="Y91">
        <f t="shared" si="18"/>
        <v>0.74141165089526373</v>
      </c>
      <c r="Z91">
        <f t="shared" si="19"/>
        <v>1.1002814389079172</v>
      </c>
      <c r="AA91">
        <f t="shared" si="20"/>
        <v>-1.4151003422221611</v>
      </c>
      <c r="AB91">
        <f t="shared" si="21"/>
        <v>2.8979236440126885</v>
      </c>
      <c r="AD91">
        <f t="shared" si="23"/>
        <v>88</v>
      </c>
      <c r="AE91">
        <f t="shared" si="24"/>
        <v>9.322711642040451</v>
      </c>
    </row>
    <row r="92" spans="1:31" x14ac:dyDescent="0.35">
      <c r="A92">
        <f t="shared" si="13"/>
        <v>89</v>
      </c>
      <c r="B92">
        <v>11.208496897982</v>
      </c>
      <c r="D92">
        <f t="shared" si="22"/>
        <v>89</v>
      </c>
      <c r="E92">
        <f t="shared" si="14"/>
        <v>-1.3747846467669422</v>
      </c>
      <c r="F92">
        <f t="shared" si="25"/>
        <v>-0.28796867963203332</v>
      </c>
      <c r="V92">
        <f t="shared" si="15"/>
        <v>89</v>
      </c>
      <c r="W92">
        <f t="shared" si="16"/>
        <v>-1.3747846467669422</v>
      </c>
      <c r="X92">
        <f t="shared" si="17"/>
        <v>-0.28796867963203332</v>
      </c>
      <c r="Y92">
        <f t="shared" si="18"/>
        <v>-1.0868159671349089</v>
      </c>
      <c r="Z92">
        <f t="shared" si="19"/>
        <v>1.1002814389079172</v>
      </c>
      <c r="AA92">
        <f t="shared" si="20"/>
        <v>-3.2433279602523335</v>
      </c>
      <c r="AB92">
        <f t="shared" si="21"/>
        <v>1.0696960259825159</v>
      </c>
      <c r="AD92">
        <f t="shared" si="23"/>
        <v>89</v>
      </c>
      <c r="AE92">
        <f t="shared" si="24"/>
        <v>11.208496897982</v>
      </c>
    </row>
    <row r="93" spans="1:31" x14ac:dyDescent="0.35">
      <c r="A93">
        <f t="shared" si="13"/>
        <v>90</v>
      </c>
      <c r="B93">
        <v>9.8337122512150579</v>
      </c>
      <c r="D93">
        <f t="shared" si="22"/>
        <v>90</v>
      </c>
      <c r="E93">
        <f t="shared" si="14"/>
        <v>1.1755166531520658</v>
      </c>
      <c r="F93">
        <f t="shared" si="25"/>
        <v>0.29473492384866412</v>
      </c>
      <c r="V93">
        <f t="shared" si="15"/>
        <v>90</v>
      </c>
      <c r="W93">
        <f t="shared" si="16"/>
        <v>1.1755166531520658</v>
      </c>
      <c r="X93">
        <f t="shared" si="17"/>
        <v>0.29473492384866412</v>
      </c>
      <c r="Y93">
        <f t="shared" si="18"/>
        <v>0.88078172930340171</v>
      </c>
      <c r="Z93">
        <f t="shared" si="19"/>
        <v>1.1002814389079172</v>
      </c>
      <c r="AA93">
        <f t="shared" si="20"/>
        <v>-1.2757302638140231</v>
      </c>
      <c r="AB93">
        <f t="shared" si="21"/>
        <v>3.0372937224208263</v>
      </c>
      <c r="AD93">
        <f t="shared" si="23"/>
        <v>90</v>
      </c>
      <c r="AE93">
        <f t="shared" si="24"/>
        <v>9.8337122512150579</v>
      </c>
    </row>
    <row r="94" spans="1:31" x14ac:dyDescent="0.35">
      <c r="A94">
        <f t="shared" si="13"/>
        <v>91</v>
      </c>
      <c r="B94">
        <v>11.009228904367124</v>
      </c>
      <c r="D94">
        <f t="shared" si="22"/>
        <v>91</v>
      </c>
      <c r="E94">
        <f t="shared" si="14"/>
        <v>-1.3370172401079596</v>
      </c>
      <c r="F94">
        <f t="shared" si="25"/>
        <v>-0.66967169349799538</v>
      </c>
      <c r="V94">
        <f t="shared" si="15"/>
        <v>91</v>
      </c>
      <c r="W94">
        <f t="shared" si="16"/>
        <v>-1.3370172401079596</v>
      </c>
      <c r="X94">
        <f t="shared" si="17"/>
        <v>-0.66967169349799538</v>
      </c>
      <c r="Y94">
        <f t="shared" si="18"/>
        <v>-0.66734554660996426</v>
      </c>
      <c r="Z94">
        <f t="shared" si="19"/>
        <v>1.1002814389079172</v>
      </c>
      <c r="AA94">
        <f t="shared" si="20"/>
        <v>-2.8238575397273893</v>
      </c>
      <c r="AB94">
        <f t="shared" si="21"/>
        <v>1.4891664465074606</v>
      </c>
      <c r="AD94">
        <f t="shared" si="23"/>
        <v>91</v>
      </c>
      <c r="AE94">
        <f t="shared" si="24"/>
        <v>11.009228904367124</v>
      </c>
    </row>
    <row r="95" spans="1:31" x14ac:dyDescent="0.35">
      <c r="A95">
        <f t="shared" si="13"/>
        <v>92</v>
      </c>
      <c r="B95">
        <v>9.672211664259164</v>
      </c>
      <c r="D95">
        <f t="shared" si="22"/>
        <v>92</v>
      </c>
      <c r="E95">
        <f t="shared" si="14"/>
        <v>-1.6501564988328976</v>
      </c>
      <c r="F95">
        <f t="shared" si="25"/>
        <v>-2.5473924436944917</v>
      </c>
      <c r="V95">
        <f t="shared" si="15"/>
        <v>92</v>
      </c>
      <c r="W95">
        <f t="shared" si="16"/>
        <v>-1.6501564988328976</v>
      </c>
      <c r="X95">
        <f t="shared" si="17"/>
        <v>-2.5473924436944917</v>
      </c>
      <c r="Y95">
        <f t="shared" si="18"/>
        <v>0.89723594486159408</v>
      </c>
      <c r="Z95">
        <f t="shared" si="19"/>
        <v>1.1002814389079172</v>
      </c>
      <c r="AA95">
        <f t="shared" si="20"/>
        <v>-1.2592760482558307</v>
      </c>
      <c r="AB95">
        <f t="shared" si="21"/>
        <v>3.0537479379790189</v>
      </c>
      <c r="AD95">
        <f t="shared" si="23"/>
        <v>92</v>
      </c>
      <c r="AE95">
        <f t="shared" si="24"/>
        <v>9.672211664259164</v>
      </c>
    </row>
    <row r="96" spans="1:31" x14ac:dyDescent="0.35">
      <c r="A96">
        <f t="shared" si="13"/>
        <v>93</v>
      </c>
      <c r="B96">
        <v>8.0220551654262664</v>
      </c>
      <c r="D96">
        <f t="shared" si="22"/>
        <v>93</v>
      </c>
      <c r="E96">
        <f t="shared" si="14"/>
        <v>1.0781053212820133</v>
      </c>
      <c r="F96">
        <f t="shared" si="25"/>
        <v>-0.27912448078099317</v>
      </c>
      <c r="V96">
        <f t="shared" si="15"/>
        <v>93</v>
      </c>
      <c r="W96">
        <f t="shared" si="16"/>
        <v>1.0781053212820133</v>
      </c>
      <c r="X96">
        <f t="shared" si="17"/>
        <v>-0.27912448078099317</v>
      </c>
      <c r="Y96">
        <f t="shared" si="18"/>
        <v>1.3572298020630065</v>
      </c>
      <c r="Z96">
        <f t="shared" si="19"/>
        <v>1.1002814389079172</v>
      </c>
      <c r="AA96">
        <f t="shared" si="20"/>
        <v>-0.79928219105441833</v>
      </c>
      <c r="AB96">
        <f t="shared" si="21"/>
        <v>3.5137417951804313</v>
      </c>
      <c r="AD96">
        <f t="shared" si="23"/>
        <v>93</v>
      </c>
      <c r="AE96">
        <f t="shared" si="24"/>
        <v>8.0220551654262664</v>
      </c>
    </row>
    <row r="97" spans="1:31" x14ac:dyDescent="0.35">
      <c r="A97">
        <f t="shared" si="13"/>
        <v>94</v>
      </c>
      <c r="B97">
        <v>9.1001604867082797</v>
      </c>
      <c r="D97">
        <f t="shared" si="22"/>
        <v>94</v>
      </c>
      <c r="E97">
        <f t="shared" si="14"/>
        <v>1.1934030831236662</v>
      </c>
      <c r="F97">
        <f t="shared" si="25"/>
        <v>1.4334988817568808</v>
      </c>
      <c r="V97">
        <f t="shared" si="15"/>
        <v>94</v>
      </c>
      <c r="W97">
        <f t="shared" si="16"/>
        <v>1.1934030831236662</v>
      </c>
      <c r="X97">
        <f t="shared" si="17"/>
        <v>1.4334988817568808</v>
      </c>
      <c r="Y97">
        <f t="shared" si="18"/>
        <v>-0.24009579863321462</v>
      </c>
      <c r="Z97">
        <f t="shared" si="19"/>
        <v>1.1002814389079172</v>
      </c>
      <c r="AA97">
        <f t="shared" si="20"/>
        <v>-2.3966077917506396</v>
      </c>
      <c r="AB97">
        <f t="shared" si="21"/>
        <v>1.9164161944842102</v>
      </c>
      <c r="AD97">
        <f t="shared" si="23"/>
        <v>94</v>
      </c>
      <c r="AE97">
        <f t="shared" si="24"/>
        <v>9.1001604867082797</v>
      </c>
    </row>
    <row r="98" spans="1:31" x14ac:dyDescent="0.35">
      <c r="A98">
        <f t="shared" si="13"/>
        <v>95</v>
      </c>
      <c r="B98">
        <v>10.293563569831946</v>
      </c>
      <c r="D98">
        <f t="shared" si="22"/>
        <v>95</v>
      </c>
      <c r="E98">
        <f t="shared" si="14"/>
        <v>0.58057432252451058</v>
      </c>
      <c r="F98">
        <f t="shared" si="25"/>
        <v>1.0515527152299482</v>
      </c>
      <c r="V98">
        <f t="shared" si="15"/>
        <v>95</v>
      </c>
      <c r="W98">
        <f t="shared" si="16"/>
        <v>0.58057432252451058</v>
      </c>
      <c r="X98">
        <f t="shared" si="17"/>
        <v>1.0515527152299482</v>
      </c>
      <c r="Y98">
        <f t="shared" si="18"/>
        <v>-0.47097839270543762</v>
      </c>
      <c r="Z98">
        <f t="shared" si="19"/>
        <v>1.1002814389079172</v>
      </c>
      <c r="AA98">
        <f t="shared" si="20"/>
        <v>-2.6274903858228624</v>
      </c>
      <c r="AB98">
        <f t="shared" si="21"/>
        <v>1.6855336004119872</v>
      </c>
      <c r="AD98">
        <f t="shared" si="23"/>
        <v>95</v>
      </c>
      <c r="AE98">
        <f t="shared" si="24"/>
        <v>10.293563569831946</v>
      </c>
    </row>
    <row r="99" spans="1:31" x14ac:dyDescent="0.35">
      <c r="A99">
        <f t="shared" si="13"/>
        <v>96</v>
      </c>
      <c r="B99">
        <v>10.874137892356456</v>
      </c>
      <c r="D99">
        <f t="shared" si="22"/>
        <v>96</v>
      </c>
      <c r="E99">
        <f t="shared" si="14"/>
        <v>0.17445103802561412</v>
      </c>
      <c r="F99">
        <f t="shared" si="25"/>
        <v>0.3994852880543811</v>
      </c>
      <c r="V99">
        <f t="shared" si="15"/>
        <v>96</v>
      </c>
      <c r="W99">
        <f t="shared" si="16"/>
        <v>0.17445103802561412</v>
      </c>
      <c r="X99">
        <f t="shared" si="17"/>
        <v>0.3994852880543811</v>
      </c>
      <c r="Y99">
        <f t="shared" si="18"/>
        <v>-0.22503425002876698</v>
      </c>
      <c r="Z99">
        <f t="shared" si="19"/>
        <v>1.1002814389079172</v>
      </c>
      <c r="AA99">
        <f t="shared" si="20"/>
        <v>-2.3815462431461918</v>
      </c>
      <c r="AB99">
        <f t="shared" si="21"/>
        <v>1.9314777430886578</v>
      </c>
      <c r="AD99">
        <f t="shared" si="23"/>
        <v>96</v>
      </c>
      <c r="AE99">
        <f t="shared" si="24"/>
        <v>10.874137892356456</v>
      </c>
    </row>
    <row r="100" spans="1:31" x14ac:dyDescent="0.35">
      <c r="A100">
        <f t="shared" si="13"/>
        <v>97</v>
      </c>
      <c r="B100">
        <v>11.048588930382071</v>
      </c>
      <c r="D100">
        <f t="shared" si="22"/>
        <v>97</v>
      </c>
      <c r="E100">
        <f t="shared" si="14"/>
        <v>-0.67148532197622401</v>
      </c>
      <c r="F100">
        <f t="shared" si="25"/>
        <v>-0.64231573280694065</v>
      </c>
      <c r="V100">
        <f t="shared" si="15"/>
        <v>97</v>
      </c>
      <c r="W100">
        <f t="shared" si="16"/>
        <v>-0.67148532197622401</v>
      </c>
      <c r="X100">
        <f t="shared" si="17"/>
        <v>-0.64231573280694065</v>
      </c>
      <c r="Y100">
        <f t="shared" si="18"/>
        <v>-2.9169589169283361E-2</v>
      </c>
      <c r="Z100">
        <f t="shared" si="19"/>
        <v>1.1002814389079172</v>
      </c>
      <c r="AA100">
        <f t="shared" si="20"/>
        <v>-2.1856815822867084</v>
      </c>
      <c r="AB100">
        <f t="shared" si="21"/>
        <v>2.1273424039481412</v>
      </c>
      <c r="AD100">
        <f t="shared" si="23"/>
        <v>97</v>
      </c>
      <c r="AE100">
        <f t="shared" si="24"/>
        <v>11.048588930382071</v>
      </c>
    </row>
    <row r="101" spans="1:31" x14ac:dyDescent="0.35">
      <c r="A101">
        <f t="shared" si="13"/>
        <v>98</v>
      </c>
      <c r="B101">
        <v>10.377103608405847</v>
      </c>
      <c r="D101">
        <f t="shared" si="22"/>
        <v>98</v>
      </c>
      <c r="E101">
        <f t="shared" si="14"/>
        <v>0.72362979806956318</v>
      </c>
      <c r="F101">
        <f t="shared" si="25"/>
        <v>0.18204105849279995</v>
      </c>
      <c r="V101">
        <f t="shared" si="15"/>
        <v>98</v>
      </c>
      <c r="W101">
        <f t="shared" si="16"/>
        <v>0.72362979806956318</v>
      </c>
      <c r="X101">
        <f t="shared" si="17"/>
        <v>0.18204105849279995</v>
      </c>
      <c r="Y101">
        <f t="shared" si="18"/>
        <v>0.54158873957676323</v>
      </c>
      <c r="Z101">
        <f t="shared" si="19"/>
        <v>1.1002814389079172</v>
      </c>
      <c r="AA101">
        <f t="shared" si="20"/>
        <v>-1.6149232535406615</v>
      </c>
      <c r="AB101">
        <f t="shared" si="21"/>
        <v>2.6981007326941882</v>
      </c>
      <c r="AD101">
        <f t="shared" si="23"/>
        <v>98</v>
      </c>
      <c r="AE101">
        <f t="shared" si="24"/>
        <v>10.377103608405847</v>
      </c>
    </row>
    <row r="102" spans="1:31" x14ac:dyDescent="0.35">
      <c r="A102">
        <f t="shared" si="13"/>
        <v>99</v>
      </c>
      <c r="B102">
        <v>11.10073340647541</v>
      </c>
      <c r="D102">
        <f t="shared" si="22"/>
        <v>99</v>
      </c>
      <c r="E102">
        <f t="shared" si="14"/>
        <v>-1.5442767167039673</v>
      </c>
      <c r="F102">
        <f t="shared" si="25"/>
        <v>-1.2347959031776463</v>
      </c>
      <c r="V102">
        <f t="shared" si="15"/>
        <v>99</v>
      </c>
      <c r="W102">
        <f t="shared" si="16"/>
        <v>-1.5442767167039673</v>
      </c>
      <c r="X102">
        <f t="shared" si="17"/>
        <v>-1.2347959031776463</v>
      </c>
      <c r="Y102">
        <f t="shared" si="18"/>
        <v>-0.30948081352632095</v>
      </c>
      <c r="Z102">
        <f t="shared" si="19"/>
        <v>1.1002814389079172</v>
      </c>
      <c r="AA102">
        <f t="shared" si="20"/>
        <v>-2.4659928066437455</v>
      </c>
      <c r="AB102">
        <f t="shared" si="21"/>
        <v>1.8470311795911039</v>
      </c>
      <c r="AD102">
        <f t="shared" si="23"/>
        <v>99</v>
      </c>
      <c r="AE102">
        <f t="shared" si="24"/>
        <v>11.10073340647541</v>
      </c>
    </row>
    <row r="103" spans="1:31" x14ac:dyDescent="0.35">
      <c r="A103">
        <f t="shared" si="13"/>
        <v>100</v>
      </c>
      <c r="B103">
        <v>9.5564566897714425</v>
      </c>
      <c r="D103">
        <f t="shared" si="22"/>
        <v>100</v>
      </c>
      <c r="E103">
        <f t="shared" si="14"/>
        <v>0.57015532242647105</v>
      </c>
      <c r="F103">
        <f t="shared" si="25"/>
        <v>-0.59920275062377071</v>
      </c>
      <c r="V103">
        <f t="shared" si="15"/>
        <v>100</v>
      </c>
      <c r="W103">
        <f t="shared" si="16"/>
        <v>0.57015532242647105</v>
      </c>
      <c r="X103">
        <f t="shared" si="17"/>
        <v>-0.59920275062377071</v>
      </c>
      <c r="Y103">
        <f t="shared" si="18"/>
        <v>1.1693580730502418</v>
      </c>
      <c r="Z103">
        <f t="shared" si="19"/>
        <v>1.1002814389079172</v>
      </c>
      <c r="AA103">
        <f t="shared" si="20"/>
        <v>-0.98715392006718305</v>
      </c>
      <c r="AB103">
        <f t="shared" si="21"/>
        <v>3.3258700661676666</v>
      </c>
      <c r="AD103">
        <f t="shared" si="23"/>
        <v>100</v>
      </c>
      <c r="AE103">
        <f t="shared" si="24"/>
        <v>9.5564566897714425</v>
      </c>
    </row>
    <row r="104" spans="1:31" x14ac:dyDescent="0.35">
      <c r="A104">
        <f t="shared" si="13"/>
        <v>101</v>
      </c>
      <c r="B104">
        <v>10.126612012197914</v>
      </c>
      <c r="D104">
        <f t="shared" si="22"/>
        <v>101</v>
      </c>
      <c r="E104">
        <f t="shared" si="14"/>
        <v>0.49204478752084135</v>
      </c>
      <c r="F104">
        <f t="shared" si="25"/>
        <v>0.5184557401183062</v>
      </c>
      <c r="V104">
        <f t="shared" si="15"/>
        <v>101</v>
      </c>
      <c r="W104">
        <f t="shared" si="16"/>
        <v>0.49204478752084135</v>
      </c>
      <c r="X104">
        <f t="shared" si="17"/>
        <v>0.5184557401183062</v>
      </c>
      <c r="Y104">
        <f t="shared" si="18"/>
        <v>-2.6410952597464843E-2</v>
      </c>
      <c r="Z104">
        <f t="shared" si="19"/>
        <v>1.1002814389079172</v>
      </c>
      <c r="AA104">
        <f t="shared" si="20"/>
        <v>-2.1829229457148895</v>
      </c>
      <c r="AB104">
        <f t="shared" si="21"/>
        <v>2.1301010405199601</v>
      </c>
      <c r="AD104">
        <f t="shared" si="23"/>
        <v>101</v>
      </c>
      <c r="AE104">
        <f t="shared" si="24"/>
        <v>10.126612012197914</v>
      </c>
    </row>
    <row r="105" spans="1:31" x14ac:dyDescent="0.35">
      <c r="A105">
        <f t="shared" si="13"/>
        <v>102</v>
      </c>
      <c r="B105">
        <v>10.618656799718755</v>
      </c>
      <c r="D105">
        <f t="shared" si="22"/>
        <v>102</v>
      </c>
      <c r="E105">
        <f t="shared" si="14"/>
        <v>0.75072084779491988</v>
      </c>
      <c r="F105">
        <f t="shared" si="25"/>
        <v>0.79246255892401429</v>
      </c>
      <c r="V105">
        <f t="shared" si="15"/>
        <v>102</v>
      </c>
      <c r="W105">
        <f t="shared" si="16"/>
        <v>0.75072084779491988</v>
      </c>
      <c r="X105">
        <f t="shared" si="17"/>
        <v>0.79246255892401429</v>
      </c>
      <c r="Y105">
        <f t="shared" si="18"/>
        <v>-4.1741711129094416E-2</v>
      </c>
      <c r="Z105">
        <f t="shared" si="19"/>
        <v>1.1002814389079172</v>
      </c>
      <c r="AA105">
        <f t="shared" si="20"/>
        <v>-2.1982537042465191</v>
      </c>
      <c r="AB105">
        <f t="shared" si="21"/>
        <v>2.1147702819883305</v>
      </c>
      <c r="AD105">
        <f t="shared" si="23"/>
        <v>102</v>
      </c>
      <c r="AE105">
        <f t="shared" si="24"/>
        <v>10.618656799718755</v>
      </c>
    </row>
    <row r="106" spans="1:31" x14ac:dyDescent="0.35">
      <c r="A106">
        <f t="shared" si="13"/>
        <v>103</v>
      </c>
      <c r="B106">
        <v>11.369377647513675</v>
      </c>
      <c r="D106">
        <f t="shared" si="22"/>
        <v>103</v>
      </c>
      <c r="E106">
        <f t="shared" si="14"/>
        <v>-0.6079354272782993</v>
      </c>
      <c r="F106">
        <f t="shared" si="25"/>
        <v>-0.3222264722061895</v>
      </c>
      <c r="V106">
        <f t="shared" si="15"/>
        <v>103</v>
      </c>
      <c r="W106">
        <f t="shared" si="16"/>
        <v>-0.6079354272782993</v>
      </c>
      <c r="X106">
        <f t="shared" si="17"/>
        <v>-0.3222264722061895</v>
      </c>
      <c r="Y106">
        <f t="shared" si="18"/>
        <v>-0.2857089550721098</v>
      </c>
      <c r="Z106">
        <f t="shared" si="19"/>
        <v>1.1002814389079172</v>
      </c>
      <c r="AA106">
        <f t="shared" si="20"/>
        <v>-2.4422209481895347</v>
      </c>
      <c r="AB106">
        <f t="shared" si="21"/>
        <v>1.8708030380453149</v>
      </c>
      <c r="AD106">
        <f t="shared" si="23"/>
        <v>103</v>
      </c>
      <c r="AE106">
        <f t="shared" si="24"/>
        <v>11.369377647513675</v>
      </c>
    </row>
    <row r="107" spans="1:31" x14ac:dyDescent="0.35">
      <c r="A107">
        <f t="shared" si="13"/>
        <v>104</v>
      </c>
      <c r="B107">
        <v>10.761442220235375</v>
      </c>
      <c r="D107" s="4">
        <f t="shared" si="22"/>
        <v>104</v>
      </c>
      <c r="E107" s="4">
        <f t="shared" si="14"/>
        <v>1.1933228352475833</v>
      </c>
      <c r="F107" s="4">
        <f t="shared" si="25"/>
        <v>0.63987539377722791</v>
      </c>
      <c r="V107">
        <f t="shared" si="15"/>
        <v>104</v>
      </c>
      <c r="W107">
        <f t="shared" si="16"/>
        <v>1.1933228352475833</v>
      </c>
      <c r="X107">
        <f t="shared" si="17"/>
        <v>0.63987539377722791</v>
      </c>
      <c r="Y107">
        <f t="shared" si="18"/>
        <v>0.55344744147035541</v>
      </c>
      <c r="Z107">
        <f t="shared" si="19"/>
        <v>1.1002814389079172</v>
      </c>
      <c r="AA107">
        <f t="shared" si="20"/>
        <v>-1.6030645516470694</v>
      </c>
      <c r="AB107">
        <f t="shared" si="21"/>
        <v>2.7099594345877804</v>
      </c>
      <c r="AD107">
        <f t="shared" si="23"/>
        <v>104</v>
      </c>
      <c r="AE107">
        <f t="shared" si="24"/>
        <v>10.761442220235375</v>
      </c>
    </row>
    <row r="108" spans="1:31" x14ac:dyDescent="0.35">
      <c r="A108">
        <f t="shared" si="13"/>
        <v>105</v>
      </c>
      <c r="B108" s="4">
        <v>11.954765055482959</v>
      </c>
      <c r="V108">
        <f>V107+1</f>
        <v>105</v>
      </c>
      <c r="Y108">
        <f>SUMPRODUCT(W106:W107,I$4:I$5)+SUMPRODUCT(X107,J$5)</f>
        <v>-0.5893614313619413</v>
      </c>
      <c r="Z108" t="e">
        <f ca="1">J$15*SQRT(SUMSQ(M$15:M15))</f>
        <v>#NAME?</v>
      </c>
      <c r="AA108" t="e">
        <f ca="1">Y108-NORMSINV(1-Z$2/2)*Z108</f>
        <v>#NAME?</v>
      </c>
      <c r="AB108" t="e">
        <f ca="1">Y108+NORMSINV(1-Z$2/2)*Z108</f>
        <v>#NAME?</v>
      </c>
      <c r="AD108" s="4">
        <f t="shared" si="23"/>
        <v>105</v>
      </c>
      <c r="AE108" s="4">
        <f t="shared" si="24"/>
        <v>11.954765055482959</v>
      </c>
    </row>
    <row r="109" spans="1:31" x14ac:dyDescent="0.35">
      <c r="V109">
        <f>V108+1</f>
        <v>106</v>
      </c>
      <c r="Y109">
        <f>SUMPRODUCT(W107,I4)+SUMPRODUCT(Y108,I5)</f>
        <v>0.46754070028727351</v>
      </c>
      <c r="Z109" t="e">
        <f ca="1">J$15*SQRT(SUMSQ(M$15:M16))</f>
        <v>#NAME?</v>
      </c>
      <c r="AA109" t="e">
        <f ca="1">Y109-NORMSINV(1-Z$2/2)*Z109</f>
        <v>#NAME?</v>
      </c>
      <c r="AB109" t="e">
        <f ca="1">Y109+NORMSINV(1-Z$2/2)*Z109</f>
        <v>#NAME?</v>
      </c>
      <c r="AD109">
        <f t="shared" si="23"/>
        <v>106</v>
      </c>
      <c r="AE109">
        <f>Y108+AE108</f>
        <v>11.365403624121017</v>
      </c>
    </row>
    <row r="110" spans="1:31" x14ac:dyDescent="0.35">
      <c r="V110">
        <f>V109+1</f>
        <v>107</v>
      </c>
      <c r="Y110">
        <f>SUMPRODUCT(Y108:Y109,I4:I5)</f>
        <v>-0.16244246073139143</v>
      </c>
      <c r="Z110" t="e">
        <f ca="1">J$15*SQRT(SUMSQ(M$15:M17))</f>
        <v>#NAME?</v>
      </c>
      <c r="AA110" t="e">
        <f ca="1">Y110-NORMSINV(1-Z$2/2)*Z110</f>
        <v>#NAME?</v>
      </c>
      <c r="AB110" t="e">
        <f ca="1">Y110+NORMSINV(1-Z$2/2)*Z110</f>
        <v>#NAME?</v>
      </c>
      <c r="AD110">
        <f t="shared" si="23"/>
        <v>107</v>
      </c>
      <c r="AE110">
        <f>Y109+AE109</f>
        <v>11.83294432440829</v>
      </c>
    </row>
    <row r="111" spans="1:31" x14ac:dyDescent="0.35">
      <c r="V111">
        <f>V110+1</f>
        <v>108</v>
      </c>
      <c r="Y111">
        <f>SUMPRODUCT(Y109:Y110,I4:I5)</f>
        <v>0.20974639543894336</v>
      </c>
      <c r="Z111" t="e">
        <f ca="1">J$15*SQRT(SUMSQ(M$15:M18))</f>
        <v>#NAME?</v>
      </c>
      <c r="AA111" t="e">
        <f ca="1">Y111-NORMSINV(1-Z$2/2)*Z111</f>
        <v>#NAME?</v>
      </c>
      <c r="AB111" t="e">
        <f ca="1">Y111+NORMSINV(1-Z$2/2)*Z111</f>
        <v>#NAME?</v>
      </c>
      <c r="AD111">
        <f t="shared" si="23"/>
        <v>108</v>
      </c>
      <c r="AE111">
        <f>Y110+AE110</f>
        <v>11.670501863676899</v>
      </c>
    </row>
    <row r="112" spans="1:31" x14ac:dyDescent="0.35">
      <c r="V112" s="4">
        <f>V111+1</f>
        <v>109</v>
      </c>
      <c r="W112" s="4"/>
      <c r="X112" s="4"/>
      <c r="Y112" s="4">
        <f>SUMPRODUCT(Y110:Y111,I4:I5)</f>
        <v>-1.339176063511216E-2</v>
      </c>
      <c r="Z112" s="4" t="e">
        <f ca="1">J$15*SQRT(SUMSQ(M$15:M19))</f>
        <v>#NAME?</v>
      </c>
      <c r="AA112" s="4" t="e">
        <f ca="1">Y112-NORMSINV(1-Z$2/2)*Z112</f>
        <v>#NAME?</v>
      </c>
      <c r="AB112" s="4" t="e">
        <f ca="1">Y112+NORMSINV(1-Z$2/2)*Z112</f>
        <v>#NAME?</v>
      </c>
      <c r="AD112">
        <f t="shared" si="23"/>
        <v>109</v>
      </c>
      <c r="AE112">
        <f>Y111+AE111</f>
        <v>11.880248259115842</v>
      </c>
    </row>
    <row r="113" spans="30:31" x14ac:dyDescent="0.35">
      <c r="AD113" s="4">
        <f t="shared" si="23"/>
        <v>110</v>
      </c>
      <c r="AE113" s="4">
        <f>Y112+AE112</f>
        <v>11.866856498480729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12"/>
  <dimension ref="A1:AE113"/>
  <sheetViews>
    <sheetView workbookViewId="0"/>
  </sheetViews>
  <sheetFormatPr defaultRowHeight="14.5" x14ac:dyDescent="0.35"/>
  <cols>
    <col min="1" max="1" width="4.81640625" customWidth="1"/>
    <col min="3" max="3" width="9.1796875" customWidth="1"/>
    <col min="7" max="7" width="9.1796875" customWidth="1"/>
    <col min="9" max="10" width="9.81640625" customWidth="1"/>
  </cols>
  <sheetData>
    <row r="1" spans="1:31" x14ac:dyDescent="0.35">
      <c r="A1" s="7" t="s">
        <v>431</v>
      </c>
      <c r="D1" t="s">
        <v>353</v>
      </c>
      <c r="H1" t="s">
        <v>355</v>
      </c>
      <c r="L1" t="s">
        <v>374</v>
      </c>
      <c r="P1" t="s">
        <v>379</v>
      </c>
      <c r="V1" t="s">
        <v>383</v>
      </c>
      <c r="AD1" t="s">
        <v>384</v>
      </c>
    </row>
    <row r="2" spans="1:31" ht="15" thickBot="1" x14ac:dyDescent="0.4">
      <c r="A2" s="72"/>
      <c r="B2" s="72"/>
      <c r="Y2" t="s">
        <v>156</v>
      </c>
      <c r="Z2">
        <v>0.05</v>
      </c>
    </row>
    <row r="3" spans="1:31" ht="15" thickTop="1" x14ac:dyDescent="0.35">
      <c r="B3" s="136" t="s">
        <v>110</v>
      </c>
      <c r="D3" s="45" t="s">
        <v>291</v>
      </c>
      <c r="E3" s="45" t="s">
        <v>194</v>
      </c>
      <c r="F3" s="45" t="s">
        <v>354</v>
      </c>
      <c r="H3" s="45" t="s">
        <v>356</v>
      </c>
      <c r="I3" s="45" t="s">
        <v>357</v>
      </c>
      <c r="J3" s="45" t="s">
        <v>358</v>
      </c>
      <c r="L3" s="45" t="s">
        <v>173</v>
      </c>
      <c r="M3" s="45" t="s">
        <v>174</v>
      </c>
      <c r="N3" s="45" t="s">
        <v>375</v>
      </c>
      <c r="P3" s="45" t="s">
        <v>380</v>
      </c>
      <c r="Q3" s="45" t="s">
        <v>162</v>
      </c>
      <c r="R3" s="45" t="s">
        <v>81</v>
      </c>
      <c r="S3" s="45" t="s">
        <v>392</v>
      </c>
      <c r="T3" s="45" t="s">
        <v>92</v>
      </c>
      <c r="V3" s="45" t="s">
        <v>291</v>
      </c>
      <c r="W3" s="45" t="s">
        <v>194</v>
      </c>
      <c r="X3" s="45" t="s">
        <v>354</v>
      </c>
      <c r="Y3" s="45" t="s">
        <v>138</v>
      </c>
      <c r="Z3" s="45" t="s">
        <v>81</v>
      </c>
      <c r="AA3" s="45" t="s">
        <v>127</v>
      </c>
      <c r="AB3" s="45" t="s">
        <v>128</v>
      </c>
      <c r="AD3" s="45" t="s">
        <v>291</v>
      </c>
      <c r="AE3" s="45" t="s">
        <v>179</v>
      </c>
    </row>
    <row r="4" spans="1:31" x14ac:dyDescent="0.35">
      <c r="A4">
        <v>1</v>
      </c>
      <c r="B4">
        <v>3.1176756475655343</v>
      </c>
      <c r="D4">
        <v>1</v>
      </c>
      <c r="E4" t="e">
        <f ca="1">B5-B4-J$6</f>
        <v>#NAME?</v>
      </c>
      <c r="F4">
        <v>0</v>
      </c>
      <c r="H4" s="137">
        <v>2</v>
      </c>
      <c r="I4" t="e">
        <f ca="1">Q6</f>
        <v>#NAME?</v>
      </c>
      <c r="J4">
        <v>0</v>
      </c>
      <c r="L4" t="e">
        <f t="array" aca="1" ref="L4:N5" ca="1">ARRoots(I4:I5)</f>
        <v>#NAME?</v>
      </c>
      <c r="M4" t="e">
        <f ca="1"/>
        <v>#NAME?</v>
      </c>
      <c r="N4" t="e">
        <f ca="1"/>
        <v>#NAME?</v>
      </c>
      <c r="P4" t="s">
        <v>359</v>
      </c>
      <c r="Q4" t="e">
        <f t="array" aca="1" ref="Q4:R7" ca="1">ARIMA_Coeff(B4:B108,2,1,1,TRUE)</f>
        <v>#NAME?</v>
      </c>
      <c r="R4" t="e">
        <f ca="1"/>
        <v>#NAME?</v>
      </c>
      <c r="S4" t="e">
        <f ca="1">Q4/R4</f>
        <v>#NAME?</v>
      </c>
      <c r="T4" t="e">
        <f ca="1">TDIST(ABS(S4),J$18-J$10-J$11-1,2)</f>
        <v>#NAME?</v>
      </c>
      <c r="V4">
        <f>D4</f>
        <v>1</v>
      </c>
      <c r="W4" t="e">
        <f ca="1">E4</f>
        <v>#NAME?</v>
      </c>
      <c r="X4">
        <f>F4</f>
        <v>0</v>
      </c>
      <c r="Y4" t="e">
        <f ca="1">W4-X4</f>
        <v>#NAME?</v>
      </c>
      <c r="Z4" t="e">
        <f ca="1">J$15</f>
        <v>#NAME?</v>
      </c>
      <c r="AA4" t="e">
        <f ca="1">Y4-NORMSINV(1-Z$2/2)*Z4</f>
        <v>#NAME?</v>
      </c>
      <c r="AB4" t="e">
        <f ca="1">Y4+NORMSINV(1-Z$2/2)*Z4</f>
        <v>#NAME?</v>
      </c>
      <c r="AD4">
        <v>1</v>
      </c>
      <c r="AE4">
        <f>B4</f>
        <v>3.1176756475655343</v>
      </c>
    </row>
    <row r="5" spans="1:31" x14ac:dyDescent="0.35">
      <c r="A5">
        <f t="shared" ref="A5:A68" si="0">A4+1</f>
        <v>2</v>
      </c>
      <c r="B5">
        <v>5.8082510857989273</v>
      </c>
      <c r="D5">
        <f>D4+1</f>
        <v>2</v>
      </c>
      <c r="E5" t="e">
        <f t="shared" ref="E5:E68" ca="1" si="1">B6-B5-J$6</f>
        <v>#NAME?</v>
      </c>
      <c r="F5">
        <v>0</v>
      </c>
      <c r="H5" s="137">
        <f>H4-1</f>
        <v>1</v>
      </c>
      <c r="I5" t="e">
        <f ca="1">Q5</f>
        <v>#NAME?</v>
      </c>
      <c r="J5" t="e">
        <f ca="1">Q7</f>
        <v>#NAME?</v>
      </c>
      <c r="L5" s="4" t="e">
        <f ca="1"/>
        <v>#NAME?</v>
      </c>
      <c r="M5" s="4" t="e">
        <f ca="1"/>
        <v>#NAME?</v>
      </c>
      <c r="N5" s="4" t="e">
        <f ca="1"/>
        <v>#NAME?</v>
      </c>
      <c r="P5" t="s">
        <v>381</v>
      </c>
      <c r="Q5" t="e">
        <f ca="1"/>
        <v>#NAME?</v>
      </c>
      <c r="R5" t="e">
        <f ca="1"/>
        <v>#NAME?</v>
      </c>
      <c r="S5" t="e">
        <f ca="1">Q5/R5</f>
        <v>#NAME?</v>
      </c>
      <c r="T5" t="e">
        <f ca="1">TDIST(ABS(S5),J$18-J$10-J$11-1,2)</f>
        <v>#NAME?</v>
      </c>
      <c r="V5">
        <f t="shared" ref="V5:V68" si="2">D5</f>
        <v>2</v>
      </c>
      <c r="W5" t="e">
        <f t="shared" ref="W5:W68" ca="1" si="3">E5</f>
        <v>#NAME?</v>
      </c>
      <c r="X5">
        <f t="shared" ref="X5:X68" si="4">F5</f>
        <v>0</v>
      </c>
      <c r="Y5" t="e">
        <f t="shared" ref="Y5:Y68" ca="1" si="5">W5-X5</f>
        <v>#NAME?</v>
      </c>
      <c r="Z5" t="e">
        <f t="shared" ref="Z5:Z68" ca="1" si="6">J$15</f>
        <v>#NAME?</v>
      </c>
      <c r="AA5" t="e">
        <f t="shared" ref="AA5:AA68" ca="1" si="7">Y5-NORMSINV(1-Z$2/2)*Z5</f>
        <v>#NAME?</v>
      </c>
      <c r="AB5" t="e">
        <f t="shared" ref="AB5:AB68" ca="1" si="8">Y5+NORMSINV(1-Z$2/2)*Z5</f>
        <v>#NAME?</v>
      </c>
      <c r="AD5">
        <f>AD4+1</f>
        <v>2</v>
      </c>
      <c r="AE5">
        <f>B5</f>
        <v>5.8082510857989273</v>
      </c>
    </row>
    <row r="6" spans="1:31" x14ac:dyDescent="0.35">
      <c r="A6">
        <f t="shared" si="0"/>
        <v>3</v>
      </c>
      <c r="B6">
        <v>4.9067685983817757</v>
      </c>
      <c r="D6">
        <f t="shared" ref="D6:D69" si="9">D5+1</f>
        <v>3</v>
      </c>
      <c r="E6" t="e">
        <f t="shared" ca="1" si="1"/>
        <v>#NAME?</v>
      </c>
      <c r="F6" t="e">
        <f ca="1">E6-SUMPRODUCT(E4:E5,I$4:I$5)-SUMPRODUCT(F5,J$5)</f>
        <v>#NAME?</v>
      </c>
      <c r="H6" s="10" t="s">
        <v>359</v>
      </c>
      <c r="I6" s="4" t="e">
        <f ca="1">Q4</f>
        <v>#NAME?</v>
      </c>
      <c r="J6" s="4" t="e">
        <f ca="1">I6/(1-SUM(I4:I5))</f>
        <v>#NAME?</v>
      </c>
      <c r="P6" t="s">
        <v>399</v>
      </c>
      <c r="Q6" t="e">
        <f ca="1"/>
        <v>#NAME?</v>
      </c>
      <c r="R6" t="e">
        <f ca="1"/>
        <v>#NAME?</v>
      </c>
      <c r="S6" t="e">
        <f ca="1">Q6/R6</f>
        <v>#NAME?</v>
      </c>
      <c r="T6" t="e">
        <f ca="1">TDIST(ABS(S6),J$18-J$10-J$11-1,2)</f>
        <v>#NAME?</v>
      </c>
      <c r="V6">
        <f t="shared" si="2"/>
        <v>3</v>
      </c>
      <c r="W6" t="e">
        <f t="shared" ca="1" si="3"/>
        <v>#NAME?</v>
      </c>
      <c r="X6" t="e">
        <f t="shared" ca="1" si="4"/>
        <v>#NAME?</v>
      </c>
      <c r="Y6" t="e">
        <f t="shared" ca="1" si="5"/>
        <v>#NAME?</v>
      </c>
      <c r="Z6" t="e">
        <f t="shared" ca="1" si="6"/>
        <v>#NAME?</v>
      </c>
      <c r="AA6" t="e">
        <f t="shared" ca="1" si="7"/>
        <v>#NAME?</v>
      </c>
      <c r="AB6" t="e">
        <f t="shared" ca="1" si="8"/>
        <v>#NAME?</v>
      </c>
      <c r="AD6">
        <f t="shared" ref="AD6:AD69" si="10">AD5+1</f>
        <v>3</v>
      </c>
      <c r="AE6">
        <f t="shared" ref="AE6:AE69" si="11">B6</f>
        <v>4.9067685983817757</v>
      </c>
    </row>
    <row r="7" spans="1:31" x14ac:dyDescent="0.35">
      <c r="A7">
        <f t="shared" si="0"/>
        <v>4</v>
      </c>
      <c r="B7">
        <v>6.1194744822602427</v>
      </c>
      <c r="D7">
        <f t="shared" si="9"/>
        <v>4</v>
      </c>
      <c r="E7" t="e">
        <f t="shared" ca="1" si="1"/>
        <v>#NAME?</v>
      </c>
      <c r="F7" t="e">
        <f t="shared" ref="F7:F70" ca="1" si="12">E7-SUMPRODUCT(E5:E6,I$4:I$5)-SUMPRODUCT(F6,J$5)</f>
        <v>#NAME?</v>
      </c>
      <c r="L7" t="s">
        <v>376</v>
      </c>
      <c r="P7" s="4" t="s">
        <v>382</v>
      </c>
      <c r="Q7" s="4" t="e">
        <f ca="1"/>
        <v>#NAME?</v>
      </c>
      <c r="R7" s="4" t="e">
        <f ca="1"/>
        <v>#NAME?</v>
      </c>
      <c r="S7" s="4" t="e">
        <f ca="1">Q7/R7</f>
        <v>#NAME?</v>
      </c>
      <c r="T7" s="4" t="e">
        <f ca="1">TDIST(ABS(S7),J$18-J$10-J$11-1,2)</f>
        <v>#NAME?</v>
      </c>
      <c r="V7">
        <f t="shared" si="2"/>
        <v>4</v>
      </c>
      <c r="W7" t="e">
        <f t="shared" ca="1" si="3"/>
        <v>#NAME?</v>
      </c>
      <c r="X7" t="e">
        <f t="shared" ca="1" si="4"/>
        <v>#NAME?</v>
      </c>
      <c r="Y7" t="e">
        <f t="shared" ca="1" si="5"/>
        <v>#NAME?</v>
      </c>
      <c r="Z7" t="e">
        <f t="shared" ca="1" si="6"/>
        <v>#NAME?</v>
      </c>
      <c r="AA7" t="e">
        <f t="shared" ca="1" si="7"/>
        <v>#NAME?</v>
      </c>
      <c r="AB7" t="e">
        <f t="shared" ca="1" si="8"/>
        <v>#NAME?</v>
      </c>
      <c r="AD7">
        <f t="shared" si="10"/>
        <v>4</v>
      </c>
      <c r="AE7">
        <f t="shared" si="11"/>
        <v>6.1194744822602427</v>
      </c>
    </row>
    <row r="8" spans="1:31" ht="15" thickBot="1" x14ac:dyDescent="0.4">
      <c r="A8">
        <f t="shared" si="0"/>
        <v>5</v>
      </c>
      <c r="B8">
        <v>8.1353263117657075</v>
      </c>
      <c r="D8">
        <f t="shared" si="9"/>
        <v>5</v>
      </c>
      <c r="E8" t="e">
        <f t="shared" ca="1" si="1"/>
        <v>#NAME?</v>
      </c>
      <c r="F8" t="e">
        <f t="shared" ca="1" si="12"/>
        <v>#NAME?</v>
      </c>
      <c r="I8" t="s">
        <v>121</v>
      </c>
      <c r="J8" s="150" t="e">
        <f ca="1">SUMSQ(F6:F107)</f>
        <v>#NAME?</v>
      </c>
      <c r="V8">
        <f t="shared" si="2"/>
        <v>5</v>
      </c>
      <c r="W8" t="e">
        <f t="shared" ca="1" si="3"/>
        <v>#NAME?</v>
      </c>
      <c r="X8" t="e">
        <f t="shared" ca="1" si="4"/>
        <v>#NAME?</v>
      </c>
      <c r="Y8" t="e">
        <f t="shared" ca="1" si="5"/>
        <v>#NAME?</v>
      </c>
      <c r="Z8" t="e">
        <f t="shared" ca="1" si="6"/>
        <v>#NAME?</v>
      </c>
      <c r="AA8" t="e">
        <f t="shared" ca="1" si="7"/>
        <v>#NAME?</v>
      </c>
      <c r="AB8" t="e">
        <f t="shared" ca="1" si="8"/>
        <v>#NAME?</v>
      </c>
      <c r="AD8">
        <f t="shared" si="10"/>
        <v>5</v>
      </c>
      <c r="AE8">
        <f t="shared" si="11"/>
        <v>8.1353263117657075</v>
      </c>
    </row>
    <row r="9" spans="1:31" ht="15" thickTop="1" x14ac:dyDescent="0.35">
      <c r="A9">
        <f t="shared" si="0"/>
        <v>6</v>
      </c>
      <c r="B9">
        <v>9.3448674266459744</v>
      </c>
      <c r="D9">
        <f t="shared" si="9"/>
        <v>6</v>
      </c>
      <c r="E9" t="e">
        <f t="shared" ca="1" si="1"/>
        <v>#NAME?</v>
      </c>
      <c r="F9" t="e">
        <f t="shared" ca="1" si="12"/>
        <v>#NAME?</v>
      </c>
      <c r="L9" s="45" t="s">
        <v>173</v>
      </c>
      <c r="M9" s="45" t="s">
        <v>174</v>
      </c>
      <c r="N9" s="45" t="s">
        <v>375</v>
      </c>
      <c r="P9" t="e">
        <f t="array" aca="1" ref="P9:T13" ca="1">ARIMA_Coeff(B4:B108,2,1,1,TRUE,TRUE)</f>
        <v>#NAME?</v>
      </c>
      <c r="Q9" t="e">
        <f ca="1"/>
        <v>#NAME?</v>
      </c>
      <c r="R9" t="e">
        <f ca="1"/>
        <v>#NAME?</v>
      </c>
      <c r="S9" t="e">
        <f ca="1"/>
        <v>#NAME?</v>
      </c>
      <c r="T9" t="e">
        <f ca="1"/>
        <v>#NAME?</v>
      </c>
      <c r="V9">
        <f t="shared" si="2"/>
        <v>6</v>
      </c>
      <c r="W9" t="e">
        <f t="shared" ca="1" si="3"/>
        <v>#NAME?</v>
      </c>
      <c r="X9" t="e">
        <f t="shared" ca="1" si="4"/>
        <v>#NAME?</v>
      </c>
      <c r="Y9" t="e">
        <f t="shared" ca="1" si="5"/>
        <v>#NAME?</v>
      </c>
      <c r="Z9" t="e">
        <f t="shared" ca="1" si="6"/>
        <v>#NAME?</v>
      </c>
      <c r="AA9" t="e">
        <f t="shared" ca="1" si="7"/>
        <v>#NAME?</v>
      </c>
      <c r="AB9" t="e">
        <f t="shared" ca="1" si="8"/>
        <v>#NAME?</v>
      </c>
      <c r="AD9">
        <f t="shared" si="10"/>
        <v>6</v>
      </c>
      <c r="AE9">
        <f t="shared" si="11"/>
        <v>9.3448674266459744</v>
      </c>
    </row>
    <row r="10" spans="1:31" x14ac:dyDescent="0.35">
      <c r="A10">
        <f t="shared" si="0"/>
        <v>7</v>
      </c>
      <c r="B10">
        <v>9.147650683887159</v>
      </c>
      <c r="D10">
        <f t="shared" si="9"/>
        <v>7</v>
      </c>
      <c r="E10" t="e">
        <f t="shared" ca="1" si="1"/>
        <v>#NAME?</v>
      </c>
      <c r="F10" t="e">
        <f t="shared" ca="1" si="12"/>
        <v>#NAME?</v>
      </c>
      <c r="I10" t="s">
        <v>361</v>
      </c>
      <c r="J10" s="151">
        <v>2</v>
      </c>
      <c r="L10" s="152" t="e">
        <f t="array" aca="1" ref="L10:N10" ca="1">MARoots(J5)</f>
        <v>#NAME?</v>
      </c>
      <c r="M10" s="152" t="e">
        <f ca="1"/>
        <v>#NAME?</v>
      </c>
      <c r="N10" s="152" t="e">
        <f ca="1"/>
        <v>#NAME?</v>
      </c>
      <c r="P10" t="e">
        <f ca="1"/>
        <v>#NAME?</v>
      </c>
      <c r="Q10" s="155" t="e">
        <f ca="1"/>
        <v>#NAME?</v>
      </c>
      <c r="R10" s="156" t="e">
        <f ca="1"/>
        <v>#NAME?</v>
      </c>
      <c r="S10" s="156" t="e">
        <f ca="1"/>
        <v>#NAME?</v>
      </c>
      <c r="T10" s="157" t="e">
        <f ca="1"/>
        <v>#NAME?</v>
      </c>
      <c r="V10">
        <f t="shared" si="2"/>
        <v>7</v>
      </c>
      <c r="W10" t="e">
        <f t="shared" ca="1" si="3"/>
        <v>#NAME?</v>
      </c>
      <c r="X10" t="e">
        <f t="shared" ca="1" si="4"/>
        <v>#NAME?</v>
      </c>
      <c r="Y10" t="e">
        <f t="shared" ca="1" si="5"/>
        <v>#NAME?</v>
      </c>
      <c r="Z10" t="e">
        <f t="shared" ca="1" si="6"/>
        <v>#NAME?</v>
      </c>
      <c r="AA10" t="e">
        <f t="shared" ca="1" si="7"/>
        <v>#NAME?</v>
      </c>
      <c r="AB10" t="e">
        <f t="shared" ca="1" si="8"/>
        <v>#NAME?</v>
      </c>
      <c r="AD10">
        <f t="shared" si="10"/>
        <v>7</v>
      </c>
      <c r="AE10">
        <f t="shared" si="11"/>
        <v>9.147650683887159</v>
      </c>
    </row>
    <row r="11" spans="1:31" x14ac:dyDescent="0.35">
      <c r="A11">
        <f t="shared" si="0"/>
        <v>8</v>
      </c>
      <c r="B11">
        <v>8.1014932813029787</v>
      </c>
      <c r="D11">
        <f t="shared" si="9"/>
        <v>8</v>
      </c>
      <c r="E11" t="e">
        <f t="shared" ca="1" si="1"/>
        <v>#NAME?</v>
      </c>
      <c r="F11" t="e">
        <f t="shared" ca="1" si="12"/>
        <v>#NAME?</v>
      </c>
      <c r="I11" t="s">
        <v>362</v>
      </c>
      <c r="J11" s="107">
        <v>1</v>
      </c>
      <c r="P11" t="e">
        <f ca="1"/>
        <v>#NAME?</v>
      </c>
      <c r="Q11" s="29" t="e">
        <f ca="1"/>
        <v>#NAME?</v>
      </c>
      <c r="R11" s="13" t="e">
        <f ca="1"/>
        <v>#NAME?</v>
      </c>
      <c r="S11" s="13" t="e">
        <f ca="1"/>
        <v>#NAME?</v>
      </c>
      <c r="T11" s="30" t="e">
        <f ca="1"/>
        <v>#NAME?</v>
      </c>
      <c r="V11">
        <f t="shared" si="2"/>
        <v>8</v>
      </c>
      <c r="W11" t="e">
        <f t="shared" ca="1" si="3"/>
        <v>#NAME?</v>
      </c>
      <c r="X11" t="e">
        <f t="shared" ca="1" si="4"/>
        <v>#NAME?</v>
      </c>
      <c r="Y11" t="e">
        <f t="shared" ca="1" si="5"/>
        <v>#NAME?</v>
      </c>
      <c r="Z11" t="e">
        <f t="shared" ca="1" si="6"/>
        <v>#NAME?</v>
      </c>
      <c r="AA11" t="e">
        <f t="shared" ca="1" si="7"/>
        <v>#NAME?</v>
      </c>
      <c r="AB11" t="e">
        <f t="shared" ca="1" si="8"/>
        <v>#NAME?</v>
      </c>
      <c r="AD11">
        <f t="shared" si="10"/>
        <v>8</v>
      </c>
      <c r="AE11">
        <f t="shared" si="11"/>
        <v>8.1014932813029787</v>
      </c>
    </row>
    <row r="12" spans="1:31" x14ac:dyDescent="0.35">
      <c r="A12">
        <f t="shared" si="0"/>
        <v>9</v>
      </c>
      <c r="B12">
        <v>10.146419029172929</v>
      </c>
      <c r="D12">
        <f t="shared" si="9"/>
        <v>9</v>
      </c>
      <c r="E12" t="e">
        <f t="shared" ca="1" si="1"/>
        <v>#NAME?</v>
      </c>
      <c r="F12" t="e">
        <f t="shared" ca="1" si="12"/>
        <v>#NAME?</v>
      </c>
      <c r="I12" t="s">
        <v>363</v>
      </c>
      <c r="J12" s="107">
        <v>1</v>
      </c>
      <c r="L12" t="s">
        <v>377</v>
      </c>
      <c r="P12" t="e">
        <f ca="1"/>
        <v>#NAME?</v>
      </c>
      <c r="Q12" s="29" t="e">
        <f ca="1"/>
        <v>#NAME?</v>
      </c>
      <c r="R12" s="13" t="e">
        <f ca="1"/>
        <v>#NAME?</v>
      </c>
      <c r="S12" s="13" t="e">
        <f ca="1"/>
        <v>#NAME?</v>
      </c>
      <c r="T12" s="30" t="e">
        <f ca="1"/>
        <v>#NAME?</v>
      </c>
      <c r="V12">
        <f t="shared" si="2"/>
        <v>9</v>
      </c>
      <c r="W12" t="e">
        <f t="shared" ca="1" si="3"/>
        <v>#NAME?</v>
      </c>
      <c r="X12" t="e">
        <f t="shared" ca="1" si="4"/>
        <v>#NAME?</v>
      </c>
      <c r="Y12" t="e">
        <f t="shared" ca="1" si="5"/>
        <v>#NAME?</v>
      </c>
      <c r="Z12" t="e">
        <f t="shared" ca="1" si="6"/>
        <v>#NAME?</v>
      </c>
      <c r="AA12" t="e">
        <f t="shared" ca="1" si="7"/>
        <v>#NAME?</v>
      </c>
      <c r="AB12" t="e">
        <f t="shared" ca="1" si="8"/>
        <v>#NAME?</v>
      </c>
      <c r="AD12">
        <f t="shared" si="10"/>
        <v>9</v>
      </c>
      <c r="AE12">
        <f t="shared" si="11"/>
        <v>10.146419029172929</v>
      </c>
    </row>
    <row r="13" spans="1:31" ht="15" thickBot="1" x14ac:dyDescent="0.4">
      <c r="A13">
        <f t="shared" si="0"/>
        <v>10</v>
      </c>
      <c r="B13">
        <v>11.045196349004179</v>
      </c>
      <c r="D13">
        <f t="shared" si="9"/>
        <v>10</v>
      </c>
      <c r="E13" t="e">
        <f t="shared" ca="1" si="1"/>
        <v>#NAME?</v>
      </c>
      <c r="F13" t="e">
        <f t="shared" ca="1" si="12"/>
        <v>#NAME?</v>
      </c>
      <c r="I13" t="s">
        <v>364</v>
      </c>
      <c r="J13" s="107" t="e">
        <f ca="1">AVERAGE(F6:F107)</f>
        <v>#NAME?</v>
      </c>
      <c r="P13" t="e">
        <f ca="1"/>
        <v>#NAME?</v>
      </c>
      <c r="Q13" s="31" t="e">
        <f ca="1"/>
        <v>#NAME?</v>
      </c>
      <c r="R13" s="4" t="e">
        <f ca="1"/>
        <v>#NAME?</v>
      </c>
      <c r="S13" s="4" t="e">
        <f ca="1"/>
        <v>#NAME?</v>
      </c>
      <c r="T13" s="32" t="e">
        <f ca="1"/>
        <v>#NAME?</v>
      </c>
      <c r="V13">
        <f t="shared" si="2"/>
        <v>10</v>
      </c>
      <c r="W13" t="e">
        <f t="shared" ca="1" si="3"/>
        <v>#NAME?</v>
      </c>
      <c r="X13" t="e">
        <f t="shared" ca="1" si="4"/>
        <v>#NAME?</v>
      </c>
      <c r="Y13" t="e">
        <f t="shared" ca="1" si="5"/>
        <v>#NAME?</v>
      </c>
      <c r="Z13" t="e">
        <f t="shared" ca="1" si="6"/>
        <v>#NAME?</v>
      </c>
      <c r="AA13" t="e">
        <f t="shared" ca="1" si="7"/>
        <v>#NAME?</v>
      </c>
      <c r="AB13" t="e">
        <f t="shared" ca="1" si="8"/>
        <v>#NAME?</v>
      </c>
      <c r="AD13">
        <f t="shared" si="10"/>
        <v>10</v>
      </c>
      <c r="AE13">
        <f t="shared" si="11"/>
        <v>11.045196349004179</v>
      </c>
    </row>
    <row r="14" spans="1:31" ht="15" thickTop="1" x14ac:dyDescent="0.35">
      <c r="A14">
        <f t="shared" si="0"/>
        <v>11</v>
      </c>
      <c r="B14">
        <v>10.122578080182986</v>
      </c>
      <c r="D14">
        <f t="shared" si="9"/>
        <v>11</v>
      </c>
      <c r="E14" t="e">
        <f t="shared" ca="1" si="1"/>
        <v>#NAME?</v>
      </c>
      <c r="F14" t="e">
        <f t="shared" ca="1" si="12"/>
        <v>#NAME?</v>
      </c>
      <c r="I14" t="s">
        <v>365</v>
      </c>
      <c r="J14" s="107" t="e">
        <f ca="1">STDEV(F6:F107)</f>
        <v>#NAME?</v>
      </c>
      <c r="L14" s="45" t="s">
        <v>356</v>
      </c>
      <c r="M14" s="45" t="s">
        <v>378</v>
      </c>
      <c r="V14">
        <f t="shared" si="2"/>
        <v>11</v>
      </c>
      <c r="W14" t="e">
        <f t="shared" ca="1" si="3"/>
        <v>#NAME?</v>
      </c>
      <c r="X14" t="e">
        <f t="shared" ca="1" si="4"/>
        <v>#NAME?</v>
      </c>
      <c r="Y14" t="e">
        <f t="shared" ca="1" si="5"/>
        <v>#NAME?</v>
      </c>
      <c r="Z14" t="e">
        <f t="shared" ca="1" si="6"/>
        <v>#NAME?</v>
      </c>
      <c r="AA14" t="e">
        <f t="shared" ca="1" si="7"/>
        <v>#NAME?</v>
      </c>
      <c r="AB14" t="e">
        <f t="shared" ca="1" si="8"/>
        <v>#NAME?</v>
      </c>
      <c r="AD14">
        <f t="shared" si="10"/>
        <v>11</v>
      </c>
      <c r="AE14">
        <f t="shared" si="11"/>
        <v>10.122578080182986</v>
      </c>
    </row>
    <row r="15" spans="1:31" x14ac:dyDescent="0.35">
      <c r="A15">
        <f t="shared" si="0"/>
        <v>12</v>
      </c>
      <c r="B15">
        <v>10.173602244452049</v>
      </c>
      <c r="D15">
        <f t="shared" si="9"/>
        <v>12</v>
      </c>
      <c r="E15" t="e">
        <f t="shared" ca="1" si="1"/>
        <v>#NAME?</v>
      </c>
      <c r="F15" t="e">
        <f t="shared" ca="1" si="12"/>
        <v>#NAME?</v>
      </c>
      <c r="I15" t="s">
        <v>366</v>
      </c>
      <c r="J15" s="107" t="e">
        <f ca="1">SQRT(J8/J18)</f>
        <v>#NAME?</v>
      </c>
      <c r="L15" s="59">
        <v>0</v>
      </c>
      <c r="M15" s="59" t="e">
        <f t="array" aca="1" ref="M15:M19" ca="1">PSICoeff(I4:I5,J5)</f>
        <v>#NAME?</v>
      </c>
      <c r="P15" t="e">
        <f t="array" aca="1" ref="P15:Q21" ca="1">ARIMA_Stats(B4:B108,Q10:Q13,2,1,1,TRUE,TRUE)</f>
        <v>#NAME?</v>
      </c>
      <c r="Q15" s="139" t="e">
        <f ca="1"/>
        <v>#NAME?</v>
      </c>
      <c r="V15">
        <f t="shared" si="2"/>
        <v>12</v>
      </c>
      <c r="W15" t="e">
        <f t="shared" ca="1" si="3"/>
        <v>#NAME?</v>
      </c>
      <c r="X15" t="e">
        <f t="shared" ca="1" si="4"/>
        <v>#NAME?</v>
      </c>
      <c r="Y15" t="e">
        <f t="shared" ca="1" si="5"/>
        <v>#NAME?</v>
      </c>
      <c r="Z15" t="e">
        <f t="shared" ca="1" si="6"/>
        <v>#NAME?</v>
      </c>
      <c r="AA15" t="e">
        <f t="shared" ca="1" si="7"/>
        <v>#NAME?</v>
      </c>
      <c r="AB15" t="e">
        <f t="shared" ca="1" si="8"/>
        <v>#NAME?</v>
      </c>
      <c r="AD15">
        <f t="shared" si="10"/>
        <v>12</v>
      </c>
      <c r="AE15">
        <f t="shared" si="11"/>
        <v>10.173602244452049</v>
      </c>
    </row>
    <row r="16" spans="1:31" x14ac:dyDescent="0.35">
      <c r="A16">
        <f t="shared" si="0"/>
        <v>13</v>
      </c>
      <c r="B16">
        <v>10.821309800892813</v>
      </c>
      <c r="D16">
        <f t="shared" si="9"/>
        <v>13</v>
      </c>
      <c r="E16" t="e">
        <f t="shared" ca="1" si="1"/>
        <v>#NAME?</v>
      </c>
      <c r="F16" t="e">
        <f t="shared" ca="1" si="12"/>
        <v>#NAME?</v>
      </c>
      <c r="I16" t="s">
        <v>367</v>
      </c>
      <c r="J16" s="107" t="e">
        <f ca="1">AVERAGE(E6:E107)</f>
        <v>#NAME?</v>
      </c>
      <c r="L16" s="13">
        <f>L15+1</f>
        <v>1</v>
      </c>
      <c r="M16" s="13" t="e">
        <f ca="1"/>
        <v>#NAME?</v>
      </c>
      <c r="P16" t="e">
        <f ca="1"/>
        <v>#NAME?</v>
      </c>
      <c r="Q16" s="24" t="e">
        <f ca="1"/>
        <v>#NAME?</v>
      </c>
      <c r="V16">
        <f t="shared" si="2"/>
        <v>13</v>
      </c>
      <c r="W16" t="e">
        <f t="shared" ca="1" si="3"/>
        <v>#NAME?</v>
      </c>
      <c r="X16" t="e">
        <f t="shared" ca="1" si="4"/>
        <v>#NAME?</v>
      </c>
      <c r="Y16" t="e">
        <f t="shared" ca="1" si="5"/>
        <v>#NAME?</v>
      </c>
      <c r="Z16" t="e">
        <f t="shared" ca="1" si="6"/>
        <v>#NAME?</v>
      </c>
      <c r="AA16" t="e">
        <f t="shared" ca="1" si="7"/>
        <v>#NAME?</v>
      </c>
      <c r="AB16" t="e">
        <f t="shared" ca="1" si="8"/>
        <v>#NAME?</v>
      </c>
      <c r="AD16">
        <f t="shared" si="10"/>
        <v>13</v>
      </c>
      <c r="AE16">
        <f t="shared" si="11"/>
        <v>10.821309800892813</v>
      </c>
    </row>
    <row r="17" spans="1:31" x14ac:dyDescent="0.35">
      <c r="A17">
        <f t="shared" si="0"/>
        <v>14</v>
      </c>
      <c r="B17">
        <v>10.084063249573957</v>
      </c>
      <c r="D17">
        <f t="shared" si="9"/>
        <v>14</v>
      </c>
      <c r="E17" t="e">
        <f t="shared" ca="1" si="1"/>
        <v>#NAME?</v>
      </c>
      <c r="F17" t="e">
        <f t="shared" ca="1" si="12"/>
        <v>#NAME?</v>
      </c>
      <c r="I17" t="s">
        <v>368</v>
      </c>
      <c r="J17" s="107" t="e">
        <f ca="1">STDEV(E6:E107)</f>
        <v>#NAME?</v>
      </c>
      <c r="L17" s="13">
        <f>L16+1</f>
        <v>2</v>
      </c>
      <c r="M17" s="13" t="e">
        <f ca="1"/>
        <v>#NAME?</v>
      </c>
      <c r="P17" t="e">
        <f ca="1"/>
        <v>#NAME?</v>
      </c>
      <c r="Q17" s="24" t="e">
        <f ca="1"/>
        <v>#NAME?</v>
      </c>
      <c r="V17">
        <f t="shared" si="2"/>
        <v>14</v>
      </c>
      <c r="W17" t="e">
        <f t="shared" ca="1" si="3"/>
        <v>#NAME?</v>
      </c>
      <c r="X17" t="e">
        <f t="shared" ca="1" si="4"/>
        <v>#NAME?</v>
      </c>
      <c r="Y17" t="e">
        <f t="shared" ca="1" si="5"/>
        <v>#NAME?</v>
      </c>
      <c r="Z17" t="e">
        <f t="shared" ca="1" si="6"/>
        <v>#NAME?</v>
      </c>
      <c r="AA17" t="e">
        <f t="shared" ca="1" si="7"/>
        <v>#NAME?</v>
      </c>
      <c r="AB17" t="e">
        <f t="shared" ca="1" si="8"/>
        <v>#NAME?</v>
      </c>
      <c r="AD17">
        <f t="shared" si="10"/>
        <v>14</v>
      </c>
      <c r="AE17">
        <f t="shared" si="11"/>
        <v>10.084063249573957</v>
      </c>
    </row>
    <row r="18" spans="1:31" x14ac:dyDescent="0.35">
      <c r="A18">
        <f t="shared" si="0"/>
        <v>15</v>
      </c>
      <c r="B18">
        <v>10.346054055555477</v>
      </c>
      <c r="D18">
        <f t="shared" si="9"/>
        <v>15</v>
      </c>
      <c r="E18" t="e">
        <f t="shared" ca="1" si="1"/>
        <v>#NAME?</v>
      </c>
      <c r="F18" t="e">
        <f t="shared" ca="1" si="12"/>
        <v>#NAME?</v>
      </c>
      <c r="I18" t="s">
        <v>369</v>
      </c>
      <c r="J18" s="108">
        <f ca="1">COUNT(E6:E107)</f>
        <v>0</v>
      </c>
      <c r="L18" s="13">
        <f>L17+1</f>
        <v>3</v>
      </c>
      <c r="M18" s="13" t="e">
        <f ca="1"/>
        <v>#NAME?</v>
      </c>
      <c r="P18" t="e">
        <f ca="1"/>
        <v>#NAME?</v>
      </c>
      <c r="Q18" s="24" t="e">
        <f ca="1"/>
        <v>#NAME?</v>
      </c>
      <c r="V18">
        <f t="shared" si="2"/>
        <v>15</v>
      </c>
      <c r="W18" t="e">
        <f t="shared" ca="1" si="3"/>
        <v>#NAME?</v>
      </c>
      <c r="X18" t="e">
        <f t="shared" ca="1" si="4"/>
        <v>#NAME?</v>
      </c>
      <c r="Y18" t="e">
        <f t="shared" ca="1" si="5"/>
        <v>#NAME?</v>
      </c>
      <c r="Z18" t="e">
        <f t="shared" ca="1" si="6"/>
        <v>#NAME?</v>
      </c>
      <c r="AA18" t="e">
        <f t="shared" ca="1" si="7"/>
        <v>#NAME?</v>
      </c>
      <c r="AB18" t="e">
        <f t="shared" ca="1" si="8"/>
        <v>#NAME?</v>
      </c>
      <c r="AD18">
        <f t="shared" si="10"/>
        <v>15</v>
      </c>
      <c r="AE18">
        <f t="shared" si="11"/>
        <v>10.346054055555477</v>
      </c>
    </row>
    <row r="19" spans="1:31" x14ac:dyDescent="0.35">
      <c r="A19">
        <f t="shared" si="0"/>
        <v>16</v>
      </c>
      <c r="B19">
        <v>9.6922029393025948</v>
      </c>
      <c r="D19">
        <f t="shared" si="9"/>
        <v>16</v>
      </c>
      <c r="E19" t="e">
        <f t="shared" ca="1" si="1"/>
        <v>#NAME?</v>
      </c>
      <c r="F19" t="e">
        <f t="shared" ca="1" si="12"/>
        <v>#NAME?</v>
      </c>
      <c r="L19" s="4">
        <f>L18+1</f>
        <v>4</v>
      </c>
      <c r="M19" s="4" t="e">
        <f ca="1"/>
        <v>#NAME?</v>
      </c>
      <c r="P19" t="e">
        <f ca="1"/>
        <v>#NAME?</v>
      </c>
      <c r="Q19" s="24" t="e">
        <f ca="1"/>
        <v>#NAME?</v>
      </c>
      <c r="V19">
        <f t="shared" si="2"/>
        <v>16</v>
      </c>
      <c r="W19" t="e">
        <f t="shared" ca="1" si="3"/>
        <v>#NAME?</v>
      </c>
      <c r="X19" t="e">
        <f t="shared" ca="1" si="4"/>
        <v>#NAME?</v>
      </c>
      <c r="Y19" t="e">
        <f t="shared" ca="1" si="5"/>
        <v>#NAME?</v>
      </c>
      <c r="Z19" t="e">
        <f t="shared" ca="1" si="6"/>
        <v>#NAME?</v>
      </c>
      <c r="AA19" t="e">
        <f t="shared" ca="1" si="7"/>
        <v>#NAME?</v>
      </c>
      <c r="AB19" t="e">
        <f t="shared" ca="1" si="8"/>
        <v>#NAME?</v>
      </c>
      <c r="AD19">
        <f t="shared" si="10"/>
        <v>16</v>
      </c>
      <c r="AE19">
        <f t="shared" si="11"/>
        <v>9.6922029393025948</v>
      </c>
    </row>
    <row r="20" spans="1:31" x14ac:dyDescent="0.35">
      <c r="A20">
        <f t="shared" si="0"/>
        <v>17</v>
      </c>
      <c r="B20">
        <v>11.205574770625867</v>
      </c>
      <c r="D20">
        <f t="shared" si="9"/>
        <v>17</v>
      </c>
      <c r="E20" t="e">
        <f t="shared" ca="1" si="1"/>
        <v>#NAME?</v>
      </c>
      <c r="F20" t="e">
        <f t="shared" ca="1" si="12"/>
        <v>#NAME?</v>
      </c>
      <c r="I20" t="s">
        <v>370</v>
      </c>
      <c r="J20" s="151" t="e">
        <f ca="1">-(J23-2*(J10+J11+2))/2</f>
        <v>#NAME?</v>
      </c>
      <c r="P20" t="e">
        <f ca="1"/>
        <v>#NAME?</v>
      </c>
      <c r="Q20" s="24" t="e">
        <f ca="1"/>
        <v>#NAME?</v>
      </c>
      <c r="V20">
        <f t="shared" si="2"/>
        <v>17</v>
      </c>
      <c r="W20" t="e">
        <f t="shared" ca="1" si="3"/>
        <v>#NAME?</v>
      </c>
      <c r="X20" t="e">
        <f t="shared" ca="1" si="4"/>
        <v>#NAME?</v>
      </c>
      <c r="Y20" t="e">
        <f t="shared" ca="1" si="5"/>
        <v>#NAME?</v>
      </c>
      <c r="Z20" t="e">
        <f t="shared" ca="1" si="6"/>
        <v>#NAME?</v>
      </c>
      <c r="AA20" t="e">
        <f t="shared" ca="1" si="7"/>
        <v>#NAME?</v>
      </c>
      <c r="AB20" t="e">
        <f t="shared" ca="1" si="8"/>
        <v>#NAME?</v>
      </c>
      <c r="AD20">
        <f t="shared" si="10"/>
        <v>17</v>
      </c>
      <c r="AE20">
        <f t="shared" si="11"/>
        <v>11.205574770625867</v>
      </c>
    </row>
    <row r="21" spans="1:31" x14ac:dyDescent="0.35">
      <c r="A21">
        <f t="shared" si="0"/>
        <v>18</v>
      </c>
      <c r="B21">
        <v>12.652116416514845</v>
      </c>
      <c r="D21">
        <f t="shared" si="9"/>
        <v>18</v>
      </c>
      <c r="E21" t="e">
        <f t="shared" ca="1" si="1"/>
        <v>#NAME?</v>
      </c>
      <c r="F21" t="e">
        <f t="shared" ca="1" si="12"/>
        <v>#NAME?</v>
      </c>
      <c r="I21" t="s">
        <v>145</v>
      </c>
      <c r="J21" s="107" t="e">
        <f ca="1">J18*LN(J8/J18)+2*(J10+J11+2)</f>
        <v>#NAME?</v>
      </c>
      <c r="P21" t="e">
        <f ca="1"/>
        <v>#NAME?</v>
      </c>
      <c r="Q21" s="34" t="e">
        <f ca="1"/>
        <v>#NAME?</v>
      </c>
      <c r="V21">
        <f t="shared" si="2"/>
        <v>18</v>
      </c>
      <c r="W21" t="e">
        <f t="shared" ca="1" si="3"/>
        <v>#NAME?</v>
      </c>
      <c r="X21" t="e">
        <f t="shared" ca="1" si="4"/>
        <v>#NAME?</v>
      </c>
      <c r="Y21" t="e">
        <f t="shared" ca="1" si="5"/>
        <v>#NAME?</v>
      </c>
      <c r="Z21" t="e">
        <f t="shared" ca="1" si="6"/>
        <v>#NAME?</v>
      </c>
      <c r="AA21" t="e">
        <f t="shared" ca="1" si="7"/>
        <v>#NAME?</v>
      </c>
      <c r="AB21" t="e">
        <f t="shared" ca="1" si="8"/>
        <v>#NAME?</v>
      </c>
      <c r="AD21">
        <f t="shared" si="10"/>
        <v>18</v>
      </c>
      <c r="AE21">
        <f t="shared" si="11"/>
        <v>12.652116416514845</v>
      </c>
    </row>
    <row r="22" spans="1:31" x14ac:dyDescent="0.35">
      <c r="A22">
        <f t="shared" si="0"/>
        <v>19</v>
      </c>
      <c r="B22">
        <v>13.406329168635398</v>
      </c>
      <c r="D22">
        <f t="shared" si="9"/>
        <v>19</v>
      </c>
      <c r="E22" t="e">
        <f t="shared" ca="1" si="1"/>
        <v>#NAME?</v>
      </c>
      <c r="F22" t="e">
        <f t="shared" ca="1" si="12"/>
        <v>#NAME?</v>
      </c>
      <c r="I22" t="s">
        <v>371</v>
      </c>
      <c r="J22" s="107" t="e">
        <f ca="1">J18*LN(J8/J18)+LN(J18)*(J10+J11+2)</f>
        <v>#NAME?</v>
      </c>
      <c r="V22">
        <f t="shared" si="2"/>
        <v>19</v>
      </c>
      <c r="W22" t="e">
        <f t="shared" ca="1" si="3"/>
        <v>#NAME?</v>
      </c>
      <c r="X22" t="e">
        <f t="shared" ca="1" si="4"/>
        <v>#NAME?</v>
      </c>
      <c r="Y22" t="e">
        <f t="shared" ca="1" si="5"/>
        <v>#NAME?</v>
      </c>
      <c r="Z22" t="e">
        <f t="shared" ca="1" si="6"/>
        <v>#NAME?</v>
      </c>
      <c r="AA22" t="e">
        <f t="shared" ca="1" si="7"/>
        <v>#NAME?</v>
      </c>
      <c r="AB22" t="e">
        <f t="shared" ca="1" si="8"/>
        <v>#NAME?</v>
      </c>
      <c r="AD22">
        <f t="shared" si="10"/>
        <v>19</v>
      </c>
      <c r="AE22">
        <f t="shared" si="11"/>
        <v>13.406329168635398</v>
      </c>
    </row>
    <row r="23" spans="1:31" x14ac:dyDescent="0.35">
      <c r="A23">
        <f t="shared" si="0"/>
        <v>20</v>
      </c>
      <c r="B23">
        <v>12.231217930183975</v>
      </c>
      <c r="D23">
        <f t="shared" si="9"/>
        <v>20</v>
      </c>
      <c r="E23" t="e">
        <f t="shared" ca="1" si="1"/>
        <v>#NAME?</v>
      </c>
      <c r="F23" t="e">
        <f t="shared" ca="1" si="12"/>
        <v>#NAME?</v>
      </c>
      <c r="I23" t="s">
        <v>372</v>
      </c>
      <c r="J23" s="107" t="e">
        <f ca="1">J18*(1+LN(2*PI()))+J21</f>
        <v>#NAME?</v>
      </c>
      <c r="V23">
        <f t="shared" si="2"/>
        <v>20</v>
      </c>
      <c r="W23" t="e">
        <f t="shared" ca="1" si="3"/>
        <v>#NAME?</v>
      </c>
      <c r="X23" t="e">
        <f t="shared" ca="1" si="4"/>
        <v>#NAME?</v>
      </c>
      <c r="Y23" t="e">
        <f t="shared" ca="1" si="5"/>
        <v>#NAME?</v>
      </c>
      <c r="Z23" t="e">
        <f t="shared" ca="1" si="6"/>
        <v>#NAME?</v>
      </c>
      <c r="AA23" t="e">
        <f t="shared" ca="1" si="7"/>
        <v>#NAME?</v>
      </c>
      <c r="AB23" t="e">
        <f t="shared" ca="1" si="8"/>
        <v>#NAME?</v>
      </c>
      <c r="AD23">
        <f t="shared" si="10"/>
        <v>20</v>
      </c>
      <c r="AE23">
        <f t="shared" si="11"/>
        <v>12.231217930183975</v>
      </c>
    </row>
    <row r="24" spans="1:31" x14ac:dyDescent="0.35">
      <c r="A24">
        <f t="shared" si="0"/>
        <v>21</v>
      </c>
      <c r="B24">
        <v>12.116974455959237</v>
      </c>
      <c r="D24">
        <f t="shared" si="9"/>
        <v>21</v>
      </c>
      <c r="E24" t="e">
        <f t="shared" ca="1" si="1"/>
        <v>#NAME?</v>
      </c>
      <c r="F24" t="e">
        <f t="shared" ca="1" si="12"/>
        <v>#NAME?</v>
      </c>
      <c r="I24" t="s">
        <v>373</v>
      </c>
      <c r="J24" s="108" t="e">
        <f ca="1">J18*(1+LN(2*PI()))+J22</f>
        <v>#NAME?</v>
      </c>
      <c r="V24">
        <f t="shared" si="2"/>
        <v>21</v>
      </c>
      <c r="W24" t="e">
        <f t="shared" ca="1" si="3"/>
        <v>#NAME?</v>
      </c>
      <c r="X24" t="e">
        <f t="shared" ca="1" si="4"/>
        <v>#NAME?</v>
      </c>
      <c r="Y24" t="e">
        <f t="shared" ca="1" si="5"/>
        <v>#NAME?</v>
      </c>
      <c r="Z24" t="e">
        <f t="shared" ca="1" si="6"/>
        <v>#NAME?</v>
      </c>
      <c r="AA24" t="e">
        <f t="shared" ca="1" si="7"/>
        <v>#NAME?</v>
      </c>
      <c r="AB24" t="e">
        <f t="shared" ca="1" si="8"/>
        <v>#NAME?</v>
      </c>
      <c r="AD24">
        <f t="shared" si="10"/>
        <v>21</v>
      </c>
      <c r="AE24">
        <f t="shared" si="11"/>
        <v>12.116974455959237</v>
      </c>
    </row>
    <row r="25" spans="1:31" x14ac:dyDescent="0.35">
      <c r="A25">
        <f t="shared" si="0"/>
        <v>22</v>
      </c>
      <c r="B25">
        <v>10.45988889436091</v>
      </c>
      <c r="D25">
        <f t="shared" si="9"/>
        <v>22</v>
      </c>
      <c r="E25" t="e">
        <f t="shared" ca="1" si="1"/>
        <v>#NAME?</v>
      </c>
      <c r="F25" t="e">
        <f t="shared" ca="1" si="12"/>
        <v>#NAME?</v>
      </c>
      <c r="V25">
        <f t="shared" si="2"/>
        <v>22</v>
      </c>
      <c r="W25" t="e">
        <f t="shared" ca="1" si="3"/>
        <v>#NAME?</v>
      </c>
      <c r="X25" t="e">
        <f t="shared" ca="1" si="4"/>
        <v>#NAME?</v>
      </c>
      <c r="Y25" t="e">
        <f t="shared" ca="1" si="5"/>
        <v>#NAME?</v>
      </c>
      <c r="Z25" t="e">
        <f t="shared" ca="1" si="6"/>
        <v>#NAME?</v>
      </c>
      <c r="AA25" t="e">
        <f t="shared" ca="1" si="7"/>
        <v>#NAME?</v>
      </c>
      <c r="AB25" t="e">
        <f t="shared" ca="1" si="8"/>
        <v>#NAME?</v>
      </c>
      <c r="AD25">
        <f t="shared" si="10"/>
        <v>22</v>
      </c>
      <c r="AE25">
        <f t="shared" si="11"/>
        <v>10.45988889436091</v>
      </c>
    </row>
    <row r="26" spans="1:31" x14ac:dyDescent="0.35">
      <c r="A26">
        <f t="shared" si="0"/>
        <v>23</v>
      </c>
      <c r="B26">
        <v>9.4464576710812267</v>
      </c>
      <c r="D26">
        <f t="shared" si="9"/>
        <v>23</v>
      </c>
      <c r="E26" t="e">
        <f t="shared" ca="1" si="1"/>
        <v>#NAME?</v>
      </c>
      <c r="F26" t="e">
        <f t="shared" ca="1" si="12"/>
        <v>#NAME?</v>
      </c>
      <c r="V26">
        <f t="shared" si="2"/>
        <v>23</v>
      </c>
      <c r="W26" t="e">
        <f t="shared" ca="1" si="3"/>
        <v>#NAME?</v>
      </c>
      <c r="X26" t="e">
        <f t="shared" ca="1" si="4"/>
        <v>#NAME?</v>
      </c>
      <c r="Y26" t="e">
        <f t="shared" ca="1" si="5"/>
        <v>#NAME?</v>
      </c>
      <c r="Z26" t="e">
        <f t="shared" ca="1" si="6"/>
        <v>#NAME?</v>
      </c>
      <c r="AA26" t="e">
        <f t="shared" ca="1" si="7"/>
        <v>#NAME?</v>
      </c>
      <c r="AB26" t="e">
        <f t="shared" ca="1" si="8"/>
        <v>#NAME?</v>
      </c>
      <c r="AD26">
        <f t="shared" si="10"/>
        <v>23</v>
      </c>
      <c r="AE26">
        <f t="shared" si="11"/>
        <v>9.4464576710812267</v>
      </c>
    </row>
    <row r="27" spans="1:31" x14ac:dyDescent="0.35">
      <c r="A27">
        <f t="shared" si="0"/>
        <v>24</v>
      </c>
      <c r="B27">
        <v>11.181030434794321</v>
      </c>
      <c r="D27">
        <f t="shared" si="9"/>
        <v>24</v>
      </c>
      <c r="E27" t="e">
        <f t="shared" ca="1" si="1"/>
        <v>#NAME?</v>
      </c>
      <c r="F27" t="e">
        <f t="shared" ca="1" si="12"/>
        <v>#NAME?</v>
      </c>
      <c r="V27">
        <f t="shared" si="2"/>
        <v>24</v>
      </c>
      <c r="W27" t="e">
        <f t="shared" ca="1" si="3"/>
        <v>#NAME?</v>
      </c>
      <c r="X27" t="e">
        <f t="shared" ca="1" si="4"/>
        <v>#NAME?</v>
      </c>
      <c r="Y27" t="e">
        <f t="shared" ca="1" si="5"/>
        <v>#NAME?</v>
      </c>
      <c r="Z27" t="e">
        <f t="shared" ca="1" si="6"/>
        <v>#NAME?</v>
      </c>
      <c r="AA27" t="e">
        <f t="shared" ca="1" si="7"/>
        <v>#NAME?</v>
      </c>
      <c r="AB27" t="e">
        <f t="shared" ca="1" si="8"/>
        <v>#NAME?</v>
      </c>
      <c r="AD27">
        <f t="shared" si="10"/>
        <v>24</v>
      </c>
      <c r="AE27">
        <f t="shared" si="11"/>
        <v>11.181030434794321</v>
      </c>
    </row>
    <row r="28" spans="1:31" x14ac:dyDescent="0.35">
      <c r="A28">
        <f t="shared" si="0"/>
        <v>25</v>
      </c>
      <c r="B28">
        <v>7.5853602163456753</v>
      </c>
      <c r="D28">
        <f t="shared" si="9"/>
        <v>25</v>
      </c>
      <c r="E28" t="e">
        <f t="shared" ca="1" si="1"/>
        <v>#NAME?</v>
      </c>
      <c r="F28" t="e">
        <f t="shared" ca="1" si="12"/>
        <v>#NAME?</v>
      </c>
      <c r="V28">
        <f t="shared" si="2"/>
        <v>25</v>
      </c>
      <c r="W28" t="e">
        <f t="shared" ca="1" si="3"/>
        <v>#NAME?</v>
      </c>
      <c r="X28" t="e">
        <f t="shared" ca="1" si="4"/>
        <v>#NAME?</v>
      </c>
      <c r="Y28" t="e">
        <f t="shared" ca="1" si="5"/>
        <v>#NAME?</v>
      </c>
      <c r="Z28" t="e">
        <f t="shared" ca="1" si="6"/>
        <v>#NAME?</v>
      </c>
      <c r="AA28" t="e">
        <f t="shared" ca="1" si="7"/>
        <v>#NAME?</v>
      </c>
      <c r="AB28" t="e">
        <f t="shared" ca="1" si="8"/>
        <v>#NAME?</v>
      </c>
      <c r="AD28">
        <f t="shared" si="10"/>
        <v>25</v>
      </c>
      <c r="AE28">
        <f t="shared" si="11"/>
        <v>7.5853602163456753</v>
      </c>
    </row>
    <row r="29" spans="1:31" x14ac:dyDescent="0.35">
      <c r="A29">
        <f t="shared" si="0"/>
        <v>26</v>
      </c>
      <c r="B29">
        <v>10.978531861411668</v>
      </c>
      <c r="D29">
        <f t="shared" si="9"/>
        <v>26</v>
      </c>
      <c r="E29" t="e">
        <f t="shared" ca="1" si="1"/>
        <v>#NAME?</v>
      </c>
      <c r="F29" t="e">
        <f t="shared" ca="1" si="12"/>
        <v>#NAME?</v>
      </c>
      <c r="V29">
        <f t="shared" si="2"/>
        <v>26</v>
      </c>
      <c r="W29" t="e">
        <f t="shared" ca="1" si="3"/>
        <v>#NAME?</v>
      </c>
      <c r="X29" t="e">
        <f t="shared" ca="1" si="4"/>
        <v>#NAME?</v>
      </c>
      <c r="Y29" t="e">
        <f t="shared" ca="1" si="5"/>
        <v>#NAME?</v>
      </c>
      <c r="Z29" t="e">
        <f t="shared" ca="1" si="6"/>
        <v>#NAME?</v>
      </c>
      <c r="AA29" t="e">
        <f t="shared" ca="1" si="7"/>
        <v>#NAME?</v>
      </c>
      <c r="AB29" t="e">
        <f t="shared" ca="1" si="8"/>
        <v>#NAME?</v>
      </c>
      <c r="AD29">
        <f t="shared" si="10"/>
        <v>26</v>
      </c>
      <c r="AE29">
        <f t="shared" si="11"/>
        <v>10.978531861411668</v>
      </c>
    </row>
    <row r="30" spans="1:31" x14ac:dyDescent="0.35">
      <c r="A30">
        <f t="shared" si="0"/>
        <v>27</v>
      </c>
      <c r="B30">
        <v>10.550225208625736</v>
      </c>
      <c r="D30">
        <f t="shared" si="9"/>
        <v>27</v>
      </c>
      <c r="E30" t="e">
        <f t="shared" ca="1" si="1"/>
        <v>#NAME?</v>
      </c>
      <c r="F30" t="e">
        <f t="shared" ca="1" si="12"/>
        <v>#NAME?</v>
      </c>
      <c r="V30">
        <f t="shared" si="2"/>
        <v>27</v>
      </c>
      <c r="W30" t="e">
        <f t="shared" ca="1" si="3"/>
        <v>#NAME?</v>
      </c>
      <c r="X30" t="e">
        <f t="shared" ca="1" si="4"/>
        <v>#NAME?</v>
      </c>
      <c r="Y30" t="e">
        <f t="shared" ca="1" si="5"/>
        <v>#NAME?</v>
      </c>
      <c r="Z30" t="e">
        <f t="shared" ca="1" si="6"/>
        <v>#NAME?</v>
      </c>
      <c r="AA30" t="e">
        <f t="shared" ca="1" si="7"/>
        <v>#NAME?</v>
      </c>
      <c r="AB30" t="e">
        <f t="shared" ca="1" si="8"/>
        <v>#NAME?</v>
      </c>
      <c r="AD30">
        <f t="shared" si="10"/>
        <v>27</v>
      </c>
      <c r="AE30">
        <f t="shared" si="11"/>
        <v>10.550225208625736</v>
      </c>
    </row>
    <row r="31" spans="1:31" x14ac:dyDescent="0.35">
      <c r="A31">
        <f t="shared" si="0"/>
        <v>28</v>
      </c>
      <c r="B31">
        <v>11.227461431044995</v>
      </c>
      <c r="D31">
        <f t="shared" si="9"/>
        <v>28</v>
      </c>
      <c r="E31" t="e">
        <f t="shared" ca="1" si="1"/>
        <v>#NAME?</v>
      </c>
      <c r="F31" t="e">
        <f t="shared" ca="1" si="12"/>
        <v>#NAME?</v>
      </c>
      <c r="V31">
        <f t="shared" si="2"/>
        <v>28</v>
      </c>
      <c r="W31" t="e">
        <f t="shared" ca="1" si="3"/>
        <v>#NAME?</v>
      </c>
      <c r="X31" t="e">
        <f t="shared" ca="1" si="4"/>
        <v>#NAME?</v>
      </c>
      <c r="Y31" t="e">
        <f t="shared" ca="1" si="5"/>
        <v>#NAME?</v>
      </c>
      <c r="Z31" t="e">
        <f t="shared" ca="1" si="6"/>
        <v>#NAME?</v>
      </c>
      <c r="AA31" t="e">
        <f t="shared" ca="1" si="7"/>
        <v>#NAME?</v>
      </c>
      <c r="AB31" t="e">
        <f t="shared" ca="1" si="8"/>
        <v>#NAME?</v>
      </c>
      <c r="AD31">
        <f t="shared" si="10"/>
        <v>28</v>
      </c>
      <c r="AE31">
        <f t="shared" si="11"/>
        <v>11.227461431044995</v>
      </c>
    </row>
    <row r="32" spans="1:31" x14ac:dyDescent="0.35">
      <c r="A32">
        <f t="shared" si="0"/>
        <v>29</v>
      </c>
      <c r="B32">
        <v>9.0761713255316874</v>
      </c>
      <c r="D32">
        <f t="shared" si="9"/>
        <v>29</v>
      </c>
      <c r="E32" t="e">
        <f t="shared" ca="1" si="1"/>
        <v>#NAME?</v>
      </c>
      <c r="F32" t="e">
        <f t="shared" ca="1" si="12"/>
        <v>#NAME?</v>
      </c>
      <c r="V32">
        <f t="shared" si="2"/>
        <v>29</v>
      </c>
      <c r="W32" t="e">
        <f t="shared" ca="1" si="3"/>
        <v>#NAME?</v>
      </c>
      <c r="X32" t="e">
        <f t="shared" ca="1" si="4"/>
        <v>#NAME?</v>
      </c>
      <c r="Y32" t="e">
        <f t="shared" ca="1" si="5"/>
        <v>#NAME?</v>
      </c>
      <c r="Z32" t="e">
        <f t="shared" ca="1" si="6"/>
        <v>#NAME?</v>
      </c>
      <c r="AA32" t="e">
        <f t="shared" ca="1" si="7"/>
        <v>#NAME?</v>
      </c>
      <c r="AB32" t="e">
        <f t="shared" ca="1" si="8"/>
        <v>#NAME?</v>
      </c>
      <c r="AD32">
        <f t="shared" si="10"/>
        <v>29</v>
      </c>
      <c r="AE32">
        <f t="shared" si="11"/>
        <v>9.0761713255316874</v>
      </c>
    </row>
    <row r="33" spans="1:31" x14ac:dyDescent="0.35">
      <c r="A33">
        <f t="shared" si="0"/>
        <v>30</v>
      </c>
      <c r="B33">
        <v>9.9094956509085375</v>
      </c>
      <c r="D33">
        <f t="shared" si="9"/>
        <v>30</v>
      </c>
      <c r="E33" t="e">
        <f t="shared" ca="1" si="1"/>
        <v>#NAME?</v>
      </c>
      <c r="F33" t="e">
        <f t="shared" ca="1" si="12"/>
        <v>#NAME?</v>
      </c>
      <c r="V33">
        <f t="shared" si="2"/>
        <v>30</v>
      </c>
      <c r="W33" t="e">
        <f t="shared" ca="1" si="3"/>
        <v>#NAME?</v>
      </c>
      <c r="X33" t="e">
        <f t="shared" ca="1" si="4"/>
        <v>#NAME?</v>
      </c>
      <c r="Y33" t="e">
        <f t="shared" ca="1" si="5"/>
        <v>#NAME?</v>
      </c>
      <c r="Z33" t="e">
        <f t="shared" ca="1" si="6"/>
        <v>#NAME?</v>
      </c>
      <c r="AA33" t="e">
        <f t="shared" ca="1" si="7"/>
        <v>#NAME?</v>
      </c>
      <c r="AB33" t="e">
        <f t="shared" ca="1" si="8"/>
        <v>#NAME?</v>
      </c>
      <c r="AD33">
        <f t="shared" si="10"/>
        <v>30</v>
      </c>
      <c r="AE33">
        <f t="shared" si="11"/>
        <v>9.9094956509085375</v>
      </c>
    </row>
    <row r="34" spans="1:31" x14ac:dyDescent="0.35">
      <c r="A34">
        <f t="shared" si="0"/>
        <v>31</v>
      </c>
      <c r="B34">
        <v>11.683635570981139</v>
      </c>
      <c r="D34">
        <f t="shared" si="9"/>
        <v>31</v>
      </c>
      <c r="E34" t="e">
        <f t="shared" ca="1" si="1"/>
        <v>#NAME?</v>
      </c>
      <c r="F34" t="e">
        <f t="shared" ca="1" si="12"/>
        <v>#NAME?</v>
      </c>
      <c r="V34">
        <f t="shared" si="2"/>
        <v>31</v>
      </c>
      <c r="W34" t="e">
        <f t="shared" ca="1" si="3"/>
        <v>#NAME?</v>
      </c>
      <c r="X34" t="e">
        <f t="shared" ca="1" si="4"/>
        <v>#NAME?</v>
      </c>
      <c r="Y34" t="e">
        <f t="shared" ca="1" si="5"/>
        <v>#NAME?</v>
      </c>
      <c r="Z34" t="e">
        <f t="shared" ca="1" si="6"/>
        <v>#NAME?</v>
      </c>
      <c r="AA34" t="e">
        <f t="shared" ca="1" si="7"/>
        <v>#NAME?</v>
      </c>
      <c r="AB34" t="e">
        <f t="shared" ca="1" si="8"/>
        <v>#NAME?</v>
      </c>
      <c r="AD34">
        <f t="shared" si="10"/>
        <v>31</v>
      </c>
      <c r="AE34">
        <f t="shared" si="11"/>
        <v>11.683635570981139</v>
      </c>
    </row>
    <row r="35" spans="1:31" x14ac:dyDescent="0.35">
      <c r="A35">
        <f t="shared" si="0"/>
        <v>32</v>
      </c>
      <c r="B35">
        <v>9.3891181090456559</v>
      </c>
      <c r="D35">
        <f t="shared" si="9"/>
        <v>32</v>
      </c>
      <c r="E35" t="e">
        <f t="shared" ca="1" si="1"/>
        <v>#NAME?</v>
      </c>
      <c r="F35" t="e">
        <f t="shared" ca="1" si="12"/>
        <v>#NAME?</v>
      </c>
      <c r="V35">
        <f t="shared" si="2"/>
        <v>32</v>
      </c>
      <c r="W35" t="e">
        <f t="shared" ca="1" si="3"/>
        <v>#NAME?</v>
      </c>
      <c r="X35" t="e">
        <f t="shared" ca="1" si="4"/>
        <v>#NAME?</v>
      </c>
      <c r="Y35" t="e">
        <f t="shared" ca="1" si="5"/>
        <v>#NAME?</v>
      </c>
      <c r="Z35" t="e">
        <f t="shared" ca="1" si="6"/>
        <v>#NAME?</v>
      </c>
      <c r="AA35" t="e">
        <f t="shared" ca="1" si="7"/>
        <v>#NAME?</v>
      </c>
      <c r="AB35" t="e">
        <f t="shared" ca="1" si="8"/>
        <v>#NAME?</v>
      </c>
      <c r="AD35">
        <f t="shared" si="10"/>
        <v>32</v>
      </c>
      <c r="AE35">
        <f t="shared" si="11"/>
        <v>9.3891181090456559</v>
      </c>
    </row>
    <row r="36" spans="1:31" x14ac:dyDescent="0.35">
      <c r="A36">
        <f t="shared" si="0"/>
        <v>33</v>
      </c>
      <c r="B36">
        <v>11.280967352963561</v>
      </c>
      <c r="D36">
        <f t="shared" si="9"/>
        <v>33</v>
      </c>
      <c r="E36" t="e">
        <f t="shared" ca="1" si="1"/>
        <v>#NAME?</v>
      </c>
      <c r="F36" t="e">
        <f t="shared" ca="1" si="12"/>
        <v>#NAME?</v>
      </c>
      <c r="V36">
        <f t="shared" si="2"/>
        <v>33</v>
      </c>
      <c r="W36" t="e">
        <f t="shared" ca="1" si="3"/>
        <v>#NAME?</v>
      </c>
      <c r="X36" t="e">
        <f t="shared" ca="1" si="4"/>
        <v>#NAME?</v>
      </c>
      <c r="Y36" t="e">
        <f t="shared" ca="1" si="5"/>
        <v>#NAME?</v>
      </c>
      <c r="Z36" t="e">
        <f t="shared" ca="1" si="6"/>
        <v>#NAME?</v>
      </c>
      <c r="AA36" t="e">
        <f t="shared" ca="1" si="7"/>
        <v>#NAME?</v>
      </c>
      <c r="AB36" t="e">
        <f t="shared" ca="1" si="8"/>
        <v>#NAME?</v>
      </c>
      <c r="AD36">
        <f t="shared" si="10"/>
        <v>33</v>
      </c>
      <c r="AE36">
        <f t="shared" si="11"/>
        <v>11.280967352963561</v>
      </c>
    </row>
    <row r="37" spans="1:31" x14ac:dyDescent="0.35">
      <c r="A37">
        <f t="shared" si="0"/>
        <v>34</v>
      </c>
      <c r="B37">
        <v>9.0777000543373685</v>
      </c>
      <c r="D37">
        <f t="shared" si="9"/>
        <v>34</v>
      </c>
      <c r="E37" t="e">
        <f t="shared" ca="1" si="1"/>
        <v>#NAME?</v>
      </c>
      <c r="F37" t="e">
        <f t="shared" ca="1" si="12"/>
        <v>#NAME?</v>
      </c>
      <c r="V37">
        <f t="shared" si="2"/>
        <v>34</v>
      </c>
      <c r="W37" t="e">
        <f t="shared" ca="1" si="3"/>
        <v>#NAME?</v>
      </c>
      <c r="X37" t="e">
        <f t="shared" ca="1" si="4"/>
        <v>#NAME?</v>
      </c>
      <c r="Y37" t="e">
        <f t="shared" ca="1" si="5"/>
        <v>#NAME?</v>
      </c>
      <c r="Z37" t="e">
        <f t="shared" ca="1" si="6"/>
        <v>#NAME?</v>
      </c>
      <c r="AA37" t="e">
        <f t="shared" ca="1" si="7"/>
        <v>#NAME?</v>
      </c>
      <c r="AB37" t="e">
        <f t="shared" ca="1" si="8"/>
        <v>#NAME?</v>
      </c>
      <c r="AD37">
        <f t="shared" si="10"/>
        <v>34</v>
      </c>
      <c r="AE37">
        <f t="shared" si="11"/>
        <v>9.0777000543373685</v>
      </c>
    </row>
    <row r="38" spans="1:31" x14ac:dyDescent="0.35">
      <c r="A38">
        <f t="shared" si="0"/>
        <v>35</v>
      </c>
      <c r="B38">
        <v>9.4218520797101899</v>
      </c>
      <c r="D38">
        <f t="shared" si="9"/>
        <v>35</v>
      </c>
      <c r="E38" t="e">
        <f t="shared" ca="1" si="1"/>
        <v>#NAME?</v>
      </c>
      <c r="F38" t="e">
        <f t="shared" ca="1" si="12"/>
        <v>#NAME?</v>
      </c>
      <c r="V38">
        <f t="shared" si="2"/>
        <v>35</v>
      </c>
      <c r="W38" t="e">
        <f t="shared" ca="1" si="3"/>
        <v>#NAME?</v>
      </c>
      <c r="X38" t="e">
        <f t="shared" ca="1" si="4"/>
        <v>#NAME?</v>
      </c>
      <c r="Y38" t="e">
        <f t="shared" ca="1" si="5"/>
        <v>#NAME?</v>
      </c>
      <c r="Z38" t="e">
        <f t="shared" ca="1" si="6"/>
        <v>#NAME?</v>
      </c>
      <c r="AA38" t="e">
        <f t="shared" ca="1" si="7"/>
        <v>#NAME?</v>
      </c>
      <c r="AB38" t="e">
        <f t="shared" ca="1" si="8"/>
        <v>#NAME?</v>
      </c>
      <c r="AD38">
        <f t="shared" si="10"/>
        <v>35</v>
      </c>
      <c r="AE38">
        <f t="shared" si="11"/>
        <v>9.4218520797101899</v>
      </c>
    </row>
    <row r="39" spans="1:31" x14ac:dyDescent="0.35">
      <c r="A39">
        <f t="shared" si="0"/>
        <v>36</v>
      </c>
      <c r="B39">
        <v>10.768670766726222</v>
      </c>
      <c r="D39">
        <f t="shared" si="9"/>
        <v>36</v>
      </c>
      <c r="E39" t="e">
        <f t="shared" ca="1" si="1"/>
        <v>#NAME?</v>
      </c>
      <c r="F39" t="e">
        <f t="shared" ca="1" si="12"/>
        <v>#NAME?</v>
      </c>
      <c r="V39">
        <f t="shared" si="2"/>
        <v>36</v>
      </c>
      <c r="W39" t="e">
        <f t="shared" ca="1" si="3"/>
        <v>#NAME?</v>
      </c>
      <c r="X39" t="e">
        <f t="shared" ca="1" si="4"/>
        <v>#NAME?</v>
      </c>
      <c r="Y39" t="e">
        <f t="shared" ca="1" si="5"/>
        <v>#NAME?</v>
      </c>
      <c r="Z39" t="e">
        <f t="shared" ca="1" si="6"/>
        <v>#NAME?</v>
      </c>
      <c r="AA39" t="e">
        <f t="shared" ca="1" si="7"/>
        <v>#NAME?</v>
      </c>
      <c r="AB39" t="e">
        <f t="shared" ca="1" si="8"/>
        <v>#NAME?</v>
      </c>
      <c r="AD39">
        <f t="shared" si="10"/>
        <v>36</v>
      </c>
      <c r="AE39">
        <f t="shared" si="11"/>
        <v>10.768670766726222</v>
      </c>
    </row>
    <row r="40" spans="1:31" x14ac:dyDescent="0.35">
      <c r="A40">
        <f t="shared" si="0"/>
        <v>37</v>
      </c>
      <c r="B40">
        <v>10.044686426220611</v>
      </c>
      <c r="D40">
        <f t="shared" si="9"/>
        <v>37</v>
      </c>
      <c r="E40" t="e">
        <f t="shared" ca="1" si="1"/>
        <v>#NAME?</v>
      </c>
      <c r="F40" t="e">
        <f t="shared" ca="1" si="12"/>
        <v>#NAME?</v>
      </c>
      <c r="V40">
        <f t="shared" si="2"/>
        <v>37</v>
      </c>
      <c r="W40" t="e">
        <f t="shared" ca="1" si="3"/>
        <v>#NAME?</v>
      </c>
      <c r="X40" t="e">
        <f t="shared" ca="1" si="4"/>
        <v>#NAME?</v>
      </c>
      <c r="Y40" t="e">
        <f t="shared" ca="1" si="5"/>
        <v>#NAME?</v>
      </c>
      <c r="Z40" t="e">
        <f t="shared" ca="1" si="6"/>
        <v>#NAME?</v>
      </c>
      <c r="AA40" t="e">
        <f t="shared" ca="1" si="7"/>
        <v>#NAME?</v>
      </c>
      <c r="AB40" t="e">
        <f t="shared" ca="1" si="8"/>
        <v>#NAME?</v>
      </c>
      <c r="AD40">
        <f t="shared" si="10"/>
        <v>37</v>
      </c>
      <c r="AE40">
        <f t="shared" si="11"/>
        <v>10.044686426220611</v>
      </c>
    </row>
    <row r="41" spans="1:31" x14ac:dyDescent="0.35">
      <c r="A41">
        <f t="shared" si="0"/>
        <v>38</v>
      </c>
      <c r="B41">
        <v>9.5026475408720934</v>
      </c>
      <c r="D41">
        <f t="shared" si="9"/>
        <v>38</v>
      </c>
      <c r="E41" t="e">
        <f t="shared" ca="1" si="1"/>
        <v>#NAME?</v>
      </c>
      <c r="F41" t="e">
        <f t="shared" ca="1" si="12"/>
        <v>#NAME?</v>
      </c>
      <c r="V41">
        <f t="shared" si="2"/>
        <v>38</v>
      </c>
      <c r="W41" t="e">
        <f t="shared" ca="1" si="3"/>
        <v>#NAME?</v>
      </c>
      <c r="X41" t="e">
        <f t="shared" ca="1" si="4"/>
        <v>#NAME?</v>
      </c>
      <c r="Y41" t="e">
        <f t="shared" ca="1" si="5"/>
        <v>#NAME?</v>
      </c>
      <c r="Z41" t="e">
        <f t="shared" ca="1" si="6"/>
        <v>#NAME?</v>
      </c>
      <c r="AA41" t="e">
        <f t="shared" ca="1" si="7"/>
        <v>#NAME?</v>
      </c>
      <c r="AB41" t="e">
        <f t="shared" ca="1" si="8"/>
        <v>#NAME?</v>
      </c>
      <c r="AD41">
        <f t="shared" si="10"/>
        <v>38</v>
      </c>
      <c r="AE41">
        <f t="shared" si="11"/>
        <v>9.5026475408720934</v>
      </c>
    </row>
    <row r="42" spans="1:31" x14ac:dyDescent="0.35">
      <c r="A42">
        <f t="shared" si="0"/>
        <v>39</v>
      </c>
      <c r="B42">
        <v>12.016635145209889</v>
      </c>
      <c r="D42">
        <f t="shared" si="9"/>
        <v>39</v>
      </c>
      <c r="E42" t="e">
        <f t="shared" ca="1" si="1"/>
        <v>#NAME?</v>
      </c>
      <c r="F42" t="e">
        <f t="shared" ca="1" si="12"/>
        <v>#NAME?</v>
      </c>
      <c r="V42">
        <f t="shared" si="2"/>
        <v>39</v>
      </c>
      <c r="W42" t="e">
        <f t="shared" ca="1" si="3"/>
        <v>#NAME?</v>
      </c>
      <c r="X42" t="e">
        <f t="shared" ca="1" si="4"/>
        <v>#NAME?</v>
      </c>
      <c r="Y42" t="e">
        <f t="shared" ca="1" si="5"/>
        <v>#NAME?</v>
      </c>
      <c r="Z42" t="e">
        <f t="shared" ca="1" si="6"/>
        <v>#NAME?</v>
      </c>
      <c r="AA42" t="e">
        <f t="shared" ca="1" si="7"/>
        <v>#NAME?</v>
      </c>
      <c r="AB42" t="e">
        <f t="shared" ca="1" si="8"/>
        <v>#NAME?</v>
      </c>
      <c r="AD42">
        <f t="shared" si="10"/>
        <v>39</v>
      </c>
      <c r="AE42">
        <f t="shared" si="11"/>
        <v>12.016635145209889</v>
      </c>
    </row>
    <row r="43" spans="1:31" x14ac:dyDescent="0.35">
      <c r="A43">
        <f t="shared" si="0"/>
        <v>40</v>
      </c>
      <c r="B43">
        <v>9.6075824244635548</v>
      </c>
      <c r="D43">
        <f t="shared" si="9"/>
        <v>40</v>
      </c>
      <c r="E43" t="e">
        <f t="shared" ca="1" si="1"/>
        <v>#NAME?</v>
      </c>
      <c r="F43" t="e">
        <f t="shared" ca="1" si="12"/>
        <v>#NAME?</v>
      </c>
      <c r="V43">
        <f t="shared" si="2"/>
        <v>40</v>
      </c>
      <c r="W43" t="e">
        <f t="shared" ca="1" si="3"/>
        <v>#NAME?</v>
      </c>
      <c r="X43" t="e">
        <f t="shared" ca="1" si="4"/>
        <v>#NAME?</v>
      </c>
      <c r="Y43" t="e">
        <f t="shared" ca="1" si="5"/>
        <v>#NAME?</v>
      </c>
      <c r="Z43" t="e">
        <f t="shared" ca="1" si="6"/>
        <v>#NAME?</v>
      </c>
      <c r="AA43" t="e">
        <f t="shared" ca="1" si="7"/>
        <v>#NAME?</v>
      </c>
      <c r="AB43" t="e">
        <f t="shared" ca="1" si="8"/>
        <v>#NAME?</v>
      </c>
      <c r="AD43">
        <f t="shared" si="10"/>
        <v>40</v>
      </c>
      <c r="AE43">
        <f t="shared" si="11"/>
        <v>9.6075824244635548</v>
      </c>
    </row>
    <row r="44" spans="1:31" x14ac:dyDescent="0.35">
      <c r="A44">
        <f t="shared" si="0"/>
        <v>41</v>
      </c>
      <c r="B44">
        <v>10.47879870661002</v>
      </c>
      <c r="D44">
        <f t="shared" si="9"/>
        <v>41</v>
      </c>
      <c r="E44" t="e">
        <f t="shared" ca="1" si="1"/>
        <v>#NAME?</v>
      </c>
      <c r="F44" t="e">
        <f t="shared" ca="1" si="12"/>
        <v>#NAME?</v>
      </c>
      <c r="V44">
        <f t="shared" si="2"/>
        <v>41</v>
      </c>
      <c r="W44" t="e">
        <f t="shared" ca="1" si="3"/>
        <v>#NAME?</v>
      </c>
      <c r="X44" t="e">
        <f t="shared" ca="1" si="4"/>
        <v>#NAME?</v>
      </c>
      <c r="Y44" t="e">
        <f t="shared" ca="1" si="5"/>
        <v>#NAME?</v>
      </c>
      <c r="Z44" t="e">
        <f t="shared" ca="1" si="6"/>
        <v>#NAME?</v>
      </c>
      <c r="AA44" t="e">
        <f t="shared" ca="1" si="7"/>
        <v>#NAME?</v>
      </c>
      <c r="AB44" t="e">
        <f t="shared" ca="1" si="8"/>
        <v>#NAME?</v>
      </c>
      <c r="AD44">
        <f t="shared" si="10"/>
        <v>41</v>
      </c>
      <c r="AE44">
        <f t="shared" si="11"/>
        <v>10.47879870661002</v>
      </c>
    </row>
    <row r="45" spans="1:31" x14ac:dyDescent="0.35">
      <c r="A45">
        <f t="shared" si="0"/>
        <v>42</v>
      </c>
      <c r="B45">
        <v>10.131145996118137</v>
      </c>
      <c r="D45">
        <f t="shared" si="9"/>
        <v>42</v>
      </c>
      <c r="E45" t="e">
        <f t="shared" ca="1" si="1"/>
        <v>#NAME?</v>
      </c>
      <c r="F45" t="e">
        <f t="shared" ca="1" si="12"/>
        <v>#NAME?</v>
      </c>
      <c r="V45">
        <f t="shared" si="2"/>
        <v>42</v>
      </c>
      <c r="W45" t="e">
        <f t="shared" ca="1" si="3"/>
        <v>#NAME?</v>
      </c>
      <c r="X45" t="e">
        <f t="shared" ca="1" si="4"/>
        <v>#NAME?</v>
      </c>
      <c r="Y45" t="e">
        <f t="shared" ca="1" si="5"/>
        <v>#NAME?</v>
      </c>
      <c r="Z45" t="e">
        <f t="shared" ca="1" si="6"/>
        <v>#NAME?</v>
      </c>
      <c r="AA45" t="e">
        <f t="shared" ca="1" si="7"/>
        <v>#NAME?</v>
      </c>
      <c r="AB45" t="e">
        <f t="shared" ca="1" si="8"/>
        <v>#NAME?</v>
      </c>
      <c r="AD45">
        <f t="shared" si="10"/>
        <v>42</v>
      </c>
      <c r="AE45">
        <f t="shared" si="11"/>
        <v>10.131145996118137</v>
      </c>
    </row>
    <row r="46" spans="1:31" x14ac:dyDescent="0.35">
      <c r="A46">
        <f t="shared" si="0"/>
        <v>43</v>
      </c>
      <c r="B46">
        <v>9.3102529930939451</v>
      </c>
      <c r="D46">
        <f t="shared" si="9"/>
        <v>43</v>
      </c>
      <c r="E46" t="e">
        <f t="shared" ca="1" si="1"/>
        <v>#NAME?</v>
      </c>
      <c r="F46" t="e">
        <f t="shared" ca="1" si="12"/>
        <v>#NAME?</v>
      </c>
      <c r="V46">
        <f t="shared" si="2"/>
        <v>43</v>
      </c>
      <c r="W46" t="e">
        <f t="shared" ca="1" si="3"/>
        <v>#NAME?</v>
      </c>
      <c r="X46" t="e">
        <f t="shared" ca="1" si="4"/>
        <v>#NAME?</v>
      </c>
      <c r="Y46" t="e">
        <f t="shared" ca="1" si="5"/>
        <v>#NAME?</v>
      </c>
      <c r="Z46" t="e">
        <f t="shared" ca="1" si="6"/>
        <v>#NAME?</v>
      </c>
      <c r="AA46" t="e">
        <f t="shared" ca="1" si="7"/>
        <v>#NAME?</v>
      </c>
      <c r="AB46" t="e">
        <f t="shared" ca="1" si="8"/>
        <v>#NAME?</v>
      </c>
      <c r="AD46">
        <f t="shared" si="10"/>
        <v>43</v>
      </c>
      <c r="AE46">
        <f t="shared" si="11"/>
        <v>9.3102529930939451</v>
      </c>
    </row>
    <row r="47" spans="1:31" x14ac:dyDescent="0.35">
      <c r="A47">
        <f t="shared" si="0"/>
        <v>44</v>
      </c>
      <c r="B47">
        <v>9.9532374569799149</v>
      </c>
      <c r="D47">
        <f t="shared" si="9"/>
        <v>44</v>
      </c>
      <c r="E47" t="e">
        <f t="shared" ca="1" si="1"/>
        <v>#NAME?</v>
      </c>
      <c r="F47" t="e">
        <f t="shared" ca="1" si="12"/>
        <v>#NAME?</v>
      </c>
      <c r="V47">
        <f t="shared" si="2"/>
        <v>44</v>
      </c>
      <c r="W47" t="e">
        <f t="shared" ca="1" si="3"/>
        <v>#NAME?</v>
      </c>
      <c r="X47" t="e">
        <f t="shared" ca="1" si="4"/>
        <v>#NAME?</v>
      </c>
      <c r="Y47" t="e">
        <f t="shared" ca="1" si="5"/>
        <v>#NAME?</v>
      </c>
      <c r="Z47" t="e">
        <f t="shared" ca="1" si="6"/>
        <v>#NAME?</v>
      </c>
      <c r="AA47" t="e">
        <f t="shared" ca="1" si="7"/>
        <v>#NAME?</v>
      </c>
      <c r="AB47" t="e">
        <f t="shared" ca="1" si="8"/>
        <v>#NAME?</v>
      </c>
      <c r="AD47">
        <f t="shared" si="10"/>
        <v>44</v>
      </c>
      <c r="AE47">
        <f t="shared" si="11"/>
        <v>9.9532374569799149</v>
      </c>
    </row>
    <row r="48" spans="1:31" x14ac:dyDescent="0.35">
      <c r="A48">
        <f t="shared" si="0"/>
        <v>45</v>
      </c>
      <c r="B48">
        <v>9.9320829740295604</v>
      </c>
      <c r="D48">
        <f t="shared" si="9"/>
        <v>45</v>
      </c>
      <c r="E48" t="e">
        <f t="shared" ca="1" si="1"/>
        <v>#NAME?</v>
      </c>
      <c r="F48" t="e">
        <f t="shared" ca="1" si="12"/>
        <v>#NAME?</v>
      </c>
      <c r="V48">
        <f t="shared" si="2"/>
        <v>45</v>
      </c>
      <c r="W48" t="e">
        <f t="shared" ca="1" si="3"/>
        <v>#NAME?</v>
      </c>
      <c r="X48" t="e">
        <f t="shared" ca="1" si="4"/>
        <v>#NAME?</v>
      </c>
      <c r="Y48" t="e">
        <f t="shared" ca="1" si="5"/>
        <v>#NAME?</v>
      </c>
      <c r="Z48" t="e">
        <f t="shared" ca="1" si="6"/>
        <v>#NAME?</v>
      </c>
      <c r="AA48" t="e">
        <f t="shared" ca="1" si="7"/>
        <v>#NAME?</v>
      </c>
      <c r="AB48" t="e">
        <f t="shared" ca="1" si="8"/>
        <v>#NAME?</v>
      </c>
      <c r="AD48">
        <f t="shared" si="10"/>
        <v>45</v>
      </c>
      <c r="AE48">
        <f t="shared" si="11"/>
        <v>9.9320829740295604</v>
      </c>
    </row>
    <row r="49" spans="1:31" x14ac:dyDescent="0.35">
      <c r="A49">
        <f t="shared" si="0"/>
        <v>46</v>
      </c>
      <c r="B49">
        <v>11.635101979488615</v>
      </c>
      <c r="D49">
        <f t="shared" si="9"/>
        <v>46</v>
      </c>
      <c r="E49" t="e">
        <f t="shared" ca="1" si="1"/>
        <v>#NAME?</v>
      </c>
      <c r="F49" t="e">
        <f t="shared" ca="1" si="12"/>
        <v>#NAME?</v>
      </c>
      <c r="V49">
        <f t="shared" si="2"/>
        <v>46</v>
      </c>
      <c r="W49" t="e">
        <f t="shared" ca="1" si="3"/>
        <v>#NAME?</v>
      </c>
      <c r="X49" t="e">
        <f t="shared" ca="1" si="4"/>
        <v>#NAME?</v>
      </c>
      <c r="Y49" t="e">
        <f t="shared" ca="1" si="5"/>
        <v>#NAME?</v>
      </c>
      <c r="Z49" t="e">
        <f t="shared" ca="1" si="6"/>
        <v>#NAME?</v>
      </c>
      <c r="AA49" t="e">
        <f t="shared" ca="1" si="7"/>
        <v>#NAME?</v>
      </c>
      <c r="AB49" t="e">
        <f t="shared" ca="1" si="8"/>
        <v>#NAME?</v>
      </c>
      <c r="AD49">
        <f t="shared" si="10"/>
        <v>46</v>
      </c>
      <c r="AE49">
        <f t="shared" si="11"/>
        <v>11.635101979488615</v>
      </c>
    </row>
    <row r="50" spans="1:31" x14ac:dyDescent="0.35">
      <c r="A50">
        <f t="shared" si="0"/>
        <v>47</v>
      </c>
      <c r="B50">
        <v>10.428242822398191</v>
      </c>
      <c r="D50">
        <f t="shared" si="9"/>
        <v>47</v>
      </c>
      <c r="E50" t="e">
        <f t="shared" ca="1" si="1"/>
        <v>#NAME?</v>
      </c>
      <c r="F50" t="e">
        <f t="shared" ca="1" si="12"/>
        <v>#NAME?</v>
      </c>
      <c r="V50">
        <f t="shared" si="2"/>
        <v>47</v>
      </c>
      <c r="W50" t="e">
        <f t="shared" ca="1" si="3"/>
        <v>#NAME?</v>
      </c>
      <c r="X50" t="e">
        <f t="shared" ca="1" si="4"/>
        <v>#NAME?</v>
      </c>
      <c r="Y50" t="e">
        <f t="shared" ca="1" si="5"/>
        <v>#NAME?</v>
      </c>
      <c r="Z50" t="e">
        <f t="shared" ca="1" si="6"/>
        <v>#NAME?</v>
      </c>
      <c r="AA50" t="e">
        <f t="shared" ca="1" si="7"/>
        <v>#NAME?</v>
      </c>
      <c r="AB50" t="e">
        <f t="shared" ca="1" si="8"/>
        <v>#NAME?</v>
      </c>
      <c r="AD50">
        <f t="shared" si="10"/>
        <v>47</v>
      </c>
      <c r="AE50">
        <f t="shared" si="11"/>
        <v>10.428242822398191</v>
      </c>
    </row>
    <row r="51" spans="1:31" x14ac:dyDescent="0.35">
      <c r="A51">
        <f t="shared" si="0"/>
        <v>48</v>
      </c>
      <c r="B51">
        <v>9.6942306857497602</v>
      </c>
      <c r="D51">
        <f t="shared" si="9"/>
        <v>48</v>
      </c>
      <c r="E51" t="e">
        <f t="shared" ca="1" si="1"/>
        <v>#NAME?</v>
      </c>
      <c r="F51" t="e">
        <f t="shared" ca="1" si="12"/>
        <v>#NAME?</v>
      </c>
      <c r="V51">
        <f t="shared" si="2"/>
        <v>48</v>
      </c>
      <c r="W51" t="e">
        <f t="shared" ca="1" si="3"/>
        <v>#NAME?</v>
      </c>
      <c r="X51" t="e">
        <f t="shared" ca="1" si="4"/>
        <v>#NAME?</v>
      </c>
      <c r="Y51" t="e">
        <f t="shared" ca="1" si="5"/>
        <v>#NAME?</v>
      </c>
      <c r="Z51" t="e">
        <f t="shared" ca="1" si="6"/>
        <v>#NAME?</v>
      </c>
      <c r="AA51" t="e">
        <f t="shared" ca="1" si="7"/>
        <v>#NAME?</v>
      </c>
      <c r="AB51" t="e">
        <f t="shared" ca="1" si="8"/>
        <v>#NAME?</v>
      </c>
      <c r="AD51">
        <f t="shared" si="10"/>
        <v>48</v>
      </c>
      <c r="AE51">
        <f t="shared" si="11"/>
        <v>9.6942306857497602</v>
      </c>
    </row>
    <row r="52" spans="1:31" x14ac:dyDescent="0.35">
      <c r="A52">
        <f t="shared" si="0"/>
        <v>49</v>
      </c>
      <c r="B52">
        <v>10.169036752376758</v>
      </c>
      <c r="D52">
        <f t="shared" si="9"/>
        <v>49</v>
      </c>
      <c r="E52" t="e">
        <f t="shared" ca="1" si="1"/>
        <v>#NAME?</v>
      </c>
      <c r="F52" t="e">
        <f t="shared" ca="1" si="12"/>
        <v>#NAME?</v>
      </c>
      <c r="V52">
        <f t="shared" si="2"/>
        <v>49</v>
      </c>
      <c r="W52" t="e">
        <f t="shared" ca="1" si="3"/>
        <v>#NAME?</v>
      </c>
      <c r="X52" t="e">
        <f t="shared" ca="1" si="4"/>
        <v>#NAME?</v>
      </c>
      <c r="Y52" t="e">
        <f t="shared" ca="1" si="5"/>
        <v>#NAME?</v>
      </c>
      <c r="Z52" t="e">
        <f t="shared" ca="1" si="6"/>
        <v>#NAME?</v>
      </c>
      <c r="AA52" t="e">
        <f t="shared" ca="1" si="7"/>
        <v>#NAME?</v>
      </c>
      <c r="AB52" t="e">
        <f t="shared" ca="1" si="8"/>
        <v>#NAME?</v>
      </c>
      <c r="AD52">
        <f t="shared" si="10"/>
        <v>49</v>
      </c>
      <c r="AE52">
        <f t="shared" si="11"/>
        <v>10.169036752376758</v>
      </c>
    </row>
    <row r="53" spans="1:31" x14ac:dyDescent="0.35">
      <c r="A53">
        <f t="shared" si="0"/>
        <v>50</v>
      </c>
      <c r="B53">
        <v>10.486655712590014</v>
      </c>
      <c r="D53">
        <f t="shared" si="9"/>
        <v>50</v>
      </c>
      <c r="E53" t="e">
        <f t="shared" ca="1" si="1"/>
        <v>#NAME?</v>
      </c>
      <c r="F53" t="e">
        <f t="shared" ca="1" si="12"/>
        <v>#NAME?</v>
      </c>
      <c r="V53">
        <f t="shared" si="2"/>
        <v>50</v>
      </c>
      <c r="W53" t="e">
        <f t="shared" ca="1" si="3"/>
        <v>#NAME?</v>
      </c>
      <c r="X53" t="e">
        <f t="shared" ca="1" si="4"/>
        <v>#NAME?</v>
      </c>
      <c r="Y53" t="e">
        <f t="shared" ca="1" si="5"/>
        <v>#NAME?</v>
      </c>
      <c r="Z53" t="e">
        <f t="shared" ca="1" si="6"/>
        <v>#NAME?</v>
      </c>
      <c r="AA53" t="e">
        <f t="shared" ca="1" si="7"/>
        <v>#NAME?</v>
      </c>
      <c r="AB53" t="e">
        <f t="shared" ca="1" si="8"/>
        <v>#NAME?</v>
      </c>
      <c r="AD53">
        <f t="shared" si="10"/>
        <v>50</v>
      </c>
      <c r="AE53">
        <f t="shared" si="11"/>
        <v>10.486655712590014</v>
      </c>
    </row>
    <row r="54" spans="1:31" x14ac:dyDescent="0.35">
      <c r="A54">
        <f t="shared" si="0"/>
        <v>51</v>
      </c>
      <c r="B54">
        <v>10.656149640052817</v>
      </c>
      <c r="D54">
        <f t="shared" si="9"/>
        <v>51</v>
      </c>
      <c r="E54" t="e">
        <f t="shared" ca="1" si="1"/>
        <v>#NAME?</v>
      </c>
      <c r="F54" t="e">
        <f t="shared" ca="1" si="12"/>
        <v>#NAME?</v>
      </c>
      <c r="V54">
        <f t="shared" si="2"/>
        <v>51</v>
      </c>
      <c r="W54" t="e">
        <f t="shared" ca="1" si="3"/>
        <v>#NAME?</v>
      </c>
      <c r="X54" t="e">
        <f t="shared" ca="1" si="4"/>
        <v>#NAME?</v>
      </c>
      <c r="Y54" t="e">
        <f t="shared" ca="1" si="5"/>
        <v>#NAME?</v>
      </c>
      <c r="Z54" t="e">
        <f t="shared" ca="1" si="6"/>
        <v>#NAME?</v>
      </c>
      <c r="AA54" t="e">
        <f t="shared" ca="1" si="7"/>
        <v>#NAME?</v>
      </c>
      <c r="AB54" t="e">
        <f t="shared" ca="1" si="8"/>
        <v>#NAME?</v>
      </c>
      <c r="AD54">
        <f t="shared" si="10"/>
        <v>51</v>
      </c>
      <c r="AE54">
        <f t="shared" si="11"/>
        <v>10.656149640052817</v>
      </c>
    </row>
    <row r="55" spans="1:31" x14ac:dyDescent="0.35">
      <c r="A55">
        <f t="shared" si="0"/>
        <v>52</v>
      </c>
      <c r="B55">
        <v>10.129317566616011</v>
      </c>
      <c r="D55">
        <f t="shared" si="9"/>
        <v>52</v>
      </c>
      <c r="E55" t="e">
        <f t="shared" ca="1" si="1"/>
        <v>#NAME?</v>
      </c>
      <c r="F55" t="e">
        <f t="shared" ca="1" si="12"/>
        <v>#NAME?</v>
      </c>
      <c r="V55">
        <f t="shared" si="2"/>
        <v>52</v>
      </c>
      <c r="W55" t="e">
        <f t="shared" ca="1" si="3"/>
        <v>#NAME?</v>
      </c>
      <c r="X55" t="e">
        <f t="shared" ca="1" si="4"/>
        <v>#NAME?</v>
      </c>
      <c r="Y55" t="e">
        <f t="shared" ca="1" si="5"/>
        <v>#NAME?</v>
      </c>
      <c r="Z55" t="e">
        <f t="shared" ca="1" si="6"/>
        <v>#NAME?</v>
      </c>
      <c r="AA55" t="e">
        <f t="shared" ca="1" si="7"/>
        <v>#NAME?</v>
      </c>
      <c r="AB55" t="e">
        <f t="shared" ca="1" si="8"/>
        <v>#NAME?</v>
      </c>
      <c r="AD55">
        <f t="shared" si="10"/>
        <v>52</v>
      </c>
      <c r="AE55">
        <f t="shared" si="11"/>
        <v>10.129317566616011</v>
      </c>
    </row>
    <row r="56" spans="1:31" x14ac:dyDescent="0.35">
      <c r="A56">
        <f t="shared" si="0"/>
        <v>53</v>
      </c>
      <c r="B56">
        <v>8.9663057524182062</v>
      </c>
      <c r="D56">
        <f t="shared" si="9"/>
        <v>53</v>
      </c>
      <c r="E56" t="e">
        <f t="shared" ca="1" si="1"/>
        <v>#NAME?</v>
      </c>
      <c r="F56" t="e">
        <f t="shared" ca="1" si="12"/>
        <v>#NAME?</v>
      </c>
      <c r="V56">
        <f t="shared" si="2"/>
        <v>53</v>
      </c>
      <c r="W56" t="e">
        <f t="shared" ca="1" si="3"/>
        <v>#NAME?</v>
      </c>
      <c r="X56" t="e">
        <f t="shared" ca="1" si="4"/>
        <v>#NAME?</v>
      </c>
      <c r="Y56" t="e">
        <f t="shared" ca="1" si="5"/>
        <v>#NAME?</v>
      </c>
      <c r="Z56" t="e">
        <f t="shared" ca="1" si="6"/>
        <v>#NAME?</v>
      </c>
      <c r="AA56" t="e">
        <f t="shared" ca="1" si="7"/>
        <v>#NAME?</v>
      </c>
      <c r="AB56" t="e">
        <f t="shared" ca="1" si="8"/>
        <v>#NAME?</v>
      </c>
      <c r="AD56">
        <f t="shared" si="10"/>
        <v>53</v>
      </c>
      <c r="AE56">
        <f t="shared" si="11"/>
        <v>8.9663057524182062</v>
      </c>
    </row>
    <row r="57" spans="1:31" x14ac:dyDescent="0.35">
      <c r="A57">
        <f t="shared" si="0"/>
        <v>54</v>
      </c>
      <c r="B57">
        <v>8.1067514389924824</v>
      </c>
      <c r="D57">
        <f t="shared" si="9"/>
        <v>54</v>
      </c>
      <c r="E57" t="e">
        <f t="shared" ca="1" si="1"/>
        <v>#NAME?</v>
      </c>
      <c r="F57" t="e">
        <f t="shared" ca="1" si="12"/>
        <v>#NAME?</v>
      </c>
      <c r="V57">
        <f t="shared" si="2"/>
        <v>54</v>
      </c>
      <c r="W57" t="e">
        <f t="shared" ca="1" si="3"/>
        <v>#NAME?</v>
      </c>
      <c r="X57" t="e">
        <f t="shared" ca="1" si="4"/>
        <v>#NAME?</v>
      </c>
      <c r="Y57" t="e">
        <f t="shared" ca="1" si="5"/>
        <v>#NAME?</v>
      </c>
      <c r="Z57" t="e">
        <f t="shared" ca="1" si="6"/>
        <v>#NAME?</v>
      </c>
      <c r="AA57" t="e">
        <f t="shared" ca="1" si="7"/>
        <v>#NAME?</v>
      </c>
      <c r="AB57" t="e">
        <f t="shared" ca="1" si="8"/>
        <v>#NAME?</v>
      </c>
      <c r="AD57">
        <f t="shared" si="10"/>
        <v>54</v>
      </c>
      <c r="AE57">
        <f t="shared" si="11"/>
        <v>8.1067514389924824</v>
      </c>
    </row>
    <row r="58" spans="1:31" x14ac:dyDescent="0.35">
      <c r="A58">
        <f t="shared" si="0"/>
        <v>55</v>
      </c>
      <c r="B58">
        <v>8.6738987578515037</v>
      </c>
      <c r="D58">
        <f t="shared" si="9"/>
        <v>55</v>
      </c>
      <c r="E58" t="e">
        <f t="shared" ca="1" si="1"/>
        <v>#NAME?</v>
      </c>
      <c r="F58" t="e">
        <f t="shared" ca="1" si="12"/>
        <v>#NAME?</v>
      </c>
      <c r="V58">
        <f t="shared" si="2"/>
        <v>55</v>
      </c>
      <c r="W58" t="e">
        <f t="shared" ca="1" si="3"/>
        <v>#NAME?</v>
      </c>
      <c r="X58" t="e">
        <f t="shared" ca="1" si="4"/>
        <v>#NAME?</v>
      </c>
      <c r="Y58" t="e">
        <f t="shared" ca="1" si="5"/>
        <v>#NAME?</v>
      </c>
      <c r="Z58" t="e">
        <f t="shared" ca="1" si="6"/>
        <v>#NAME?</v>
      </c>
      <c r="AA58" t="e">
        <f t="shared" ca="1" si="7"/>
        <v>#NAME?</v>
      </c>
      <c r="AB58" t="e">
        <f t="shared" ca="1" si="8"/>
        <v>#NAME?</v>
      </c>
      <c r="AD58">
        <f t="shared" si="10"/>
        <v>55</v>
      </c>
      <c r="AE58">
        <f t="shared" si="11"/>
        <v>8.6738987578515037</v>
      </c>
    </row>
    <row r="59" spans="1:31" x14ac:dyDescent="0.35">
      <c r="A59">
        <f t="shared" si="0"/>
        <v>56</v>
      </c>
      <c r="B59">
        <v>8.7398621237592646</v>
      </c>
      <c r="D59">
        <f t="shared" si="9"/>
        <v>56</v>
      </c>
      <c r="E59" t="e">
        <f t="shared" ca="1" si="1"/>
        <v>#NAME?</v>
      </c>
      <c r="F59" t="e">
        <f t="shared" ca="1" si="12"/>
        <v>#NAME?</v>
      </c>
      <c r="V59">
        <f t="shared" si="2"/>
        <v>56</v>
      </c>
      <c r="W59" t="e">
        <f t="shared" ca="1" si="3"/>
        <v>#NAME?</v>
      </c>
      <c r="X59" t="e">
        <f t="shared" ca="1" si="4"/>
        <v>#NAME?</v>
      </c>
      <c r="Y59" t="e">
        <f t="shared" ca="1" si="5"/>
        <v>#NAME?</v>
      </c>
      <c r="Z59" t="e">
        <f t="shared" ca="1" si="6"/>
        <v>#NAME?</v>
      </c>
      <c r="AA59" t="e">
        <f t="shared" ca="1" si="7"/>
        <v>#NAME?</v>
      </c>
      <c r="AB59" t="e">
        <f t="shared" ca="1" si="8"/>
        <v>#NAME?</v>
      </c>
      <c r="AD59">
        <f t="shared" si="10"/>
        <v>56</v>
      </c>
      <c r="AE59">
        <f t="shared" si="11"/>
        <v>8.7398621237592646</v>
      </c>
    </row>
    <row r="60" spans="1:31" x14ac:dyDescent="0.35">
      <c r="A60">
        <f t="shared" si="0"/>
        <v>57</v>
      </c>
      <c r="B60">
        <v>8.7639760975280581</v>
      </c>
      <c r="D60">
        <f t="shared" si="9"/>
        <v>57</v>
      </c>
      <c r="E60" t="e">
        <f t="shared" ca="1" si="1"/>
        <v>#NAME?</v>
      </c>
      <c r="F60" t="e">
        <f t="shared" ca="1" si="12"/>
        <v>#NAME?</v>
      </c>
      <c r="V60">
        <f t="shared" si="2"/>
        <v>57</v>
      </c>
      <c r="W60" t="e">
        <f t="shared" ca="1" si="3"/>
        <v>#NAME?</v>
      </c>
      <c r="X60" t="e">
        <f t="shared" ca="1" si="4"/>
        <v>#NAME?</v>
      </c>
      <c r="Y60" t="e">
        <f t="shared" ca="1" si="5"/>
        <v>#NAME?</v>
      </c>
      <c r="Z60" t="e">
        <f t="shared" ca="1" si="6"/>
        <v>#NAME?</v>
      </c>
      <c r="AA60" t="e">
        <f t="shared" ca="1" si="7"/>
        <v>#NAME?</v>
      </c>
      <c r="AB60" t="e">
        <f t="shared" ca="1" si="8"/>
        <v>#NAME?</v>
      </c>
      <c r="AD60">
        <f t="shared" si="10"/>
        <v>57</v>
      </c>
      <c r="AE60">
        <f t="shared" si="11"/>
        <v>8.7639760975280581</v>
      </c>
    </row>
    <row r="61" spans="1:31" x14ac:dyDescent="0.35">
      <c r="A61">
        <f t="shared" si="0"/>
        <v>58</v>
      </c>
      <c r="B61">
        <v>10.607632270250908</v>
      </c>
      <c r="D61">
        <f t="shared" si="9"/>
        <v>58</v>
      </c>
      <c r="E61" t="e">
        <f t="shared" ca="1" si="1"/>
        <v>#NAME?</v>
      </c>
      <c r="F61" t="e">
        <f t="shared" ca="1" si="12"/>
        <v>#NAME?</v>
      </c>
      <c r="V61">
        <f t="shared" si="2"/>
        <v>58</v>
      </c>
      <c r="W61" t="e">
        <f t="shared" ca="1" si="3"/>
        <v>#NAME?</v>
      </c>
      <c r="X61" t="e">
        <f t="shared" ca="1" si="4"/>
        <v>#NAME?</v>
      </c>
      <c r="Y61" t="e">
        <f t="shared" ca="1" si="5"/>
        <v>#NAME?</v>
      </c>
      <c r="Z61" t="e">
        <f t="shared" ca="1" si="6"/>
        <v>#NAME?</v>
      </c>
      <c r="AA61" t="e">
        <f t="shared" ca="1" si="7"/>
        <v>#NAME?</v>
      </c>
      <c r="AB61" t="e">
        <f t="shared" ca="1" si="8"/>
        <v>#NAME?</v>
      </c>
      <c r="AD61">
        <f t="shared" si="10"/>
        <v>58</v>
      </c>
      <c r="AE61">
        <f t="shared" si="11"/>
        <v>10.607632270250908</v>
      </c>
    </row>
    <row r="62" spans="1:31" x14ac:dyDescent="0.35">
      <c r="A62">
        <f t="shared" si="0"/>
        <v>59</v>
      </c>
      <c r="B62">
        <v>8.8462843661117905</v>
      </c>
      <c r="D62">
        <f t="shared" si="9"/>
        <v>59</v>
      </c>
      <c r="E62" t="e">
        <f t="shared" ca="1" si="1"/>
        <v>#NAME?</v>
      </c>
      <c r="F62" t="e">
        <f t="shared" ca="1" si="12"/>
        <v>#NAME?</v>
      </c>
      <c r="V62">
        <f t="shared" si="2"/>
        <v>59</v>
      </c>
      <c r="W62" t="e">
        <f t="shared" ca="1" si="3"/>
        <v>#NAME?</v>
      </c>
      <c r="X62" t="e">
        <f t="shared" ca="1" si="4"/>
        <v>#NAME?</v>
      </c>
      <c r="Y62" t="e">
        <f t="shared" ca="1" si="5"/>
        <v>#NAME?</v>
      </c>
      <c r="Z62" t="e">
        <f t="shared" ca="1" si="6"/>
        <v>#NAME?</v>
      </c>
      <c r="AA62" t="e">
        <f t="shared" ca="1" si="7"/>
        <v>#NAME?</v>
      </c>
      <c r="AB62" t="e">
        <f t="shared" ca="1" si="8"/>
        <v>#NAME?</v>
      </c>
      <c r="AD62">
        <f t="shared" si="10"/>
        <v>59</v>
      </c>
      <c r="AE62">
        <f t="shared" si="11"/>
        <v>8.8462843661117905</v>
      </c>
    </row>
    <row r="63" spans="1:31" x14ac:dyDescent="0.35">
      <c r="A63">
        <f t="shared" si="0"/>
        <v>60</v>
      </c>
      <c r="B63">
        <v>8.197430472078814</v>
      </c>
      <c r="D63">
        <f t="shared" si="9"/>
        <v>60</v>
      </c>
      <c r="E63" t="e">
        <f t="shared" ca="1" si="1"/>
        <v>#NAME?</v>
      </c>
      <c r="F63" t="e">
        <f t="shared" ca="1" si="12"/>
        <v>#NAME?</v>
      </c>
      <c r="V63">
        <f t="shared" si="2"/>
        <v>60</v>
      </c>
      <c r="W63" t="e">
        <f t="shared" ca="1" si="3"/>
        <v>#NAME?</v>
      </c>
      <c r="X63" t="e">
        <f t="shared" ca="1" si="4"/>
        <v>#NAME?</v>
      </c>
      <c r="Y63" t="e">
        <f t="shared" ca="1" si="5"/>
        <v>#NAME?</v>
      </c>
      <c r="Z63" t="e">
        <f t="shared" ca="1" si="6"/>
        <v>#NAME?</v>
      </c>
      <c r="AA63" t="e">
        <f t="shared" ca="1" si="7"/>
        <v>#NAME?</v>
      </c>
      <c r="AB63" t="e">
        <f t="shared" ca="1" si="8"/>
        <v>#NAME?</v>
      </c>
      <c r="AD63">
        <f t="shared" si="10"/>
        <v>60</v>
      </c>
      <c r="AE63">
        <f t="shared" si="11"/>
        <v>8.197430472078814</v>
      </c>
    </row>
    <row r="64" spans="1:31" x14ac:dyDescent="0.35">
      <c r="A64">
        <f t="shared" si="0"/>
        <v>61</v>
      </c>
      <c r="B64">
        <v>9.7004678107933984</v>
      </c>
      <c r="D64">
        <f t="shared" si="9"/>
        <v>61</v>
      </c>
      <c r="E64" t="e">
        <f t="shared" ca="1" si="1"/>
        <v>#NAME?</v>
      </c>
      <c r="F64" t="e">
        <f t="shared" ca="1" si="12"/>
        <v>#NAME?</v>
      </c>
      <c r="V64">
        <f t="shared" si="2"/>
        <v>61</v>
      </c>
      <c r="W64" t="e">
        <f t="shared" ca="1" si="3"/>
        <v>#NAME?</v>
      </c>
      <c r="X64" t="e">
        <f t="shared" ca="1" si="4"/>
        <v>#NAME?</v>
      </c>
      <c r="Y64" t="e">
        <f t="shared" ca="1" si="5"/>
        <v>#NAME?</v>
      </c>
      <c r="Z64" t="e">
        <f t="shared" ca="1" si="6"/>
        <v>#NAME?</v>
      </c>
      <c r="AA64" t="e">
        <f t="shared" ca="1" si="7"/>
        <v>#NAME?</v>
      </c>
      <c r="AB64" t="e">
        <f t="shared" ca="1" si="8"/>
        <v>#NAME?</v>
      </c>
      <c r="AD64">
        <f t="shared" si="10"/>
        <v>61</v>
      </c>
      <c r="AE64">
        <f t="shared" si="11"/>
        <v>9.7004678107933984</v>
      </c>
    </row>
    <row r="65" spans="1:31" x14ac:dyDescent="0.35">
      <c r="A65">
        <f t="shared" si="0"/>
        <v>62</v>
      </c>
      <c r="B65">
        <v>9.4988084630262453</v>
      </c>
      <c r="D65">
        <f t="shared" si="9"/>
        <v>62</v>
      </c>
      <c r="E65" t="e">
        <f t="shared" ca="1" si="1"/>
        <v>#NAME?</v>
      </c>
      <c r="F65" t="e">
        <f t="shared" ca="1" si="12"/>
        <v>#NAME?</v>
      </c>
      <c r="V65">
        <f t="shared" si="2"/>
        <v>62</v>
      </c>
      <c r="W65" t="e">
        <f t="shared" ca="1" si="3"/>
        <v>#NAME?</v>
      </c>
      <c r="X65" t="e">
        <f t="shared" ca="1" si="4"/>
        <v>#NAME?</v>
      </c>
      <c r="Y65" t="e">
        <f t="shared" ca="1" si="5"/>
        <v>#NAME?</v>
      </c>
      <c r="Z65" t="e">
        <f t="shared" ca="1" si="6"/>
        <v>#NAME?</v>
      </c>
      <c r="AA65" t="e">
        <f t="shared" ca="1" si="7"/>
        <v>#NAME?</v>
      </c>
      <c r="AB65" t="e">
        <f t="shared" ca="1" si="8"/>
        <v>#NAME?</v>
      </c>
      <c r="AD65">
        <f t="shared" si="10"/>
        <v>62</v>
      </c>
      <c r="AE65">
        <f t="shared" si="11"/>
        <v>9.4988084630262453</v>
      </c>
    </row>
    <row r="66" spans="1:31" x14ac:dyDescent="0.35">
      <c r="A66">
        <f t="shared" si="0"/>
        <v>63</v>
      </c>
      <c r="B66">
        <v>9.7003857789385908</v>
      </c>
      <c r="D66">
        <f t="shared" si="9"/>
        <v>63</v>
      </c>
      <c r="E66" t="e">
        <f t="shared" ca="1" si="1"/>
        <v>#NAME?</v>
      </c>
      <c r="F66" t="e">
        <f t="shared" ca="1" si="12"/>
        <v>#NAME?</v>
      </c>
      <c r="V66">
        <f t="shared" si="2"/>
        <v>63</v>
      </c>
      <c r="W66" t="e">
        <f t="shared" ca="1" si="3"/>
        <v>#NAME?</v>
      </c>
      <c r="X66" t="e">
        <f t="shared" ca="1" si="4"/>
        <v>#NAME?</v>
      </c>
      <c r="Y66" t="e">
        <f t="shared" ca="1" si="5"/>
        <v>#NAME?</v>
      </c>
      <c r="Z66" t="e">
        <f t="shared" ca="1" si="6"/>
        <v>#NAME?</v>
      </c>
      <c r="AA66" t="e">
        <f t="shared" ca="1" si="7"/>
        <v>#NAME?</v>
      </c>
      <c r="AB66" t="e">
        <f t="shared" ca="1" si="8"/>
        <v>#NAME?</v>
      </c>
      <c r="AD66">
        <f t="shared" si="10"/>
        <v>63</v>
      </c>
      <c r="AE66">
        <f t="shared" si="11"/>
        <v>9.7003857789385908</v>
      </c>
    </row>
    <row r="67" spans="1:31" x14ac:dyDescent="0.35">
      <c r="A67">
        <f t="shared" si="0"/>
        <v>64</v>
      </c>
      <c r="B67">
        <v>9.8196279939384326</v>
      </c>
      <c r="D67">
        <f t="shared" si="9"/>
        <v>64</v>
      </c>
      <c r="E67" t="e">
        <f t="shared" ca="1" si="1"/>
        <v>#NAME?</v>
      </c>
      <c r="F67" t="e">
        <f t="shared" ca="1" si="12"/>
        <v>#NAME?</v>
      </c>
      <c r="V67">
        <f t="shared" si="2"/>
        <v>64</v>
      </c>
      <c r="W67" t="e">
        <f t="shared" ca="1" si="3"/>
        <v>#NAME?</v>
      </c>
      <c r="X67" t="e">
        <f t="shared" ca="1" si="4"/>
        <v>#NAME?</v>
      </c>
      <c r="Y67" t="e">
        <f t="shared" ca="1" si="5"/>
        <v>#NAME?</v>
      </c>
      <c r="Z67" t="e">
        <f t="shared" ca="1" si="6"/>
        <v>#NAME?</v>
      </c>
      <c r="AA67" t="e">
        <f t="shared" ca="1" si="7"/>
        <v>#NAME?</v>
      </c>
      <c r="AB67" t="e">
        <f t="shared" ca="1" si="8"/>
        <v>#NAME?</v>
      </c>
      <c r="AD67">
        <f t="shared" si="10"/>
        <v>64</v>
      </c>
      <c r="AE67">
        <f t="shared" si="11"/>
        <v>9.8196279939384326</v>
      </c>
    </row>
    <row r="68" spans="1:31" x14ac:dyDescent="0.35">
      <c r="A68">
        <f t="shared" si="0"/>
        <v>65</v>
      </c>
      <c r="B68">
        <v>12.357045585234705</v>
      </c>
      <c r="D68">
        <f t="shared" si="9"/>
        <v>65</v>
      </c>
      <c r="E68" t="e">
        <f t="shared" ca="1" si="1"/>
        <v>#NAME?</v>
      </c>
      <c r="F68" t="e">
        <f t="shared" ca="1" si="12"/>
        <v>#NAME?</v>
      </c>
      <c r="V68">
        <f t="shared" si="2"/>
        <v>65</v>
      </c>
      <c r="W68" t="e">
        <f t="shared" ca="1" si="3"/>
        <v>#NAME?</v>
      </c>
      <c r="X68" t="e">
        <f t="shared" ca="1" si="4"/>
        <v>#NAME?</v>
      </c>
      <c r="Y68" t="e">
        <f t="shared" ca="1" si="5"/>
        <v>#NAME?</v>
      </c>
      <c r="Z68" t="e">
        <f t="shared" ca="1" si="6"/>
        <v>#NAME?</v>
      </c>
      <c r="AA68" t="e">
        <f t="shared" ca="1" si="7"/>
        <v>#NAME?</v>
      </c>
      <c r="AB68" t="e">
        <f t="shared" ca="1" si="8"/>
        <v>#NAME?</v>
      </c>
      <c r="AD68">
        <f t="shared" si="10"/>
        <v>65</v>
      </c>
      <c r="AE68">
        <f t="shared" si="11"/>
        <v>12.357045585234705</v>
      </c>
    </row>
    <row r="69" spans="1:31" x14ac:dyDescent="0.35">
      <c r="A69">
        <f t="shared" ref="A69:A108" si="13">A68+1</f>
        <v>66</v>
      </c>
      <c r="B69">
        <v>10.923604414101041</v>
      </c>
      <c r="D69">
        <f t="shared" si="9"/>
        <v>66</v>
      </c>
      <c r="E69" t="e">
        <f t="shared" ref="E69:E107" ca="1" si="14">B70-B69-J$6</f>
        <v>#NAME?</v>
      </c>
      <c r="F69" t="e">
        <f t="shared" ca="1" si="12"/>
        <v>#NAME?</v>
      </c>
      <c r="V69">
        <f t="shared" ref="V69:V107" si="15">D69</f>
        <v>66</v>
      </c>
      <c r="W69" t="e">
        <f t="shared" ref="W69:W107" ca="1" si="16">E69</f>
        <v>#NAME?</v>
      </c>
      <c r="X69" t="e">
        <f t="shared" ref="X69:X107" ca="1" si="17">F69</f>
        <v>#NAME?</v>
      </c>
      <c r="Y69" t="e">
        <f t="shared" ref="Y69:Y107" ca="1" si="18">W69-X69</f>
        <v>#NAME?</v>
      </c>
      <c r="Z69" t="e">
        <f t="shared" ref="Z69:Z107" ca="1" si="19">J$15</f>
        <v>#NAME?</v>
      </c>
      <c r="AA69" t="e">
        <f t="shared" ref="AA69:AA107" ca="1" si="20">Y69-NORMSINV(1-Z$2/2)*Z69</f>
        <v>#NAME?</v>
      </c>
      <c r="AB69" t="e">
        <f t="shared" ref="AB69:AB107" ca="1" si="21">Y69+NORMSINV(1-Z$2/2)*Z69</f>
        <v>#NAME?</v>
      </c>
      <c r="AD69">
        <f t="shared" si="10"/>
        <v>66</v>
      </c>
      <c r="AE69">
        <f t="shared" si="11"/>
        <v>10.923604414101041</v>
      </c>
    </row>
    <row r="70" spans="1:31" x14ac:dyDescent="0.35">
      <c r="A70">
        <f t="shared" si="13"/>
        <v>67</v>
      </c>
      <c r="B70">
        <v>9.7007658466065791</v>
      </c>
      <c r="D70">
        <f t="shared" ref="D70:D107" si="22">D69+1</f>
        <v>67</v>
      </c>
      <c r="E70" t="e">
        <f t="shared" ca="1" si="14"/>
        <v>#NAME?</v>
      </c>
      <c r="F70" t="e">
        <f t="shared" ca="1" si="12"/>
        <v>#NAME?</v>
      </c>
      <c r="V70">
        <f t="shared" si="15"/>
        <v>67</v>
      </c>
      <c r="W70" t="e">
        <f t="shared" ca="1" si="16"/>
        <v>#NAME?</v>
      </c>
      <c r="X70" t="e">
        <f t="shared" ca="1" si="17"/>
        <v>#NAME?</v>
      </c>
      <c r="Y70" t="e">
        <f t="shared" ca="1" si="18"/>
        <v>#NAME?</v>
      </c>
      <c r="Z70" t="e">
        <f t="shared" ca="1" si="19"/>
        <v>#NAME?</v>
      </c>
      <c r="AA70" t="e">
        <f t="shared" ca="1" si="20"/>
        <v>#NAME?</v>
      </c>
      <c r="AB70" t="e">
        <f t="shared" ca="1" si="21"/>
        <v>#NAME?</v>
      </c>
      <c r="AD70">
        <f t="shared" ref="AD70:AD113" si="23">AD69+1</f>
        <v>67</v>
      </c>
      <c r="AE70">
        <f t="shared" ref="AE70:AE108" si="24">B70</f>
        <v>9.7007658466065791</v>
      </c>
    </row>
    <row r="71" spans="1:31" x14ac:dyDescent="0.35">
      <c r="A71">
        <f t="shared" si="13"/>
        <v>68</v>
      </c>
      <c r="B71">
        <v>10.274161064714084</v>
      </c>
      <c r="D71">
        <f t="shared" si="22"/>
        <v>68</v>
      </c>
      <c r="E71" t="e">
        <f t="shared" ca="1" si="14"/>
        <v>#NAME?</v>
      </c>
      <c r="F71" t="e">
        <f t="shared" ref="F71:F107" ca="1" si="25">E71-SUMPRODUCT(E69:E70,I$4:I$5)-SUMPRODUCT(F70,J$5)</f>
        <v>#NAME?</v>
      </c>
      <c r="V71">
        <f t="shared" si="15"/>
        <v>68</v>
      </c>
      <c r="W71" t="e">
        <f t="shared" ca="1" si="16"/>
        <v>#NAME?</v>
      </c>
      <c r="X71" t="e">
        <f t="shared" ca="1" si="17"/>
        <v>#NAME?</v>
      </c>
      <c r="Y71" t="e">
        <f t="shared" ca="1" si="18"/>
        <v>#NAME?</v>
      </c>
      <c r="Z71" t="e">
        <f t="shared" ca="1" si="19"/>
        <v>#NAME?</v>
      </c>
      <c r="AA71" t="e">
        <f t="shared" ca="1" si="20"/>
        <v>#NAME?</v>
      </c>
      <c r="AB71" t="e">
        <f t="shared" ca="1" si="21"/>
        <v>#NAME?</v>
      </c>
      <c r="AD71">
        <f t="shared" si="23"/>
        <v>68</v>
      </c>
      <c r="AE71">
        <f t="shared" si="24"/>
        <v>10.274161064714084</v>
      </c>
    </row>
    <row r="72" spans="1:31" x14ac:dyDescent="0.35">
      <c r="A72">
        <f t="shared" si="13"/>
        <v>69</v>
      </c>
      <c r="B72">
        <v>9.7560808735560016</v>
      </c>
      <c r="D72">
        <f t="shared" si="22"/>
        <v>69</v>
      </c>
      <c r="E72" t="e">
        <f t="shared" ca="1" si="14"/>
        <v>#NAME?</v>
      </c>
      <c r="F72" t="e">
        <f t="shared" ca="1" si="25"/>
        <v>#NAME?</v>
      </c>
      <c r="V72">
        <f t="shared" si="15"/>
        <v>69</v>
      </c>
      <c r="W72" t="e">
        <f t="shared" ca="1" si="16"/>
        <v>#NAME?</v>
      </c>
      <c r="X72" t="e">
        <f t="shared" ca="1" si="17"/>
        <v>#NAME?</v>
      </c>
      <c r="Y72" t="e">
        <f t="shared" ca="1" si="18"/>
        <v>#NAME?</v>
      </c>
      <c r="Z72" t="e">
        <f t="shared" ca="1" si="19"/>
        <v>#NAME?</v>
      </c>
      <c r="AA72" t="e">
        <f t="shared" ca="1" si="20"/>
        <v>#NAME?</v>
      </c>
      <c r="AB72" t="e">
        <f t="shared" ca="1" si="21"/>
        <v>#NAME?</v>
      </c>
      <c r="AD72">
        <f t="shared" si="23"/>
        <v>69</v>
      </c>
      <c r="AE72">
        <f t="shared" si="24"/>
        <v>9.7560808735560016</v>
      </c>
    </row>
    <row r="73" spans="1:31" x14ac:dyDescent="0.35">
      <c r="A73">
        <f t="shared" si="13"/>
        <v>70</v>
      </c>
      <c r="B73">
        <v>9.287731842051576</v>
      </c>
      <c r="D73">
        <f t="shared" si="22"/>
        <v>70</v>
      </c>
      <c r="E73" t="e">
        <f t="shared" ca="1" si="14"/>
        <v>#NAME?</v>
      </c>
      <c r="F73" t="e">
        <f t="shared" ca="1" si="25"/>
        <v>#NAME?</v>
      </c>
      <c r="V73">
        <f t="shared" si="15"/>
        <v>70</v>
      </c>
      <c r="W73" t="e">
        <f t="shared" ca="1" si="16"/>
        <v>#NAME?</v>
      </c>
      <c r="X73" t="e">
        <f t="shared" ca="1" si="17"/>
        <v>#NAME?</v>
      </c>
      <c r="Y73" t="e">
        <f t="shared" ca="1" si="18"/>
        <v>#NAME?</v>
      </c>
      <c r="Z73" t="e">
        <f t="shared" ca="1" si="19"/>
        <v>#NAME?</v>
      </c>
      <c r="AA73" t="e">
        <f t="shared" ca="1" si="20"/>
        <v>#NAME?</v>
      </c>
      <c r="AB73" t="e">
        <f t="shared" ca="1" si="21"/>
        <v>#NAME?</v>
      </c>
      <c r="AD73">
        <f t="shared" si="23"/>
        <v>70</v>
      </c>
      <c r="AE73">
        <f t="shared" si="24"/>
        <v>9.287731842051576</v>
      </c>
    </row>
    <row r="74" spans="1:31" x14ac:dyDescent="0.35">
      <c r="A74">
        <f t="shared" si="13"/>
        <v>71</v>
      </c>
      <c r="B74">
        <v>8.7948076969057745</v>
      </c>
      <c r="D74">
        <f t="shared" si="22"/>
        <v>71</v>
      </c>
      <c r="E74" t="e">
        <f t="shared" ca="1" si="14"/>
        <v>#NAME?</v>
      </c>
      <c r="F74" t="e">
        <f t="shared" ca="1" si="25"/>
        <v>#NAME?</v>
      </c>
      <c r="V74">
        <f t="shared" si="15"/>
        <v>71</v>
      </c>
      <c r="W74" t="e">
        <f t="shared" ca="1" si="16"/>
        <v>#NAME?</v>
      </c>
      <c r="X74" t="e">
        <f t="shared" ca="1" si="17"/>
        <v>#NAME?</v>
      </c>
      <c r="Y74" t="e">
        <f t="shared" ca="1" si="18"/>
        <v>#NAME?</v>
      </c>
      <c r="Z74" t="e">
        <f t="shared" ca="1" si="19"/>
        <v>#NAME?</v>
      </c>
      <c r="AA74" t="e">
        <f t="shared" ca="1" si="20"/>
        <v>#NAME?</v>
      </c>
      <c r="AB74" t="e">
        <f t="shared" ca="1" si="21"/>
        <v>#NAME?</v>
      </c>
      <c r="AD74">
        <f t="shared" si="23"/>
        <v>71</v>
      </c>
      <c r="AE74">
        <f t="shared" si="24"/>
        <v>8.7948076969057745</v>
      </c>
    </row>
    <row r="75" spans="1:31" x14ac:dyDescent="0.35">
      <c r="A75">
        <f t="shared" si="13"/>
        <v>72</v>
      </c>
      <c r="B75">
        <v>9.9521659452576507</v>
      </c>
      <c r="D75">
        <f t="shared" si="22"/>
        <v>72</v>
      </c>
      <c r="E75" t="e">
        <f t="shared" ca="1" si="14"/>
        <v>#NAME?</v>
      </c>
      <c r="F75" t="e">
        <f t="shared" ca="1" si="25"/>
        <v>#NAME?</v>
      </c>
      <c r="V75">
        <f t="shared" si="15"/>
        <v>72</v>
      </c>
      <c r="W75" t="e">
        <f t="shared" ca="1" si="16"/>
        <v>#NAME?</v>
      </c>
      <c r="X75" t="e">
        <f t="shared" ca="1" si="17"/>
        <v>#NAME?</v>
      </c>
      <c r="Y75" t="e">
        <f t="shared" ca="1" si="18"/>
        <v>#NAME?</v>
      </c>
      <c r="Z75" t="e">
        <f t="shared" ca="1" si="19"/>
        <v>#NAME?</v>
      </c>
      <c r="AA75" t="e">
        <f t="shared" ca="1" si="20"/>
        <v>#NAME?</v>
      </c>
      <c r="AB75" t="e">
        <f t="shared" ca="1" si="21"/>
        <v>#NAME?</v>
      </c>
      <c r="AD75">
        <f t="shared" si="23"/>
        <v>72</v>
      </c>
      <c r="AE75">
        <f t="shared" si="24"/>
        <v>9.9521659452576507</v>
      </c>
    </row>
    <row r="76" spans="1:31" x14ac:dyDescent="0.35">
      <c r="A76">
        <f t="shared" si="13"/>
        <v>73</v>
      </c>
      <c r="B76">
        <v>9.1465177932835431</v>
      </c>
      <c r="D76">
        <f t="shared" si="22"/>
        <v>73</v>
      </c>
      <c r="E76" t="e">
        <f t="shared" ca="1" si="14"/>
        <v>#NAME?</v>
      </c>
      <c r="F76" t="e">
        <f t="shared" ca="1" si="25"/>
        <v>#NAME?</v>
      </c>
      <c r="V76">
        <f t="shared" si="15"/>
        <v>73</v>
      </c>
      <c r="W76" t="e">
        <f t="shared" ca="1" si="16"/>
        <v>#NAME?</v>
      </c>
      <c r="X76" t="e">
        <f t="shared" ca="1" si="17"/>
        <v>#NAME?</v>
      </c>
      <c r="Y76" t="e">
        <f t="shared" ca="1" si="18"/>
        <v>#NAME?</v>
      </c>
      <c r="Z76" t="e">
        <f t="shared" ca="1" si="19"/>
        <v>#NAME?</v>
      </c>
      <c r="AA76" t="e">
        <f t="shared" ca="1" si="20"/>
        <v>#NAME?</v>
      </c>
      <c r="AB76" t="e">
        <f t="shared" ca="1" si="21"/>
        <v>#NAME?</v>
      </c>
      <c r="AD76">
        <f t="shared" si="23"/>
        <v>73</v>
      </c>
      <c r="AE76">
        <f t="shared" si="24"/>
        <v>9.1465177932835431</v>
      </c>
    </row>
    <row r="77" spans="1:31" x14ac:dyDescent="0.35">
      <c r="A77">
        <f t="shared" si="13"/>
        <v>74</v>
      </c>
      <c r="B77">
        <v>8.4120728228094741</v>
      </c>
      <c r="D77">
        <f t="shared" si="22"/>
        <v>74</v>
      </c>
      <c r="E77" t="e">
        <f t="shared" ca="1" si="14"/>
        <v>#NAME?</v>
      </c>
      <c r="F77" t="e">
        <f t="shared" ca="1" si="25"/>
        <v>#NAME?</v>
      </c>
      <c r="V77">
        <f t="shared" si="15"/>
        <v>74</v>
      </c>
      <c r="W77" t="e">
        <f t="shared" ca="1" si="16"/>
        <v>#NAME?</v>
      </c>
      <c r="X77" t="e">
        <f t="shared" ca="1" si="17"/>
        <v>#NAME?</v>
      </c>
      <c r="Y77" t="e">
        <f t="shared" ca="1" si="18"/>
        <v>#NAME?</v>
      </c>
      <c r="Z77" t="e">
        <f t="shared" ca="1" si="19"/>
        <v>#NAME?</v>
      </c>
      <c r="AA77" t="e">
        <f t="shared" ca="1" si="20"/>
        <v>#NAME?</v>
      </c>
      <c r="AB77" t="e">
        <f t="shared" ca="1" si="21"/>
        <v>#NAME?</v>
      </c>
      <c r="AD77">
        <f t="shared" si="23"/>
        <v>74</v>
      </c>
      <c r="AE77">
        <f t="shared" si="24"/>
        <v>8.4120728228094741</v>
      </c>
    </row>
    <row r="78" spans="1:31" x14ac:dyDescent="0.35">
      <c r="A78">
        <f t="shared" si="13"/>
        <v>75</v>
      </c>
      <c r="B78">
        <v>9.723847340624749</v>
      </c>
      <c r="D78">
        <f t="shared" si="22"/>
        <v>75</v>
      </c>
      <c r="E78" t="e">
        <f t="shared" ca="1" si="14"/>
        <v>#NAME?</v>
      </c>
      <c r="F78" t="e">
        <f t="shared" ca="1" si="25"/>
        <v>#NAME?</v>
      </c>
      <c r="V78">
        <f t="shared" si="15"/>
        <v>75</v>
      </c>
      <c r="W78" t="e">
        <f t="shared" ca="1" si="16"/>
        <v>#NAME?</v>
      </c>
      <c r="X78" t="e">
        <f t="shared" ca="1" si="17"/>
        <v>#NAME?</v>
      </c>
      <c r="Y78" t="e">
        <f t="shared" ca="1" si="18"/>
        <v>#NAME?</v>
      </c>
      <c r="Z78" t="e">
        <f t="shared" ca="1" si="19"/>
        <v>#NAME?</v>
      </c>
      <c r="AA78" t="e">
        <f t="shared" ca="1" si="20"/>
        <v>#NAME?</v>
      </c>
      <c r="AB78" t="e">
        <f t="shared" ca="1" si="21"/>
        <v>#NAME?</v>
      </c>
      <c r="AD78">
        <f t="shared" si="23"/>
        <v>75</v>
      </c>
      <c r="AE78">
        <f t="shared" si="24"/>
        <v>9.723847340624749</v>
      </c>
    </row>
    <row r="79" spans="1:31" x14ac:dyDescent="0.35">
      <c r="A79">
        <f t="shared" si="13"/>
        <v>76</v>
      </c>
      <c r="B79">
        <v>8.4487887533605939</v>
      </c>
      <c r="D79">
        <f t="shared" si="22"/>
        <v>76</v>
      </c>
      <c r="E79" t="e">
        <f t="shared" ca="1" si="14"/>
        <v>#NAME?</v>
      </c>
      <c r="F79" t="e">
        <f t="shared" ca="1" si="25"/>
        <v>#NAME?</v>
      </c>
      <c r="V79">
        <f t="shared" si="15"/>
        <v>76</v>
      </c>
      <c r="W79" t="e">
        <f t="shared" ca="1" si="16"/>
        <v>#NAME?</v>
      </c>
      <c r="X79" t="e">
        <f t="shared" ca="1" si="17"/>
        <v>#NAME?</v>
      </c>
      <c r="Y79" t="e">
        <f t="shared" ca="1" si="18"/>
        <v>#NAME?</v>
      </c>
      <c r="Z79" t="e">
        <f t="shared" ca="1" si="19"/>
        <v>#NAME?</v>
      </c>
      <c r="AA79" t="e">
        <f t="shared" ca="1" si="20"/>
        <v>#NAME?</v>
      </c>
      <c r="AB79" t="e">
        <f t="shared" ca="1" si="21"/>
        <v>#NAME?</v>
      </c>
      <c r="AD79">
        <f t="shared" si="23"/>
        <v>76</v>
      </c>
      <c r="AE79">
        <f t="shared" si="24"/>
        <v>8.4487887533605939</v>
      </c>
    </row>
    <row r="80" spans="1:31" x14ac:dyDescent="0.35">
      <c r="A80">
        <f t="shared" si="13"/>
        <v>77</v>
      </c>
      <c r="B80">
        <v>9.3091696279858951</v>
      </c>
      <c r="D80">
        <f t="shared" si="22"/>
        <v>77</v>
      </c>
      <c r="E80" t="e">
        <f t="shared" ca="1" si="14"/>
        <v>#NAME?</v>
      </c>
      <c r="F80" t="e">
        <f t="shared" ca="1" si="25"/>
        <v>#NAME?</v>
      </c>
      <c r="V80">
        <f t="shared" si="15"/>
        <v>77</v>
      </c>
      <c r="W80" t="e">
        <f t="shared" ca="1" si="16"/>
        <v>#NAME?</v>
      </c>
      <c r="X80" t="e">
        <f t="shared" ca="1" si="17"/>
        <v>#NAME?</v>
      </c>
      <c r="Y80" t="e">
        <f t="shared" ca="1" si="18"/>
        <v>#NAME?</v>
      </c>
      <c r="Z80" t="e">
        <f t="shared" ca="1" si="19"/>
        <v>#NAME?</v>
      </c>
      <c r="AA80" t="e">
        <f t="shared" ca="1" si="20"/>
        <v>#NAME?</v>
      </c>
      <c r="AB80" t="e">
        <f t="shared" ca="1" si="21"/>
        <v>#NAME?</v>
      </c>
      <c r="AD80">
        <f t="shared" si="23"/>
        <v>77</v>
      </c>
      <c r="AE80">
        <f t="shared" si="24"/>
        <v>9.3091696279858951</v>
      </c>
    </row>
    <row r="81" spans="1:31" x14ac:dyDescent="0.35">
      <c r="A81">
        <f t="shared" si="13"/>
        <v>78</v>
      </c>
      <c r="B81">
        <v>9.6290950722323778</v>
      </c>
      <c r="D81">
        <f t="shared" si="22"/>
        <v>78</v>
      </c>
      <c r="E81" t="e">
        <f t="shared" ca="1" si="14"/>
        <v>#NAME?</v>
      </c>
      <c r="F81" t="e">
        <f t="shared" ca="1" si="25"/>
        <v>#NAME?</v>
      </c>
      <c r="V81">
        <f t="shared" si="15"/>
        <v>78</v>
      </c>
      <c r="W81" t="e">
        <f t="shared" ca="1" si="16"/>
        <v>#NAME?</v>
      </c>
      <c r="X81" t="e">
        <f t="shared" ca="1" si="17"/>
        <v>#NAME?</v>
      </c>
      <c r="Y81" t="e">
        <f t="shared" ca="1" si="18"/>
        <v>#NAME?</v>
      </c>
      <c r="Z81" t="e">
        <f t="shared" ca="1" si="19"/>
        <v>#NAME?</v>
      </c>
      <c r="AA81" t="e">
        <f t="shared" ca="1" si="20"/>
        <v>#NAME?</v>
      </c>
      <c r="AB81" t="e">
        <f t="shared" ca="1" si="21"/>
        <v>#NAME?</v>
      </c>
      <c r="AD81">
        <f t="shared" si="23"/>
        <v>78</v>
      </c>
      <c r="AE81">
        <f t="shared" si="24"/>
        <v>9.6290950722323778</v>
      </c>
    </row>
    <row r="82" spans="1:31" x14ac:dyDescent="0.35">
      <c r="A82">
        <f t="shared" si="13"/>
        <v>79</v>
      </c>
      <c r="B82">
        <v>10.498754342121549</v>
      </c>
      <c r="D82">
        <f t="shared" si="22"/>
        <v>79</v>
      </c>
      <c r="E82" t="e">
        <f t="shared" ca="1" si="14"/>
        <v>#NAME?</v>
      </c>
      <c r="F82" t="e">
        <f t="shared" ca="1" si="25"/>
        <v>#NAME?</v>
      </c>
      <c r="V82">
        <f t="shared" si="15"/>
        <v>79</v>
      </c>
      <c r="W82" t="e">
        <f t="shared" ca="1" si="16"/>
        <v>#NAME?</v>
      </c>
      <c r="X82" t="e">
        <f t="shared" ca="1" si="17"/>
        <v>#NAME?</v>
      </c>
      <c r="Y82" t="e">
        <f t="shared" ca="1" si="18"/>
        <v>#NAME?</v>
      </c>
      <c r="Z82" t="e">
        <f t="shared" ca="1" si="19"/>
        <v>#NAME?</v>
      </c>
      <c r="AA82" t="e">
        <f t="shared" ca="1" si="20"/>
        <v>#NAME?</v>
      </c>
      <c r="AB82" t="e">
        <f t="shared" ca="1" si="21"/>
        <v>#NAME?</v>
      </c>
      <c r="AD82">
        <f t="shared" si="23"/>
        <v>79</v>
      </c>
      <c r="AE82">
        <f t="shared" si="24"/>
        <v>10.498754342121549</v>
      </c>
    </row>
    <row r="83" spans="1:31" x14ac:dyDescent="0.35">
      <c r="A83">
        <f t="shared" si="13"/>
        <v>80</v>
      </c>
      <c r="B83">
        <v>8.1345560346257617</v>
      </c>
      <c r="D83">
        <f t="shared" si="22"/>
        <v>80</v>
      </c>
      <c r="E83" t="e">
        <f t="shared" ca="1" si="14"/>
        <v>#NAME?</v>
      </c>
      <c r="F83" t="e">
        <f t="shared" ca="1" si="25"/>
        <v>#NAME?</v>
      </c>
      <c r="V83">
        <f t="shared" si="15"/>
        <v>80</v>
      </c>
      <c r="W83" t="e">
        <f t="shared" ca="1" si="16"/>
        <v>#NAME?</v>
      </c>
      <c r="X83" t="e">
        <f t="shared" ca="1" si="17"/>
        <v>#NAME?</v>
      </c>
      <c r="Y83" t="e">
        <f t="shared" ca="1" si="18"/>
        <v>#NAME?</v>
      </c>
      <c r="Z83" t="e">
        <f t="shared" ca="1" si="19"/>
        <v>#NAME?</v>
      </c>
      <c r="AA83" t="e">
        <f t="shared" ca="1" si="20"/>
        <v>#NAME?</v>
      </c>
      <c r="AB83" t="e">
        <f t="shared" ca="1" si="21"/>
        <v>#NAME?</v>
      </c>
      <c r="AD83">
        <f t="shared" si="23"/>
        <v>80</v>
      </c>
      <c r="AE83">
        <f t="shared" si="24"/>
        <v>8.1345560346257617</v>
      </c>
    </row>
    <row r="84" spans="1:31" x14ac:dyDescent="0.35">
      <c r="A84">
        <f t="shared" si="13"/>
        <v>81</v>
      </c>
      <c r="B84">
        <v>9.155183562363236</v>
      </c>
      <c r="D84">
        <f t="shared" si="22"/>
        <v>81</v>
      </c>
      <c r="E84" t="e">
        <f t="shared" ca="1" si="14"/>
        <v>#NAME?</v>
      </c>
      <c r="F84" t="e">
        <f t="shared" ca="1" si="25"/>
        <v>#NAME?</v>
      </c>
      <c r="V84">
        <f t="shared" si="15"/>
        <v>81</v>
      </c>
      <c r="W84" t="e">
        <f t="shared" ca="1" si="16"/>
        <v>#NAME?</v>
      </c>
      <c r="X84" t="e">
        <f t="shared" ca="1" si="17"/>
        <v>#NAME?</v>
      </c>
      <c r="Y84" t="e">
        <f t="shared" ca="1" si="18"/>
        <v>#NAME?</v>
      </c>
      <c r="Z84" t="e">
        <f t="shared" ca="1" si="19"/>
        <v>#NAME?</v>
      </c>
      <c r="AA84" t="e">
        <f t="shared" ca="1" si="20"/>
        <v>#NAME?</v>
      </c>
      <c r="AB84" t="e">
        <f t="shared" ca="1" si="21"/>
        <v>#NAME?</v>
      </c>
      <c r="AD84">
        <f t="shared" si="23"/>
        <v>81</v>
      </c>
      <c r="AE84">
        <f t="shared" si="24"/>
        <v>9.155183562363236</v>
      </c>
    </row>
    <row r="85" spans="1:31" x14ac:dyDescent="0.35">
      <c r="A85">
        <f t="shared" si="13"/>
        <v>82</v>
      </c>
      <c r="B85">
        <v>7.9920854400738497</v>
      </c>
      <c r="D85">
        <f t="shared" si="22"/>
        <v>82</v>
      </c>
      <c r="E85" t="e">
        <f t="shared" ca="1" si="14"/>
        <v>#NAME?</v>
      </c>
      <c r="F85" t="e">
        <f t="shared" ca="1" si="25"/>
        <v>#NAME?</v>
      </c>
      <c r="V85">
        <f t="shared" si="15"/>
        <v>82</v>
      </c>
      <c r="W85" t="e">
        <f t="shared" ca="1" si="16"/>
        <v>#NAME?</v>
      </c>
      <c r="X85" t="e">
        <f t="shared" ca="1" si="17"/>
        <v>#NAME?</v>
      </c>
      <c r="Y85" t="e">
        <f t="shared" ca="1" si="18"/>
        <v>#NAME?</v>
      </c>
      <c r="Z85" t="e">
        <f t="shared" ca="1" si="19"/>
        <v>#NAME?</v>
      </c>
      <c r="AA85" t="e">
        <f t="shared" ca="1" si="20"/>
        <v>#NAME?</v>
      </c>
      <c r="AB85" t="e">
        <f t="shared" ca="1" si="21"/>
        <v>#NAME?</v>
      </c>
      <c r="AD85">
        <f t="shared" si="23"/>
        <v>82</v>
      </c>
      <c r="AE85">
        <f t="shared" si="24"/>
        <v>7.9920854400738497</v>
      </c>
    </row>
    <row r="86" spans="1:31" x14ac:dyDescent="0.35">
      <c r="A86">
        <f t="shared" si="13"/>
        <v>83</v>
      </c>
      <c r="B86">
        <v>10.439526996669359</v>
      </c>
      <c r="D86">
        <f t="shared" si="22"/>
        <v>83</v>
      </c>
      <c r="E86" t="e">
        <f t="shared" ca="1" si="14"/>
        <v>#NAME?</v>
      </c>
      <c r="F86" t="e">
        <f t="shared" ca="1" si="25"/>
        <v>#NAME?</v>
      </c>
      <c r="V86">
        <f t="shared" si="15"/>
        <v>83</v>
      </c>
      <c r="W86" t="e">
        <f t="shared" ca="1" si="16"/>
        <v>#NAME?</v>
      </c>
      <c r="X86" t="e">
        <f t="shared" ca="1" si="17"/>
        <v>#NAME?</v>
      </c>
      <c r="Y86" t="e">
        <f t="shared" ca="1" si="18"/>
        <v>#NAME?</v>
      </c>
      <c r="Z86" t="e">
        <f t="shared" ca="1" si="19"/>
        <v>#NAME?</v>
      </c>
      <c r="AA86" t="e">
        <f t="shared" ca="1" si="20"/>
        <v>#NAME?</v>
      </c>
      <c r="AB86" t="e">
        <f t="shared" ca="1" si="21"/>
        <v>#NAME?</v>
      </c>
      <c r="AD86">
        <f t="shared" si="23"/>
        <v>83</v>
      </c>
      <c r="AE86">
        <f t="shared" si="24"/>
        <v>10.439526996669359</v>
      </c>
    </row>
    <row r="87" spans="1:31" x14ac:dyDescent="0.35">
      <c r="A87">
        <f t="shared" si="13"/>
        <v>84</v>
      </c>
      <c r="B87">
        <v>11.175252728421926</v>
      </c>
      <c r="D87">
        <f t="shared" si="22"/>
        <v>84</v>
      </c>
      <c r="E87" t="e">
        <f t="shared" ca="1" si="14"/>
        <v>#NAME?</v>
      </c>
      <c r="F87" t="e">
        <f t="shared" ca="1" si="25"/>
        <v>#NAME?</v>
      </c>
      <c r="V87">
        <f t="shared" si="15"/>
        <v>84</v>
      </c>
      <c r="W87" t="e">
        <f t="shared" ca="1" si="16"/>
        <v>#NAME?</v>
      </c>
      <c r="X87" t="e">
        <f t="shared" ca="1" si="17"/>
        <v>#NAME?</v>
      </c>
      <c r="Y87" t="e">
        <f t="shared" ca="1" si="18"/>
        <v>#NAME?</v>
      </c>
      <c r="Z87" t="e">
        <f t="shared" ca="1" si="19"/>
        <v>#NAME?</v>
      </c>
      <c r="AA87" t="e">
        <f t="shared" ca="1" si="20"/>
        <v>#NAME?</v>
      </c>
      <c r="AB87" t="e">
        <f t="shared" ca="1" si="21"/>
        <v>#NAME?</v>
      </c>
      <c r="AD87">
        <f t="shared" si="23"/>
        <v>84</v>
      </c>
      <c r="AE87">
        <f t="shared" si="24"/>
        <v>11.175252728421926</v>
      </c>
    </row>
    <row r="88" spans="1:31" x14ac:dyDescent="0.35">
      <c r="A88">
        <f t="shared" si="13"/>
        <v>85</v>
      </c>
      <c r="B88">
        <v>9.9215034890634719</v>
      </c>
      <c r="D88">
        <f t="shared" si="22"/>
        <v>85</v>
      </c>
      <c r="E88" t="e">
        <f t="shared" ca="1" si="14"/>
        <v>#NAME?</v>
      </c>
      <c r="F88" t="e">
        <f t="shared" ca="1" si="25"/>
        <v>#NAME?</v>
      </c>
      <c r="V88">
        <f t="shared" si="15"/>
        <v>85</v>
      </c>
      <c r="W88" t="e">
        <f t="shared" ca="1" si="16"/>
        <v>#NAME?</v>
      </c>
      <c r="X88" t="e">
        <f t="shared" ca="1" si="17"/>
        <v>#NAME?</v>
      </c>
      <c r="Y88" t="e">
        <f t="shared" ca="1" si="18"/>
        <v>#NAME?</v>
      </c>
      <c r="Z88" t="e">
        <f t="shared" ca="1" si="19"/>
        <v>#NAME?</v>
      </c>
      <c r="AA88" t="e">
        <f t="shared" ca="1" si="20"/>
        <v>#NAME?</v>
      </c>
      <c r="AB88" t="e">
        <f t="shared" ca="1" si="21"/>
        <v>#NAME?</v>
      </c>
      <c r="AD88">
        <f t="shared" si="23"/>
        <v>85</v>
      </c>
      <c r="AE88">
        <f t="shared" si="24"/>
        <v>9.9215034890634719</v>
      </c>
    </row>
    <row r="89" spans="1:31" x14ac:dyDescent="0.35">
      <c r="A89">
        <f t="shared" si="13"/>
        <v>86</v>
      </c>
      <c r="B89">
        <v>10.653018863925139</v>
      </c>
      <c r="D89">
        <f t="shared" si="22"/>
        <v>86</v>
      </c>
      <c r="E89" t="e">
        <f t="shared" ca="1" si="14"/>
        <v>#NAME?</v>
      </c>
      <c r="F89" t="e">
        <f t="shared" ca="1" si="25"/>
        <v>#NAME?</v>
      </c>
      <c r="V89">
        <f t="shared" si="15"/>
        <v>86</v>
      </c>
      <c r="W89" t="e">
        <f t="shared" ca="1" si="16"/>
        <v>#NAME?</v>
      </c>
      <c r="X89" t="e">
        <f t="shared" ca="1" si="17"/>
        <v>#NAME?</v>
      </c>
      <c r="Y89" t="e">
        <f t="shared" ca="1" si="18"/>
        <v>#NAME?</v>
      </c>
      <c r="Z89" t="e">
        <f t="shared" ca="1" si="19"/>
        <v>#NAME?</v>
      </c>
      <c r="AA89" t="e">
        <f t="shared" ca="1" si="20"/>
        <v>#NAME?</v>
      </c>
      <c r="AB89" t="e">
        <f t="shared" ca="1" si="21"/>
        <v>#NAME?</v>
      </c>
      <c r="AD89">
        <f t="shared" si="23"/>
        <v>86</v>
      </c>
      <c r="AE89">
        <f t="shared" si="24"/>
        <v>10.653018863925139</v>
      </c>
    </row>
    <row r="90" spans="1:31" x14ac:dyDescent="0.35">
      <c r="A90">
        <f t="shared" si="13"/>
        <v>87</v>
      </c>
      <c r="B90">
        <v>10.300965035959745</v>
      </c>
      <c r="D90">
        <f t="shared" si="22"/>
        <v>87</v>
      </c>
      <c r="E90" t="e">
        <f t="shared" ca="1" si="14"/>
        <v>#NAME?</v>
      </c>
      <c r="F90" t="e">
        <f t="shared" ca="1" si="25"/>
        <v>#NAME?</v>
      </c>
      <c r="V90">
        <f t="shared" si="15"/>
        <v>87</v>
      </c>
      <c r="W90" t="e">
        <f t="shared" ca="1" si="16"/>
        <v>#NAME?</v>
      </c>
      <c r="X90" t="e">
        <f t="shared" ca="1" si="17"/>
        <v>#NAME?</v>
      </c>
      <c r="Y90" t="e">
        <f t="shared" ca="1" si="18"/>
        <v>#NAME?</v>
      </c>
      <c r="Z90" t="e">
        <f t="shared" ca="1" si="19"/>
        <v>#NAME?</v>
      </c>
      <c r="AA90" t="e">
        <f t="shared" ca="1" si="20"/>
        <v>#NAME?</v>
      </c>
      <c r="AB90" t="e">
        <f t="shared" ca="1" si="21"/>
        <v>#NAME?</v>
      </c>
      <c r="AD90">
        <f t="shared" si="23"/>
        <v>87</v>
      </c>
      <c r="AE90">
        <f t="shared" si="24"/>
        <v>10.300965035959745</v>
      </c>
    </row>
    <row r="91" spans="1:31" x14ac:dyDescent="0.35">
      <c r="A91">
        <f t="shared" si="13"/>
        <v>88</v>
      </c>
      <c r="B91">
        <v>9.322711642040451</v>
      </c>
      <c r="D91">
        <f t="shared" si="22"/>
        <v>88</v>
      </c>
      <c r="E91" t="e">
        <f t="shared" ca="1" si="14"/>
        <v>#NAME?</v>
      </c>
      <c r="F91" t="e">
        <f t="shared" ca="1" si="25"/>
        <v>#NAME?</v>
      </c>
      <c r="V91">
        <f t="shared" si="15"/>
        <v>88</v>
      </c>
      <c r="W91" t="e">
        <f t="shared" ca="1" si="16"/>
        <v>#NAME?</v>
      </c>
      <c r="X91" t="e">
        <f t="shared" ca="1" si="17"/>
        <v>#NAME?</v>
      </c>
      <c r="Y91" t="e">
        <f t="shared" ca="1" si="18"/>
        <v>#NAME?</v>
      </c>
      <c r="Z91" t="e">
        <f t="shared" ca="1" si="19"/>
        <v>#NAME?</v>
      </c>
      <c r="AA91" t="e">
        <f t="shared" ca="1" si="20"/>
        <v>#NAME?</v>
      </c>
      <c r="AB91" t="e">
        <f t="shared" ca="1" si="21"/>
        <v>#NAME?</v>
      </c>
      <c r="AD91">
        <f t="shared" si="23"/>
        <v>88</v>
      </c>
      <c r="AE91">
        <f t="shared" si="24"/>
        <v>9.322711642040451</v>
      </c>
    </row>
    <row r="92" spans="1:31" x14ac:dyDescent="0.35">
      <c r="A92">
        <f t="shared" si="13"/>
        <v>89</v>
      </c>
      <c r="B92">
        <v>11.208496897982</v>
      </c>
      <c r="D92">
        <f t="shared" si="22"/>
        <v>89</v>
      </c>
      <c r="E92" t="e">
        <f t="shared" ca="1" si="14"/>
        <v>#NAME?</v>
      </c>
      <c r="F92" t="e">
        <f t="shared" ca="1" si="25"/>
        <v>#NAME?</v>
      </c>
      <c r="V92">
        <f t="shared" si="15"/>
        <v>89</v>
      </c>
      <c r="W92" t="e">
        <f t="shared" ca="1" si="16"/>
        <v>#NAME?</v>
      </c>
      <c r="X92" t="e">
        <f t="shared" ca="1" si="17"/>
        <v>#NAME?</v>
      </c>
      <c r="Y92" t="e">
        <f t="shared" ca="1" si="18"/>
        <v>#NAME?</v>
      </c>
      <c r="Z92" t="e">
        <f t="shared" ca="1" si="19"/>
        <v>#NAME?</v>
      </c>
      <c r="AA92" t="e">
        <f t="shared" ca="1" si="20"/>
        <v>#NAME?</v>
      </c>
      <c r="AB92" t="e">
        <f t="shared" ca="1" si="21"/>
        <v>#NAME?</v>
      </c>
      <c r="AD92">
        <f t="shared" si="23"/>
        <v>89</v>
      </c>
      <c r="AE92">
        <f t="shared" si="24"/>
        <v>11.208496897982</v>
      </c>
    </row>
    <row r="93" spans="1:31" x14ac:dyDescent="0.35">
      <c r="A93">
        <f t="shared" si="13"/>
        <v>90</v>
      </c>
      <c r="B93">
        <v>9.8337122512150579</v>
      </c>
      <c r="D93">
        <f t="shared" si="22"/>
        <v>90</v>
      </c>
      <c r="E93" t="e">
        <f t="shared" ca="1" si="14"/>
        <v>#NAME?</v>
      </c>
      <c r="F93" t="e">
        <f t="shared" ca="1" si="25"/>
        <v>#NAME?</v>
      </c>
      <c r="V93">
        <f t="shared" si="15"/>
        <v>90</v>
      </c>
      <c r="W93" t="e">
        <f t="shared" ca="1" si="16"/>
        <v>#NAME?</v>
      </c>
      <c r="X93" t="e">
        <f t="shared" ca="1" si="17"/>
        <v>#NAME?</v>
      </c>
      <c r="Y93" t="e">
        <f t="shared" ca="1" si="18"/>
        <v>#NAME?</v>
      </c>
      <c r="Z93" t="e">
        <f t="shared" ca="1" si="19"/>
        <v>#NAME?</v>
      </c>
      <c r="AA93" t="e">
        <f t="shared" ca="1" si="20"/>
        <v>#NAME?</v>
      </c>
      <c r="AB93" t="e">
        <f t="shared" ca="1" si="21"/>
        <v>#NAME?</v>
      </c>
      <c r="AD93">
        <f t="shared" si="23"/>
        <v>90</v>
      </c>
      <c r="AE93">
        <f t="shared" si="24"/>
        <v>9.8337122512150579</v>
      </c>
    </row>
    <row r="94" spans="1:31" x14ac:dyDescent="0.35">
      <c r="A94">
        <f t="shared" si="13"/>
        <v>91</v>
      </c>
      <c r="B94">
        <v>11.009228904367124</v>
      </c>
      <c r="D94">
        <f t="shared" si="22"/>
        <v>91</v>
      </c>
      <c r="E94" t="e">
        <f t="shared" ca="1" si="14"/>
        <v>#NAME?</v>
      </c>
      <c r="F94" t="e">
        <f t="shared" ca="1" si="25"/>
        <v>#NAME?</v>
      </c>
      <c r="V94">
        <f t="shared" si="15"/>
        <v>91</v>
      </c>
      <c r="W94" t="e">
        <f t="shared" ca="1" si="16"/>
        <v>#NAME?</v>
      </c>
      <c r="X94" t="e">
        <f t="shared" ca="1" si="17"/>
        <v>#NAME?</v>
      </c>
      <c r="Y94" t="e">
        <f t="shared" ca="1" si="18"/>
        <v>#NAME?</v>
      </c>
      <c r="Z94" t="e">
        <f t="shared" ca="1" si="19"/>
        <v>#NAME?</v>
      </c>
      <c r="AA94" t="e">
        <f t="shared" ca="1" si="20"/>
        <v>#NAME?</v>
      </c>
      <c r="AB94" t="e">
        <f t="shared" ca="1" si="21"/>
        <v>#NAME?</v>
      </c>
      <c r="AD94">
        <f t="shared" si="23"/>
        <v>91</v>
      </c>
      <c r="AE94">
        <f t="shared" si="24"/>
        <v>11.009228904367124</v>
      </c>
    </row>
    <row r="95" spans="1:31" x14ac:dyDescent="0.35">
      <c r="A95">
        <f t="shared" si="13"/>
        <v>92</v>
      </c>
      <c r="B95">
        <v>9.672211664259164</v>
      </c>
      <c r="D95">
        <f t="shared" si="22"/>
        <v>92</v>
      </c>
      <c r="E95" t="e">
        <f t="shared" ca="1" si="14"/>
        <v>#NAME?</v>
      </c>
      <c r="F95" t="e">
        <f t="shared" ca="1" si="25"/>
        <v>#NAME?</v>
      </c>
      <c r="V95">
        <f t="shared" si="15"/>
        <v>92</v>
      </c>
      <c r="W95" t="e">
        <f t="shared" ca="1" si="16"/>
        <v>#NAME?</v>
      </c>
      <c r="X95" t="e">
        <f t="shared" ca="1" si="17"/>
        <v>#NAME?</v>
      </c>
      <c r="Y95" t="e">
        <f t="shared" ca="1" si="18"/>
        <v>#NAME?</v>
      </c>
      <c r="Z95" t="e">
        <f t="shared" ca="1" si="19"/>
        <v>#NAME?</v>
      </c>
      <c r="AA95" t="e">
        <f t="shared" ca="1" si="20"/>
        <v>#NAME?</v>
      </c>
      <c r="AB95" t="e">
        <f t="shared" ca="1" si="21"/>
        <v>#NAME?</v>
      </c>
      <c r="AD95">
        <f t="shared" si="23"/>
        <v>92</v>
      </c>
      <c r="AE95">
        <f t="shared" si="24"/>
        <v>9.672211664259164</v>
      </c>
    </row>
    <row r="96" spans="1:31" x14ac:dyDescent="0.35">
      <c r="A96">
        <f t="shared" si="13"/>
        <v>93</v>
      </c>
      <c r="B96">
        <v>8.0220551654262664</v>
      </c>
      <c r="D96">
        <f t="shared" si="22"/>
        <v>93</v>
      </c>
      <c r="E96" t="e">
        <f t="shared" ca="1" si="14"/>
        <v>#NAME?</v>
      </c>
      <c r="F96" t="e">
        <f t="shared" ca="1" si="25"/>
        <v>#NAME?</v>
      </c>
      <c r="V96">
        <f t="shared" si="15"/>
        <v>93</v>
      </c>
      <c r="W96" t="e">
        <f t="shared" ca="1" si="16"/>
        <v>#NAME?</v>
      </c>
      <c r="X96" t="e">
        <f t="shared" ca="1" si="17"/>
        <v>#NAME?</v>
      </c>
      <c r="Y96" t="e">
        <f t="shared" ca="1" si="18"/>
        <v>#NAME?</v>
      </c>
      <c r="Z96" t="e">
        <f t="shared" ca="1" si="19"/>
        <v>#NAME?</v>
      </c>
      <c r="AA96" t="e">
        <f t="shared" ca="1" si="20"/>
        <v>#NAME?</v>
      </c>
      <c r="AB96" t="e">
        <f t="shared" ca="1" si="21"/>
        <v>#NAME?</v>
      </c>
      <c r="AD96">
        <f t="shared" si="23"/>
        <v>93</v>
      </c>
      <c r="AE96">
        <f t="shared" si="24"/>
        <v>8.0220551654262664</v>
      </c>
    </row>
    <row r="97" spans="1:31" x14ac:dyDescent="0.35">
      <c r="A97">
        <f t="shared" si="13"/>
        <v>94</v>
      </c>
      <c r="B97">
        <v>9.1001604867082797</v>
      </c>
      <c r="D97">
        <f t="shared" si="22"/>
        <v>94</v>
      </c>
      <c r="E97" t="e">
        <f t="shared" ca="1" si="14"/>
        <v>#NAME?</v>
      </c>
      <c r="F97" t="e">
        <f t="shared" ca="1" si="25"/>
        <v>#NAME?</v>
      </c>
      <c r="V97">
        <f t="shared" si="15"/>
        <v>94</v>
      </c>
      <c r="W97" t="e">
        <f t="shared" ca="1" si="16"/>
        <v>#NAME?</v>
      </c>
      <c r="X97" t="e">
        <f t="shared" ca="1" si="17"/>
        <v>#NAME?</v>
      </c>
      <c r="Y97" t="e">
        <f t="shared" ca="1" si="18"/>
        <v>#NAME?</v>
      </c>
      <c r="Z97" t="e">
        <f t="shared" ca="1" si="19"/>
        <v>#NAME?</v>
      </c>
      <c r="AA97" t="e">
        <f t="shared" ca="1" si="20"/>
        <v>#NAME?</v>
      </c>
      <c r="AB97" t="e">
        <f t="shared" ca="1" si="21"/>
        <v>#NAME?</v>
      </c>
      <c r="AD97">
        <f t="shared" si="23"/>
        <v>94</v>
      </c>
      <c r="AE97">
        <f t="shared" si="24"/>
        <v>9.1001604867082797</v>
      </c>
    </row>
    <row r="98" spans="1:31" x14ac:dyDescent="0.35">
      <c r="A98">
        <f t="shared" si="13"/>
        <v>95</v>
      </c>
      <c r="B98">
        <v>10.293563569831946</v>
      </c>
      <c r="D98">
        <f t="shared" si="22"/>
        <v>95</v>
      </c>
      <c r="E98" t="e">
        <f t="shared" ca="1" si="14"/>
        <v>#NAME?</v>
      </c>
      <c r="F98" t="e">
        <f t="shared" ca="1" si="25"/>
        <v>#NAME?</v>
      </c>
      <c r="V98">
        <f t="shared" si="15"/>
        <v>95</v>
      </c>
      <c r="W98" t="e">
        <f t="shared" ca="1" si="16"/>
        <v>#NAME?</v>
      </c>
      <c r="X98" t="e">
        <f t="shared" ca="1" si="17"/>
        <v>#NAME?</v>
      </c>
      <c r="Y98" t="e">
        <f t="shared" ca="1" si="18"/>
        <v>#NAME?</v>
      </c>
      <c r="Z98" t="e">
        <f t="shared" ca="1" si="19"/>
        <v>#NAME?</v>
      </c>
      <c r="AA98" t="e">
        <f t="shared" ca="1" si="20"/>
        <v>#NAME?</v>
      </c>
      <c r="AB98" t="e">
        <f t="shared" ca="1" si="21"/>
        <v>#NAME?</v>
      </c>
      <c r="AD98">
        <f t="shared" si="23"/>
        <v>95</v>
      </c>
      <c r="AE98">
        <f t="shared" si="24"/>
        <v>10.293563569831946</v>
      </c>
    </row>
    <row r="99" spans="1:31" x14ac:dyDescent="0.35">
      <c r="A99">
        <f t="shared" si="13"/>
        <v>96</v>
      </c>
      <c r="B99">
        <v>10.874137892356456</v>
      </c>
      <c r="D99">
        <f t="shared" si="22"/>
        <v>96</v>
      </c>
      <c r="E99" t="e">
        <f t="shared" ca="1" si="14"/>
        <v>#NAME?</v>
      </c>
      <c r="F99" t="e">
        <f t="shared" ca="1" si="25"/>
        <v>#NAME?</v>
      </c>
      <c r="V99">
        <f t="shared" si="15"/>
        <v>96</v>
      </c>
      <c r="W99" t="e">
        <f t="shared" ca="1" si="16"/>
        <v>#NAME?</v>
      </c>
      <c r="X99" t="e">
        <f t="shared" ca="1" si="17"/>
        <v>#NAME?</v>
      </c>
      <c r="Y99" t="e">
        <f t="shared" ca="1" si="18"/>
        <v>#NAME?</v>
      </c>
      <c r="Z99" t="e">
        <f t="shared" ca="1" si="19"/>
        <v>#NAME?</v>
      </c>
      <c r="AA99" t="e">
        <f t="shared" ca="1" si="20"/>
        <v>#NAME?</v>
      </c>
      <c r="AB99" t="e">
        <f t="shared" ca="1" si="21"/>
        <v>#NAME?</v>
      </c>
      <c r="AD99">
        <f t="shared" si="23"/>
        <v>96</v>
      </c>
      <c r="AE99">
        <f t="shared" si="24"/>
        <v>10.874137892356456</v>
      </c>
    </row>
    <row r="100" spans="1:31" x14ac:dyDescent="0.35">
      <c r="A100">
        <f t="shared" si="13"/>
        <v>97</v>
      </c>
      <c r="B100">
        <v>11.048588930382071</v>
      </c>
      <c r="D100">
        <f t="shared" si="22"/>
        <v>97</v>
      </c>
      <c r="E100" t="e">
        <f t="shared" ca="1" si="14"/>
        <v>#NAME?</v>
      </c>
      <c r="F100" t="e">
        <f t="shared" ca="1" si="25"/>
        <v>#NAME?</v>
      </c>
      <c r="V100">
        <f t="shared" si="15"/>
        <v>97</v>
      </c>
      <c r="W100" t="e">
        <f t="shared" ca="1" si="16"/>
        <v>#NAME?</v>
      </c>
      <c r="X100" t="e">
        <f t="shared" ca="1" si="17"/>
        <v>#NAME?</v>
      </c>
      <c r="Y100" t="e">
        <f t="shared" ca="1" si="18"/>
        <v>#NAME?</v>
      </c>
      <c r="Z100" t="e">
        <f t="shared" ca="1" si="19"/>
        <v>#NAME?</v>
      </c>
      <c r="AA100" t="e">
        <f t="shared" ca="1" si="20"/>
        <v>#NAME?</v>
      </c>
      <c r="AB100" t="e">
        <f t="shared" ca="1" si="21"/>
        <v>#NAME?</v>
      </c>
      <c r="AD100">
        <f t="shared" si="23"/>
        <v>97</v>
      </c>
      <c r="AE100">
        <f t="shared" si="24"/>
        <v>11.048588930382071</v>
      </c>
    </row>
    <row r="101" spans="1:31" x14ac:dyDescent="0.35">
      <c r="A101">
        <f t="shared" si="13"/>
        <v>98</v>
      </c>
      <c r="B101">
        <v>10.377103608405847</v>
      </c>
      <c r="D101">
        <f t="shared" si="22"/>
        <v>98</v>
      </c>
      <c r="E101" t="e">
        <f t="shared" ca="1" si="14"/>
        <v>#NAME?</v>
      </c>
      <c r="F101" t="e">
        <f t="shared" ca="1" si="25"/>
        <v>#NAME?</v>
      </c>
      <c r="V101">
        <f t="shared" si="15"/>
        <v>98</v>
      </c>
      <c r="W101" t="e">
        <f t="shared" ca="1" si="16"/>
        <v>#NAME?</v>
      </c>
      <c r="X101" t="e">
        <f t="shared" ca="1" si="17"/>
        <v>#NAME?</v>
      </c>
      <c r="Y101" t="e">
        <f t="shared" ca="1" si="18"/>
        <v>#NAME?</v>
      </c>
      <c r="Z101" t="e">
        <f t="shared" ca="1" si="19"/>
        <v>#NAME?</v>
      </c>
      <c r="AA101" t="e">
        <f t="shared" ca="1" si="20"/>
        <v>#NAME?</v>
      </c>
      <c r="AB101" t="e">
        <f t="shared" ca="1" si="21"/>
        <v>#NAME?</v>
      </c>
      <c r="AD101">
        <f t="shared" si="23"/>
        <v>98</v>
      </c>
      <c r="AE101">
        <f t="shared" si="24"/>
        <v>10.377103608405847</v>
      </c>
    </row>
    <row r="102" spans="1:31" x14ac:dyDescent="0.35">
      <c r="A102">
        <f t="shared" si="13"/>
        <v>99</v>
      </c>
      <c r="B102">
        <v>11.10073340647541</v>
      </c>
      <c r="D102">
        <f t="shared" si="22"/>
        <v>99</v>
      </c>
      <c r="E102" t="e">
        <f t="shared" ca="1" si="14"/>
        <v>#NAME?</v>
      </c>
      <c r="F102" t="e">
        <f t="shared" ca="1" si="25"/>
        <v>#NAME?</v>
      </c>
      <c r="V102">
        <f t="shared" si="15"/>
        <v>99</v>
      </c>
      <c r="W102" t="e">
        <f t="shared" ca="1" si="16"/>
        <v>#NAME?</v>
      </c>
      <c r="X102" t="e">
        <f t="shared" ca="1" si="17"/>
        <v>#NAME?</v>
      </c>
      <c r="Y102" t="e">
        <f t="shared" ca="1" si="18"/>
        <v>#NAME?</v>
      </c>
      <c r="Z102" t="e">
        <f t="shared" ca="1" si="19"/>
        <v>#NAME?</v>
      </c>
      <c r="AA102" t="e">
        <f t="shared" ca="1" si="20"/>
        <v>#NAME?</v>
      </c>
      <c r="AB102" t="e">
        <f t="shared" ca="1" si="21"/>
        <v>#NAME?</v>
      </c>
      <c r="AD102">
        <f t="shared" si="23"/>
        <v>99</v>
      </c>
      <c r="AE102">
        <f t="shared" si="24"/>
        <v>11.10073340647541</v>
      </c>
    </row>
    <row r="103" spans="1:31" x14ac:dyDescent="0.35">
      <c r="A103">
        <f t="shared" si="13"/>
        <v>100</v>
      </c>
      <c r="B103">
        <v>9.5564566897714425</v>
      </c>
      <c r="D103">
        <f t="shared" si="22"/>
        <v>100</v>
      </c>
      <c r="E103" t="e">
        <f t="shared" ca="1" si="14"/>
        <v>#NAME?</v>
      </c>
      <c r="F103" t="e">
        <f t="shared" ca="1" si="25"/>
        <v>#NAME?</v>
      </c>
      <c r="V103">
        <f t="shared" si="15"/>
        <v>100</v>
      </c>
      <c r="W103" t="e">
        <f t="shared" ca="1" si="16"/>
        <v>#NAME?</v>
      </c>
      <c r="X103" t="e">
        <f t="shared" ca="1" si="17"/>
        <v>#NAME?</v>
      </c>
      <c r="Y103" t="e">
        <f t="shared" ca="1" si="18"/>
        <v>#NAME?</v>
      </c>
      <c r="Z103" t="e">
        <f t="shared" ca="1" si="19"/>
        <v>#NAME?</v>
      </c>
      <c r="AA103" t="e">
        <f t="shared" ca="1" si="20"/>
        <v>#NAME?</v>
      </c>
      <c r="AB103" t="e">
        <f t="shared" ca="1" si="21"/>
        <v>#NAME?</v>
      </c>
      <c r="AD103">
        <f t="shared" si="23"/>
        <v>100</v>
      </c>
      <c r="AE103">
        <f t="shared" si="24"/>
        <v>9.5564566897714425</v>
      </c>
    </row>
    <row r="104" spans="1:31" x14ac:dyDescent="0.35">
      <c r="A104">
        <f t="shared" si="13"/>
        <v>101</v>
      </c>
      <c r="B104">
        <v>10.126612012197914</v>
      </c>
      <c r="D104">
        <f t="shared" si="22"/>
        <v>101</v>
      </c>
      <c r="E104" t="e">
        <f t="shared" ca="1" si="14"/>
        <v>#NAME?</v>
      </c>
      <c r="F104" t="e">
        <f t="shared" ca="1" si="25"/>
        <v>#NAME?</v>
      </c>
      <c r="V104">
        <f t="shared" si="15"/>
        <v>101</v>
      </c>
      <c r="W104" t="e">
        <f t="shared" ca="1" si="16"/>
        <v>#NAME?</v>
      </c>
      <c r="X104" t="e">
        <f t="shared" ca="1" si="17"/>
        <v>#NAME?</v>
      </c>
      <c r="Y104" t="e">
        <f t="shared" ca="1" si="18"/>
        <v>#NAME?</v>
      </c>
      <c r="Z104" t="e">
        <f t="shared" ca="1" si="19"/>
        <v>#NAME?</v>
      </c>
      <c r="AA104" t="e">
        <f t="shared" ca="1" si="20"/>
        <v>#NAME?</v>
      </c>
      <c r="AB104" t="e">
        <f t="shared" ca="1" si="21"/>
        <v>#NAME?</v>
      </c>
      <c r="AD104">
        <f t="shared" si="23"/>
        <v>101</v>
      </c>
      <c r="AE104">
        <f t="shared" si="24"/>
        <v>10.126612012197914</v>
      </c>
    </row>
    <row r="105" spans="1:31" x14ac:dyDescent="0.35">
      <c r="A105">
        <f t="shared" si="13"/>
        <v>102</v>
      </c>
      <c r="B105">
        <v>10.618656799718755</v>
      </c>
      <c r="D105">
        <f t="shared" si="22"/>
        <v>102</v>
      </c>
      <c r="E105" t="e">
        <f t="shared" ca="1" si="14"/>
        <v>#NAME?</v>
      </c>
      <c r="F105" t="e">
        <f t="shared" ca="1" si="25"/>
        <v>#NAME?</v>
      </c>
      <c r="V105">
        <f t="shared" si="15"/>
        <v>102</v>
      </c>
      <c r="W105" t="e">
        <f t="shared" ca="1" si="16"/>
        <v>#NAME?</v>
      </c>
      <c r="X105" t="e">
        <f t="shared" ca="1" si="17"/>
        <v>#NAME?</v>
      </c>
      <c r="Y105" t="e">
        <f t="shared" ca="1" si="18"/>
        <v>#NAME?</v>
      </c>
      <c r="Z105" t="e">
        <f t="shared" ca="1" si="19"/>
        <v>#NAME?</v>
      </c>
      <c r="AA105" t="e">
        <f t="shared" ca="1" si="20"/>
        <v>#NAME?</v>
      </c>
      <c r="AB105" t="e">
        <f t="shared" ca="1" si="21"/>
        <v>#NAME?</v>
      </c>
      <c r="AD105">
        <f t="shared" si="23"/>
        <v>102</v>
      </c>
      <c r="AE105">
        <f t="shared" si="24"/>
        <v>10.618656799718755</v>
      </c>
    </row>
    <row r="106" spans="1:31" x14ac:dyDescent="0.35">
      <c r="A106">
        <f t="shared" si="13"/>
        <v>103</v>
      </c>
      <c r="B106">
        <v>11.369377647513675</v>
      </c>
      <c r="D106">
        <f t="shared" si="22"/>
        <v>103</v>
      </c>
      <c r="E106" t="e">
        <f t="shared" ca="1" si="14"/>
        <v>#NAME?</v>
      </c>
      <c r="F106" t="e">
        <f t="shared" ca="1" si="25"/>
        <v>#NAME?</v>
      </c>
      <c r="V106">
        <f t="shared" si="15"/>
        <v>103</v>
      </c>
      <c r="W106" t="e">
        <f t="shared" ca="1" si="16"/>
        <v>#NAME?</v>
      </c>
      <c r="X106" t="e">
        <f t="shared" ca="1" si="17"/>
        <v>#NAME?</v>
      </c>
      <c r="Y106" t="e">
        <f t="shared" ca="1" si="18"/>
        <v>#NAME?</v>
      </c>
      <c r="Z106" t="e">
        <f t="shared" ca="1" si="19"/>
        <v>#NAME?</v>
      </c>
      <c r="AA106" t="e">
        <f t="shared" ca="1" si="20"/>
        <v>#NAME?</v>
      </c>
      <c r="AB106" t="e">
        <f t="shared" ca="1" si="21"/>
        <v>#NAME?</v>
      </c>
      <c r="AD106">
        <f t="shared" si="23"/>
        <v>103</v>
      </c>
      <c r="AE106">
        <f t="shared" si="24"/>
        <v>11.369377647513675</v>
      </c>
    </row>
    <row r="107" spans="1:31" x14ac:dyDescent="0.35">
      <c r="A107">
        <f t="shared" si="13"/>
        <v>104</v>
      </c>
      <c r="B107">
        <v>10.761442220235375</v>
      </c>
      <c r="D107" s="4">
        <f t="shared" si="22"/>
        <v>104</v>
      </c>
      <c r="E107" s="4" t="e">
        <f t="shared" ca="1" si="14"/>
        <v>#NAME?</v>
      </c>
      <c r="F107" s="4" t="e">
        <f t="shared" ca="1" si="25"/>
        <v>#NAME?</v>
      </c>
      <c r="V107">
        <f t="shared" si="15"/>
        <v>104</v>
      </c>
      <c r="W107" t="e">
        <f t="shared" ca="1" si="16"/>
        <v>#NAME?</v>
      </c>
      <c r="X107" t="e">
        <f t="shared" ca="1" si="17"/>
        <v>#NAME?</v>
      </c>
      <c r="Y107" t="e">
        <f t="shared" ca="1" si="18"/>
        <v>#NAME?</v>
      </c>
      <c r="Z107" t="e">
        <f t="shared" ca="1" si="19"/>
        <v>#NAME?</v>
      </c>
      <c r="AA107" t="e">
        <f t="shared" ca="1" si="20"/>
        <v>#NAME?</v>
      </c>
      <c r="AB107" t="e">
        <f t="shared" ca="1" si="21"/>
        <v>#NAME?</v>
      </c>
      <c r="AD107">
        <f t="shared" si="23"/>
        <v>104</v>
      </c>
      <c r="AE107">
        <f t="shared" si="24"/>
        <v>10.761442220235375</v>
      </c>
    </row>
    <row r="108" spans="1:31" x14ac:dyDescent="0.35">
      <c r="A108">
        <f t="shared" si="13"/>
        <v>105</v>
      </c>
      <c r="B108" s="4">
        <v>11.954765055482959</v>
      </c>
      <c r="V108">
        <f>V107+1</f>
        <v>105</v>
      </c>
      <c r="Y108" t="e">
        <f ca="1">SUMPRODUCT(W106:W107,I$4:I$5)+SUMPRODUCT(X107,J$5)</f>
        <v>#NAME?</v>
      </c>
      <c r="Z108" t="e">
        <f ca="1">J$15*SQRT(SUMSQ(M$15:M15))</f>
        <v>#NAME?</v>
      </c>
      <c r="AA108" t="e">
        <f ca="1">Y108-NORMSINV(1-Z$2/2)*Z108</f>
        <v>#NAME?</v>
      </c>
      <c r="AB108" t="e">
        <f ca="1">Y108+NORMSINV(1-Z$2/2)*Z108</f>
        <v>#NAME?</v>
      </c>
      <c r="AD108" s="4">
        <f t="shared" si="23"/>
        <v>105</v>
      </c>
      <c r="AE108" s="4">
        <f t="shared" si="24"/>
        <v>11.954765055482959</v>
      </c>
    </row>
    <row r="109" spans="1:31" x14ac:dyDescent="0.35">
      <c r="V109">
        <f>V108+1</f>
        <v>106</v>
      </c>
      <c r="Y109" t="e">
        <f ca="1">SUMPRODUCT(W107,I4)+SUMPRODUCT(Y108,I5)</f>
        <v>#NAME?</v>
      </c>
      <c r="Z109" t="e">
        <f ca="1">J$15*SQRT(SUMSQ(M$15:M16))</f>
        <v>#NAME?</v>
      </c>
      <c r="AA109" t="e">
        <f ca="1">Y109-NORMSINV(1-Z$2/2)*Z109</f>
        <v>#NAME?</v>
      </c>
      <c r="AB109" t="e">
        <f ca="1">Y109+NORMSINV(1-Z$2/2)*Z109</f>
        <v>#NAME?</v>
      </c>
      <c r="AD109">
        <f t="shared" si="23"/>
        <v>106</v>
      </c>
      <c r="AE109" t="e">
        <f ca="1">Y108+AE108+J$6</f>
        <v>#NAME?</v>
      </c>
    </row>
    <row r="110" spans="1:31" x14ac:dyDescent="0.35">
      <c r="V110">
        <f>V109+1</f>
        <v>107</v>
      </c>
      <c r="Y110" t="e">
        <f ca="1">SUMPRODUCT(Y108:Y109,I4:I5)</f>
        <v>#NAME?</v>
      </c>
      <c r="Z110" t="e">
        <f ca="1">J$15*SQRT(SUMSQ(M$15:M17))</f>
        <v>#NAME?</v>
      </c>
      <c r="AA110" t="e">
        <f ca="1">Y110-NORMSINV(1-Z$2/2)*Z110</f>
        <v>#NAME?</v>
      </c>
      <c r="AB110" t="e">
        <f ca="1">Y110+NORMSINV(1-Z$2/2)*Z110</f>
        <v>#NAME?</v>
      </c>
      <c r="AD110">
        <f t="shared" si="23"/>
        <v>107</v>
      </c>
      <c r="AE110" t="e">
        <f ca="1">Y109+AE109+J$6</f>
        <v>#NAME?</v>
      </c>
    </row>
    <row r="111" spans="1:31" x14ac:dyDescent="0.35">
      <c r="V111">
        <f>V110+1</f>
        <v>108</v>
      </c>
      <c r="Y111" t="e">
        <f ca="1">SUMPRODUCT(Y109:Y110,I4:I5)</f>
        <v>#NAME?</v>
      </c>
      <c r="Z111" t="e">
        <f ca="1">J$15*SQRT(SUMSQ(M$15:M18))</f>
        <v>#NAME?</v>
      </c>
      <c r="AA111" t="e">
        <f ca="1">Y111-NORMSINV(1-Z$2/2)*Z111</f>
        <v>#NAME?</v>
      </c>
      <c r="AB111" t="e">
        <f ca="1">Y111+NORMSINV(1-Z$2/2)*Z111</f>
        <v>#NAME?</v>
      </c>
      <c r="AD111">
        <f t="shared" si="23"/>
        <v>108</v>
      </c>
      <c r="AE111" t="e">
        <f ca="1">Y110+AE110+J$6</f>
        <v>#NAME?</v>
      </c>
    </row>
    <row r="112" spans="1:31" x14ac:dyDescent="0.35">
      <c r="V112" s="4">
        <f>V111+1</f>
        <v>109</v>
      </c>
      <c r="W112" s="4"/>
      <c r="X112" s="4"/>
      <c r="Y112" s="4" t="e">
        <f ca="1">SUMPRODUCT(Y110:Y111,I4:I5)</f>
        <v>#NAME?</v>
      </c>
      <c r="Z112" s="4" t="e">
        <f ca="1">J$15*SQRT(SUMSQ(M$15:M19))</f>
        <v>#NAME?</v>
      </c>
      <c r="AA112" s="4" t="e">
        <f ca="1">Y112-NORMSINV(1-Z$2/2)*Z112</f>
        <v>#NAME?</v>
      </c>
      <c r="AB112" s="4" t="e">
        <f ca="1">Y112+NORMSINV(1-Z$2/2)*Z112</f>
        <v>#NAME?</v>
      </c>
      <c r="AD112">
        <f t="shared" si="23"/>
        <v>109</v>
      </c>
      <c r="AE112" t="e">
        <f ca="1">Y111+AE111+J$6</f>
        <v>#NAME?</v>
      </c>
    </row>
    <row r="113" spans="30:31" x14ac:dyDescent="0.35">
      <c r="AD113" s="4">
        <f t="shared" si="23"/>
        <v>110</v>
      </c>
      <c r="AE113" s="4" t="e">
        <f ca="1">Y112+AE112+J$6</f>
        <v>#NAME?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24"/>
  <dimension ref="A1:AE113"/>
  <sheetViews>
    <sheetView workbookViewId="0">
      <selection activeCell="P17" sqref="P17"/>
    </sheetView>
  </sheetViews>
  <sheetFormatPr defaultRowHeight="14.5" x14ac:dyDescent="0.35"/>
  <cols>
    <col min="1" max="1" width="4.81640625" customWidth="1"/>
  </cols>
  <sheetData>
    <row r="1" spans="1:31" x14ac:dyDescent="0.35">
      <c r="A1" s="7" t="s">
        <v>431</v>
      </c>
      <c r="D1" t="s">
        <v>353</v>
      </c>
      <c r="H1" t="s">
        <v>488</v>
      </c>
      <c r="L1" t="s">
        <v>374</v>
      </c>
      <c r="P1" t="s">
        <v>487</v>
      </c>
      <c r="V1" t="s">
        <v>383</v>
      </c>
      <c r="AD1" t="s">
        <v>384</v>
      </c>
    </row>
    <row r="2" spans="1:31" ht="15" thickBot="1" x14ac:dyDescent="0.4">
      <c r="A2" s="72"/>
      <c r="B2" s="72"/>
      <c r="Y2" t="s">
        <v>156</v>
      </c>
      <c r="Z2">
        <v>0.05</v>
      </c>
    </row>
    <row r="3" spans="1:31" ht="15" thickTop="1" x14ac:dyDescent="0.35">
      <c r="B3" s="149" t="s">
        <v>110</v>
      </c>
      <c r="D3" s="45" t="s">
        <v>291</v>
      </c>
      <c r="E3" s="45" t="s">
        <v>194</v>
      </c>
      <c r="F3" s="45" t="s">
        <v>354</v>
      </c>
      <c r="H3" s="45" t="s">
        <v>356</v>
      </c>
      <c r="I3" s="45" t="s">
        <v>357</v>
      </c>
      <c r="J3" s="45" t="s">
        <v>358</v>
      </c>
      <c r="L3" s="45" t="s">
        <v>173</v>
      </c>
      <c r="M3" s="45" t="s">
        <v>174</v>
      </c>
      <c r="N3" s="45" t="s">
        <v>375</v>
      </c>
      <c r="P3" s="45" t="s">
        <v>380</v>
      </c>
      <c r="Q3" s="45" t="s">
        <v>167</v>
      </c>
      <c r="R3" s="45" t="s">
        <v>81</v>
      </c>
      <c r="S3" s="45" t="s">
        <v>392</v>
      </c>
      <c r="T3" s="45" t="s">
        <v>92</v>
      </c>
      <c r="V3" s="45" t="s">
        <v>291</v>
      </c>
      <c r="W3" s="45" t="s">
        <v>194</v>
      </c>
      <c r="X3" s="45" t="s">
        <v>354</v>
      </c>
      <c r="Y3" s="45" t="s">
        <v>138</v>
      </c>
      <c r="Z3" s="45" t="s">
        <v>81</v>
      </c>
      <c r="AA3" s="45" t="s">
        <v>127</v>
      </c>
      <c r="AB3" s="45" t="s">
        <v>128</v>
      </c>
      <c r="AD3" s="45" t="s">
        <v>291</v>
      </c>
      <c r="AE3" s="45" t="s">
        <v>179</v>
      </c>
    </row>
    <row r="4" spans="1:31" x14ac:dyDescent="0.35">
      <c r="A4">
        <v>1</v>
      </c>
      <c r="B4">
        <v>3.1176756475655343</v>
      </c>
      <c r="D4">
        <v>1</v>
      </c>
      <c r="E4">
        <f>B5-B4-J$6</f>
        <v>2.6446262435648684</v>
      </c>
      <c r="F4">
        <v>0</v>
      </c>
      <c r="H4" s="137">
        <v>2</v>
      </c>
      <c r="I4">
        <v>0.55785501990874697</v>
      </c>
      <c r="J4">
        <v>0</v>
      </c>
      <c r="L4" t="e">
        <f t="array" aca="1" ref="L4:N5" ca="1">ARRoots(I4:I5)</f>
        <v>#NAME?</v>
      </c>
      <c r="M4" t="e">
        <f ca="1"/>
        <v>#NAME?</v>
      </c>
      <c r="N4" t="e">
        <f ca="1"/>
        <v>#NAME?</v>
      </c>
      <c r="P4" s="152" t="s">
        <v>120</v>
      </c>
      <c r="Q4" s="152">
        <f>J16</f>
        <v>2.3148809812859827E-2</v>
      </c>
      <c r="R4" s="152">
        <f>J17/SQRT(J18)</f>
        <v>0.12701194722600762</v>
      </c>
      <c r="S4" s="152">
        <f>Q4/R4</f>
        <v>0.18225694762137903</v>
      </c>
      <c r="T4" s="152">
        <f>TDIST(ABS(S4),J$18-1,2)</f>
        <v>0.85574639588864854</v>
      </c>
      <c r="V4">
        <f>D4</f>
        <v>1</v>
      </c>
      <c r="W4">
        <f>E4</f>
        <v>2.6446262435648684</v>
      </c>
      <c r="X4">
        <f>F4</f>
        <v>0</v>
      </c>
      <c r="Y4">
        <f>W4-X4</f>
        <v>2.6446262435648684</v>
      </c>
      <c r="Z4">
        <f>J$15</f>
        <v>1.1062504015179921</v>
      </c>
      <c r="AA4">
        <f>Y4-NORMSINV(1-Z$2/2)*Z4</f>
        <v>0.47641529870663035</v>
      </c>
      <c r="AB4">
        <f>Y4+NORMSINV(1-Z$2/2)*Z4</f>
        <v>4.8128371884231065</v>
      </c>
      <c r="AD4">
        <v>1</v>
      </c>
      <c r="AE4">
        <f>B4</f>
        <v>3.1176756475655343</v>
      </c>
    </row>
    <row r="5" spans="1:31" x14ac:dyDescent="0.35">
      <c r="A5">
        <f t="shared" ref="A5:A68" si="0">A4+1</f>
        <v>2</v>
      </c>
      <c r="B5">
        <v>5.8082510857989273</v>
      </c>
      <c r="D5">
        <f>D4+1</f>
        <v>2</v>
      </c>
      <c r="E5">
        <f t="shared" ref="E5:E68" si="1">B6-B5-J$6</f>
        <v>-0.94743168208567607</v>
      </c>
      <c r="F5">
        <v>0</v>
      </c>
      <c r="H5" s="137">
        <f>H4-1</f>
        <v>1</v>
      </c>
      <c r="I5">
        <v>0.38994248834921208</v>
      </c>
      <c r="J5">
        <v>-1.0668948731108738</v>
      </c>
      <c r="L5" s="4" t="e">
        <f ca="1"/>
        <v>#NAME?</v>
      </c>
      <c r="M5" s="4" t="e">
        <f ca="1"/>
        <v>#NAME?</v>
      </c>
      <c r="N5" s="4" t="e">
        <f ca="1"/>
        <v>#NAME?</v>
      </c>
      <c r="V5">
        <f t="shared" ref="V5:V68" si="2">D5</f>
        <v>2</v>
      </c>
      <c r="W5">
        <f t="shared" ref="W5:W68" si="3">E5</f>
        <v>-0.94743168208567607</v>
      </c>
      <c r="X5">
        <f t="shared" ref="X5:X68" si="4">F5</f>
        <v>0</v>
      </c>
      <c r="Y5">
        <f t="shared" ref="Y5:Y68" si="5">W5-X5</f>
        <v>-0.94743168208567607</v>
      </c>
      <c r="Z5">
        <f t="shared" ref="Z5:Z68" si="6">J$15</f>
        <v>1.1062504015179921</v>
      </c>
      <c r="AA5">
        <f t="shared" ref="AA5:AA68" si="7">Y5-NORMSINV(1-Z$2/2)*Z5</f>
        <v>-3.1156426269439139</v>
      </c>
      <c r="AB5">
        <f t="shared" ref="AB5:AB68" si="8">Y5+NORMSINV(1-Z$2/2)*Z5</f>
        <v>1.220779262772562</v>
      </c>
      <c r="AD5">
        <f>AD4+1</f>
        <v>2</v>
      </c>
      <c r="AE5">
        <f>B5</f>
        <v>5.8082510857989273</v>
      </c>
    </row>
    <row r="6" spans="1:31" x14ac:dyDescent="0.35">
      <c r="A6">
        <f t="shared" si="0"/>
        <v>3</v>
      </c>
      <c r="B6">
        <v>4.9067685983817757</v>
      </c>
      <c r="D6">
        <f t="shared" ref="D6:D69" si="9">D5+1</f>
        <v>3</v>
      </c>
      <c r="E6">
        <f t="shared" si="1"/>
        <v>1.1667566892099426</v>
      </c>
      <c r="F6">
        <f>E6-SUMPRODUCT(E4:E5,I$4:I$5)-SUMPRODUCT(F5,J$5)</f>
        <v>6.088253110823616E-2</v>
      </c>
      <c r="H6" s="10" t="s">
        <v>359</v>
      </c>
      <c r="I6" s="4">
        <f>J6*(1-SUM(I4:I5))</f>
        <v>2.3986624552370783E-3</v>
      </c>
      <c r="J6" s="4">
        <v>4.5949194668524429E-2</v>
      </c>
      <c r="V6">
        <f t="shared" si="2"/>
        <v>3</v>
      </c>
      <c r="W6">
        <f t="shared" si="3"/>
        <v>1.1667566892099426</v>
      </c>
      <c r="X6">
        <f t="shared" si="4"/>
        <v>6.088253110823616E-2</v>
      </c>
      <c r="Y6">
        <f t="shared" si="5"/>
        <v>1.1058741581017064</v>
      </c>
      <c r="Z6">
        <f t="shared" si="6"/>
        <v>1.1062504015179921</v>
      </c>
      <c r="AA6">
        <f t="shared" si="7"/>
        <v>-1.0623367867565316</v>
      </c>
      <c r="AB6">
        <f t="shared" si="8"/>
        <v>3.2740851029599445</v>
      </c>
      <c r="AD6">
        <f t="shared" ref="AD6:AD69" si="10">AD5+1</f>
        <v>3</v>
      </c>
      <c r="AE6">
        <f t="shared" ref="AE6:AE69" si="11">B6</f>
        <v>4.9067685983817757</v>
      </c>
    </row>
    <row r="7" spans="1:31" x14ac:dyDescent="0.35">
      <c r="A7">
        <f t="shared" si="0"/>
        <v>4</v>
      </c>
      <c r="B7">
        <v>6.1194744822602427</v>
      </c>
      <c r="D7">
        <f t="shared" si="9"/>
        <v>4</v>
      </c>
      <c r="E7">
        <f t="shared" si="1"/>
        <v>1.9699026348369404</v>
      </c>
      <c r="F7">
        <f t="shared" ref="F7:F70" si="12">E7-SUMPRODUCT(E5:E6,I$4:I$5)-SUMPRODUCT(F6,J$5)</f>
        <v>2.1084194083218</v>
      </c>
      <c r="L7" t="s">
        <v>376</v>
      </c>
      <c r="V7">
        <f t="shared" si="2"/>
        <v>4</v>
      </c>
      <c r="W7">
        <f t="shared" si="3"/>
        <v>1.9699026348369404</v>
      </c>
      <c r="X7">
        <f t="shared" si="4"/>
        <v>2.1084194083218</v>
      </c>
      <c r="Y7">
        <f t="shared" si="5"/>
        <v>-0.13851677348485958</v>
      </c>
      <c r="Z7">
        <f t="shared" si="6"/>
        <v>1.1062504015179921</v>
      </c>
      <c r="AA7">
        <f t="shared" si="7"/>
        <v>-2.3067277183430974</v>
      </c>
      <c r="AB7">
        <f t="shared" si="8"/>
        <v>2.0296941713733787</v>
      </c>
      <c r="AD7">
        <f t="shared" si="10"/>
        <v>4</v>
      </c>
      <c r="AE7">
        <f t="shared" si="11"/>
        <v>6.1194744822602427</v>
      </c>
    </row>
    <row r="8" spans="1:31" ht="15" thickBot="1" x14ac:dyDescent="0.4">
      <c r="A8">
        <f t="shared" si="0"/>
        <v>5</v>
      </c>
      <c r="B8">
        <v>8.1353263117657075</v>
      </c>
      <c r="D8">
        <f t="shared" si="9"/>
        <v>5</v>
      </c>
      <c r="E8">
        <f t="shared" si="1"/>
        <v>1.1635919202117424</v>
      </c>
      <c r="F8">
        <f t="shared" si="12"/>
        <v>1.9940239659958705</v>
      </c>
      <c r="I8" t="s">
        <v>121</v>
      </c>
      <c r="J8" s="150">
        <f>SUMSQ(F6:F107)</f>
        <v>124.82657498758931</v>
      </c>
      <c r="V8">
        <f t="shared" si="2"/>
        <v>5</v>
      </c>
      <c r="W8">
        <f t="shared" si="3"/>
        <v>1.1635919202117424</v>
      </c>
      <c r="X8">
        <f t="shared" si="4"/>
        <v>1.9940239659958705</v>
      </c>
      <c r="Y8">
        <f t="shared" si="5"/>
        <v>-0.8304320457841281</v>
      </c>
      <c r="Z8">
        <f t="shared" si="6"/>
        <v>1.1062504015179921</v>
      </c>
      <c r="AA8">
        <f t="shared" si="7"/>
        <v>-2.9986429906423662</v>
      </c>
      <c r="AB8">
        <f t="shared" si="8"/>
        <v>1.33777889907411</v>
      </c>
      <c r="AD8">
        <f t="shared" si="10"/>
        <v>5</v>
      </c>
      <c r="AE8">
        <f t="shared" si="11"/>
        <v>8.1353263117657075</v>
      </c>
    </row>
    <row r="9" spans="1:31" ht="15" thickTop="1" x14ac:dyDescent="0.35">
      <c r="A9">
        <f t="shared" si="0"/>
        <v>6</v>
      </c>
      <c r="B9">
        <v>9.3448674266459744</v>
      </c>
      <c r="D9">
        <f t="shared" si="9"/>
        <v>6</v>
      </c>
      <c r="E9">
        <f t="shared" si="1"/>
        <v>-0.24316593742733983</v>
      </c>
      <c r="F9">
        <f t="shared" si="12"/>
        <v>0.33159400638820657</v>
      </c>
      <c r="L9" s="45" t="s">
        <v>173</v>
      </c>
      <c r="M9" s="45" t="s">
        <v>174</v>
      </c>
      <c r="N9" s="45" t="s">
        <v>375</v>
      </c>
      <c r="V9">
        <f t="shared" si="2"/>
        <v>6</v>
      </c>
      <c r="W9">
        <f t="shared" si="3"/>
        <v>-0.24316593742733983</v>
      </c>
      <c r="X9">
        <f t="shared" si="4"/>
        <v>0.33159400638820657</v>
      </c>
      <c r="Y9">
        <f t="shared" si="5"/>
        <v>-0.5747599438155464</v>
      </c>
      <c r="Z9">
        <f t="shared" si="6"/>
        <v>1.1062504015179921</v>
      </c>
      <c r="AA9">
        <f t="shared" si="7"/>
        <v>-2.7429708886737845</v>
      </c>
      <c r="AB9">
        <f t="shared" si="8"/>
        <v>1.5934510010426917</v>
      </c>
      <c r="AD9">
        <f t="shared" si="10"/>
        <v>6</v>
      </c>
      <c r="AE9">
        <f t="shared" si="11"/>
        <v>9.3448674266459744</v>
      </c>
    </row>
    <row r="10" spans="1:31" x14ac:dyDescent="0.35">
      <c r="A10">
        <f t="shared" si="0"/>
        <v>7</v>
      </c>
      <c r="B10">
        <v>9.147650683887159</v>
      </c>
      <c r="D10">
        <f t="shared" si="9"/>
        <v>7</v>
      </c>
      <c r="E10">
        <f t="shared" si="1"/>
        <v>-1.0921065972527046</v>
      </c>
      <c r="F10">
        <f t="shared" si="12"/>
        <v>-1.2926255149760257</v>
      </c>
      <c r="I10" t="s">
        <v>361</v>
      </c>
      <c r="J10" s="151">
        <v>2</v>
      </c>
      <c r="L10" s="152" t="e">
        <f t="array" aca="1" ref="L10:N10" ca="1">MARoots(J5)</f>
        <v>#NAME?</v>
      </c>
      <c r="M10" s="152" t="e">
        <f ca="1"/>
        <v>#NAME?</v>
      </c>
      <c r="N10" s="152" t="e">
        <f ca="1"/>
        <v>#NAME?</v>
      </c>
      <c r="V10">
        <f t="shared" si="2"/>
        <v>7</v>
      </c>
      <c r="W10">
        <f t="shared" si="3"/>
        <v>-1.0921065972527046</v>
      </c>
      <c r="X10">
        <f t="shared" si="4"/>
        <v>-1.2926255149760257</v>
      </c>
      <c r="Y10">
        <f t="shared" si="5"/>
        <v>0.20051891772332109</v>
      </c>
      <c r="Z10">
        <f t="shared" si="6"/>
        <v>1.1062504015179921</v>
      </c>
      <c r="AA10">
        <f t="shared" si="7"/>
        <v>-1.967692027134917</v>
      </c>
      <c r="AB10">
        <f t="shared" si="8"/>
        <v>2.3687298625815592</v>
      </c>
      <c r="AD10">
        <f t="shared" si="10"/>
        <v>7</v>
      </c>
      <c r="AE10">
        <f t="shared" si="11"/>
        <v>9.147650683887159</v>
      </c>
    </row>
    <row r="11" spans="1:31" x14ac:dyDescent="0.35">
      <c r="A11">
        <f t="shared" si="0"/>
        <v>8</v>
      </c>
      <c r="B11">
        <v>8.1014932813029787</v>
      </c>
      <c r="D11">
        <f t="shared" si="9"/>
        <v>8</v>
      </c>
      <c r="E11">
        <f t="shared" si="1"/>
        <v>1.9989765532014256</v>
      </c>
      <c r="F11">
        <f t="shared" si="12"/>
        <v>1.1813911213611688</v>
      </c>
      <c r="I11" t="s">
        <v>362</v>
      </c>
      <c r="J11" s="107">
        <v>1</v>
      </c>
      <c r="V11">
        <f t="shared" si="2"/>
        <v>8</v>
      </c>
      <c r="W11">
        <f t="shared" si="3"/>
        <v>1.9989765532014256</v>
      </c>
      <c r="X11">
        <f t="shared" si="4"/>
        <v>1.1813911213611688</v>
      </c>
      <c r="Y11">
        <f t="shared" si="5"/>
        <v>0.81758543184025689</v>
      </c>
      <c r="Z11">
        <f t="shared" si="6"/>
        <v>1.1062504015179921</v>
      </c>
      <c r="AA11">
        <f t="shared" si="7"/>
        <v>-1.3506255130179812</v>
      </c>
      <c r="AB11">
        <f t="shared" si="8"/>
        <v>2.9857963766984952</v>
      </c>
      <c r="AD11">
        <f t="shared" si="10"/>
        <v>8</v>
      </c>
      <c r="AE11">
        <f t="shared" si="11"/>
        <v>8.1014932813029787</v>
      </c>
    </row>
    <row r="12" spans="1:31" x14ac:dyDescent="0.35">
      <c r="A12">
        <f t="shared" si="0"/>
        <v>9</v>
      </c>
      <c r="B12">
        <v>10.146419029172929</v>
      </c>
      <c r="D12">
        <f t="shared" si="9"/>
        <v>9</v>
      </c>
      <c r="E12">
        <f t="shared" si="1"/>
        <v>0.85282812516272588</v>
      </c>
      <c r="F12">
        <f t="shared" si="12"/>
        <v>1.9429995119274495</v>
      </c>
      <c r="I12" t="s">
        <v>363</v>
      </c>
      <c r="J12" s="107">
        <v>1</v>
      </c>
      <c r="L12" t="s">
        <v>377</v>
      </c>
      <c r="V12">
        <f t="shared" si="2"/>
        <v>9</v>
      </c>
      <c r="W12">
        <f t="shared" si="3"/>
        <v>0.85282812516272588</v>
      </c>
      <c r="X12">
        <f t="shared" si="4"/>
        <v>1.9429995119274495</v>
      </c>
      <c r="Y12">
        <f t="shared" si="5"/>
        <v>-1.0901713867647236</v>
      </c>
      <c r="Z12">
        <f t="shared" si="6"/>
        <v>1.1062504015179921</v>
      </c>
      <c r="AA12">
        <f t="shared" si="7"/>
        <v>-3.2583823316229616</v>
      </c>
      <c r="AB12">
        <f t="shared" si="8"/>
        <v>1.0780395580935145</v>
      </c>
      <c r="AD12">
        <f t="shared" si="10"/>
        <v>9</v>
      </c>
      <c r="AE12">
        <f t="shared" si="11"/>
        <v>10.146419029172929</v>
      </c>
    </row>
    <row r="13" spans="1:31" ht="15" thickBot="1" x14ac:dyDescent="0.4">
      <c r="A13">
        <f t="shared" si="0"/>
        <v>10</v>
      </c>
      <c r="B13">
        <v>11.045196349004179</v>
      </c>
      <c r="D13">
        <f t="shared" si="9"/>
        <v>10</v>
      </c>
      <c r="E13">
        <f t="shared" si="1"/>
        <v>-0.96856746348971723</v>
      </c>
      <c r="F13">
        <f t="shared" si="12"/>
        <v>-0.34328427190083755</v>
      </c>
      <c r="I13" t="s">
        <v>364</v>
      </c>
      <c r="J13" s="107">
        <f>AVERAGE(F6:F107)</f>
        <v>8.5549926755875985E-2</v>
      </c>
      <c r="V13">
        <f t="shared" si="2"/>
        <v>10</v>
      </c>
      <c r="W13">
        <f t="shared" si="3"/>
        <v>-0.96856746348971723</v>
      </c>
      <c r="X13">
        <f t="shared" si="4"/>
        <v>-0.34328427190083755</v>
      </c>
      <c r="Y13">
        <f t="shared" si="5"/>
        <v>-0.62528319158887968</v>
      </c>
      <c r="Z13">
        <f t="shared" si="6"/>
        <v>1.1062504015179921</v>
      </c>
      <c r="AA13">
        <f t="shared" si="7"/>
        <v>-2.7934941364471175</v>
      </c>
      <c r="AB13">
        <f t="shared" si="8"/>
        <v>1.5429277532693584</v>
      </c>
      <c r="AD13">
        <f t="shared" si="10"/>
        <v>10</v>
      </c>
      <c r="AE13">
        <f t="shared" si="11"/>
        <v>11.045196349004179</v>
      </c>
    </row>
    <row r="14" spans="1:31" ht="15" thickTop="1" x14ac:dyDescent="0.35">
      <c r="A14">
        <f t="shared" si="0"/>
        <v>11</v>
      </c>
      <c r="B14">
        <v>10.122578080182986</v>
      </c>
      <c r="D14">
        <f t="shared" si="9"/>
        <v>11</v>
      </c>
      <c r="E14">
        <f t="shared" si="1"/>
        <v>5.0749696005378819E-3</v>
      </c>
      <c r="F14">
        <f t="shared" si="12"/>
        <v>-0.45924210400419174</v>
      </c>
      <c r="I14" t="s">
        <v>365</v>
      </c>
      <c r="J14" s="107">
        <f>STDEV(F6:F107)</f>
        <v>1.1083841526341369</v>
      </c>
      <c r="L14" s="45" t="s">
        <v>356</v>
      </c>
      <c r="M14" s="45" t="s">
        <v>378</v>
      </c>
      <c r="V14">
        <f t="shared" si="2"/>
        <v>11</v>
      </c>
      <c r="W14">
        <f t="shared" si="3"/>
        <v>5.0749696005378819E-3</v>
      </c>
      <c r="X14">
        <f t="shared" si="4"/>
        <v>-0.45924210400419174</v>
      </c>
      <c r="Y14">
        <f t="shared" si="5"/>
        <v>0.46431707360472962</v>
      </c>
      <c r="Z14">
        <f t="shared" si="6"/>
        <v>1.1062504015179921</v>
      </c>
      <c r="AA14">
        <f t="shared" si="7"/>
        <v>-1.7038938712535083</v>
      </c>
      <c r="AB14">
        <f t="shared" si="8"/>
        <v>2.6325280184629678</v>
      </c>
      <c r="AD14">
        <f t="shared" si="10"/>
        <v>11</v>
      </c>
      <c r="AE14">
        <f t="shared" si="11"/>
        <v>10.122578080182986</v>
      </c>
    </row>
    <row r="15" spans="1:31" x14ac:dyDescent="0.35">
      <c r="A15">
        <f t="shared" si="0"/>
        <v>12</v>
      </c>
      <c r="B15">
        <v>10.173602244452049</v>
      </c>
      <c r="D15">
        <f t="shared" si="9"/>
        <v>12</v>
      </c>
      <c r="E15">
        <f t="shared" si="1"/>
        <v>0.60175836177223974</v>
      </c>
      <c r="F15">
        <f t="shared" si="12"/>
        <v>0.6501365908472071</v>
      </c>
      <c r="I15" t="s">
        <v>366</v>
      </c>
      <c r="J15" s="107">
        <f>SQRT(J8/J18)</f>
        <v>1.1062504015179921</v>
      </c>
      <c r="L15" s="59">
        <v>0</v>
      </c>
      <c r="M15" s="59" t="e">
        <f t="array" aca="1" ref="M15:M19" ca="1">PSICoeff(I4:I5,J5)</f>
        <v>#NAME?</v>
      </c>
      <c r="V15">
        <f t="shared" si="2"/>
        <v>12</v>
      </c>
      <c r="W15">
        <f t="shared" si="3"/>
        <v>0.60175836177223974</v>
      </c>
      <c r="X15">
        <f t="shared" si="4"/>
        <v>0.6501365908472071</v>
      </c>
      <c r="Y15">
        <f t="shared" si="5"/>
        <v>-4.837822907496736E-2</v>
      </c>
      <c r="Z15">
        <f t="shared" si="6"/>
        <v>1.1062504015179921</v>
      </c>
      <c r="AA15">
        <f t="shared" si="7"/>
        <v>-2.2165891739332055</v>
      </c>
      <c r="AB15">
        <f t="shared" si="8"/>
        <v>2.1198327157832706</v>
      </c>
      <c r="AD15">
        <f t="shared" si="10"/>
        <v>12</v>
      </c>
      <c r="AE15">
        <f t="shared" si="11"/>
        <v>10.173602244452049</v>
      </c>
    </row>
    <row r="16" spans="1:31" x14ac:dyDescent="0.35">
      <c r="A16">
        <f t="shared" si="0"/>
        <v>13</v>
      </c>
      <c r="B16">
        <v>10.821309800892813</v>
      </c>
      <c r="D16">
        <f t="shared" si="9"/>
        <v>13</v>
      </c>
      <c r="E16">
        <f t="shared" si="1"/>
        <v>-0.78319574598738062</v>
      </c>
      <c r="F16">
        <f t="shared" si="12"/>
        <v>-0.32705060063267044</v>
      </c>
      <c r="I16" t="s">
        <v>367</v>
      </c>
      <c r="J16" s="107">
        <f>AVERAGE(E6:E107)</f>
        <v>2.3148809812859827E-2</v>
      </c>
      <c r="L16" s="13">
        <f>L15+1</f>
        <v>1</v>
      </c>
      <c r="M16" s="13" t="e">
        <f ca="1"/>
        <v>#NAME?</v>
      </c>
      <c r="V16">
        <f t="shared" si="2"/>
        <v>13</v>
      </c>
      <c r="W16">
        <f t="shared" si="3"/>
        <v>-0.78319574598738062</v>
      </c>
      <c r="X16">
        <f t="shared" si="4"/>
        <v>-0.32705060063267044</v>
      </c>
      <c r="Y16">
        <f t="shared" si="5"/>
        <v>-0.45614514535471018</v>
      </c>
      <c r="Z16">
        <f t="shared" si="6"/>
        <v>1.1062504015179921</v>
      </c>
      <c r="AA16">
        <f t="shared" si="7"/>
        <v>-2.6243560902129484</v>
      </c>
      <c r="AB16">
        <f t="shared" si="8"/>
        <v>1.7120657995035278</v>
      </c>
      <c r="AD16">
        <f t="shared" si="10"/>
        <v>13</v>
      </c>
      <c r="AE16">
        <f t="shared" si="11"/>
        <v>10.821309800892813</v>
      </c>
    </row>
    <row r="17" spans="1:31" x14ac:dyDescent="0.35">
      <c r="A17">
        <f t="shared" si="0"/>
        <v>14</v>
      </c>
      <c r="B17">
        <v>10.084063249573957</v>
      </c>
      <c r="D17">
        <f t="shared" si="9"/>
        <v>14</v>
      </c>
      <c r="E17">
        <f t="shared" si="1"/>
        <v>0.21604161131299615</v>
      </c>
      <c r="F17">
        <f t="shared" si="12"/>
        <v>-0.16317962258170299</v>
      </c>
      <c r="I17" t="s">
        <v>368</v>
      </c>
      <c r="J17" s="107">
        <f>STDEV(E6:E107)</f>
        <v>1.2827577882400476</v>
      </c>
      <c r="L17" s="13">
        <f>L16+1</f>
        <v>2</v>
      </c>
      <c r="M17" s="13" t="e">
        <f ca="1"/>
        <v>#NAME?</v>
      </c>
      <c r="V17">
        <f t="shared" si="2"/>
        <v>14</v>
      </c>
      <c r="W17">
        <f t="shared" si="3"/>
        <v>0.21604161131299615</v>
      </c>
      <c r="X17">
        <f t="shared" si="4"/>
        <v>-0.16317962258170299</v>
      </c>
      <c r="Y17">
        <f t="shared" si="5"/>
        <v>0.37922123389469914</v>
      </c>
      <c r="Z17">
        <f t="shared" si="6"/>
        <v>1.1062504015179921</v>
      </c>
      <c r="AA17">
        <f t="shared" si="7"/>
        <v>-1.7889897109635389</v>
      </c>
      <c r="AB17">
        <f t="shared" si="8"/>
        <v>2.547432178752937</v>
      </c>
      <c r="AD17">
        <f t="shared" si="10"/>
        <v>14</v>
      </c>
      <c r="AE17">
        <f t="shared" si="11"/>
        <v>10.084063249573957</v>
      </c>
    </row>
    <row r="18" spans="1:31" x14ac:dyDescent="0.35">
      <c r="A18">
        <f t="shared" si="0"/>
        <v>15</v>
      </c>
      <c r="B18">
        <v>10.346054055555477</v>
      </c>
      <c r="D18">
        <f t="shared" si="9"/>
        <v>15</v>
      </c>
      <c r="E18">
        <f t="shared" si="1"/>
        <v>-0.69980031092140682</v>
      </c>
      <c r="F18">
        <f t="shared" si="12"/>
        <v>-0.52122993868211998</v>
      </c>
      <c r="I18" t="s">
        <v>369</v>
      </c>
      <c r="J18" s="108">
        <f>COUNT(E6:E107)</f>
        <v>102</v>
      </c>
      <c r="L18" s="13">
        <f>L17+1</f>
        <v>3</v>
      </c>
      <c r="M18" s="13" t="e">
        <f ca="1"/>
        <v>#NAME?</v>
      </c>
      <c r="V18">
        <f t="shared" si="2"/>
        <v>15</v>
      </c>
      <c r="W18">
        <f t="shared" si="3"/>
        <v>-0.69980031092140682</v>
      </c>
      <c r="X18">
        <f t="shared" si="4"/>
        <v>-0.52122993868211998</v>
      </c>
      <c r="Y18">
        <f t="shared" si="5"/>
        <v>-0.17857037223928685</v>
      </c>
      <c r="Z18">
        <f t="shared" si="6"/>
        <v>1.1062504015179921</v>
      </c>
      <c r="AA18">
        <f t="shared" si="7"/>
        <v>-2.3467813170975251</v>
      </c>
      <c r="AB18">
        <f t="shared" si="8"/>
        <v>1.9896405726189512</v>
      </c>
      <c r="AD18">
        <f t="shared" si="10"/>
        <v>15</v>
      </c>
      <c r="AE18">
        <f t="shared" si="11"/>
        <v>10.346054055555477</v>
      </c>
    </row>
    <row r="19" spans="1:31" x14ac:dyDescent="0.35">
      <c r="A19">
        <f t="shared" si="0"/>
        <v>16</v>
      </c>
      <c r="B19">
        <v>9.6922029393025948</v>
      </c>
      <c r="D19">
        <f t="shared" si="9"/>
        <v>16</v>
      </c>
      <c r="E19">
        <f t="shared" si="1"/>
        <v>1.4674226366547483</v>
      </c>
      <c r="F19">
        <f t="shared" si="12"/>
        <v>1.0636870645710157</v>
      </c>
      <c r="L19" s="4">
        <f>L18+1</f>
        <v>4</v>
      </c>
      <c r="M19" s="4" t="e">
        <f ca="1"/>
        <v>#NAME?</v>
      </c>
      <c r="V19">
        <f t="shared" si="2"/>
        <v>16</v>
      </c>
      <c r="W19">
        <f t="shared" si="3"/>
        <v>1.4674226366547483</v>
      </c>
      <c r="X19">
        <f t="shared" si="4"/>
        <v>1.0636870645710157</v>
      </c>
      <c r="Y19">
        <f t="shared" si="5"/>
        <v>0.40373557208373256</v>
      </c>
      <c r="Z19">
        <f t="shared" si="6"/>
        <v>1.1062504015179921</v>
      </c>
      <c r="AA19">
        <f t="shared" si="7"/>
        <v>-1.7644753727745055</v>
      </c>
      <c r="AB19">
        <f t="shared" si="8"/>
        <v>2.5719465169419706</v>
      </c>
      <c r="AD19">
        <f t="shared" si="10"/>
        <v>16</v>
      </c>
      <c r="AE19">
        <f t="shared" si="11"/>
        <v>9.6922029393025948</v>
      </c>
    </row>
    <row r="20" spans="1:31" x14ac:dyDescent="0.35">
      <c r="A20">
        <f t="shared" si="0"/>
        <v>17</v>
      </c>
      <c r="B20">
        <v>11.205574770625867</v>
      </c>
      <c r="D20">
        <f t="shared" si="9"/>
        <v>17</v>
      </c>
      <c r="E20">
        <f t="shared" si="1"/>
        <v>1.4005924512204533</v>
      </c>
      <c r="F20">
        <f t="shared" si="12"/>
        <v>2.3536114089897193</v>
      </c>
      <c r="I20" t="s">
        <v>370</v>
      </c>
      <c r="J20" s="151">
        <f>-(J23-2*(J10+J11+2))/2</f>
        <v>-155.03131097687009</v>
      </c>
      <c r="V20">
        <f t="shared" si="2"/>
        <v>17</v>
      </c>
      <c r="W20">
        <f t="shared" si="3"/>
        <v>1.4005924512204533</v>
      </c>
      <c r="X20">
        <f t="shared" si="4"/>
        <v>2.3536114089897193</v>
      </c>
      <c r="Y20">
        <f t="shared" si="5"/>
        <v>-0.95301895776926604</v>
      </c>
      <c r="Z20">
        <f t="shared" si="6"/>
        <v>1.1062504015179921</v>
      </c>
      <c r="AA20">
        <f t="shared" si="7"/>
        <v>-3.1212299026275039</v>
      </c>
      <c r="AB20">
        <f t="shared" si="8"/>
        <v>1.215191987088972</v>
      </c>
      <c r="AD20">
        <f t="shared" si="10"/>
        <v>17</v>
      </c>
      <c r="AE20">
        <f t="shared" si="11"/>
        <v>11.205574770625867</v>
      </c>
    </row>
    <row r="21" spans="1:31" x14ac:dyDescent="0.35">
      <c r="A21">
        <f t="shared" si="0"/>
        <v>18</v>
      </c>
      <c r="B21">
        <v>12.652116416514845</v>
      </c>
      <c r="D21">
        <f t="shared" si="9"/>
        <v>18</v>
      </c>
      <c r="E21">
        <f t="shared" si="1"/>
        <v>0.70826355745202885</v>
      </c>
      <c r="F21">
        <f t="shared" si="12"/>
        <v>1.8545599132208139</v>
      </c>
      <c r="I21" t="s">
        <v>145</v>
      </c>
      <c r="J21" s="107">
        <f>J18*LN(J8/J18)+2*(J10+J11+2)</f>
        <v>30.599161179986908</v>
      </c>
      <c r="V21">
        <f t="shared" si="2"/>
        <v>18</v>
      </c>
      <c r="W21">
        <f t="shared" si="3"/>
        <v>0.70826355745202885</v>
      </c>
      <c r="X21">
        <f t="shared" si="4"/>
        <v>1.8545599132208139</v>
      </c>
      <c r="Y21">
        <f t="shared" si="5"/>
        <v>-1.1462963557687851</v>
      </c>
      <c r="Z21">
        <f t="shared" si="6"/>
        <v>1.1062504015179921</v>
      </c>
      <c r="AA21">
        <f t="shared" si="7"/>
        <v>-3.3145073006270231</v>
      </c>
      <c r="AB21">
        <f t="shared" si="8"/>
        <v>1.021914589089453</v>
      </c>
      <c r="AD21">
        <f t="shared" si="10"/>
        <v>18</v>
      </c>
      <c r="AE21">
        <f t="shared" si="11"/>
        <v>12.652116416514845</v>
      </c>
    </row>
    <row r="22" spans="1:31" x14ac:dyDescent="0.35">
      <c r="A22">
        <f t="shared" si="0"/>
        <v>19</v>
      </c>
      <c r="B22">
        <v>13.406329168635398</v>
      </c>
      <c r="D22">
        <f t="shared" si="9"/>
        <v>19</v>
      </c>
      <c r="E22">
        <f t="shared" si="1"/>
        <v>-1.2210604331199477</v>
      </c>
      <c r="F22">
        <f t="shared" si="12"/>
        <v>-0.29994955358725028</v>
      </c>
      <c r="I22" t="s">
        <v>371</v>
      </c>
      <c r="J22" s="107">
        <f>J18*LN(J8/J18)+LN(J18)*(J10+J11+2)</f>
        <v>43.72402524640826</v>
      </c>
      <c r="V22">
        <f t="shared" si="2"/>
        <v>19</v>
      </c>
      <c r="W22">
        <f t="shared" si="3"/>
        <v>-1.2210604331199477</v>
      </c>
      <c r="X22">
        <f t="shared" si="4"/>
        <v>-0.29994955358725028</v>
      </c>
      <c r="Y22">
        <f t="shared" si="5"/>
        <v>-0.92111087953269744</v>
      </c>
      <c r="Z22">
        <f t="shared" si="6"/>
        <v>1.1062504015179921</v>
      </c>
      <c r="AA22">
        <f t="shared" si="7"/>
        <v>-3.0893218243909355</v>
      </c>
      <c r="AB22">
        <f t="shared" si="8"/>
        <v>1.2471000653255406</v>
      </c>
      <c r="AD22">
        <f t="shared" si="10"/>
        <v>19</v>
      </c>
      <c r="AE22">
        <f t="shared" si="11"/>
        <v>13.406329168635398</v>
      </c>
    </row>
    <row r="23" spans="1:31" x14ac:dyDescent="0.35">
      <c r="A23">
        <f t="shared" si="0"/>
        <v>20</v>
      </c>
      <c r="B23">
        <v>12.231217930183975</v>
      </c>
      <c r="D23">
        <f t="shared" si="9"/>
        <v>20</v>
      </c>
      <c r="E23">
        <f t="shared" si="1"/>
        <v>-0.16019266889326222</v>
      </c>
      <c r="F23">
        <f t="shared" si="12"/>
        <v>-0.39917234703487731</v>
      </c>
      <c r="I23" t="s">
        <v>372</v>
      </c>
      <c r="J23" s="107">
        <f>J18*(1+LN(2*PI()))+J21</f>
        <v>320.06262195374018</v>
      </c>
      <c r="V23">
        <f t="shared" si="2"/>
        <v>20</v>
      </c>
      <c r="W23">
        <f t="shared" si="3"/>
        <v>-0.16019266889326222</v>
      </c>
      <c r="X23">
        <f t="shared" si="4"/>
        <v>-0.39917234703487731</v>
      </c>
      <c r="Y23">
        <f t="shared" si="5"/>
        <v>0.23897967814161508</v>
      </c>
      <c r="Z23">
        <f t="shared" si="6"/>
        <v>1.1062504015179921</v>
      </c>
      <c r="AA23">
        <f t="shared" si="7"/>
        <v>-1.9292312667166229</v>
      </c>
      <c r="AB23">
        <f t="shared" si="8"/>
        <v>2.407190622999853</v>
      </c>
      <c r="AD23">
        <f t="shared" si="10"/>
        <v>20</v>
      </c>
      <c r="AE23">
        <f t="shared" si="11"/>
        <v>12.231217930183975</v>
      </c>
    </row>
    <row r="24" spans="1:31" x14ac:dyDescent="0.35">
      <c r="A24">
        <f t="shared" si="0"/>
        <v>21</v>
      </c>
      <c r="B24">
        <v>12.116974455959237</v>
      </c>
      <c r="D24">
        <f t="shared" si="9"/>
        <v>21</v>
      </c>
      <c r="E24">
        <f t="shared" si="1"/>
        <v>-1.7030347562668517</v>
      </c>
      <c r="F24">
        <f t="shared" si="12"/>
        <v>-1.3852690666545451</v>
      </c>
      <c r="I24" t="s">
        <v>373</v>
      </c>
      <c r="J24" s="108">
        <f>J18*(1+LN(2*PI()))+J22</f>
        <v>333.18748602016149</v>
      </c>
      <c r="V24">
        <f t="shared" si="2"/>
        <v>21</v>
      </c>
      <c r="W24">
        <f t="shared" si="3"/>
        <v>-1.7030347562668517</v>
      </c>
      <c r="X24">
        <f t="shared" si="4"/>
        <v>-1.3852690666545451</v>
      </c>
      <c r="Y24">
        <f t="shared" si="5"/>
        <v>-0.31776568961230667</v>
      </c>
      <c r="Z24">
        <f t="shared" si="6"/>
        <v>1.1062504015179921</v>
      </c>
      <c r="AA24">
        <f t="shared" si="7"/>
        <v>-2.4859766344705445</v>
      </c>
      <c r="AB24">
        <f t="shared" si="8"/>
        <v>1.8504452552459314</v>
      </c>
      <c r="AD24">
        <f t="shared" si="10"/>
        <v>21</v>
      </c>
      <c r="AE24">
        <f t="shared" si="11"/>
        <v>12.116974455959237</v>
      </c>
    </row>
    <row r="25" spans="1:31" x14ac:dyDescent="0.35">
      <c r="A25">
        <f t="shared" si="0"/>
        <v>22</v>
      </c>
      <c r="B25">
        <v>10.45988889436091</v>
      </c>
      <c r="D25">
        <f t="shared" si="9"/>
        <v>22</v>
      </c>
      <c r="E25">
        <f t="shared" si="1"/>
        <v>-1.0593804179482078</v>
      </c>
      <c r="F25">
        <f t="shared" si="12"/>
        <v>-1.7838669879424511</v>
      </c>
      <c r="V25">
        <f t="shared" si="2"/>
        <v>22</v>
      </c>
      <c r="W25">
        <f t="shared" si="3"/>
        <v>-1.0593804179482078</v>
      </c>
      <c r="X25">
        <f t="shared" si="4"/>
        <v>-1.7838669879424511</v>
      </c>
      <c r="Y25">
        <f t="shared" si="5"/>
        <v>0.72448656999424332</v>
      </c>
      <c r="Z25">
        <f t="shared" si="6"/>
        <v>1.1062504015179921</v>
      </c>
      <c r="AA25">
        <f t="shared" si="7"/>
        <v>-1.4437243748639947</v>
      </c>
      <c r="AB25">
        <f t="shared" si="8"/>
        <v>2.8926975148524816</v>
      </c>
      <c r="AD25">
        <f t="shared" si="10"/>
        <v>22</v>
      </c>
      <c r="AE25">
        <f t="shared" si="11"/>
        <v>10.45988889436091</v>
      </c>
    </row>
    <row r="26" spans="1:31" x14ac:dyDescent="0.35">
      <c r="A26">
        <f t="shared" si="0"/>
        <v>23</v>
      </c>
      <c r="B26">
        <v>9.4464576710812267</v>
      </c>
      <c r="D26">
        <f t="shared" si="9"/>
        <v>23</v>
      </c>
      <c r="E26">
        <f t="shared" si="1"/>
        <v>1.6886235690445701</v>
      </c>
      <c r="F26">
        <f t="shared" si="12"/>
        <v>1.1485689494427171</v>
      </c>
      <c r="I26" t="s">
        <v>360</v>
      </c>
      <c r="J26" s="153" t="s">
        <v>304</v>
      </c>
      <c r="V26">
        <f t="shared" si="2"/>
        <v>23</v>
      </c>
      <c r="W26">
        <f t="shared" si="3"/>
        <v>1.6886235690445701</v>
      </c>
      <c r="X26">
        <f t="shared" si="4"/>
        <v>1.1485689494427171</v>
      </c>
      <c r="Y26">
        <f t="shared" si="5"/>
        <v>0.54005461960185297</v>
      </c>
      <c r="Z26">
        <f t="shared" si="6"/>
        <v>1.1062504015179921</v>
      </c>
      <c r="AA26">
        <f t="shared" si="7"/>
        <v>-1.6281563252563851</v>
      </c>
      <c r="AB26">
        <f t="shared" si="8"/>
        <v>2.708265564460091</v>
      </c>
      <c r="AD26">
        <f t="shared" si="10"/>
        <v>23</v>
      </c>
      <c r="AE26">
        <f t="shared" si="11"/>
        <v>9.4464576710812267</v>
      </c>
    </row>
    <row r="27" spans="1:31" x14ac:dyDescent="0.35">
      <c r="A27">
        <f t="shared" si="0"/>
        <v>24</v>
      </c>
      <c r="B27">
        <v>11.181030434794321</v>
      </c>
      <c r="D27">
        <f t="shared" si="9"/>
        <v>24</v>
      </c>
      <c r="E27">
        <f t="shared" si="1"/>
        <v>-3.6416194131171702</v>
      </c>
      <c r="F27">
        <f t="shared" si="12"/>
        <v>-2.4837024817953255</v>
      </c>
      <c r="V27">
        <f t="shared" si="2"/>
        <v>24</v>
      </c>
      <c r="W27">
        <f t="shared" si="3"/>
        <v>-3.6416194131171702</v>
      </c>
      <c r="X27">
        <f t="shared" si="4"/>
        <v>-2.4837024817953255</v>
      </c>
      <c r="Y27">
        <f t="shared" si="5"/>
        <v>-1.1579169313218447</v>
      </c>
      <c r="Z27">
        <f t="shared" si="6"/>
        <v>1.1062504015179921</v>
      </c>
      <c r="AA27">
        <f t="shared" si="7"/>
        <v>-3.3261278761800828</v>
      </c>
      <c r="AB27">
        <f t="shared" si="8"/>
        <v>1.0102940135363934</v>
      </c>
      <c r="AD27">
        <f t="shared" si="10"/>
        <v>24</v>
      </c>
      <c r="AE27">
        <f t="shared" si="11"/>
        <v>11.181030434794321</v>
      </c>
    </row>
    <row r="28" spans="1:31" x14ac:dyDescent="0.35">
      <c r="A28">
        <f t="shared" si="0"/>
        <v>25</v>
      </c>
      <c r="B28">
        <v>7.5853602163456753</v>
      </c>
      <c r="D28">
        <f t="shared" si="9"/>
        <v>25</v>
      </c>
      <c r="E28">
        <f t="shared" si="1"/>
        <v>3.3472224503974681</v>
      </c>
      <c r="F28">
        <f t="shared" si="12"/>
        <v>1.1753880070812506</v>
      </c>
      <c r="V28">
        <f t="shared" si="2"/>
        <v>25</v>
      </c>
      <c r="W28">
        <f t="shared" si="3"/>
        <v>3.3472224503974681</v>
      </c>
      <c r="X28">
        <f t="shared" si="4"/>
        <v>1.1753880070812506</v>
      </c>
      <c r="Y28">
        <f t="shared" si="5"/>
        <v>2.1718344433162176</v>
      </c>
      <c r="Z28">
        <f t="shared" si="6"/>
        <v>1.1062504015179921</v>
      </c>
      <c r="AA28">
        <f t="shared" si="7"/>
        <v>3.6234984579794904E-3</v>
      </c>
      <c r="AB28">
        <f t="shared" si="8"/>
        <v>4.3400453881744561</v>
      </c>
      <c r="AD28">
        <f t="shared" si="10"/>
        <v>25</v>
      </c>
      <c r="AE28">
        <f t="shared" si="11"/>
        <v>7.5853602163456753</v>
      </c>
    </row>
    <row r="29" spans="1:31" x14ac:dyDescent="0.35">
      <c r="A29">
        <f t="shared" si="0"/>
        <v>26</v>
      </c>
      <c r="B29">
        <v>10.978531861411668</v>
      </c>
      <c r="D29">
        <f t="shared" si="9"/>
        <v>26</v>
      </c>
      <c r="E29">
        <f t="shared" si="1"/>
        <v>-0.47425584745445559</v>
      </c>
      <c r="F29">
        <f t="shared" si="12"/>
        <v>1.5060310100547607</v>
      </c>
      <c r="V29">
        <f t="shared" si="2"/>
        <v>26</v>
      </c>
      <c r="W29">
        <f t="shared" si="3"/>
        <v>-0.47425584745445559</v>
      </c>
      <c r="X29">
        <f t="shared" si="4"/>
        <v>1.5060310100547607</v>
      </c>
      <c r="Y29">
        <f t="shared" si="5"/>
        <v>-1.9802868575092163</v>
      </c>
      <c r="Z29">
        <f t="shared" si="6"/>
        <v>1.1062504015179921</v>
      </c>
      <c r="AA29">
        <f t="shared" si="7"/>
        <v>-4.1484978023674541</v>
      </c>
      <c r="AB29">
        <f t="shared" si="8"/>
        <v>0.18792408734902177</v>
      </c>
      <c r="AD29">
        <f t="shared" si="10"/>
        <v>26</v>
      </c>
      <c r="AE29">
        <f t="shared" si="11"/>
        <v>10.978531861411668</v>
      </c>
    </row>
    <row r="30" spans="1:31" x14ac:dyDescent="0.35">
      <c r="A30">
        <f t="shared" si="0"/>
        <v>27</v>
      </c>
      <c r="B30">
        <v>10.550225208625736</v>
      </c>
      <c r="D30">
        <f t="shared" si="9"/>
        <v>27</v>
      </c>
      <c r="E30">
        <f t="shared" si="1"/>
        <v>0.63128702775073431</v>
      </c>
      <c r="F30">
        <f t="shared" si="12"/>
        <v>0.55573144968921984</v>
      </c>
      <c r="V30">
        <f t="shared" si="2"/>
        <v>27</v>
      </c>
      <c r="W30">
        <f t="shared" si="3"/>
        <v>0.63128702775073431</v>
      </c>
      <c r="X30">
        <f t="shared" si="4"/>
        <v>0.55573144968921984</v>
      </c>
      <c r="Y30">
        <f t="shared" si="5"/>
        <v>7.5555578061514472E-2</v>
      </c>
      <c r="Z30">
        <f t="shared" si="6"/>
        <v>1.1062504015179921</v>
      </c>
      <c r="AA30">
        <f t="shared" si="7"/>
        <v>-2.0926553667967234</v>
      </c>
      <c r="AB30">
        <f t="shared" si="8"/>
        <v>2.2437665229197528</v>
      </c>
      <c r="AD30">
        <f t="shared" si="10"/>
        <v>27</v>
      </c>
      <c r="AE30">
        <f t="shared" si="11"/>
        <v>10.550225208625736</v>
      </c>
    </row>
    <row r="31" spans="1:31" x14ac:dyDescent="0.35">
      <c r="A31">
        <f t="shared" si="0"/>
        <v>28</v>
      </c>
      <c r="B31">
        <v>11.227461431044995</v>
      </c>
      <c r="D31">
        <f t="shared" si="9"/>
        <v>28</v>
      </c>
      <c r="E31">
        <f t="shared" si="1"/>
        <v>-2.197239300181832</v>
      </c>
      <c r="F31">
        <f t="shared" si="12"/>
        <v>-1.5859318949220842</v>
      </c>
      <c r="V31">
        <f t="shared" si="2"/>
        <v>28</v>
      </c>
      <c r="W31">
        <f t="shared" si="3"/>
        <v>-2.197239300181832</v>
      </c>
      <c r="X31">
        <f t="shared" si="4"/>
        <v>-1.5859318949220842</v>
      </c>
      <c r="Y31">
        <f t="shared" si="5"/>
        <v>-0.6113074052597478</v>
      </c>
      <c r="Z31">
        <f t="shared" si="6"/>
        <v>1.1062504015179921</v>
      </c>
      <c r="AA31">
        <f t="shared" si="7"/>
        <v>-2.7795183501179856</v>
      </c>
      <c r="AB31">
        <f t="shared" si="8"/>
        <v>1.5569035395984903</v>
      </c>
      <c r="AD31">
        <f t="shared" si="10"/>
        <v>28</v>
      </c>
      <c r="AE31">
        <f t="shared" si="11"/>
        <v>11.227461431044995</v>
      </c>
    </row>
    <row r="32" spans="1:31" x14ac:dyDescent="0.35">
      <c r="A32">
        <f t="shared" si="0"/>
        <v>29</v>
      </c>
      <c r="B32">
        <v>9.0761713255316874</v>
      </c>
      <c r="D32">
        <f t="shared" si="9"/>
        <v>29</v>
      </c>
      <c r="E32">
        <f t="shared" si="1"/>
        <v>0.78737513070832565</v>
      </c>
      <c r="F32">
        <f t="shared" si="12"/>
        <v>-0.40001715430949369</v>
      </c>
      <c r="V32">
        <f t="shared" si="2"/>
        <v>29</v>
      </c>
      <c r="W32">
        <f t="shared" si="3"/>
        <v>0.78737513070832565</v>
      </c>
      <c r="X32">
        <f t="shared" si="4"/>
        <v>-0.40001715430949369</v>
      </c>
      <c r="Y32">
        <f t="shared" si="5"/>
        <v>1.1873922850178193</v>
      </c>
      <c r="Z32">
        <f t="shared" si="6"/>
        <v>1.1062504015179921</v>
      </c>
      <c r="AA32">
        <f t="shared" si="7"/>
        <v>-0.98081865984041872</v>
      </c>
      <c r="AB32">
        <f t="shared" si="8"/>
        <v>3.3556032298760572</v>
      </c>
      <c r="AD32">
        <f t="shared" si="10"/>
        <v>29</v>
      </c>
      <c r="AE32">
        <f t="shared" si="11"/>
        <v>9.0761713255316874</v>
      </c>
    </row>
    <row r="33" spans="1:31" x14ac:dyDescent="0.35">
      <c r="A33">
        <f t="shared" si="0"/>
        <v>30</v>
      </c>
      <c r="B33">
        <v>9.9094956509085375</v>
      </c>
      <c r="D33">
        <f t="shared" si="9"/>
        <v>30</v>
      </c>
      <c r="E33">
        <f t="shared" si="1"/>
        <v>1.7281907254040767</v>
      </c>
      <c r="F33">
        <f t="shared" si="12"/>
        <v>2.2201244301294034</v>
      </c>
      <c r="V33">
        <f t="shared" si="2"/>
        <v>30</v>
      </c>
      <c r="W33">
        <f t="shared" si="3"/>
        <v>1.7281907254040767</v>
      </c>
      <c r="X33">
        <f t="shared" si="4"/>
        <v>2.2201244301294034</v>
      </c>
      <c r="Y33">
        <f t="shared" si="5"/>
        <v>-0.49193370472532671</v>
      </c>
      <c r="Z33">
        <f t="shared" si="6"/>
        <v>1.1062504015179921</v>
      </c>
      <c r="AA33">
        <f t="shared" si="7"/>
        <v>-2.6601446495835646</v>
      </c>
      <c r="AB33">
        <f t="shared" si="8"/>
        <v>1.6762772401329114</v>
      </c>
      <c r="AD33">
        <f t="shared" si="10"/>
        <v>30</v>
      </c>
      <c r="AE33">
        <f t="shared" si="11"/>
        <v>9.9094956509085375</v>
      </c>
    </row>
    <row r="34" spans="1:31" x14ac:dyDescent="0.35">
      <c r="A34">
        <f t="shared" si="0"/>
        <v>31</v>
      </c>
      <c r="B34">
        <v>11.683635570981139</v>
      </c>
      <c r="D34">
        <f t="shared" si="9"/>
        <v>31</v>
      </c>
      <c r="E34">
        <f t="shared" si="1"/>
        <v>-2.3404666566040069</v>
      </c>
      <c r="F34">
        <f t="shared" si="12"/>
        <v>-1.0849634454537869</v>
      </c>
      <c r="V34">
        <f t="shared" si="2"/>
        <v>31</v>
      </c>
      <c r="W34">
        <f t="shared" si="3"/>
        <v>-2.3404666566040069</v>
      </c>
      <c r="X34">
        <f t="shared" si="4"/>
        <v>-1.0849634454537869</v>
      </c>
      <c r="Y34">
        <f t="shared" si="5"/>
        <v>-1.25550321115022</v>
      </c>
      <c r="Z34">
        <f t="shared" si="6"/>
        <v>1.1062504015179921</v>
      </c>
      <c r="AA34">
        <f t="shared" si="7"/>
        <v>-3.4237141560084581</v>
      </c>
      <c r="AB34">
        <f t="shared" si="8"/>
        <v>0.91270773370801805</v>
      </c>
      <c r="AD34">
        <f t="shared" si="10"/>
        <v>31</v>
      </c>
      <c r="AE34">
        <f t="shared" si="11"/>
        <v>11.683635570981139</v>
      </c>
    </row>
    <row r="35" spans="1:31" x14ac:dyDescent="0.35">
      <c r="A35">
        <f t="shared" si="0"/>
        <v>32</v>
      </c>
      <c r="B35">
        <v>9.3891181090456559</v>
      </c>
      <c r="D35">
        <f t="shared" si="9"/>
        <v>32</v>
      </c>
      <c r="E35">
        <f t="shared" si="1"/>
        <v>1.8459000492493807</v>
      </c>
      <c r="F35">
        <f t="shared" si="12"/>
        <v>0.63692563223015042</v>
      </c>
      <c r="V35">
        <f t="shared" si="2"/>
        <v>32</v>
      </c>
      <c r="W35">
        <f t="shared" si="3"/>
        <v>1.8459000492493807</v>
      </c>
      <c r="X35">
        <f t="shared" si="4"/>
        <v>0.63692563223015042</v>
      </c>
      <c r="Y35">
        <f t="shared" si="5"/>
        <v>1.2089744170192303</v>
      </c>
      <c r="Z35">
        <f t="shared" si="6"/>
        <v>1.1062504015179921</v>
      </c>
      <c r="AA35">
        <f t="shared" si="7"/>
        <v>-0.95923652783900781</v>
      </c>
      <c r="AB35">
        <f t="shared" si="8"/>
        <v>3.3771853618774683</v>
      </c>
      <c r="AD35">
        <f t="shared" si="10"/>
        <v>32</v>
      </c>
      <c r="AE35">
        <f t="shared" si="11"/>
        <v>9.3891181090456559</v>
      </c>
    </row>
    <row r="36" spans="1:31" x14ac:dyDescent="0.35">
      <c r="A36">
        <f t="shared" si="0"/>
        <v>33</v>
      </c>
      <c r="B36">
        <v>11.280967352963561</v>
      </c>
      <c r="D36">
        <f t="shared" si="9"/>
        <v>33</v>
      </c>
      <c r="E36">
        <f t="shared" si="1"/>
        <v>-2.2492164932947167</v>
      </c>
      <c r="F36">
        <f t="shared" si="12"/>
        <v>-0.98383758684811706</v>
      </c>
      <c r="V36">
        <f t="shared" si="2"/>
        <v>33</v>
      </c>
      <c r="W36">
        <f t="shared" si="3"/>
        <v>-2.2492164932947167</v>
      </c>
      <c r="X36">
        <f t="shared" si="4"/>
        <v>-0.98383758684811706</v>
      </c>
      <c r="Y36">
        <f t="shared" si="5"/>
        <v>-1.2653789064465997</v>
      </c>
      <c r="Z36">
        <f t="shared" si="6"/>
        <v>1.1062504015179921</v>
      </c>
      <c r="AA36">
        <f t="shared" si="7"/>
        <v>-3.4335898513048377</v>
      </c>
      <c r="AB36">
        <f t="shared" si="8"/>
        <v>0.90283203841163839</v>
      </c>
      <c r="AD36">
        <f t="shared" si="10"/>
        <v>33</v>
      </c>
      <c r="AE36">
        <f t="shared" si="11"/>
        <v>11.280967352963561</v>
      </c>
    </row>
    <row r="37" spans="1:31" x14ac:dyDescent="0.35">
      <c r="A37">
        <f t="shared" si="0"/>
        <v>34</v>
      </c>
      <c r="B37">
        <v>9.0777000543373685</v>
      </c>
      <c r="D37">
        <f t="shared" si="9"/>
        <v>34</v>
      </c>
      <c r="E37">
        <f t="shared" si="1"/>
        <v>0.29820283070429698</v>
      </c>
      <c r="F37">
        <f t="shared" si="12"/>
        <v>-0.90412797916987264</v>
      </c>
      <c r="V37">
        <f t="shared" si="2"/>
        <v>34</v>
      </c>
      <c r="W37">
        <f t="shared" si="3"/>
        <v>0.29820283070429698</v>
      </c>
      <c r="X37">
        <f t="shared" si="4"/>
        <v>-0.90412797916987264</v>
      </c>
      <c r="Y37">
        <f t="shared" si="5"/>
        <v>1.2023308098741696</v>
      </c>
      <c r="Z37">
        <f t="shared" si="6"/>
        <v>1.1062504015179921</v>
      </c>
      <c r="AA37">
        <f t="shared" si="7"/>
        <v>-0.96588013498406844</v>
      </c>
      <c r="AB37">
        <f t="shared" si="8"/>
        <v>3.3705417547324075</v>
      </c>
      <c r="AD37">
        <f t="shared" si="10"/>
        <v>34</v>
      </c>
      <c r="AE37">
        <f t="shared" si="11"/>
        <v>9.0777000543373685</v>
      </c>
    </row>
    <row r="38" spans="1:31" x14ac:dyDescent="0.35">
      <c r="A38">
        <f t="shared" si="0"/>
        <v>35</v>
      </c>
      <c r="B38">
        <v>9.4218520797101899</v>
      </c>
      <c r="D38">
        <f t="shared" si="9"/>
        <v>35</v>
      </c>
      <c r="E38">
        <f t="shared" si="1"/>
        <v>1.3008694923475079</v>
      </c>
      <c r="F38">
        <f t="shared" si="12"/>
        <v>1.4747147445434696</v>
      </c>
      <c r="V38">
        <f t="shared" si="2"/>
        <v>35</v>
      </c>
      <c r="W38">
        <f t="shared" si="3"/>
        <v>1.3008694923475079</v>
      </c>
      <c r="X38">
        <f t="shared" si="4"/>
        <v>1.4747147445434696</v>
      </c>
      <c r="Y38">
        <f t="shared" si="5"/>
        <v>-0.1738452521959617</v>
      </c>
      <c r="Z38">
        <f t="shared" si="6"/>
        <v>1.1062504015179921</v>
      </c>
      <c r="AA38">
        <f t="shared" si="7"/>
        <v>-2.3420561970542</v>
      </c>
      <c r="AB38">
        <f t="shared" si="8"/>
        <v>1.9943656926622764</v>
      </c>
      <c r="AD38">
        <f t="shared" si="10"/>
        <v>35</v>
      </c>
      <c r="AE38">
        <f t="shared" si="11"/>
        <v>9.4218520797101899</v>
      </c>
    </row>
    <row r="39" spans="1:31" x14ac:dyDescent="0.35">
      <c r="A39">
        <f t="shared" si="0"/>
        <v>36</v>
      </c>
      <c r="B39">
        <v>10.768670766726222</v>
      </c>
      <c r="D39">
        <f t="shared" si="9"/>
        <v>36</v>
      </c>
      <c r="E39">
        <f t="shared" si="1"/>
        <v>-0.76993353517413543</v>
      </c>
      <c r="F39">
        <f t="shared" si="12"/>
        <v>0.12981383215735054</v>
      </c>
      <c r="V39">
        <f t="shared" si="2"/>
        <v>36</v>
      </c>
      <c r="W39">
        <f t="shared" si="3"/>
        <v>-0.76993353517413543</v>
      </c>
      <c r="X39">
        <f t="shared" si="4"/>
        <v>0.12981383215735054</v>
      </c>
      <c r="Y39">
        <f t="shared" si="5"/>
        <v>-0.89974736733148597</v>
      </c>
      <c r="Z39">
        <f t="shared" si="6"/>
        <v>1.1062504015179921</v>
      </c>
      <c r="AA39">
        <f t="shared" si="7"/>
        <v>-3.0679583121897238</v>
      </c>
      <c r="AB39">
        <f t="shared" si="8"/>
        <v>1.2684635775267521</v>
      </c>
      <c r="AD39">
        <f t="shared" si="10"/>
        <v>36</v>
      </c>
      <c r="AE39">
        <f t="shared" si="11"/>
        <v>10.768670766726222</v>
      </c>
    </row>
    <row r="40" spans="1:31" x14ac:dyDescent="0.35">
      <c r="A40">
        <f t="shared" si="0"/>
        <v>37</v>
      </c>
      <c r="B40">
        <v>10.044686426220611</v>
      </c>
      <c r="D40">
        <f t="shared" si="9"/>
        <v>37</v>
      </c>
      <c r="E40">
        <f t="shared" si="1"/>
        <v>-0.58798808001704228</v>
      </c>
      <c r="F40">
        <f t="shared" si="12"/>
        <v>-0.87495714601238217</v>
      </c>
      <c r="V40">
        <f t="shared" si="2"/>
        <v>37</v>
      </c>
      <c r="W40">
        <f t="shared" si="3"/>
        <v>-0.58798808001704228</v>
      </c>
      <c r="X40">
        <f t="shared" si="4"/>
        <v>-0.87495714601238217</v>
      </c>
      <c r="Y40">
        <f t="shared" si="5"/>
        <v>0.28696906599533989</v>
      </c>
      <c r="Z40">
        <f t="shared" si="6"/>
        <v>1.1062504015179921</v>
      </c>
      <c r="AA40">
        <f t="shared" si="7"/>
        <v>-1.8812418788628982</v>
      </c>
      <c r="AB40">
        <f t="shared" si="8"/>
        <v>2.455180010853578</v>
      </c>
      <c r="AD40">
        <f t="shared" si="10"/>
        <v>37</v>
      </c>
      <c r="AE40">
        <f t="shared" si="11"/>
        <v>10.044686426220611</v>
      </c>
    </row>
    <row r="41" spans="1:31" x14ac:dyDescent="0.35">
      <c r="A41">
        <f t="shared" si="0"/>
        <v>38</v>
      </c>
      <c r="B41">
        <v>9.5026475408720934</v>
      </c>
      <c r="D41">
        <f t="shared" si="9"/>
        <v>38</v>
      </c>
      <c r="E41">
        <f t="shared" si="1"/>
        <v>2.4680384096692718</v>
      </c>
      <c r="F41">
        <f t="shared" si="12"/>
        <v>2.1933439390314389</v>
      </c>
      <c r="V41">
        <f t="shared" si="2"/>
        <v>38</v>
      </c>
      <c r="W41">
        <f t="shared" si="3"/>
        <v>2.4680384096692718</v>
      </c>
      <c r="X41">
        <f t="shared" si="4"/>
        <v>2.1933439390314389</v>
      </c>
      <c r="Y41">
        <f t="shared" si="5"/>
        <v>0.27469447063783292</v>
      </c>
      <c r="Z41">
        <f t="shared" si="6"/>
        <v>1.1062504015179921</v>
      </c>
      <c r="AA41">
        <f t="shared" si="7"/>
        <v>-1.8935164742204051</v>
      </c>
      <c r="AB41">
        <f t="shared" si="8"/>
        <v>2.442905415496071</v>
      </c>
      <c r="AD41">
        <f t="shared" si="10"/>
        <v>38</v>
      </c>
      <c r="AE41">
        <f t="shared" si="11"/>
        <v>9.5026475408720934</v>
      </c>
    </row>
    <row r="42" spans="1:31" x14ac:dyDescent="0.35">
      <c r="A42">
        <f t="shared" si="0"/>
        <v>39</v>
      </c>
      <c r="B42">
        <v>12.016635145209889</v>
      </c>
      <c r="D42">
        <f t="shared" si="9"/>
        <v>39</v>
      </c>
      <c r="E42">
        <f t="shared" si="1"/>
        <v>-2.4550019154148588</v>
      </c>
      <c r="F42">
        <f t="shared" si="12"/>
        <v>-0.74931544861726262</v>
      </c>
      <c r="V42">
        <f t="shared" si="2"/>
        <v>39</v>
      </c>
      <c r="W42">
        <f t="shared" si="3"/>
        <v>-2.4550019154148588</v>
      </c>
      <c r="X42">
        <f t="shared" si="4"/>
        <v>-0.74931544861726262</v>
      </c>
      <c r="Y42">
        <f t="shared" si="5"/>
        <v>-1.7056864667975962</v>
      </c>
      <c r="Z42">
        <f t="shared" si="6"/>
        <v>1.1062504015179921</v>
      </c>
      <c r="AA42">
        <f t="shared" si="7"/>
        <v>-3.8738974116558342</v>
      </c>
      <c r="AB42">
        <f t="shared" si="8"/>
        <v>0.4625244780606419</v>
      </c>
      <c r="AD42">
        <f t="shared" si="10"/>
        <v>39</v>
      </c>
      <c r="AE42">
        <f t="shared" si="11"/>
        <v>12.016635145209889</v>
      </c>
    </row>
    <row r="43" spans="1:31" x14ac:dyDescent="0.35">
      <c r="A43">
        <f t="shared" si="0"/>
        <v>40</v>
      </c>
      <c r="B43">
        <v>9.6075824244635548</v>
      </c>
      <c r="D43">
        <f t="shared" si="9"/>
        <v>40</v>
      </c>
      <c r="E43">
        <f t="shared" si="1"/>
        <v>0.82526708747794042</v>
      </c>
      <c r="F43">
        <f t="shared" si="12"/>
        <v>-0.3936717833572434</v>
      </c>
      <c r="V43">
        <f t="shared" si="2"/>
        <v>40</v>
      </c>
      <c r="W43">
        <f t="shared" si="3"/>
        <v>0.82526708747794042</v>
      </c>
      <c r="X43">
        <f t="shared" si="4"/>
        <v>-0.3936717833572434</v>
      </c>
      <c r="Y43">
        <f t="shared" si="5"/>
        <v>1.2189388708351838</v>
      </c>
      <c r="Z43">
        <f t="shared" si="6"/>
        <v>1.1062504015179921</v>
      </c>
      <c r="AA43">
        <f t="shared" si="7"/>
        <v>-0.94927207402305425</v>
      </c>
      <c r="AB43">
        <f t="shared" si="8"/>
        <v>3.3871498156934221</v>
      </c>
      <c r="AD43">
        <f t="shared" si="10"/>
        <v>40</v>
      </c>
      <c r="AE43">
        <f t="shared" si="11"/>
        <v>9.6075824244635548</v>
      </c>
    </row>
    <row r="44" spans="1:31" x14ac:dyDescent="0.35">
      <c r="A44">
        <f t="shared" si="0"/>
        <v>41</v>
      </c>
      <c r="B44">
        <v>10.47879870661002</v>
      </c>
      <c r="D44">
        <f t="shared" si="9"/>
        <v>41</v>
      </c>
      <c r="E44">
        <f t="shared" si="1"/>
        <v>-0.39360190516040672</v>
      </c>
      <c r="F44">
        <f t="shared" si="12"/>
        <v>0.23412012824324857</v>
      </c>
      <c r="V44">
        <f t="shared" si="2"/>
        <v>41</v>
      </c>
      <c r="W44">
        <f t="shared" si="3"/>
        <v>-0.39360190516040672</v>
      </c>
      <c r="X44">
        <f t="shared" si="4"/>
        <v>0.23412012824324857</v>
      </c>
      <c r="Y44">
        <f t="shared" si="5"/>
        <v>-0.62772203340365529</v>
      </c>
      <c r="Z44">
        <f t="shared" si="6"/>
        <v>1.1062504015179921</v>
      </c>
      <c r="AA44">
        <f t="shared" si="7"/>
        <v>-2.7959329782618934</v>
      </c>
      <c r="AB44">
        <f t="shared" si="8"/>
        <v>1.5404889114545828</v>
      </c>
      <c r="AD44">
        <f t="shared" si="10"/>
        <v>41</v>
      </c>
      <c r="AE44">
        <f t="shared" si="11"/>
        <v>10.47879870661002</v>
      </c>
    </row>
    <row r="45" spans="1:31" x14ac:dyDescent="0.35">
      <c r="A45">
        <f t="shared" si="0"/>
        <v>42</v>
      </c>
      <c r="B45">
        <v>10.131145996118137</v>
      </c>
      <c r="D45">
        <f t="shared" si="9"/>
        <v>42</v>
      </c>
      <c r="E45">
        <f t="shared" si="1"/>
        <v>-0.86684219769271675</v>
      </c>
      <c r="F45">
        <f t="shared" si="12"/>
        <v>-0.92395791437573516</v>
      </c>
      <c r="V45">
        <f t="shared" si="2"/>
        <v>42</v>
      </c>
      <c r="W45">
        <f t="shared" si="3"/>
        <v>-0.86684219769271675</v>
      </c>
      <c r="X45">
        <f t="shared" si="4"/>
        <v>-0.92395791437573516</v>
      </c>
      <c r="Y45">
        <f t="shared" si="5"/>
        <v>5.7115716683018403E-2</v>
      </c>
      <c r="Z45">
        <f t="shared" si="6"/>
        <v>1.1062504015179921</v>
      </c>
      <c r="AA45">
        <f t="shared" si="7"/>
        <v>-2.1110952281752198</v>
      </c>
      <c r="AB45">
        <f t="shared" si="8"/>
        <v>2.2253266615412564</v>
      </c>
      <c r="AD45">
        <f t="shared" si="10"/>
        <v>42</v>
      </c>
      <c r="AE45">
        <f t="shared" si="11"/>
        <v>10.131145996118137</v>
      </c>
    </row>
    <row r="46" spans="1:31" x14ac:dyDescent="0.35">
      <c r="A46">
        <f t="shared" si="0"/>
        <v>43</v>
      </c>
      <c r="B46">
        <v>9.3102529930939451</v>
      </c>
      <c r="D46">
        <f t="shared" si="9"/>
        <v>43</v>
      </c>
      <c r="E46">
        <f t="shared" si="1"/>
        <v>0.59703526921744543</v>
      </c>
      <c r="F46">
        <f t="shared" si="12"/>
        <v>0.16886070961353494</v>
      </c>
      <c r="V46">
        <f t="shared" si="2"/>
        <v>43</v>
      </c>
      <c r="W46">
        <f t="shared" si="3"/>
        <v>0.59703526921744543</v>
      </c>
      <c r="X46">
        <f t="shared" si="4"/>
        <v>0.16886070961353494</v>
      </c>
      <c r="Y46">
        <f t="shared" si="5"/>
        <v>0.42817455960391049</v>
      </c>
      <c r="Z46">
        <f t="shared" si="6"/>
        <v>1.1062504015179921</v>
      </c>
      <c r="AA46">
        <f t="shared" si="7"/>
        <v>-1.7400363852543275</v>
      </c>
      <c r="AB46">
        <f t="shared" si="8"/>
        <v>2.5963855044621487</v>
      </c>
      <c r="AD46">
        <f t="shared" si="10"/>
        <v>43</v>
      </c>
      <c r="AE46">
        <f t="shared" si="11"/>
        <v>9.3102529930939451</v>
      </c>
    </row>
    <row r="47" spans="1:31" x14ac:dyDescent="0.35">
      <c r="A47">
        <f t="shared" si="0"/>
        <v>44</v>
      </c>
      <c r="B47">
        <v>9.9532374569799149</v>
      </c>
      <c r="D47">
        <f t="shared" si="9"/>
        <v>44</v>
      </c>
      <c r="E47">
        <f t="shared" si="1"/>
        <v>-6.7103677618878921E-2</v>
      </c>
      <c r="F47">
        <f t="shared" si="12"/>
        <v>0.36381580067838565</v>
      </c>
      <c r="V47">
        <f t="shared" si="2"/>
        <v>44</v>
      </c>
      <c r="W47">
        <f t="shared" si="3"/>
        <v>-6.7103677618878921E-2</v>
      </c>
      <c r="X47">
        <f t="shared" si="4"/>
        <v>0.36381580067838565</v>
      </c>
      <c r="Y47">
        <f t="shared" si="5"/>
        <v>-0.43091947829726457</v>
      </c>
      <c r="Z47">
        <f t="shared" si="6"/>
        <v>1.1062504015179921</v>
      </c>
      <c r="AA47">
        <f t="shared" si="7"/>
        <v>-2.5991304231555028</v>
      </c>
      <c r="AB47">
        <f t="shared" si="8"/>
        <v>1.7372914665609736</v>
      </c>
      <c r="AD47">
        <f t="shared" si="10"/>
        <v>44</v>
      </c>
      <c r="AE47">
        <f t="shared" si="11"/>
        <v>9.9532374569799149</v>
      </c>
    </row>
    <row r="48" spans="1:31" x14ac:dyDescent="0.35">
      <c r="A48">
        <f t="shared" si="0"/>
        <v>45</v>
      </c>
      <c r="B48">
        <v>9.9320829740295604</v>
      </c>
      <c r="D48">
        <f t="shared" si="9"/>
        <v>45</v>
      </c>
      <c r="E48">
        <f t="shared" si="1"/>
        <v>1.6570698107905304</v>
      </c>
      <c r="F48">
        <f t="shared" si="12"/>
        <v>1.7383304763235945</v>
      </c>
      <c r="V48">
        <f t="shared" si="2"/>
        <v>45</v>
      </c>
      <c r="W48">
        <f t="shared" si="3"/>
        <v>1.6570698107905304</v>
      </c>
      <c r="X48">
        <f t="shared" si="4"/>
        <v>1.7383304763235945</v>
      </c>
      <c r="Y48">
        <f t="shared" si="5"/>
        <v>-8.1260665533064103E-2</v>
      </c>
      <c r="Z48">
        <f t="shared" si="6"/>
        <v>1.1062504015179921</v>
      </c>
      <c r="AA48">
        <f t="shared" si="7"/>
        <v>-2.2494716103913022</v>
      </c>
      <c r="AB48">
        <f t="shared" si="8"/>
        <v>2.086950279325174</v>
      </c>
      <c r="AD48">
        <f t="shared" si="10"/>
        <v>45</v>
      </c>
      <c r="AE48">
        <f t="shared" si="11"/>
        <v>9.9320829740295604</v>
      </c>
    </row>
    <row r="49" spans="1:31" x14ac:dyDescent="0.35">
      <c r="A49">
        <f t="shared" si="0"/>
        <v>46</v>
      </c>
      <c r="B49">
        <v>11.635101979488615</v>
      </c>
      <c r="D49">
        <f t="shared" si="9"/>
        <v>46</v>
      </c>
      <c r="E49">
        <f t="shared" si="1"/>
        <v>-1.2528083517589483</v>
      </c>
      <c r="F49">
        <f t="shared" si="12"/>
        <v>-6.9202807709096703E-3</v>
      </c>
      <c r="V49">
        <f t="shared" si="2"/>
        <v>46</v>
      </c>
      <c r="W49">
        <f t="shared" si="3"/>
        <v>-1.2528083517589483</v>
      </c>
      <c r="X49">
        <f t="shared" si="4"/>
        <v>-6.9202807709096703E-3</v>
      </c>
      <c r="Y49">
        <f t="shared" si="5"/>
        <v>-1.2458880709880387</v>
      </c>
      <c r="Z49">
        <f t="shared" si="6"/>
        <v>1.1062504015179921</v>
      </c>
      <c r="AA49">
        <f t="shared" si="7"/>
        <v>-3.4140990158462765</v>
      </c>
      <c r="AB49">
        <f t="shared" si="8"/>
        <v>0.9223228738701994</v>
      </c>
      <c r="AD49">
        <f t="shared" si="10"/>
        <v>46</v>
      </c>
      <c r="AE49">
        <f t="shared" si="11"/>
        <v>11.635101979488615</v>
      </c>
    </row>
    <row r="50" spans="1:31" x14ac:dyDescent="0.35">
      <c r="A50">
        <f t="shared" si="0"/>
        <v>47</v>
      </c>
      <c r="B50">
        <v>10.428242822398191</v>
      </c>
      <c r="D50">
        <f t="shared" si="9"/>
        <v>47</v>
      </c>
      <c r="E50">
        <f t="shared" si="1"/>
        <v>-0.77996133131695555</v>
      </c>
      <c r="F50">
        <f t="shared" si="12"/>
        <v>-1.2232260495711025</v>
      </c>
      <c r="V50">
        <f t="shared" si="2"/>
        <v>47</v>
      </c>
      <c r="W50">
        <f t="shared" si="3"/>
        <v>-0.77996133131695555</v>
      </c>
      <c r="X50">
        <f t="shared" si="4"/>
        <v>-1.2232260495711025</v>
      </c>
      <c r="Y50">
        <f t="shared" si="5"/>
        <v>0.44326471825414693</v>
      </c>
      <c r="Z50">
        <f t="shared" si="6"/>
        <v>1.1062504015179921</v>
      </c>
      <c r="AA50">
        <f t="shared" si="7"/>
        <v>-1.7249462266040911</v>
      </c>
      <c r="AB50">
        <f t="shared" si="8"/>
        <v>2.611475663112385</v>
      </c>
      <c r="AD50">
        <f t="shared" si="10"/>
        <v>47</v>
      </c>
      <c r="AE50">
        <f t="shared" si="11"/>
        <v>10.428242822398191</v>
      </c>
    </row>
    <row r="51" spans="1:31" x14ac:dyDescent="0.35">
      <c r="A51">
        <f t="shared" si="0"/>
        <v>48</v>
      </c>
      <c r="B51">
        <v>9.6942306857497602</v>
      </c>
      <c r="D51">
        <f t="shared" si="9"/>
        <v>48</v>
      </c>
      <c r="E51">
        <f t="shared" si="1"/>
        <v>0.42885687195847377</v>
      </c>
      <c r="F51">
        <f t="shared" si="12"/>
        <v>0.12682876137762733</v>
      </c>
      <c r="V51">
        <f t="shared" si="2"/>
        <v>48</v>
      </c>
      <c r="W51">
        <f t="shared" si="3"/>
        <v>0.42885687195847377</v>
      </c>
      <c r="X51">
        <f t="shared" si="4"/>
        <v>0.12682876137762733</v>
      </c>
      <c r="Y51">
        <f t="shared" si="5"/>
        <v>0.30202811058084644</v>
      </c>
      <c r="Z51">
        <f t="shared" si="6"/>
        <v>1.1062504015179921</v>
      </c>
      <c r="AA51">
        <f t="shared" si="7"/>
        <v>-1.8661828342773916</v>
      </c>
      <c r="AB51">
        <f t="shared" si="8"/>
        <v>2.4702390554390847</v>
      </c>
      <c r="AD51">
        <f t="shared" si="10"/>
        <v>48</v>
      </c>
      <c r="AE51">
        <f t="shared" si="11"/>
        <v>9.6942306857497602</v>
      </c>
    </row>
    <row r="52" spans="1:31" x14ac:dyDescent="0.35">
      <c r="A52">
        <f t="shared" si="0"/>
        <v>49</v>
      </c>
      <c r="B52">
        <v>10.169036752376758</v>
      </c>
      <c r="D52">
        <f t="shared" si="9"/>
        <v>49</v>
      </c>
      <c r="E52">
        <f t="shared" si="1"/>
        <v>0.27166976554473155</v>
      </c>
      <c r="F52">
        <f t="shared" si="12"/>
        <v>0.67485854903425091</v>
      </c>
      <c r="V52">
        <f t="shared" si="2"/>
        <v>49</v>
      </c>
      <c r="W52">
        <f t="shared" si="3"/>
        <v>0.27166976554473155</v>
      </c>
      <c r="X52">
        <f t="shared" si="4"/>
        <v>0.67485854903425091</v>
      </c>
      <c r="Y52">
        <f t="shared" si="5"/>
        <v>-0.40318878348951936</v>
      </c>
      <c r="Z52">
        <f t="shared" si="6"/>
        <v>1.1062504015179921</v>
      </c>
      <c r="AA52">
        <f t="shared" si="7"/>
        <v>-2.5713997283477577</v>
      </c>
      <c r="AB52">
        <f t="shared" si="8"/>
        <v>1.7650221613687187</v>
      </c>
      <c r="AD52">
        <f t="shared" si="10"/>
        <v>49</v>
      </c>
      <c r="AE52">
        <f t="shared" si="11"/>
        <v>10.169036752376758</v>
      </c>
    </row>
    <row r="53" spans="1:31" x14ac:dyDescent="0.35">
      <c r="A53">
        <f t="shared" si="0"/>
        <v>50</v>
      </c>
      <c r="B53">
        <v>10.486655712590014</v>
      </c>
      <c r="D53">
        <f t="shared" si="9"/>
        <v>50</v>
      </c>
      <c r="E53">
        <f t="shared" si="1"/>
        <v>0.12354473279427824</v>
      </c>
      <c r="F53">
        <f t="shared" si="12"/>
        <v>0.49837231560380679</v>
      </c>
      <c r="V53">
        <f t="shared" si="2"/>
        <v>50</v>
      </c>
      <c r="W53">
        <f t="shared" si="3"/>
        <v>0.12354473279427824</v>
      </c>
      <c r="X53">
        <f t="shared" si="4"/>
        <v>0.49837231560380679</v>
      </c>
      <c r="Y53">
        <f t="shared" si="5"/>
        <v>-0.37482758280952855</v>
      </c>
      <c r="Z53">
        <f t="shared" si="6"/>
        <v>1.1062504015179921</v>
      </c>
      <c r="AA53">
        <f t="shared" si="7"/>
        <v>-2.5430385276677665</v>
      </c>
      <c r="AB53">
        <f t="shared" si="8"/>
        <v>1.7933833620487096</v>
      </c>
      <c r="AD53">
        <f t="shared" si="10"/>
        <v>50</v>
      </c>
      <c r="AE53">
        <f t="shared" si="11"/>
        <v>10.486655712590014</v>
      </c>
    </row>
    <row r="54" spans="1:31" x14ac:dyDescent="0.35">
      <c r="A54">
        <f t="shared" si="0"/>
        <v>51</v>
      </c>
      <c r="B54">
        <v>10.656149640052817</v>
      </c>
      <c r="D54">
        <f t="shared" si="9"/>
        <v>51</v>
      </c>
      <c r="E54">
        <f t="shared" si="1"/>
        <v>-0.57278126810533014</v>
      </c>
      <c r="F54">
        <f t="shared" si="12"/>
        <v>-0.24079808268203462</v>
      </c>
      <c r="V54">
        <f t="shared" si="2"/>
        <v>51</v>
      </c>
      <c r="W54">
        <f t="shared" si="3"/>
        <v>-0.57278126810533014</v>
      </c>
      <c r="X54">
        <f t="shared" si="4"/>
        <v>-0.24079808268203462</v>
      </c>
      <c r="Y54">
        <f t="shared" si="5"/>
        <v>-0.33198318542329552</v>
      </c>
      <c r="Z54">
        <f t="shared" si="6"/>
        <v>1.1062504015179921</v>
      </c>
      <c r="AA54">
        <f t="shared" si="7"/>
        <v>-2.5001941302815336</v>
      </c>
      <c r="AB54">
        <f t="shared" si="8"/>
        <v>1.8362277594349425</v>
      </c>
      <c r="AD54">
        <f t="shared" si="10"/>
        <v>51</v>
      </c>
      <c r="AE54">
        <f t="shared" si="11"/>
        <v>10.656149640052817</v>
      </c>
    </row>
    <row r="55" spans="1:31" x14ac:dyDescent="0.35">
      <c r="A55">
        <f t="shared" si="0"/>
        <v>52</v>
      </c>
      <c r="B55">
        <v>10.129317566616011</v>
      </c>
      <c r="D55">
        <f t="shared" si="9"/>
        <v>52</v>
      </c>
      <c r="E55">
        <f t="shared" si="1"/>
        <v>-1.2089610088663296</v>
      </c>
      <c r="F55">
        <f t="shared" si="12"/>
        <v>-1.3114355451424839</v>
      </c>
      <c r="V55">
        <f t="shared" si="2"/>
        <v>52</v>
      </c>
      <c r="W55">
        <f t="shared" si="3"/>
        <v>-1.2089610088663296</v>
      </c>
      <c r="X55">
        <f t="shared" si="4"/>
        <v>-1.3114355451424839</v>
      </c>
      <c r="Y55">
        <f t="shared" si="5"/>
        <v>0.10247453627615433</v>
      </c>
      <c r="Z55">
        <f t="shared" si="6"/>
        <v>1.1062504015179921</v>
      </c>
      <c r="AA55">
        <f t="shared" si="7"/>
        <v>-2.065736408582084</v>
      </c>
      <c r="AB55">
        <f t="shared" si="8"/>
        <v>2.2706854811343922</v>
      </c>
      <c r="AD55">
        <f t="shared" si="10"/>
        <v>52</v>
      </c>
      <c r="AE55">
        <f t="shared" si="11"/>
        <v>10.129317566616011</v>
      </c>
    </row>
    <row r="56" spans="1:31" x14ac:dyDescent="0.35">
      <c r="A56">
        <f t="shared" si="0"/>
        <v>53</v>
      </c>
      <c r="B56">
        <v>8.9663057524182062</v>
      </c>
      <c r="D56">
        <f t="shared" si="9"/>
        <v>53</v>
      </c>
      <c r="E56">
        <f t="shared" si="1"/>
        <v>-0.90550350809424818</v>
      </c>
      <c r="F56">
        <f t="shared" si="12"/>
        <v>-1.5137131977853615</v>
      </c>
      <c r="V56">
        <f t="shared" si="2"/>
        <v>53</v>
      </c>
      <c r="W56">
        <f t="shared" si="3"/>
        <v>-0.90550350809424818</v>
      </c>
      <c r="X56">
        <f t="shared" si="4"/>
        <v>-1.5137131977853615</v>
      </c>
      <c r="Y56">
        <f t="shared" si="5"/>
        <v>0.60820968969111333</v>
      </c>
      <c r="Z56">
        <f t="shared" si="6"/>
        <v>1.1062504015179921</v>
      </c>
      <c r="AA56">
        <f t="shared" si="7"/>
        <v>-1.5600012551671247</v>
      </c>
      <c r="AB56">
        <f t="shared" si="8"/>
        <v>2.7764206345493516</v>
      </c>
      <c r="AD56">
        <f t="shared" si="10"/>
        <v>53</v>
      </c>
      <c r="AE56">
        <f t="shared" si="11"/>
        <v>8.9663057524182062</v>
      </c>
    </row>
    <row r="57" spans="1:31" x14ac:dyDescent="0.35">
      <c r="A57">
        <f t="shared" si="0"/>
        <v>54</v>
      </c>
      <c r="B57">
        <v>8.1067514389924824</v>
      </c>
      <c r="D57">
        <f t="shared" si="9"/>
        <v>54</v>
      </c>
      <c r="E57">
        <f t="shared" si="1"/>
        <v>0.52119812419049683</v>
      </c>
      <c r="F57">
        <f t="shared" si="12"/>
        <v>-6.6255467061734352E-2</v>
      </c>
      <c r="V57">
        <f t="shared" si="2"/>
        <v>54</v>
      </c>
      <c r="W57">
        <f t="shared" si="3"/>
        <v>0.52119812419049683</v>
      </c>
      <c r="X57">
        <f t="shared" si="4"/>
        <v>-6.6255467061734352E-2</v>
      </c>
      <c r="Y57">
        <f t="shared" si="5"/>
        <v>0.58745359125223118</v>
      </c>
      <c r="Z57">
        <f t="shared" si="6"/>
        <v>1.1062504015179921</v>
      </c>
      <c r="AA57">
        <f t="shared" si="7"/>
        <v>-1.5807573536060069</v>
      </c>
      <c r="AB57">
        <f t="shared" si="8"/>
        <v>2.7556645361104692</v>
      </c>
      <c r="AD57">
        <f t="shared" si="10"/>
        <v>54</v>
      </c>
      <c r="AE57">
        <f t="shared" si="11"/>
        <v>8.1067514389924824</v>
      </c>
    </row>
    <row r="58" spans="1:31" x14ac:dyDescent="0.35">
      <c r="A58">
        <f t="shared" si="0"/>
        <v>55</v>
      </c>
      <c r="B58">
        <v>8.6738987578515037</v>
      </c>
      <c r="D58">
        <f t="shared" si="9"/>
        <v>55</v>
      </c>
      <c r="E58">
        <f t="shared" si="1"/>
        <v>2.0014171239236545E-2</v>
      </c>
      <c r="F58">
        <f t="shared" si="12"/>
        <v>0.2512289371810788</v>
      </c>
      <c r="V58">
        <f t="shared" si="2"/>
        <v>55</v>
      </c>
      <c r="W58">
        <f t="shared" si="3"/>
        <v>2.0014171239236545E-2</v>
      </c>
      <c r="X58">
        <f t="shared" si="4"/>
        <v>0.2512289371810788</v>
      </c>
      <c r="Y58">
        <f t="shared" si="5"/>
        <v>-0.23121476594184226</v>
      </c>
      <c r="Z58">
        <f t="shared" si="6"/>
        <v>1.1062504015179921</v>
      </c>
      <c r="AA58">
        <f t="shared" si="7"/>
        <v>-2.3994257108000805</v>
      </c>
      <c r="AB58">
        <f t="shared" si="8"/>
        <v>1.9369961789163959</v>
      </c>
      <c r="AD58">
        <f t="shared" si="10"/>
        <v>55</v>
      </c>
      <c r="AE58">
        <f t="shared" si="11"/>
        <v>8.6738987578515037</v>
      </c>
    </row>
    <row r="59" spans="1:31" x14ac:dyDescent="0.35">
      <c r="A59">
        <f t="shared" si="0"/>
        <v>56</v>
      </c>
      <c r="B59">
        <v>8.7398621237592646</v>
      </c>
      <c r="D59">
        <f t="shared" si="9"/>
        <v>56</v>
      </c>
      <c r="E59">
        <f t="shared" si="1"/>
        <v>-2.1835220899731E-2</v>
      </c>
      <c r="F59">
        <f t="shared" si="12"/>
        <v>-5.2357721526110568E-2</v>
      </c>
      <c r="V59">
        <f t="shared" si="2"/>
        <v>56</v>
      </c>
      <c r="W59">
        <f t="shared" si="3"/>
        <v>-2.1835220899731E-2</v>
      </c>
      <c r="X59">
        <f t="shared" si="4"/>
        <v>-5.2357721526110568E-2</v>
      </c>
      <c r="Y59">
        <f t="shared" si="5"/>
        <v>3.0522500626379567E-2</v>
      </c>
      <c r="Z59">
        <f t="shared" si="6"/>
        <v>1.1062504015179921</v>
      </c>
      <c r="AA59">
        <f t="shared" si="7"/>
        <v>-2.1376884442318587</v>
      </c>
      <c r="AB59">
        <f t="shared" si="8"/>
        <v>2.1987334454846175</v>
      </c>
      <c r="AD59">
        <f t="shared" si="10"/>
        <v>56</v>
      </c>
      <c r="AE59">
        <f t="shared" si="11"/>
        <v>8.7398621237592646</v>
      </c>
    </row>
    <row r="60" spans="1:31" x14ac:dyDescent="0.35">
      <c r="A60">
        <f t="shared" si="0"/>
        <v>57</v>
      </c>
      <c r="B60">
        <v>8.7639760975280581</v>
      </c>
      <c r="D60">
        <f t="shared" si="9"/>
        <v>57</v>
      </c>
      <c r="E60">
        <f t="shared" si="1"/>
        <v>1.797706978054326</v>
      </c>
      <c r="F60">
        <f t="shared" si="12"/>
        <v>1.7391962678665263</v>
      </c>
      <c r="V60">
        <f t="shared" si="2"/>
        <v>57</v>
      </c>
      <c r="W60">
        <f t="shared" si="3"/>
        <v>1.797706978054326</v>
      </c>
      <c r="X60">
        <f t="shared" si="4"/>
        <v>1.7391962678665263</v>
      </c>
      <c r="Y60">
        <f t="shared" si="5"/>
        <v>5.8510710187799742E-2</v>
      </c>
      <c r="Z60">
        <f t="shared" si="6"/>
        <v>1.1062504015179921</v>
      </c>
      <c r="AA60">
        <f t="shared" si="7"/>
        <v>-2.1097002346704383</v>
      </c>
      <c r="AB60">
        <f t="shared" si="8"/>
        <v>2.2267216550460378</v>
      </c>
      <c r="AD60">
        <f t="shared" si="10"/>
        <v>57</v>
      </c>
      <c r="AE60">
        <f t="shared" si="11"/>
        <v>8.7639760975280581</v>
      </c>
    </row>
    <row r="61" spans="1:31" x14ac:dyDescent="0.35">
      <c r="A61">
        <f t="shared" si="0"/>
        <v>58</v>
      </c>
      <c r="B61">
        <v>10.607632270250908</v>
      </c>
      <c r="D61">
        <f t="shared" si="9"/>
        <v>58</v>
      </c>
      <c r="E61">
        <f t="shared" si="1"/>
        <v>-1.8072970988076424</v>
      </c>
      <c r="F61">
        <f t="shared" si="12"/>
        <v>-0.64057896204279441</v>
      </c>
      <c r="V61">
        <f t="shared" si="2"/>
        <v>58</v>
      </c>
      <c r="W61">
        <f t="shared" si="3"/>
        <v>-1.8072970988076424</v>
      </c>
      <c r="X61">
        <f t="shared" si="4"/>
        <v>-0.64057896204279441</v>
      </c>
      <c r="Y61">
        <f t="shared" si="5"/>
        <v>-1.166718136764848</v>
      </c>
      <c r="Z61">
        <f t="shared" si="6"/>
        <v>1.1062504015179921</v>
      </c>
      <c r="AA61">
        <f t="shared" si="7"/>
        <v>-3.3349290816230859</v>
      </c>
      <c r="AB61">
        <f t="shared" si="8"/>
        <v>1.00149280809339</v>
      </c>
      <c r="AD61">
        <f t="shared" si="10"/>
        <v>58</v>
      </c>
      <c r="AE61">
        <f t="shared" si="11"/>
        <v>10.607632270250908</v>
      </c>
    </row>
    <row r="62" spans="1:31" x14ac:dyDescent="0.35">
      <c r="A62">
        <f t="shared" si="0"/>
        <v>59</v>
      </c>
      <c r="B62">
        <v>8.8462843661117905</v>
      </c>
      <c r="D62">
        <f t="shared" si="9"/>
        <v>59</v>
      </c>
      <c r="E62">
        <f t="shared" si="1"/>
        <v>-0.69480308870150087</v>
      </c>
      <c r="F62">
        <f t="shared" si="12"/>
        <v>-1.6763514332648688</v>
      </c>
      <c r="V62">
        <f t="shared" si="2"/>
        <v>59</v>
      </c>
      <c r="W62">
        <f t="shared" si="3"/>
        <v>-0.69480308870150087</v>
      </c>
      <c r="X62">
        <f t="shared" si="4"/>
        <v>-1.6763514332648688</v>
      </c>
      <c r="Y62">
        <f t="shared" si="5"/>
        <v>0.98154834456336792</v>
      </c>
      <c r="Z62">
        <f t="shared" si="6"/>
        <v>1.1062504015179921</v>
      </c>
      <c r="AA62">
        <f t="shared" si="7"/>
        <v>-1.1866626002948701</v>
      </c>
      <c r="AB62">
        <f t="shared" si="8"/>
        <v>3.1497592894216062</v>
      </c>
      <c r="AD62">
        <f t="shared" si="10"/>
        <v>59</v>
      </c>
      <c r="AE62">
        <f t="shared" si="11"/>
        <v>8.8462843661117905</v>
      </c>
    </row>
    <row r="63" spans="1:31" x14ac:dyDescent="0.35">
      <c r="A63">
        <f t="shared" si="0"/>
        <v>60</v>
      </c>
      <c r="B63">
        <v>8.197430472078814</v>
      </c>
      <c r="D63">
        <f t="shared" si="9"/>
        <v>60</v>
      </c>
      <c r="E63">
        <f t="shared" si="1"/>
        <v>1.4570881440460599</v>
      </c>
      <c r="F63">
        <f t="shared" si="12"/>
        <v>0.94774039872104621</v>
      </c>
      <c r="V63">
        <f t="shared" si="2"/>
        <v>60</v>
      </c>
      <c r="W63">
        <f t="shared" si="3"/>
        <v>1.4570881440460599</v>
      </c>
      <c r="X63">
        <f t="shared" si="4"/>
        <v>0.94774039872104621</v>
      </c>
      <c r="Y63">
        <f t="shared" si="5"/>
        <v>0.5093477453250137</v>
      </c>
      <c r="Z63">
        <f t="shared" si="6"/>
        <v>1.1062504015179921</v>
      </c>
      <c r="AA63">
        <f t="shared" si="7"/>
        <v>-1.6588631995332244</v>
      </c>
      <c r="AB63">
        <f t="shared" si="8"/>
        <v>2.6775586901832518</v>
      </c>
      <c r="AD63">
        <f t="shared" si="10"/>
        <v>60</v>
      </c>
      <c r="AE63">
        <f t="shared" si="11"/>
        <v>8.197430472078814</v>
      </c>
    </row>
    <row r="64" spans="1:31" x14ac:dyDescent="0.35">
      <c r="A64">
        <f t="shared" si="0"/>
        <v>61</v>
      </c>
      <c r="B64">
        <v>9.7004678107933984</v>
      </c>
      <c r="D64">
        <f t="shared" si="9"/>
        <v>61</v>
      </c>
      <c r="E64">
        <f t="shared" si="1"/>
        <v>-0.24760854243567754</v>
      </c>
      <c r="F64">
        <f t="shared" si="12"/>
        <v>0.58294964424664086</v>
      </c>
      <c r="V64">
        <f t="shared" si="2"/>
        <v>61</v>
      </c>
      <c r="W64">
        <f t="shared" si="3"/>
        <v>-0.24760854243567754</v>
      </c>
      <c r="X64">
        <f t="shared" si="4"/>
        <v>0.58294964424664086</v>
      </c>
      <c r="Y64">
        <f t="shared" si="5"/>
        <v>-0.8305581866823184</v>
      </c>
      <c r="Z64">
        <f t="shared" si="6"/>
        <v>1.1062504015179921</v>
      </c>
      <c r="AA64">
        <f t="shared" si="7"/>
        <v>-2.9987691315405565</v>
      </c>
      <c r="AB64">
        <f t="shared" si="8"/>
        <v>1.3376527581759197</v>
      </c>
      <c r="AD64">
        <f t="shared" si="10"/>
        <v>61</v>
      </c>
      <c r="AE64">
        <f t="shared" si="11"/>
        <v>9.7004678107933984</v>
      </c>
    </row>
    <row r="65" spans="1:31" x14ac:dyDescent="0.35">
      <c r="A65">
        <f t="shared" si="0"/>
        <v>62</v>
      </c>
      <c r="B65">
        <v>9.4988084630262453</v>
      </c>
      <c r="D65">
        <f t="shared" si="9"/>
        <v>62</v>
      </c>
      <c r="E65">
        <f t="shared" si="1"/>
        <v>0.15562812124382108</v>
      </c>
      <c r="F65">
        <f t="shared" si="12"/>
        <v>6.1283263540645616E-2</v>
      </c>
      <c r="V65">
        <f t="shared" si="2"/>
        <v>62</v>
      </c>
      <c r="W65">
        <f t="shared" si="3"/>
        <v>0.15562812124382108</v>
      </c>
      <c r="X65">
        <f t="shared" si="4"/>
        <v>6.1283263540645616E-2</v>
      </c>
      <c r="Y65">
        <f t="shared" si="5"/>
        <v>9.4344857703175466E-2</v>
      </c>
      <c r="Z65">
        <f t="shared" si="6"/>
        <v>1.1062504015179921</v>
      </c>
      <c r="AA65">
        <f t="shared" si="7"/>
        <v>-2.0738660871550625</v>
      </c>
      <c r="AB65">
        <f t="shared" si="8"/>
        <v>2.2625558025614136</v>
      </c>
      <c r="AD65">
        <f t="shared" si="10"/>
        <v>62</v>
      </c>
      <c r="AE65">
        <f t="shared" si="11"/>
        <v>9.4988084630262453</v>
      </c>
    </row>
    <row r="66" spans="1:31" x14ac:dyDescent="0.35">
      <c r="A66">
        <f t="shared" si="0"/>
        <v>63</v>
      </c>
      <c r="B66">
        <v>9.7003857789385908</v>
      </c>
      <c r="D66">
        <f t="shared" si="9"/>
        <v>63</v>
      </c>
      <c r="E66">
        <f t="shared" si="1"/>
        <v>7.3293020331317349E-2</v>
      </c>
      <c r="F66">
        <f t="shared" si="12"/>
        <v>0.21611947152543692</v>
      </c>
      <c r="V66">
        <f t="shared" si="2"/>
        <v>63</v>
      </c>
      <c r="W66">
        <f t="shared" si="3"/>
        <v>7.3293020331317349E-2</v>
      </c>
      <c r="X66">
        <f t="shared" si="4"/>
        <v>0.21611947152543692</v>
      </c>
      <c r="Y66">
        <f t="shared" si="5"/>
        <v>-0.14282645119411957</v>
      </c>
      <c r="Z66">
        <f t="shared" si="6"/>
        <v>1.1062504015179921</v>
      </c>
      <c r="AA66">
        <f t="shared" si="7"/>
        <v>-2.3110373960523578</v>
      </c>
      <c r="AB66">
        <f t="shared" si="8"/>
        <v>2.0253844936641183</v>
      </c>
      <c r="AD66">
        <f t="shared" si="10"/>
        <v>63</v>
      </c>
      <c r="AE66">
        <f t="shared" si="11"/>
        <v>9.7003857789385908</v>
      </c>
    </row>
    <row r="67" spans="1:31" x14ac:dyDescent="0.35">
      <c r="A67">
        <f t="shared" si="0"/>
        <v>64</v>
      </c>
      <c r="B67">
        <v>9.8196279939384326</v>
      </c>
      <c r="D67">
        <f t="shared" si="9"/>
        <v>64</v>
      </c>
      <c r="E67">
        <f t="shared" si="1"/>
        <v>2.4914683966277478</v>
      </c>
      <c r="F67">
        <f t="shared" si="12"/>
        <v>2.6066471613762121</v>
      </c>
      <c r="V67">
        <f t="shared" si="2"/>
        <v>64</v>
      </c>
      <c r="W67">
        <f t="shared" si="3"/>
        <v>2.4914683966277478</v>
      </c>
      <c r="X67">
        <f t="shared" si="4"/>
        <v>2.6066471613762121</v>
      </c>
      <c r="Y67">
        <f t="shared" si="5"/>
        <v>-0.11517876474846434</v>
      </c>
      <c r="Z67">
        <f t="shared" si="6"/>
        <v>1.1062504015179921</v>
      </c>
      <c r="AA67">
        <f t="shared" si="7"/>
        <v>-2.2833897096067024</v>
      </c>
      <c r="AB67">
        <f t="shared" si="8"/>
        <v>2.0530321801097737</v>
      </c>
      <c r="AD67">
        <f t="shared" si="10"/>
        <v>64</v>
      </c>
      <c r="AE67">
        <f t="shared" si="11"/>
        <v>9.8196279939384326</v>
      </c>
    </row>
    <row r="68" spans="1:31" x14ac:dyDescent="0.35">
      <c r="A68">
        <f t="shared" si="0"/>
        <v>65</v>
      </c>
      <c r="B68">
        <v>12.357045585234705</v>
      </c>
      <c r="D68">
        <f t="shared" si="9"/>
        <v>65</v>
      </c>
      <c r="E68">
        <f t="shared" si="1"/>
        <v>-1.4793903658021883</v>
      </c>
      <c r="F68">
        <f t="shared" si="12"/>
        <v>0.2892118611385599</v>
      </c>
      <c r="V68">
        <f t="shared" si="2"/>
        <v>65</v>
      </c>
      <c r="W68">
        <f t="shared" si="3"/>
        <v>-1.4793903658021883</v>
      </c>
      <c r="X68">
        <f t="shared" si="4"/>
        <v>0.2892118611385599</v>
      </c>
      <c r="Y68">
        <f t="shared" si="5"/>
        <v>-1.7686022269407482</v>
      </c>
      <c r="Z68">
        <f t="shared" si="6"/>
        <v>1.1062504015179921</v>
      </c>
      <c r="AA68">
        <f t="shared" si="7"/>
        <v>-3.9368131717989865</v>
      </c>
      <c r="AB68">
        <f t="shared" si="8"/>
        <v>0.39960871791748986</v>
      </c>
      <c r="AD68">
        <f t="shared" si="10"/>
        <v>65</v>
      </c>
      <c r="AE68">
        <f t="shared" si="11"/>
        <v>12.357045585234705</v>
      </c>
    </row>
    <row r="69" spans="1:31" x14ac:dyDescent="0.35">
      <c r="A69">
        <f t="shared" ref="A69:A108" si="13">A68+1</f>
        <v>66</v>
      </c>
      <c r="B69">
        <v>10.923604414101041</v>
      </c>
      <c r="D69">
        <f t="shared" si="9"/>
        <v>66</v>
      </c>
      <c r="E69">
        <f t="shared" ref="E69:E107" si="14">B70-B69-J$6</f>
        <v>-1.2687877621629859</v>
      </c>
      <c r="F69">
        <f t="shared" si="12"/>
        <v>-1.7732301017934322</v>
      </c>
      <c r="V69">
        <f t="shared" ref="V69:V107" si="15">D69</f>
        <v>66</v>
      </c>
      <c r="W69">
        <f t="shared" ref="W69:W107" si="16">E69</f>
        <v>-1.2687877621629859</v>
      </c>
      <c r="X69">
        <f t="shared" ref="X69:X107" si="17">F69</f>
        <v>-1.7732301017934322</v>
      </c>
      <c r="Y69">
        <f t="shared" ref="Y69:Y107" si="18">W69-X69</f>
        <v>0.50444233963044627</v>
      </c>
      <c r="Z69">
        <f t="shared" ref="Z69:Z107" si="19">J$15</f>
        <v>1.1062504015179921</v>
      </c>
      <c r="AA69">
        <f t="shared" ref="AA69:AA107" si="20">Y69-NORMSINV(1-Z$2/2)*Z69</f>
        <v>-1.6637686052277918</v>
      </c>
      <c r="AB69">
        <f t="shared" ref="AB69:AB107" si="21">Y69+NORMSINV(1-Z$2/2)*Z69</f>
        <v>2.6726532844886846</v>
      </c>
      <c r="AD69">
        <f t="shared" si="10"/>
        <v>66</v>
      </c>
      <c r="AE69">
        <f t="shared" si="11"/>
        <v>10.923604414101041</v>
      </c>
    </row>
    <row r="70" spans="1:31" x14ac:dyDescent="0.35">
      <c r="A70">
        <f t="shared" si="13"/>
        <v>67</v>
      </c>
      <c r="B70">
        <v>9.7007658466065791</v>
      </c>
      <c r="D70">
        <f t="shared" ref="D70:D107" si="22">D69+1</f>
        <v>67</v>
      </c>
      <c r="E70">
        <f t="shared" si="14"/>
        <v>0.52744602343898062</v>
      </c>
      <c r="F70">
        <f t="shared" si="12"/>
        <v>-4.4364481878053752E-2</v>
      </c>
      <c r="V70">
        <f t="shared" si="15"/>
        <v>67</v>
      </c>
      <c r="W70">
        <f t="shared" si="16"/>
        <v>0.52744602343898062</v>
      </c>
      <c r="X70">
        <f t="shared" si="17"/>
        <v>-4.4364481878053752E-2</v>
      </c>
      <c r="Y70">
        <f t="shared" si="18"/>
        <v>0.57181050531703437</v>
      </c>
      <c r="Z70">
        <f t="shared" si="19"/>
        <v>1.1062504015179921</v>
      </c>
      <c r="AA70">
        <f t="shared" si="20"/>
        <v>-1.5964004395412037</v>
      </c>
      <c r="AB70">
        <f t="shared" si="21"/>
        <v>2.7400214501752727</v>
      </c>
      <c r="AD70">
        <f t="shared" ref="AD70:AD113" si="23">AD69+1</f>
        <v>67</v>
      </c>
      <c r="AE70">
        <f t="shared" ref="AE70:AE108" si="24">B70</f>
        <v>9.7007658466065791</v>
      </c>
    </row>
    <row r="71" spans="1:31" x14ac:dyDescent="0.35">
      <c r="A71">
        <f t="shared" si="13"/>
        <v>68</v>
      </c>
      <c r="B71">
        <v>10.274161064714084</v>
      </c>
      <c r="D71">
        <f t="shared" si="22"/>
        <v>68</v>
      </c>
      <c r="E71">
        <f t="shared" si="14"/>
        <v>-0.564029385826607</v>
      </c>
      <c r="F71">
        <f t="shared" ref="F71:F107" si="25">E71-SUMPRODUCT(E69:E70,I$4:I$5)-SUMPRODUCT(F70,J$5)</f>
        <v>-0.10923561661880872</v>
      </c>
      <c r="V71">
        <f t="shared" si="15"/>
        <v>68</v>
      </c>
      <c r="W71">
        <f t="shared" si="16"/>
        <v>-0.564029385826607</v>
      </c>
      <c r="X71">
        <f t="shared" si="17"/>
        <v>-0.10923561661880872</v>
      </c>
      <c r="Y71">
        <f t="shared" si="18"/>
        <v>-0.45479376920779829</v>
      </c>
      <c r="Z71">
        <f t="shared" si="19"/>
        <v>1.1062504015179921</v>
      </c>
      <c r="AA71">
        <f t="shared" si="20"/>
        <v>-2.6230047140660364</v>
      </c>
      <c r="AB71">
        <f t="shared" si="21"/>
        <v>1.7134171756504397</v>
      </c>
      <c r="AD71">
        <f t="shared" si="23"/>
        <v>68</v>
      </c>
      <c r="AE71">
        <f t="shared" si="24"/>
        <v>10.274161064714084</v>
      </c>
    </row>
    <row r="72" spans="1:31" x14ac:dyDescent="0.35">
      <c r="A72">
        <f t="shared" si="13"/>
        <v>69</v>
      </c>
      <c r="B72">
        <v>9.7560808735560016</v>
      </c>
      <c r="D72">
        <f t="shared" si="22"/>
        <v>69</v>
      </c>
      <c r="E72">
        <f t="shared" si="14"/>
        <v>-0.51429822617295007</v>
      </c>
      <c r="F72">
        <f t="shared" si="25"/>
        <v>-0.7051405351996991</v>
      </c>
      <c r="V72">
        <f t="shared" si="15"/>
        <v>69</v>
      </c>
      <c r="W72">
        <f t="shared" si="16"/>
        <v>-0.51429822617295007</v>
      </c>
      <c r="X72">
        <f t="shared" si="17"/>
        <v>-0.7051405351996991</v>
      </c>
      <c r="Y72">
        <f t="shared" si="18"/>
        <v>0.19084230902674904</v>
      </c>
      <c r="Z72">
        <f t="shared" si="19"/>
        <v>1.1062504015179921</v>
      </c>
      <c r="AA72">
        <f t="shared" si="20"/>
        <v>-1.977368635831489</v>
      </c>
      <c r="AB72">
        <f t="shared" si="21"/>
        <v>2.3590532538849871</v>
      </c>
      <c r="AD72">
        <f t="shared" si="23"/>
        <v>69</v>
      </c>
      <c r="AE72">
        <f t="shared" si="24"/>
        <v>9.7560808735560016</v>
      </c>
    </row>
    <row r="73" spans="1:31" x14ac:dyDescent="0.35">
      <c r="A73">
        <f t="shared" si="13"/>
        <v>70</v>
      </c>
      <c r="B73">
        <v>9.287731842051576</v>
      </c>
      <c r="D73">
        <f t="shared" si="22"/>
        <v>70</v>
      </c>
      <c r="E73">
        <f t="shared" si="14"/>
        <v>-0.53887333981432595</v>
      </c>
      <c r="F73">
        <f t="shared" si="25"/>
        <v>-0.77599080731465642</v>
      </c>
      <c r="V73">
        <f t="shared" si="15"/>
        <v>70</v>
      </c>
      <c r="W73">
        <f t="shared" si="16"/>
        <v>-0.53887333981432595</v>
      </c>
      <c r="X73">
        <f t="shared" si="17"/>
        <v>-0.77599080731465642</v>
      </c>
      <c r="Y73">
        <f t="shared" si="18"/>
        <v>0.23711746750033047</v>
      </c>
      <c r="Z73">
        <f t="shared" si="19"/>
        <v>1.1062504015179921</v>
      </c>
      <c r="AA73">
        <f t="shared" si="20"/>
        <v>-1.9310934773579076</v>
      </c>
      <c r="AB73">
        <f t="shared" si="21"/>
        <v>2.4053284123585685</v>
      </c>
      <c r="AD73">
        <f t="shared" si="23"/>
        <v>70</v>
      </c>
      <c r="AE73">
        <f t="shared" si="24"/>
        <v>9.287731842051576</v>
      </c>
    </row>
    <row r="74" spans="1:31" x14ac:dyDescent="0.35">
      <c r="A74">
        <f t="shared" si="13"/>
        <v>71</v>
      </c>
      <c r="B74">
        <v>8.7948076969057745</v>
      </c>
      <c r="D74">
        <f t="shared" si="22"/>
        <v>71</v>
      </c>
      <c r="E74">
        <f t="shared" si="14"/>
        <v>1.1114090536833519</v>
      </c>
      <c r="F74">
        <f t="shared" si="25"/>
        <v>0.78054189801117013</v>
      </c>
      <c r="V74">
        <f t="shared" si="15"/>
        <v>71</v>
      </c>
      <c r="W74">
        <f t="shared" si="16"/>
        <v>1.1114090536833519</v>
      </c>
      <c r="X74">
        <f t="shared" si="17"/>
        <v>0.78054189801117013</v>
      </c>
      <c r="Y74">
        <f t="shared" si="18"/>
        <v>0.33086715567218172</v>
      </c>
      <c r="Z74">
        <f t="shared" si="19"/>
        <v>1.1062504015179921</v>
      </c>
      <c r="AA74">
        <f t="shared" si="20"/>
        <v>-1.8373437891860562</v>
      </c>
      <c r="AB74">
        <f t="shared" si="21"/>
        <v>2.4990781005304199</v>
      </c>
      <c r="AD74">
        <f t="shared" si="23"/>
        <v>71</v>
      </c>
      <c r="AE74">
        <f t="shared" si="24"/>
        <v>8.7948076969057745</v>
      </c>
    </row>
    <row r="75" spans="1:31" x14ac:dyDescent="0.35">
      <c r="A75">
        <f t="shared" si="13"/>
        <v>72</v>
      </c>
      <c r="B75">
        <v>9.9521659452576507</v>
      </c>
      <c r="D75">
        <f t="shared" si="22"/>
        <v>72</v>
      </c>
      <c r="E75">
        <f t="shared" si="14"/>
        <v>-0.85159734664263209</v>
      </c>
      <c r="F75">
        <f t="shared" si="25"/>
        <v>-0.15161361166299958</v>
      </c>
      <c r="V75">
        <f t="shared" si="15"/>
        <v>72</v>
      </c>
      <c r="W75">
        <f t="shared" si="16"/>
        <v>-0.85159734664263209</v>
      </c>
      <c r="X75">
        <f t="shared" si="17"/>
        <v>-0.15161361166299958</v>
      </c>
      <c r="Y75">
        <f t="shared" si="18"/>
        <v>-0.69998373497963251</v>
      </c>
      <c r="Z75">
        <f t="shared" si="19"/>
        <v>1.1062504015179921</v>
      </c>
      <c r="AA75">
        <f t="shared" si="20"/>
        <v>-2.8681946798378704</v>
      </c>
      <c r="AB75">
        <f t="shared" si="21"/>
        <v>1.4682272098786056</v>
      </c>
      <c r="AD75">
        <f t="shared" si="23"/>
        <v>72</v>
      </c>
      <c r="AE75">
        <f t="shared" si="24"/>
        <v>9.9521659452576507</v>
      </c>
    </row>
    <row r="76" spans="1:31" x14ac:dyDescent="0.35">
      <c r="A76">
        <f t="shared" si="13"/>
        <v>73</v>
      </c>
      <c r="B76">
        <v>9.1465177932835431</v>
      </c>
      <c r="D76">
        <f t="shared" si="22"/>
        <v>73</v>
      </c>
      <c r="E76">
        <f t="shared" si="14"/>
        <v>-0.78039416514259341</v>
      </c>
      <c r="F76">
        <f t="shared" si="25"/>
        <v>-1.230081081467544</v>
      </c>
      <c r="V76">
        <f t="shared" si="15"/>
        <v>73</v>
      </c>
      <c r="W76">
        <f t="shared" si="16"/>
        <v>-0.78039416514259341</v>
      </c>
      <c r="X76">
        <f t="shared" si="17"/>
        <v>-1.230081081467544</v>
      </c>
      <c r="Y76">
        <f t="shared" si="18"/>
        <v>0.44968691632495061</v>
      </c>
      <c r="Z76">
        <f t="shared" si="19"/>
        <v>1.1062504015179921</v>
      </c>
      <c r="AA76">
        <f t="shared" si="20"/>
        <v>-1.7185240285332875</v>
      </c>
      <c r="AB76">
        <f t="shared" si="21"/>
        <v>2.6178978611831889</v>
      </c>
      <c r="AD76">
        <f t="shared" si="23"/>
        <v>73</v>
      </c>
      <c r="AE76">
        <f t="shared" si="24"/>
        <v>9.1465177932835431</v>
      </c>
    </row>
    <row r="77" spans="1:31" x14ac:dyDescent="0.35">
      <c r="A77">
        <f t="shared" si="13"/>
        <v>74</v>
      </c>
      <c r="B77">
        <v>8.4120728228094741</v>
      </c>
      <c r="D77">
        <f t="shared" si="22"/>
        <v>74</v>
      </c>
      <c r="E77">
        <f t="shared" si="14"/>
        <v>1.2658253231467504</v>
      </c>
      <c r="F77">
        <f t="shared" si="25"/>
        <v>0.73283482123281907</v>
      </c>
      <c r="V77">
        <f t="shared" si="15"/>
        <v>74</v>
      </c>
      <c r="W77">
        <f t="shared" si="16"/>
        <v>1.2658253231467504</v>
      </c>
      <c r="X77">
        <f t="shared" si="17"/>
        <v>0.73283482123281907</v>
      </c>
      <c r="Y77">
        <f t="shared" si="18"/>
        <v>0.53299050191393138</v>
      </c>
      <c r="Z77">
        <f t="shared" si="19"/>
        <v>1.1062504015179921</v>
      </c>
      <c r="AA77">
        <f t="shared" si="20"/>
        <v>-1.6352204429443067</v>
      </c>
      <c r="AB77">
        <f t="shared" si="21"/>
        <v>2.7012014467721697</v>
      </c>
      <c r="AD77">
        <f t="shared" si="23"/>
        <v>74</v>
      </c>
      <c r="AE77">
        <f t="shared" si="24"/>
        <v>8.4120728228094741</v>
      </c>
    </row>
    <row r="78" spans="1:31" x14ac:dyDescent="0.35">
      <c r="A78">
        <f t="shared" si="13"/>
        <v>75</v>
      </c>
      <c r="B78">
        <v>9.723847340624749</v>
      </c>
      <c r="D78">
        <f t="shared" si="22"/>
        <v>75</v>
      </c>
      <c r="E78">
        <f t="shared" si="14"/>
        <v>-1.3210077819326795</v>
      </c>
      <c r="F78">
        <f t="shared" si="25"/>
        <v>-0.59740234211325915</v>
      </c>
      <c r="V78">
        <f t="shared" si="15"/>
        <v>75</v>
      </c>
      <c r="W78">
        <f t="shared" si="16"/>
        <v>-1.3210077819326795</v>
      </c>
      <c r="X78">
        <f t="shared" si="17"/>
        <v>-0.59740234211325915</v>
      </c>
      <c r="Y78">
        <f t="shared" si="18"/>
        <v>-0.72360543981942038</v>
      </c>
      <c r="Z78">
        <f t="shared" si="19"/>
        <v>1.1062504015179921</v>
      </c>
      <c r="AA78">
        <f t="shared" si="20"/>
        <v>-2.8918163846776586</v>
      </c>
      <c r="AB78">
        <f t="shared" si="21"/>
        <v>1.4446055050388176</v>
      </c>
      <c r="AD78">
        <f t="shared" si="23"/>
        <v>75</v>
      </c>
      <c r="AE78">
        <f t="shared" si="24"/>
        <v>9.723847340624749</v>
      </c>
    </row>
    <row r="79" spans="1:31" x14ac:dyDescent="0.35">
      <c r="A79">
        <f t="shared" si="13"/>
        <v>76</v>
      </c>
      <c r="B79">
        <v>8.4487887533605939</v>
      </c>
      <c r="D79">
        <f t="shared" si="22"/>
        <v>76</v>
      </c>
      <c r="E79">
        <f t="shared" si="14"/>
        <v>0.81443167995677679</v>
      </c>
      <c r="F79">
        <f t="shared" si="25"/>
        <v>-1.3963765257811733E-2</v>
      </c>
      <c r="V79">
        <f t="shared" si="15"/>
        <v>76</v>
      </c>
      <c r="W79">
        <f t="shared" si="16"/>
        <v>0.81443167995677679</v>
      </c>
      <c r="X79">
        <f t="shared" si="17"/>
        <v>-1.3963765257811733E-2</v>
      </c>
      <c r="Y79">
        <f t="shared" si="18"/>
        <v>0.82839544521458852</v>
      </c>
      <c r="Z79">
        <f t="shared" si="19"/>
        <v>1.1062504015179921</v>
      </c>
      <c r="AA79">
        <f t="shared" si="20"/>
        <v>-1.3398154996436495</v>
      </c>
      <c r="AB79">
        <f t="shared" si="21"/>
        <v>2.9966063900728264</v>
      </c>
      <c r="AD79">
        <f t="shared" si="23"/>
        <v>76</v>
      </c>
      <c r="AE79">
        <f t="shared" si="24"/>
        <v>8.4487887533605939</v>
      </c>
    </row>
    <row r="80" spans="1:31" x14ac:dyDescent="0.35">
      <c r="A80">
        <f t="shared" si="13"/>
        <v>77</v>
      </c>
      <c r="B80">
        <v>9.3091696279858951</v>
      </c>
      <c r="D80">
        <f t="shared" si="22"/>
        <v>77</v>
      </c>
      <c r="E80">
        <f t="shared" si="14"/>
        <v>0.2739762495779583</v>
      </c>
      <c r="F80">
        <f t="shared" si="25"/>
        <v>0.67842768663196507</v>
      </c>
      <c r="V80">
        <f t="shared" si="15"/>
        <v>77</v>
      </c>
      <c r="W80">
        <f t="shared" si="16"/>
        <v>0.2739762495779583</v>
      </c>
      <c r="X80">
        <f t="shared" si="17"/>
        <v>0.67842768663196507</v>
      </c>
      <c r="Y80">
        <f t="shared" si="18"/>
        <v>-0.40445143705400677</v>
      </c>
      <c r="Z80">
        <f t="shared" si="19"/>
        <v>1.1062504015179921</v>
      </c>
      <c r="AA80">
        <f t="shared" si="20"/>
        <v>-2.5726623819122447</v>
      </c>
      <c r="AB80">
        <f t="shared" si="21"/>
        <v>1.7637595078042314</v>
      </c>
      <c r="AD80">
        <f t="shared" si="23"/>
        <v>77</v>
      </c>
      <c r="AE80">
        <f t="shared" si="24"/>
        <v>9.3091696279858951</v>
      </c>
    </row>
    <row r="81" spans="1:31" x14ac:dyDescent="0.35">
      <c r="A81">
        <f t="shared" si="13"/>
        <v>78</v>
      </c>
      <c r="B81">
        <v>9.6290950722323778</v>
      </c>
      <c r="D81">
        <f t="shared" si="22"/>
        <v>78</v>
      </c>
      <c r="E81">
        <f t="shared" si="14"/>
        <v>0.82371007522064654</v>
      </c>
      <c r="F81">
        <f t="shared" si="25"/>
        <v>0.9863513143191448</v>
      </c>
      <c r="V81">
        <f t="shared" si="15"/>
        <v>78</v>
      </c>
      <c r="W81">
        <f t="shared" si="16"/>
        <v>0.82371007522064654</v>
      </c>
      <c r="X81">
        <f t="shared" si="17"/>
        <v>0.9863513143191448</v>
      </c>
      <c r="Y81">
        <f t="shared" si="18"/>
        <v>-0.16264123909849826</v>
      </c>
      <c r="Z81">
        <f t="shared" si="19"/>
        <v>1.1062504015179921</v>
      </c>
      <c r="AA81">
        <f t="shared" si="20"/>
        <v>-2.3308521839567362</v>
      </c>
      <c r="AB81">
        <f t="shared" si="21"/>
        <v>2.0055697057597399</v>
      </c>
      <c r="AD81">
        <f t="shared" si="23"/>
        <v>78</v>
      </c>
      <c r="AE81">
        <f t="shared" si="24"/>
        <v>9.6290950722323778</v>
      </c>
    </row>
    <row r="82" spans="1:31" x14ac:dyDescent="0.35">
      <c r="A82">
        <f t="shared" si="13"/>
        <v>79</v>
      </c>
      <c r="B82">
        <v>10.498754342121549</v>
      </c>
      <c r="D82">
        <f t="shared" si="22"/>
        <v>79</v>
      </c>
      <c r="E82">
        <f t="shared" si="14"/>
        <v>-2.4101475021643113</v>
      </c>
      <c r="F82">
        <f t="shared" si="25"/>
        <v>-1.8318529244037354</v>
      </c>
      <c r="V82">
        <f t="shared" si="15"/>
        <v>79</v>
      </c>
      <c r="W82">
        <f t="shared" si="16"/>
        <v>-2.4101475021643113</v>
      </c>
      <c r="X82">
        <f t="shared" si="17"/>
        <v>-1.8318529244037354</v>
      </c>
      <c r="Y82">
        <f t="shared" si="18"/>
        <v>-0.57829457776057591</v>
      </c>
      <c r="Z82">
        <f t="shared" si="19"/>
        <v>1.1062504015179921</v>
      </c>
      <c r="AA82">
        <f t="shared" si="20"/>
        <v>-2.746505522618814</v>
      </c>
      <c r="AB82">
        <f t="shared" si="21"/>
        <v>1.5899163670976622</v>
      </c>
      <c r="AD82">
        <f t="shared" si="23"/>
        <v>79</v>
      </c>
      <c r="AE82">
        <f t="shared" si="24"/>
        <v>10.498754342121549</v>
      </c>
    </row>
    <row r="83" spans="1:31" x14ac:dyDescent="0.35">
      <c r="A83">
        <f t="shared" si="13"/>
        <v>80</v>
      </c>
      <c r="B83">
        <v>8.1345560346257617</v>
      </c>
      <c r="D83">
        <f t="shared" si="22"/>
        <v>80</v>
      </c>
      <c r="E83">
        <f t="shared" si="14"/>
        <v>0.97467833306894991</v>
      </c>
      <c r="F83">
        <f t="shared" si="25"/>
        <v>-0.4994080463992161</v>
      </c>
      <c r="V83">
        <f t="shared" si="15"/>
        <v>80</v>
      </c>
      <c r="W83">
        <f t="shared" si="16"/>
        <v>0.97467833306894991</v>
      </c>
      <c r="X83">
        <f t="shared" si="17"/>
        <v>-0.4994080463992161</v>
      </c>
      <c r="Y83">
        <f t="shared" si="18"/>
        <v>1.474086379468166</v>
      </c>
      <c r="Z83">
        <f t="shared" si="19"/>
        <v>1.1062504015179921</v>
      </c>
      <c r="AA83">
        <f t="shared" si="20"/>
        <v>-0.69412456539007206</v>
      </c>
      <c r="AB83">
        <f t="shared" si="21"/>
        <v>3.6422973243264041</v>
      </c>
      <c r="AD83">
        <f t="shared" si="23"/>
        <v>80</v>
      </c>
      <c r="AE83">
        <f t="shared" si="24"/>
        <v>8.1345560346257617</v>
      </c>
    </row>
    <row r="84" spans="1:31" x14ac:dyDescent="0.35">
      <c r="A84">
        <f t="shared" si="13"/>
        <v>81</v>
      </c>
      <c r="B84">
        <v>9.155183562363236</v>
      </c>
      <c r="D84">
        <f t="shared" si="22"/>
        <v>81</v>
      </c>
      <c r="E84">
        <f t="shared" si="14"/>
        <v>-1.2090473169579108</v>
      </c>
      <c r="F84">
        <f t="shared" si="25"/>
        <v>-0.77741881298563154</v>
      </c>
      <c r="V84">
        <f t="shared" si="15"/>
        <v>81</v>
      </c>
      <c r="W84">
        <f t="shared" si="16"/>
        <v>-1.2090473169579108</v>
      </c>
      <c r="X84">
        <f t="shared" si="17"/>
        <v>-0.77741881298563154</v>
      </c>
      <c r="Y84">
        <f t="shared" si="18"/>
        <v>-0.43162850397227925</v>
      </c>
      <c r="Z84">
        <f t="shared" si="19"/>
        <v>1.1062504015179921</v>
      </c>
      <c r="AA84">
        <f t="shared" si="20"/>
        <v>-2.5998394488305174</v>
      </c>
      <c r="AB84">
        <f t="shared" si="21"/>
        <v>1.7365824408859587</v>
      </c>
      <c r="AD84">
        <f t="shared" si="23"/>
        <v>81</v>
      </c>
      <c r="AE84">
        <f t="shared" si="24"/>
        <v>9.155183562363236</v>
      </c>
    </row>
    <row r="85" spans="1:31" x14ac:dyDescent="0.35">
      <c r="A85">
        <f t="shared" si="13"/>
        <v>82</v>
      </c>
      <c r="B85">
        <v>7.9920854400738497</v>
      </c>
      <c r="D85">
        <f t="shared" si="22"/>
        <v>82</v>
      </c>
      <c r="E85">
        <f t="shared" si="14"/>
        <v>2.4014923619269855</v>
      </c>
      <c r="F85">
        <f t="shared" si="25"/>
        <v>1.4997979345003769</v>
      </c>
      <c r="V85">
        <f t="shared" si="15"/>
        <v>82</v>
      </c>
      <c r="W85">
        <f t="shared" si="16"/>
        <v>2.4014923619269855</v>
      </c>
      <c r="X85">
        <f t="shared" si="17"/>
        <v>1.4997979345003769</v>
      </c>
      <c r="Y85">
        <f t="shared" si="18"/>
        <v>0.90169442742660855</v>
      </c>
      <c r="Z85">
        <f t="shared" si="19"/>
        <v>1.1062504015179921</v>
      </c>
      <c r="AA85">
        <f t="shared" si="20"/>
        <v>-1.2665165174316295</v>
      </c>
      <c r="AB85">
        <f t="shared" si="21"/>
        <v>3.0699053722848468</v>
      </c>
      <c r="AD85">
        <f t="shared" si="23"/>
        <v>82</v>
      </c>
      <c r="AE85">
        <f t="shared" si="24"/>
        <v>7.9920854400738497</v>
      </c>
    </row>
    <row r="86" spans="1:31" x14ac:dyDescent="0.35">
      <c r="A86">
        <f t="shared" si="13"/>
        <v>83</v>
      </c>
      <c r="B86">
        <v>10.439526996669359</v>
      </c>
      <c r="D86">
        <f t="shared" si="22"/>
        <v>83</v>
      </c>
      <c r="E86">
        <f t="shared" si="14"/>
        <v>0.68977653708404207</v>
      </c>
      <c r="F86">
        <f t="shared" si="25"/>
        <v>2.0279324718155092</v>
      </c>
      <c r="V86">
        <f t="shared" si="15"/>
        <v>83</v>
      </c>
      <c r="W86">
        <f t="shared" si="16"/>
        <v>0.68977653708404207</v>
      </c>
      <c r="X86">
        <f t="shared" si="17"/>
        <v>2.0279324718155092</v>
      </c>
      <c r="Y86">
        <f t="shared" si="18"/>
        <v>-1.3381559347314671</v>
      </c>
      <c r="Z86">
        <f t="shared" si="19"/>
        <v>1.1062504015179921</v>
      </c>
      <c r="AA86">
        <f t="shared" si="20"/>
        <v>-3.5063668795897049</v>
      </c>
      <c r="AB86">
        <f t="shared" si="21"/>
        <v>0.83005501012677096</v>
      </c>
      <c r="AD86">
        <f t="shared" si="23"/>
        <v>83</v>
      </c>
      <c r="AE86">
        <f t="shared" si="24"/>
        <v>10.439526996669359</v>
      </c>
    </row>
    <row r="87" spans="1:31" x14ac:dyDescent="0.35">
      <c r="A87">
        <f t="shared" si="13"/>
        <v>84</v>
      </c>
      <c r="B87">
        <v>11.175252728421926</v>
      </c>
      <c r="D87">
        <f t="shared" si="22"/>
        <v>84</v>
      </c>
      <c r="E87">
        <f t="shared" si="14"/>
        <v>-1.2996984340269784</v>
      </c>
      <c r="F87">
        <f t="shared" si="25"/>
        <v>-0.7447654254808862</v>
      </c>
      <c r="V87">
        <f t="shared" si="15"/>
        <v>84</v>
      </c>
      <c r="W87">
        <f t="shared" si="16"/>
        <v>-1.2996984340269784</v>
      </c>
      <c r="X87">
        <f t="shared" si="17"/>
        <v>-0.7447654254808862</v>
      </c>
      <c r="Y87">
        <f t="shared" si="18"/>
        <v>-0.55493300854609218</v>
      </c>
      <c r="Z87">
        <f t="shared" si="19"/>
        <v>1.1062504015179921</v>
      </c>
      <c r="AA87">
        <f t="shared" si="20"/>
        <v>-2.72314395340433</v>
      </c>
      <c r="AB87">
        <f t="shared" si="21"/>
        <v>1.6132779363121459</v>
      </c>
      <c r="AD87">
        <f t="shared" si="23"/>
        <v>84</v>
      </c>
      <c r="AE87">
        <f t="shared" si="24"/>
        <v>11.175252728421926</v>
      </c>
    </row>
    <row r="88" spans="1:31" x14ac:dyDescent="0.35">
      <c r="A88">
        <f t="shared" si="13"/>
        <v>85</v>
      </c>
      <c r="B88">
        <v>9.9215034890634719</v>
      </c>
      <c r="D88">
        <f t="shared" si="22"/>
        <v>85</v>
      </c>
      <c r="E88">
        <f t="shared" si="14"/>
        <v>0.68556618019314253</v>
      </c>
      <c r="F88">
        <f t="shared" si="25"/>
        <v>1.2992103717795911E-2</v>
      </c>
      <c r="V88">
        <f t="shared" si="15"/>
        <v>85</v>
      </c>
      <c r="W88">
        <f t="shared" si="16"/>
        <v>0.68556618019314253</v>
      </c>
      <c r="X88">
        <f t="shared" si="17"/>
        <v>1.2992103717795911E-2</v>
      </c>
      <c r="Y88">
        <f t="shared" si="18"/>
        <v>0.67257407647534662</v>
      </c>
      <c r="Z88">
        <f t="shared" si="19"/>
        <v>1.1062504015179921</v>
      </c>
      <c r="AA88">
        <f t="shared" si="20"/>
        <v>-1.4956368683828916</v>
      </c>
      <c r="AB88">
        <f t="shared" si="21"/>
        <v>2.8407850213335846</v>
      </c>
      <c r="AD88">
        <f t="shared" si="23"/>
        <v>85</v>
      </c>
      <c r="AE88">
        <f t="shared" si="24"/>
        <v>9.9215034890634719</v>
      </c>
    </row>
    <row r="89" spans="1:31" x14ac:dyDescent="0.35">
      <c r="A89">
        <f t="shared" si="13"/>
        <v>86</v>
      </c>
      <c r="B89">
        <v>10.653018863925139</v>
      </c>
      <c r="D89">
        <f t="shared" si="22"/>
        <v>86</v>
      </c>
      <c r="E89">
        <f t="shared" si="14"/>
        <v>-0.39800302263391818</v>
      </c>
      <c r="F89">
        <f t="shared" si="25"/>
        <v>7.3570099770432051E-2</v>
      </c>
      <c r="V89">
        <f t="shared" si="15"/>
        <v>86</v>
      </c>
      <c r="W89">
        <f t="shared" si="16"/>
        <v>-0.39800302263391818</v>
      </c>
      <c r="X89">
        <f t="shared" si="17"/>
        <v>7.3570099770432051E-2</v>
      </c>
      <c r="Y89">
        <f t="shared" si="18"/>
        <v>-0.47157312240435023</v>
      </c>
      <c r="Z89">
        <f t="shared" si="19"/>
        <v>1.1062504015179921</v>
      </c>
      <c r="AA89">
        <f t="shared" si="20"/>
        <v>-2.6397840672625881</v>
      </c>
      <c r="AB89">
        <f t="shared" si="21"/>
        <v>1.6966378224538878</v>
      </c>
      <c r="AD89">
        <f t="shared" si="23"/>
        <v>86</v>
      </c>
      <c r="AE89">
        <f t="shared" si="24"/>
        <v>10.653018863925139</v>
      </c>
    </row>
    <row r="90" spans="1:31" x14ac:dyDescent="0.35">
      <c r="A90">
        <f t="shared" si="13"/>
        <v>87</v>
      </c>
      <c r="B90">
        <v>10.300965035959745</v>
      </c>
      <c r="D90">
        <f t="shared" si="22"/>
        <v>87</v>
      </c>
      <c r="E90">
        <f t="shared" si="14"/>
        <v>-1.0242025885878185</v>
      </c>
      <c r="F90">
        <f t="shared" si="25"/>
        <v>-1.1729592724125204</v>
      </c>
      <c r="V90">
        <f t="shared" si="15"/>
        <v>87</v>
      </c>
      <c r="W90">
        <f t="shared" si="16"/>
        <v>-1.0242025885878185</v>
      </c>
      <c r="X90">
        <f t="shared" si="17"/>
        <v>-1.1729592724125204</v>
      </c>
      <c r="Y90">
        <f t="shared" si="18"/>
        <v>0.14875668382470186</v>
      </c>
      <c r="Z90">
        <f t="shared" si="19"/>
        <v>1.1062504015179921</v>
      </c>
      <c r="AA90">
        <f t="shared" si="20"/>
        <v>-2.0194542610335362</v>
      </c>
      <c r="AB90">
        <f t="shared" si="21"/>
        <v>2.3169676286829399</v>
      </c>
      <c r="AD90">
        <f t="shared" si="23"/>
        <v>87</v>
      </c>
      <c r="AE90">
        <f t="shared" si="24"/>
        <v>10.300965035959745</v>
      </c>
    </row>
    <row r="91" spans="1:31" x14ac:dyDescent="0.35">
      <c r="A91">
        <f t="shared" si="13"/>
        <v>88</v>
      </c>
      <c r="B91">
        <v>9.322711642040451</v>
      </c>
      <c r="D91">
        <f t="shared" si="22"/>
        <v>88</v>
      </c>
      <c r="E91">
        <f t="shared" si="14"/>
        <v>1.8398360612730247</v>
      </c>
      <c r="F91">
        <f t="shared" si="25"/>
        <v>1.2098199172510702</v>
      </c>
      <c r="V91">
        <f t="shared" si="15"/>
        <v>88</v>
      </c>
      <c r="W91">
        <f t="shared" si="16"/>
        <v>1.8398360612730247</v>
      </c>
      <c r="X91">
        <f t="shared" si="17"/>
        <v>1.2098199172510702</v>
      </c>
      <c r="Y91">
        <f t="shared" si="18"/>
        <v>0.63001614402195449</v>
      </c>
      <c r="Z91">
        <f t="shared" si="19"/>
        <v>1.1062504015179921</v>
      </c>
      <c r="AA91">
        <f t="shared" si="20"/>
        <v>-1.5381948008362836</v>
      </c>
      <c r="AB91">
        <f t="shared" si="21"/>
        <v>2.7982270888801928</v>
      </c>
      <c r="AD91">
        <f t="shared" si="23"/>
        <v>88</v>
      </c>
      <c r="AE91">
        <f t="shared" si="24"/>
        <v>9.322711642040451</v>
      </c>
    </row>
    <row r="92" spans="1:31" x14ac:dyDescent="0.35">
      <c r="A92">
        <f t="shared" si="13"/>
        <v>89</v>
      </c>
      <c r="B92">
        <v>11.208496897982</v>
      </c>
      <c r="D92">
        <f t="shared" si="22"/>
        <v>89</v>
      </c>
      <c r="E92">
        <f t="shared" si="14"/>
        <v>-1.4207338414354667</v>
      </c>
      <c r="F92">
        <f t="shared" si="25"/>
        <v>-0.2760568707730473</v>
      </c>
      <c r="V92">
        <f t="shared" si="15"/>
        <v>89</v>
      </c>
      <c r="W92">
        <f t="shared" si="16"/>
        <v>-1.4207338414354667</v>
      </c>
      <c r="X92">
        <f t="shared" si="17"/>
        <v>-0.2760568707730473</v>
      </c>
      <c r="Y92">
        <f t="shared" si="18"/>
        <v>-1.1446769706624194</v>
      </c>
      <c r="Z92">
        <f t="shared" si="19"/>
        <v>1.1062504015179921</v>
      </c>
      <c r="AA92">
        <f t="shared" si="20"/>
        <v>-3.3128879155206574</v>
      </c>
      <c r="AB92">
        <f t="shared" si="21"/>
        <v>1.0235339741958187</v>
      </c>
      <c r="AD92">
        <f t="shared" si="23"/>
        <v>89</v>
      </c>
      <c r="AE92">
        <f t="shared" si="24"/>
        <v>11.208496897982</v>
      </c>
    </row>
    <row r="93" spans="1:31" x14ac:dyDescent="0.35">
      <c r="A93">
        <f t="shared" si="13"/>
        <v>90</v>
      </c>
      <c r="B93">
        <v>9.8337122512150579</v>
      </c>
      <c r="D93">
        <f t="shared" si="22"/>
        <v>90</v>
      </c>
      <c r="E93">
        <f t="shared" si="14"/>
        <v>1.1295674584835413</v>
      </c>
      <c r="F93">
        <f t="shared" si="25"/>
        <v>0.36268650518973317</v>
      </c>
      <c r="V93">
        <f t="shared" si="15"/>
        <v>90</v>
      </c>
      <c r="W93">
        <f t="shared" si="16"/>
        <v>1.1295674584835413</v>
      </c>
      <c r="X93">
        <f t="shared" si="17"/>
        <v>0.36268650518973317</v>
      </c>
      <c r="Y93">
        <f t="shared" si="18"/>
        <v>0.76688095329380812</v>
      </c>
      <c r="Z93">
        <f t="shared" si="19"/>
        <v>1.1062504015179921</v>
      </c>
      <c r="AA93">
        <f t="shared" si="20"/>
        <v>-1.4013299915644299</v>
      </c>
      <c r="AB93">
        <f t="shared" si="21"/>
        <v>2.935091898152046</v>
      </c>
      <c r="AD93">
        <f t="shared" si="23"/>
        <v>90</v>
      </c>
      <c r="AE93">
        <f t="shared" si="24"/>
        <v>9.8337122512150579</v>
      </c>
    </row>
    <row r="94" spans="1:31" x14ac:dyDescent="0.35">
      <c r="A94">
        <f t="shared" si="13"/>
        <v>91</v>
      </c>
      <c r="B94">
        <v>11.009228904367124</v>
      </c>
      <c r="D94">
        <f t="shared" si="22"/>
        <v>91</v>
      </c>
      <c r="E94">
        <f t="shared" si="14"/>
        <v>-1.3829664347764841</v>
      </c>
      <c r="F94">
        <f t="shared" si="25"/>
        <v>-0.64392090196341201</v>
      </c>
      <c r="V94">
        <f t="shared" si="15"/>
        <v>91</v>
      </c>
      <c r="W94">
        <f t="shared" si="16"/>
        <v>-1.3829664347764841</v>
      </c>
      <c r="X94">
        <f t="shared" si="17"/>
        <v>-0.64392090196341201</v>
      </c>
      <c r="Y94">
        <f t="shared" si="18"/>
        <v>-0.73904553281307206</v>
      </c>
      <c r="Z94">
        <f t="shared" si="19"/>
        <v>1.1062504015179921</v>
      </c>
      <c r="AA94">
        <f t="shared" si="20"/>
        <v>-2.9072564776713099</v>
      </c>
      <c r="AB94">
        <f t="shared" si="21"/>
        <v>1.429165412045166</v>
      </c>
      <c r="AD94">
        <f t="shared" si="23"/>
        <v>91</v>
      </c>
      <c r="AE94">
        <f t="shared" si="24"/>
        <v>11.009228904367124</v>
      </c>
    </row>
    <row r="95" spans="1:31" x14ac:dyDescent="0.35">
      <c r="A95">
        <f t="shared" si="13"/>
        <v>92</v>
      </c>
      <c r="B95">
        <v>9.672211664259164</v>
      </c>
      <c r="D95">
        <f t="shared" si="22"/>
        <v>92</v>
      </c>
      <c r="E95">
        <f t="shared" si="14"/>
        <v>-1.696105693501422</v>
      </c>
      <c r="F95">
        <f t="shared" si="25"/>
        <v>-2.4739591066555437</v>
      </c>
      <c r="V95">
        <f t="shared" si="15"/>
        <v>92</v>
      </c>
      <c r="W95">
        <f t="shared" si="16"/>
        <v>-1.696105693501422</v>
      </c>
      <c r="X95">
        <f t="shared" si="17"/>
        <v>-2.4739591066555437</v>
      </c>
      <c r="Y95">
        <f t="shared" si="18"/>
        <v>0.77785341315412171</v>
      </c>
      <c r="Z95">
        <f t="shared" si="19"/>
        <v>1.1062504015179921</v>
      </c>
      <c r="AA95">
        <f t="shared" si="20"/>
        <v>-1.3903575317041164</v>
      </c>
      <c r="AB95">
        <f t="shared" si="21"/>
        <v>2.94606435801236</v>
      </c>
      <c r="AD95">
        <f t="shared" si="23"/>
        <v>92</v>
      </c>
      <c r="AE95">
        <f t="shared" si="24"/>
        <v>9.672211664259164</v>
      </c>
    </row>
    <row r="96" spans="1:31" x14ac:dyDescent="0.35">
      <c r="A96">
        <f t="shared" si="13"/>
        <v>93</v>
      </c>
      <c r="B96">
        <v>8.0220551654262664</v>
      </c>
      <c r="D96">
        <f t="shared" si="22"/>
        <v>93</v>
      </c>
      <c r="E96">
        <f t="shared" si="14"/>
        <v>1.0321561266134889</v>
      </c>
      <c r="F96">
        <f t="shared" si="25"/>
        <v>-0.17441971793069344</v>
      </c>
      <c r="V96">
        <f t="shared" si="15"/>
        <v>93</v>
      </c>
      <c r="W96">
        <f t="shared" si="16"/>
        <v>1.0321561266134889</v>
      </c>
      <c r="X96">
        <f t="shared" si="17"/>
        <v>-0.17441971793069344</v>
      </c>
      <c r="Y96">
        <f t="shared" si="18"/>
        <v>1.2065758445441823</v>
      </c>
      <c r="Z96">
        <f t="shared" si="19"/>
        <v>1.1062504015179921</v>
      </c>
      <c r="AA96">
        <f t="shared" si="20"/>
        <v>-0.96163510031405575</v>
      </c>
      <c r="AB96">
        <f t="shared" si="21"/>
        <v>3.3747867894024202</v>
      </c>
      <c r="AD96">
        <f t="shared" si="23"/>
        <v>93</v>
      </c>
      <c r="AE96">
        <f t="shared" si="24"/>
        <v>8.0220551654262664</v>
      </c>
    </row>
    <row r="97" spans="1:31" x14ac:dyDescent="0.35">
      <c r="A97">
        <f t="shared" si="13"/>
        <v>94</v>
      </c>
      <c r="B97">
        <v>9.1001604867082797</v>
      </c>
      <c r="D97">
        <f t="shared" si="22"/>
        <v>94</v>
      </c>
      <c r="E97">
        <f t="shared" si="14"/>
        <v>1.1474538884551417</v>
      </c>
      <c r="F97">
        <f t="shared" si="25"/>
        <v>1.5050659326644666</v>
      </c>
      <c r="V97">
        <f t="shared" si="15"/>
        <v>94</v>
      </c>
      <c r="W97">
        <f t="shared" si="16"/>
        <v>1.1474538884551417</v>
      </c>
      <c r="X97">
        <f t="shared" si="17"/>
        <v>1.5050659326644666</v>
      </c>
      <c r="Y97">
        <f t="shared" si="18"/>
        <v>-0.35761204420932491</v>
      </c>
      <c r="Z97">
        <f t="shared" si="19"/>
        <v>1.1062504015179921</v>
      </c>
      <c r="AA97">
        <f t="shared" si="20"/>
        <v>-2.5258229890675628</v>
      </c>
      <c r="AB97">
        <f t="shared" si="21"/>
        <v>1.8105989006489132</v>
      </c>
      <c r="AD97">
        <f t="shared" si="23"/>
        <v>94</v>
      </c>
      <c r="AE97">
        <f t="shared" si="24"/>
        <v>9.1001604867082797</v>
      </c>
    </row>
    <row r="98" spans="1:31" x14ac:dyDescent="0.35">
      <c r="A98">
        <f t="shared" si="13"/>
        <v>95</v>
      </c>
      <c r="B98">
        <v>10.293563569831946</v>
      </c>
      <c r="D98">
        <f t="shared" si="22"/>
        <v>95</v>
      </c>
      <c r="E98">
        <f t="shared" si="14"/>
        <v>0.53462512785598615</v>
      </c>
      <c r="F98">
        <f t="shared" si="25"/>
        <v>1.117137754018461</v>
      </c>
      <c r="V98">
        <f t="shared" si="15"/>
        <v>95</v>
      </c>
      <c r="W98">
        <f t="shared" si="16"/>
        <v>0.53462512785598615</v>
      </c>
      <c r="X98">
        <f t="shared" si="17"/>
        <v>1.117137754018461</v>
      </c>
      <c r="Y98">
        <f t="shared" si="18"/>
        <v>-0.5825126261624749</v>
      </c>
      <c r="Z98">
        <f t="shared" si="19"/>
        <v>1.1062504015179921</v>
      </c>
      <c r="AA98">
        <f t="shared" si="20"/>
        <v>-2.7507235710207132</v>
      </c>
      <c r="AB98">
        <f t="shared" si="21"/>
        <v>1.5856983186957632</v>
      </c>
      <c r="AD98">
        <f t="shared" si="23"/>
        <v>95</v>
      </c>
      <c r="AE98">
        <f t="shared" si="24"/>
        <v>10.293563569831946</v>
      </c>
    </row>
    <row r="99" spans="1:31" x14ac:dyDescent="0.35">
      <c r="A99">
        <f t="shared" si="13"/>
        <v>96</v>
      </c>
      <c r="B99">
        <v>10.874137892356456</v>
      </c>
      <c r="D99">
        <f t="shared" si="22"/>
        <v>96</v>
      </c>
      <c r="E99">
        <f t="shared" si="14"/>
        <v>0.1285018433570897</v>
      </c>
      <c r="F99">
        <f t="shared" si="25"/>
        <v>0.47178442119929109</v>
      </c>
      <c r="V99">
        <f t="shared" si="15"/>
        <v>96</v>
      </c>
      <c r="W99">
        <f t="shared" si="16"/>
        <v>0.1285018433570897</v>
      </c>
      <c r="X99">
        <f t="shared" si="17"/>
        <v>0.47178442119929109</v>
      </c>
      <c r="Y99">
        <f t="shared" si="18"/>
        <v>-0.3432825778422014</v>
      </c>
      <c r="Z99">
        <f t="shared" si="19"/>
        <v>1.1062504015179921</v>
      </c>
      <c r="AA99">
        <f t="shared" si="20"/>
        <v>-2.5114935227004396</v>
      </c>
      <c r="AB99">
        <f t="shared" si="21"/>
        <v>1.8249283670160366</v>
      </c>
      <c r="AD99">
        <f t="shared" si="23"/>
        <v>96</v>
      </c>
      <c r="AE99">
        <f t="shared" si="24"/>
        <v>10.874137892356456</v>
      </c>
    </row>
    <row r="100" spans="1:31" x14ac:dyDescent="0.35">
      <c r="A100">
        <f t="shared" si="13"/>
        <v>97</v>
      </c>
      <c r="B100">
        <v>11.048588930382071</v>
      </c>
      <c r="D100">
        <f t="shared" si="22"/>
        <v>97</v>
      </c>
      <c r="E100">
        <f t="shared" si="14"/>
        <v>-0.71743451664474844</v>
      </c>
      <c r="F100">
        <f t="shared" si="25"/>
        <v>-0.5624417763535855</v>
      </c>
      <c r="V100">
        <f t="shared" si="15"/>
        <v>97</v>
      </c>
      <c r="W100">
        <f t="shared" si="16"/>
        <v>-0.71743451664474844</v>
      </c>
      <c r="X100">
        <f t="shared" si="17"/>
        <v>-0.5624417763535855</v>
      </c>
      <c r="Y100">
        <f t="shared" si="18"/>
        <v>-0.15499274029116294</v>
      </c>
      <c r="Z100">
        <f t="shared" si="19"/>
        <v>1.1062504015179921</v>
      </c>
      <c r="AA100">
        <f t="shared" si="20"/>
        <v>-2.3232036851494011</v>
      </c>
      <c r="AB100">
        <f t="shared" si="21"/>
        <v>2.013218204567075</v>
      </c>
      <c r="AD100">
        <f t="shared" si="23"/>
        <v>97</v>
      </c>
      <c r="AE100">
        <f t="shared" si="24"/>
        <v>11.048588930382071</v>
      </c>
    </row>
    <row r="101" spans="1:31" x14ac:dyDescent="0.35">
      <c r="A101">
        <f t="shared" si="13"/>
        <v>98</v>
      </c>
      <c r="B101">
        <v>10.377103608405847</v>
      </c>
      <c r="D101">
        <f t="shared" si="22"/>
        <v>98</v>
      </c>
      <c r="E101">
        <f t="shared" si="14"/>
        <v>0.67768060340103875</v>
      </c>
      <c r="F101">
        <f t="shared" si="25"/>
        <v>0.28568715804981315</v>
      </c>
      <c r="V101">
        <f t="shared" si="15"/>
        <v>98</v>
      </c>
      <c r="W101">
        <f t="shared" si="16"/>
        <v>0.67768060340103875</v>
      </c>
      <c r="X101">
        <f t="shared" si="17"/>
        <v>0.28568715804981315</v>
      </c>
      <c r="Y101">
        <f t="shared" si="18"/>
        <v>0.3919934453512256</v>
      </c>
      <c r="Z101">
        <f t="shared" si="19"/>
        <v>1.1062504015179921</v>
      </c>
      <c r="AA101">
        <f t="shared" si="20"/>
        <v>-1.7762174995070126</v>
      </c>
      <c r="AB101">
        <f t="shared" si="21"/>
        <v>2.5602043902094636</v>
      </c>
      <c r="AD101">
        <f t="shared" si="23"/>
        <v>98</v>
      </c>
      <c r="AE101">
        <f t="shared" si="24"/>
        <v>10.377103608405847</v>
      </c>
    </row>
    <row r="102" spans="1:31" x14ac:dyDescent="0.35">
      <c r="A102">
        <f t="shared" si="13"/>
        <v>99</v>
      </c>
      <c r="B102">
        <v>11.10073340647541</v>
      </c>
      <c r="D102">
        <f t="shared" si="22"/>
        <v>99</v>
      </c>
      <c r="E102">
        <f t="shared" si="14"/>
        <v>-1.5902259113724917</v>
      </c>
      <c r="F102">
        <f t="shared" si="25"/>
        <v>-1.1494597613656483</v>
      </c>
      <c r="V102">
        <f t="shared" si="15"/>
        <v>99</v>
      </c>
      <c r="W102">
        <f t="shared" si="16"/>
        <v>-1.5902259113724917</v>
      </c>
      <c r="X102">
        <f t="shared" si="17"/>
        <v>-1.1494597613656483</v>
      </c>
      <c r="Y102">
        <f t="shared" si="18"/>
        <v>-0.44076615000684338</v>
      </c>
      <c r="Z102">
        <f t="shared" si="19"/>
        <v>1.1062504015179921</v>
      </c>
      <c r="AA102">
        <f t="shared" si="20"/>
        <v>-2.6089770948650814</v>
      </c>
      <c r="AB102">
        <f t="shared" si="21"/>
        <v>1.7274447948513947</v>
      </c>
      <c r="AD102">
        <f t="shared" si="23"/>
        <v>99</v>
      </c>
      <c r="AE102">
        <f t="shared" si="24"/>
        <v>11.10073340647541</v>
      </c>
    </row>
    <row r="103" spans="1:31" x14ac:dyDescent="0.35">
      <c r="A103">
        <f t="shared" si="13"/>
        <v>100</v>
      </c>
      <c r="B103">
        <v>9.5564566897714425</v>
      </c>
      <c r="D103">
        <f t="shared" si="22"/>
        <v>100</v>
      </c>
      <c r="E103">
        <f t="shared" si="14"/>
        <v>0.52420612775794662</v>
      </c>
      <c r="F103">
        <f t="shared" si="25"/>
        <v>-0.46009747607438722</v>
      </c>
      <c r="V103">
        <f t="shared" si="15"/>
        <v>100</v>
      </c>
      <c r="W103">
        <f t="shared" si="16"/>
        <v>0.52420612775794662</v>
      </c>
      <c r="X103">
        <f t="shared" si="17"/>
        <v>-0.46009747607438722</v>
      </c>
      <c r="Y103">
        <f t="shared" si="18"/>
        <v>0.98430360383233384</v>
      </c>
      <c r="Z103">
        <f t="shared" si="19"/>
        <v>1.1062504015179921</v>
      </c>
      <c r="AA103">
        <f t="shared" si="20"/>
        <v>-1.1839073410259042</v>
      </c>
      <c r="AB103">
        <f t="shared" si="21"/>
        <v>3.1525145486905721</v>
      </c>
      <c r="AD103">
        <f t="shared" si="23"/>
        <v>100</v>
      </c>
      <c r="AE103">
        <f t="shared" si="24"/>
        <v>9.5564566897714425</v>
      </c>
    </row>
    <row r="104" spans="1:31" x14ac:dyDescent="0.35">
      <c r="A104">
        <f t="shared" si="13"/>
        <v>101</v>
      </c>
      <c r="B104">
        <v>10.126612012197914</v>
      </c>
      <c r="D104">
        <f t="shared" si="22"/>
        <v>101</v>
      </c>
      <c r="E104">
        <f t="shared" si="14"/>
        <v>0.44609559285231692</v>
      </c>
      <c r="F104">
        <f t="shared" si="25"/>
        <v>0.63792522007956809</v>
      </c>
      <c r="V104">
        <f t="shared" si="15"/>
        <v>101</v>
      </c>
      <c r="W104">
        <f t="shared" si="16"/>
        <v>0.44609559285231692</v>
      </c>
      <c r="X104">
        <f t="shared" si="17"/>
        <v>0.63792522007956809</v>
      </c>
      <c r="Y104">
        <f t="shared" si="18"/>
        <v>-0.19182962722725116</v>
      </c>
      <c r="Z104">
        <f t="shared" si="19"/>
        <v>1.1062504015179921</v>
      </c>
      <c r="AA104">
        <f t="shared" si="20"/>
        <v>-2.3600405720854893</v>
      </c>
      <c r="AB104">
        <f t="shared" si="21"/>
        <v>1.9763813176309868</v>
      </c>
      <c r="AD104">
        <f t="shared" si="23"/>
        <v>101</v>
      </c>
      <c r="AE104">
        <f t="shared" si="24"/>
        <v>10.126612012197914</v>
      </c>
    </row>
    <row r="105" spans="1:31" x14ac:dyDescent="0.35">
      <c r="A105">
        <f t="shared" si="13"/>
        <v>102</v>
      </c>
      <c r="B105">
        <v>10.618656799718755</v>
      </c>
      <c r="D105">
        <f t="shared" si="22"/>
        <v>102</v>
      </c>
      <c r="E105">
        <f t="shared" si="14"/>
        <v>0.70477165312639545</v>
      </c>
      <c r="F105">
        <f t="shared" si="25"/>
        <v>0.91898815450226667</v>
      </c>
      <c r="V105">
        <f t="shared" si="15"/>
        <v>102</v>
      </c>
      <c r="W105">
        <f t="shared" si="16"/>
        <v>0.70477165312639545</v>
      </c>
      <c r="X105">
        <f t="shared" si="17"/>
        <v>0.91898815450226667</v>
      </c>
      <c r="Y105">
        <f t="shared" si="18"/>
        <v>-0.21421650137587123</v>
      </c>
      <c r="Z105">
        <f t="shared" si="19"/>
        <v>1.1062504015179921</v>
      </c>
      <c r="AA105">
        <f t="shared" si="20"/>
        <v>-2.3824274462341091</v>
      </c>
      <c r="AB105">
        <f t="shared" si="21"/>
        <v>1.9539944434823668</v>
      </c>
      <c r="AD105">
        <f t="shared" si="23"/>
        <v>102</v>
      </c>
      <c r="AE105">
        <f t="shared" si="24"/>
        <v>10.618656799718755</v>
      </c>
    </row>
    <row r="106" spans="1:31" x14ac:dyDescent="0.35">
      <c r="A106">
        <f t="shared" si="13"/>
        <v>103</v>
      </c>
      <c r="B106">
        <v>11.369377647513675</v>
      </c>
      <c r="D106">
        <f t="shared" si="22"/>
        <v>103</v>
      </c>
      <c r="E106">
        <f t="shared" si="14"/>
        <v>-0.65388462194682373</v>
      </c>
      <c r="F106">
        <f t="shared" si="25"/>
        <v>-0.19709794942865966</v>
      </c>
      <c r="V106">
        <f t="shared" si="15"/>
        <v>103</v>
      </c>
      <c r="W106">
        <f t="shared" si="16"/>
        <v>-0.65388462194682373</v>
      </c>
      <c r="X106">
        <f t="shared" si="17"/>
        <v>-0.19709794942865966</v>
      </c>
      <c r="Y106">
        <f t="shared" si="18"/>
        <v>-0.45678667251816407</v>
      </c>
      <c r="Z106">
        <f t="shared" si="19"/>
        <v>1.1062504015179921</v>
      </c>
      <c r="AA106">
        <f t="shared" si="20"/>
        <v>-2.624997617376402</v>
      </c>
      <c r="AB106">
        <f t="shared" si="21"/>
        <v>1.7114242723400741</v>
      </c>
      <c r="AD106">
        <f t="shared" si="23"/>
        <v>103</v>
      </c>
      <c r="AE106">
        <f t="shared" si="24"/>
        <v>11.369377647513675</v>
      </c>
    </row>
    <row r="107" spans="1:31" x14ac:dyDescent="0.35">
      <c r="A107">
        <f t="shared" si="13"/>
        <v>104</v>
      </c>
      <c r="B107">
        <v>10.761442220235375</v>
      </c>
      <c r="D107" s="4">
        <f t="shared" si="22"/>
        <v>104</v>
      </c>
      <c r="E107" s="4">
        <f t="shared" si="14"/>
        <v>1.1473736405790589</v>
      </c>
      <c r="F107" s="4">
        <f t="shared" si="25"/>
        <v>0.79890784082223809</v>
      </c>
      <c r="V107">
        <f t="shared" si="15"/>
        <v>104</v>
      </c>
      <c r="W107">
        <f t="shared" si="16"/>
        <v>1.1473736405790589</v>
      </c>
      <c r="X107">
        <f t="shared" si="17"/>
        <v>0.79890784082223809</v>
      </c>
      <c r="Y107">
        <f t="shared" si="18"/>
        <v>0.34846579975682079</v>
      </c>
      <c r="Z107">
        <f t="shared" si="19"/>
        <v>1.1062504015179921</v>
      </c>
      <c r="AA107">
        <f t="shared" si="20"/>
        <v>-1.8197451451014173</v>
      </c>
      <c r="AB107">
        <f t="shared" si="21"/>
        <v>2.5166767446150589</v>
      </c>
      <c r="AD107">
        <f t="shared" si="23"/>
        <v>104</v>
      </c>
      <c r="AE107">
        <f t="shared" si="24"/>
        <v>10.761442220235375</v>
      </c>
    </row>
    <row r="108" spans="1:31" x14ac:dyDescent="0.35">
      <c r="A108">
        <f t="shared" si="13"/>
        <v>105</v>
      </c>
      <c r="B108" s="4">
        <v>11.954765055482959</v>
      </c>
      <c r="V108">
        <f>V107+1</f>
        <v>105</v>
      </c>
      <c r="Y108">
        <f>SUMPRODUCT(W106:W107,I$4:I$5)+SUMPRODUCT(X107,J$5)</f>
        <v>-0.76971376578180006</v>
      </c>
      <c r="Z108" t="e">
        <f ca="1">J$15*SQRT(SUMSQ(M$15:M15))</f>
        <v>#NAME?</v>
      </c>
      <c r="AA108" t="e">
        <f ca="1">Y108-NORMSINV(1-Z$2/2)*Z108</f>
        <v>#NAME?</v>
      </c>
      <c r="AB108" t="e">
        <f ca="1">Y108+NORMSINV(1-Z$2/2)*Z108</f>
        <v>#NAME?</v>
      </c>
      <c r="AD108" s="4">
        <f t="shared" si="23"/>
        <v>105</v>
      </c>
      <c r="AE108" s="4">
        <f t="shared" si="24"/>
        <v>11.954765055482959</v>
      </c>
    </row>
    <row r="109" spans="1:31" x14ac:dyDescent="0.35">
      <c r="V109">
        <f>V108+1</f>
        <v>106</v>
      </c>
      <c r="Y109">
        <f>SUMPRODUCT(W107,I4)+SUMPRODUCT(Y108,I5)</f>
        <v>0.33992404396240461</v>
      </c>
      <c r="Z109" t="e">
        <f ca="1">J$15*SQRT(SUMSQ(M$15:M16))</f>
        <v>#NAME?</v>
      </c>
      <c r="AA109" t="e">
        <f ca="1">Y109-NORMSINV(1-Z$2/2)*Z109</f>
        <v>#NAME?</v>
      </c>
      <c r="AB109" t="e">
        <f ca="1">Y109+NORMSINV(1-Z$2/2)*Z109</f>
        <v>#NAME?</v>
      </c>
      <c r="AD109">
        <f t="shared" si="23"/>
        <v>106</v>
      </c>
      <c r="AE109">
        <f>Y108+AE108+J$6</f>
        <v>11.231000484369684</v>
      </c>
    </row>
    <row r="110" spans="1:31" x14ac:dyDescent="0.35">
      <c r="V110">
        <f>V109+1</f>
        <v>107</v>
      </c>
      <c r="Y110">
        <f>SUMPRODUCT(Y108:Y109,I4:I5)</f>
        <v>-0.29683786058181572</v>
      </c>
      <c r="Z110" t="e">
        <f ca="1">J$15*SQRT(SUMSQ(M$15:M17))</f>
        <v>#NAME?</v>
      </c>
      <c r="AA110" t="e">
        <f ca="1">Y110-NORMSINV(1-Z$2/2)*Z110</f>
        <v>#NAME?</v>
      </c>
      <c r="AB110" t="e">
        <f ca="1">Y110+NORMSINV(1-Z$2/2)*Z110</f>
        <v>#NAME?</v>
      </c>
      <c r="AD110">
        <f t="shared" si="23"/>
        <v>107</v>
      </c>
      <c r="AE110">
        <f>Y109+AE109+J$6</f>
        <v>11.616873723000614</v>
      </c>
    </row>
    <row r="111" spans="1:31" x14ac:dyDescent="0.35">
      <c r="V111">
        <f>V110+1</f>
        <v>108</v>
      </c>
      <c r="Y111">
        <f>SUMPRODUCT(Y109:Y110,I4:I5)</f>
        <v>7.3878640320579295E-2</v>
      </c>
      <c r="Z111" t="e">
        <f ca="1">J$15*SQRT(SUMSQ(M$15:M18))</f>
        <v>#NAME?</v>
      </c>
      <c r="AA111" t="e">
        <f ca="1">Y111-NORMSINV(1-Z$2/2)*Z111</f>
        <v>#NAME?</v>
      </c>
      <c r="AB111" t="e">
        <f ca="1">Y111+NORMSINV(1-Z$2/2)*Z111</f>
        <v>#NAME?</v>
      </c>
      <c r="AD111">
        <f t="shared" si="23"/>
        <v>108</v>
      </c>
      <c r="AE111">
        <f>Y110+AE110+J$6</f>
        <v>11.365985057087324</v>
      </c>
    </row>
    <row r="112" spans="1:31" x14ac:dyDescent="0.35">
      <c r="V112" s="4">
        <f>V111+1</f>
        <v>109</v>
      </c>
      <c r="W112" s="4"/>
      <c r="X112" s="4"/>
      <c r="Y112" s="4">
        <f>SUMPRODUCT(Y110:Y111,I4:I5)</f>
        <v>-0.13678406978207552</v>
      </c>
      <c r="Z112" s="4" t="e">
        <f ca="1">J$15*SQRT(SUMSQ(M$15:M19))</f>
        <v>#NAME?</v>
      </c>
      <c r="AA112" s="4" t="e">
        <f ca="1">Y112-NORMSINV(1-Z$2/2)*Z112</f>
        <v>#NAME?</v>
      </c>
      <c r="AB112" s="4" t="e">
        <f ca="1">Y112+NORMSINV(1-Z$2/2)*Z112</f>
        <v>#NAME?</v>
      </c>
      <c r="AD112">
        <f t="shared" si="23"/>
        <v>109</v>
      </c>
      <c r="AE112">
        <f>Y111+AE111+J$6</f>
        <v>11.485812892076428</v>
      </c>
    </row>
    <row r="113" spans="30:31" x14ac:dyDescent="0.35">
      <c r="AD113" s="4">
        <f t="shared" si="23"/>
        <v>110</v>
      </c>
      <c r="AE113" s="4">
        <f>Y112+AE112+J$6</f>
        <v>11.394978016962877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13"/>
  <dimension ref="A1:AE113"/>
  <sheetViews>
    <sheetView workbookViewId="0"/>
  </sheetViews>
  <sheetFormatPr defaultRowHeight="14.5" x14ac:dyDescent="0.35"/>
  <cols>
    <col min="1" max="1" width="4.81640625" customWidth="1"/>
  </cols>
  <sheetData>
    <row r="1" spans="1:31" x14ac:dyDescent="0.35">
      <c r="A1" s="7" t="s">
        <v>430</v>
      </c>
      <c r="D1" t="s">
        <v>353</v>
      </c>
      <c r="H1" t="s">
        <v>355</v>
      </c>
      <c r="L1" t="s">
        <v>374</v>
      </c>
      <c r="P1" t="s">
        <v>379</v>
      </c>
      <c r="V1" t="s">
        <v>383</v>
      </c>
      <c r="AD1" t="s">
        <v>384</v>
      </c>
    </row>
    <row r="2" spans="1:31" ht="15" thickBot="1" x14ac:dyDescent="0.4">
      <c r="A2" s="72"/>
      <c r="B2" s="72"/>
      <c r="Y2" t="s">
        <v>156</v>
      </c>
      <c r="Z2">
        <v>0.05</v>
      </c>
    </row>
    <row r="3" spans="1:31" ht="15" thickTop="1" x14ac:dyDescent="0.35">
      <c r="B3" s="136" t="s">
        <v>110</v>
      </c>
      <c r="D3" s="45" t="s">
        <v>291</v>
      </c>
      <c r="E3" s="45" t="s">
        <v>194</v>
      </c>
      <c r="F3" s="45" t="s">
        <v>354</v>
      </c>
      <c r="H3" s="45" t="s">
        <v>356</v>
      </c>
      <c r="I3" s="45" t="s">
        <v>357</v>
      </c>
      <c r="J3" s="45" t="s">
        <v>358</v>
      </c>
      <c r="L3" s="45" t="s">
        <v>173</v>
      </c>
      <c r="M3" s="45" t="s">
        <v>174</v>
      </c>
      <c r="N3" s="45" t="s">
        <v>375</v>
      </c>
      <c r="P3" s="45" t="s">
        <v>380</v>
      </c>
      <c r="Q3" s="45" t="s">
        <v>162</v>
      </c>
      <c r="R3" s="45" t="s">
        <v>81</v>
      </c>
      <c r="S3" s="45" t="s">
        <v>392</v>
      </c>
      <c r="T3" s="45" t="s">
        <v>92</v>
      </c>
      <c r="V3" s="45" t="s">
        <v>291</v>
      </c>
      <c r="W3" s="45" t="s">
        <v>194</v>
      </c>
      <c r="X3" s="45" t="s">
        <v>354</v>
      </c>
      <c r="Y3" s="45" t="s">
        <v>138</v>
      </c>
      <c r="Z3" s="45" t="s">
        <v>81</v>
      </c>
      <c r="AA3" s="45" t="s">
        <v>127</v>
      </c>
      <c r="AB3" s="45" t="s">
        <v>128</v>
      </c>
      <c r="AD3" s="45" t="s">
        <v>291</v>
      </c>
      <c r="AE3" s="45" t="s">
        <v>179</v>
      </c>
    </row>
    <row r="4" spans="1:31" x14ac:dyDescent="0.35">
      <c r="A4">
        <v>1</v>
      </c>
      <c r="B4">
        <v>3.1176756475655343</v>
      </c>
      <c r="D4">
        <v>1</v>
      </c>
      <c r="E4" t="e">
        <f ca="1">B6-2*B5+B4-J$6</f>
        <v>#NAME?</v>
      </c>
      <c r="F4">
        <v>0</v>
      </c>
      <c r="H4" s="137">
        <v>2</v>
      </c>
      <c r="I4" t="e">
        <f ca="1">Q6</f>
        <v>#NAME?</v>
      </c>
      <c r="J4">
        <v>0</v>
      </c>
      <c r="L4" t="e">
        <f t="array" aca="1" ref="L4:N5" ca="1">ARRoots(I4:I5)</f>
        <v>#NAME?</v>
      </c>
      <c r="M4" t="e">
        <f ca="1"/>
        <v>#NAME?</v>
      </c>
      <c r="N4" t="e">
        <f ca="1"/>
        <v>#NAME?</v>
      </c>
      <c r="P4" t="s">
        <v>359</v>
      </c>
      <c r="Q4" t="e">
        <f t="array" aca="1" ref="Q4:R7" ca="1">ARIMA_Coeff(B4:B108,2,1,2,TRUE)</f>
        <v>#NAME?</v>
      </c>
      <c r="R4" t="e">
        <f ca="1"/>
        <v>#NAME?</v>
      </c>
      <c r="S4" t="e">
        <f ca="1">Q4/R4</f>
        <v>#NAME?</v>
      </c>
      <c r="T4" t="e">
        <f ca="1">TDIST(ABS(S4),J$18-J$10-J$11-1,2)</f>
        <v>#NAME?</v>
      </c>
      <c r="V4">
        <f>D4</f>
        <v>1</v>
      </c>
      <c r="W4" t="e">
        <f ca="1">E4</f>
        <v>#NAME?</v>
      </c>
      <c r="X4">
        <f>F4</f>
        <v>0</v>
      </c>
      <c r="Y4" t="e">
        <f ca="1">W4-X4</f>
        <v>#NAME?</v>
      </c>
      <c r="Z4" t="e">
        <f ca="1">J$15</f>
        <v>#NAME?</v>
      </c>
      <c r="AA4" t="e">
        <f ca="1">Y4-NORMSINV(1-Z$2/2)*Z4</f>
        <v>#NAME?</v>
      </c>
      <c r="AB4" t="e">
        <f ca="1">Y4+NORMSINV(1-Z$2/2)*Z4</f>
        <v>#NAME?</v>
      </c>
      <c r="AD4">
        <v>1</v>
      </c>
      <c r="AE4">
        <f>B4</f>
        <v>3.1176756475655343</v>
      </c>
    </row>
    <row r="5" spans="1:31" x14ac:dyDescent="0.35">
      <c r="A5">
        <f t="shared" ref="A5:A68" si="0">A4+1</f>
        <v>2</v>
      </c>
      <c r="B5">
        <v>5.8082510857989273</v>
      </c>
      <c r="D5">
        <f>D4+1</f>
        <v>2</v>
      </c>
      <c r="E5" t="e">
        <f t="shared" ref="E5:E68" ca="1" si="1">B7-2*B6+B5-J$6</f>
        <v>#NAME?</v>
      </c>
      <c r="F5">
        <v>0</v>
      </c>
      <c r="H5" s="137">
        <f>H4-1</f>
        <v>1</v>
      </c>
      <c r="I5" t="e">
        <f ca="1">Q5</f>
        <v>#NAME?</v>
      </c>
      <c r="J5" t="e">
        <f ca="1">Q7</f>
        <v>#NAME?</v>
      </c>
      <c r="L5" s="4" t="e">
        <f ca="1"/>
        <v>#NAME?</v>
      </c>
      <c r="M5" s="4" t="e">
        <f ca="1"/>
        <v>#NAME?</v>
      </c>
      <c r="N5" s="4" t="e">
        <f ca="1"/>
        <v>#NAME?</v>
      </c>
      <c r="P5" t="s">
        <v>381</v>
      </c>
      <c r="Q5" t="e">
        <f ca="1"/>
        <v>#NAME?</v>
      </c>
      <c r="R5" t="e">
        <f ca="1"/>
        <v>#NAME?</v>
      </c>
      <c r="S5" t="e">
        <f ca="1">Q5/R5</f>
        <v>#NAME?</v>
      </c>
      <c r="T5" t="e">
        <f ca="1">TDIST(ABS(S5),J$18-J$10-J$11-1,2)</f>
        <v>#NAME?</v>
      </c>
      <c r="V5">
        <f t="shared" ref="V5:V68" si="2">D5</f>
        <v>2</v>
      </c>
      <c r="W5" t="e">
        <f t="shared" ref="W5:W68" ca="1" si="3">E5</f>
        <v>#NAME?</v>
      </c>
      <c r="X5">
        <f t="shared" ref="X5:X68" si="4">F5</f>
        <v>0</v>
      </c>
      <c r="Y5" t="e">
        <f t="shared" ref="Y5:Y68" ca="1" si="5">W5-X5</f>
        <v>#NAME?</v>
      </c>
      <c r="Z5" t="e">
        <f t="shared" ref="Z5:Z68" ca="1" si="6">J$15</f>
        <v>#NAME?</v>
      </c>
      <c r="AA5" t="e">
        <f t="shared" ref="AA5:AA68" ca="1" si="7">Y5-NORMSINV(1-Z$2/2)*Z5</f>
        <v>#NAME?</v>
      </c>
      <c r="AB5" t="e">
        <f t="shared" ref="AB5:AB68" ca="1" si="8">Y5+NORMSINV(1-Z$2/2)*Z5</f>
        <v>#NAME?</v>
      </c>
      <c r="AD5">
        <f>AD4+1</f>
        <v>2</v>
      </c>
      <c r="AE5">
        <f>B5</f>
        <v>5.8082510857989273</v>
      </c>
    </row>
    <row r="6" spans="1:31" x14ac:dyDescent="0.35">
      <c r="A6">
        <f t="shared" si="0"/>
        <v>3</v>
      </c>
      <c r="B6">
        <v>4.9067685983817757</v>
      </c>
      <c r="D6">
        <f t="shared" ref="D6:D69" si="9">D5+1</f>
        <v>3</v>
      </c>
      <c r="E6" t="e">
        <f t="shared" ca="1" si="1"/>
        <v>#NAME?</v>
      </c>
      <c r="F6" t="e">
        <f ca="1">E6-SUMPRODUCT(E4:E5,I$4:I$5)-SUMPRODUCT(F5,J$5)</f>
        <v>#NAME?</v>
      </c>
      <c r="H6" s="10" t="s">
        <v>359</v>
      </c>
      <c r="I6" s="4" t="e">
        <f ca="1">Q4</f>
        <v>#NAME?</v>
      </c>
      <c r="J6" s="4" t="e">
        <f ca="1">I6/(1-SUM(I4:I5))</f>
        <v>#NAME?</v>
      </c>
      <c r="P6" t="s">
        <v>399</v>
      </c>
      <c r="Q6" t="e">
        <f ca="1"/>
        <v>#NAME?</v>
      </c>
      <c r="R6" t="e">
        <f ca="1"/>
        <v>#NAME?</v>
      </c>
      <c r="S6" t="e">
        <f ca="1">Q6/R6</f>
        <v>#NAME?</v>
      </c>
      <c r="T6" t="e">
        <f ca="1">TDIST(ABS(S6),J$18-J$10-J$11-1,2)</f>
        <v>#NAME?</v>
      </c>
      <c r="V6">
        <f t="shared" si="2"/>
        <v>3</v>
      </c>
      <c r="W6" t="e">
        <f t="shared" ca="1" si="3"/>
        <v>#NAME?</v>
      </c>
      <c r="X6" t="e">
        <f t="shared" ca="1" si="4"/>
        <v>#NAME?</v>
      </c>
      <c r="Y6" t="e">
        <f t="shared" ca="1" si="5"/>
        <v>#NAME?</v>
      </c>
      <c r="Z6" t="e">
        <f t="shared" ca="1" si="6"/>
        <v>#NAME?</v>
      </c>
      <c r="AA6" t="e">
        <f t="shared" ca="1" si="7"/>
        <v>#NAME?</v>
      </c>
      <c r="AB6" t="e">
        <f t="shared" ca="1" si="8"/>
        <v>#NAME?</v>
      </c>
      <c r="AD6">
        <f t="shared" ref="AD6:AD69" si="10">AD5+1</f>
        <v>3</v>
      </c>
      <c r="AE6">
        <f t="shared" ref="AE6:AE69" si="11">B6</f>
        <v>4.9067685983817757</v>
      </c>
    </row>
    <row r="7" spans="1:31" x14ac:dyDescent="0.35">
      <c r="A7">
        <f t="shared" si="0"/>
        <v>4</v>
      </c>
      <c r="B7">
        <v>6.1194744822602427</v>
      </c>
      <c r="D7">
        <f t="shared" si="9"/>
        <v>4</v>
      </c>
      <c r="E7" t="e">
        <f t="shared" ca="1" si="1"/>
        <v>#NAME?</v>
      </c>
      <c r="F7" t="e">
        <f t="shared" ref="F7:F70" ca="1" si="12">E7-SUMPRODUCT(E5:E6,I$4:I$5)-SUMPRODUCT(F6,J$5)</f>
        <v>#NAME?</v>
      </c>
      <c r="L7" t="s">
        <v>376</v>
      </c>
      <c r="P7" s="4" t="s">
        <v>382</v>
      </c>
      <c r="Q7" s="4" t="e">
        <f ca="1"/>
        <v>#NAME?</v>
      </c>
      <c r="R7" s="4" t="e">
        <f ca="1"/>
        <v>#NAME?</v>
      </c>
      <c r="S7" s="4" t="e">
        <f ca="1">Q7/R7</f>
        <v>#NAME?</v>
      </c>
      <c r="T7" s="4" t="e">
        <f ca="1">TDIST(ABS(S7),J$18-J$10-J$11-1,2)</f>
        <v>#NAME?</v>
      </c>
      <c r="V7">
        <f t="shared" si="2"/>
        <v>4</v>
      </c>
      <c r="W7" t="e">
        <f t="shared" ca="1" si="3"/>
        <v>#NAME?</v>
      </c>
      <c r="X7" t="e">
        <f t="shared" ca="1" si="4"/>
        <v>#NAME?</v>
      </c>
      <c r="Y7" t="e">
        <f t="shared" ca="1" si="5"/>
        <v>#NAME?</v>
      </c>
      <c r="Z7" t="e">
        <f t="shared" ca="1" si="6"/>
        <v>#NAME?</v>
      </c>
      <c r="AA7" t="e">
        <f t="shared" ca="1" si="7"/>
        <v>#NAME?</v>
      </c>
      <c r="AB7" t="e">
        <f t="shared" ca="1" si="8"/>
        <v>#NAME?</v>
      </c>
      <c r="AD7">
        <f t="shared" si="10"/>
        <v>4</v>
      </c>
      <c r="AE7">
        <f t="shared" si="11"/>
        <v>6.1194744822602427</v>
      </c>
    </row>
    <row r="8" spans="1:31" ht="15" thickBot="1" x14ac:dyDescent="0.4">
      <c r="A8">
        <f t="shared" si="0"/>
        <v>5</v>
      </c>
      <c r="B8">
        <v>8.1353263117657075</v>
      </c>
      <c r="D8">
        <f t="shared" si="9"/>
        <v>5</v>
      </c>
      <c r="E8" t="e">
        <f t="shared" ca="1" si="1"/>
        <v>#NAME?</v>
      </c>
      <c r="F8" t="e">
        <f t="shared" ca="1" si="12"/>
        <v>#NAME?</v>
      </c>
      <c r="I8" t="s">
        <v>121</v>
      </c>
      <c r="J8" s="150" t="e">
        <f ca="1">SUMSQ(F6:F106)</f>
        <v>#NAME?</v>
      </c>
      <c r="V8">
        <f t="shared" si="2"/>
        <v>5</v>
      </c>
      <c r="W8" t="e">
        <f t="shared" ca="1" si="3"/>
        <v>#NAME?</v>
      </c>
      <c r="X8" t="e">
        <f t="shared" ca="1" si="4"/>
        <v>#NAME?</v>
      </c>
      <c r="Y8" t="e">
        <f t="shared" ca="1" si="5"/>
        <v>#NAME?</v>
      </c>
      <c r="Z8" t="e">
        <f t="shared" ca="1" si="6"/>
        <v>#NAME?</v>
      </c>
      <c r="AA8" t="e">
        <f t="shared" ca="1" si="7"/>
        <v>#NAME?</v>
      </c>
      <c r="AB8" t="e">
        <f t="shared" ca="1" si="8"/>
        <v>#NAME?</v>
      </c>
      <c r="AD8">
        <f t="shared" si="10"/>
        <v>5</v>
      </c>
      <c r="AE8">
        <f t="shared" si="11"/>
        <v>8.1353263117657075</v>
      </c>
    </row>
    <row r="9" spans="1:31" ht="15" thickTop="1" x14ac:dyDescent="0.35">
      <c r="A9">
        <f t="shared" si="0"/>
        <v>6</v>
      </c>
      <c r="B9">
        <v>9.3448674266459744</v>
      </c>
      <c r="D9">
        <f t="shared" si="9"/>
        <v>6</v>
      </c>
      <c r="E9" t="e">
        <f t="shared" ca="1" si="1"/>
        <v>#NAME?</v>
      </c>
      <c r="F9" t="e">
        <f t="shared" ca="1" si="12"/>
        <v>#NAME?</v>
      </c>
      <c r="L9" s="45" t="s">
        <v>173</v>
      </c>
      <c r="M9" s="45" t="s">
        <v>174</v>
      </c>
      <c r="N9" s="45" t="s">
        <v>375</v>
      </c>
      <c r="P9" t="e">
        <f t="array" aca="1" ref="P9:T13" ca="1">ARIMA_Coeff(B4:B108,2,1,2,TRUE,TRUE)</f>
        <v>#NAME?</v>
      </c>
      <c r="Q9" t="e">
        <f ca="1"/>
        <v>#NAME?</v>
      </c>
      <c r="R9" t="e">
        <f ca="1"/>
        <v>#NAME?</v>
      </c>
      <c r="S9" t="e">
        <f ca="1"/>
        <v>#NAME?</v>
      </c>
      <c r="T9" t="e">
        <f ca="1"/>
        <v>#NAME?</v>
      </c>
      <c r="V9">
        <f t="shared" si="2"/>
        <v>6</v>
      </c>
      <c r="W9" t="e">
        <f t="shared" ca="1" si="3"/>
        <v>#NAME?</v>
      </c>
      <c r="X9" t="e">
        <f t="shared" ca="1" si="4"/>
        <v>#NAME?</v>
      </c>
      <c r="Y9" t="e">
        <f t="shared" ca="1" si="5"/>
        <v>#NAME?</v>
      </c>
      <c r="Z9" t="e">
        <f t="shared" ca="1" si="6"/>
        <v>#NAME?</v>
      </c>
      <c r="AA9" t="e">
        <f t="shared" ca="1" si="7"/>
        <v>#NAME?</v>
      </c>
      <c r="AB9" t="e">
        <f t="shared" ca="1" si="8"/>
        <v>#NAME?</v>
      </c>
      <c r="AD9">
        <f t="shared" si="10"/>
        <v>6</v>
      </c>
      <c r="AE9">
        <f t="shared" si="11"/>
        <v>9.3448674266459744</v>
      </c>
    </row>
    <row r="10" spans="1:31" x14ac:dyDescent="0.35">
      <c r="A10">
        <f t="shared" si="0"/>
        <v>7</v>
      </c>
      <c r="B10">
        <v>9.147650683887159</v>
      </c>
      <c r="D10">
        <f t="shared" si="9"/>
        <v>7</v>
      </c>
      <c r="E10" t="e">
        <f t="shared" ca="1" si="1"/>
        <v>#NAME?</v>
      </c>
      <c r="F10" t="e">
        <f t="shared" ca="1" si="12"/>
        <v>#NAME?</v>
      </c>
      <c r="I10" t="s">
        <v>361</v>
      </c>
      <c r="J10" s="151">
        <v>2</v>
      </c>
      <c r="L10" s="152" t="e">
        <f t="array" aca="1" ref="L10:N10" ca="1">MARoots(J5)</f>
        <v>#NAME?</v>
      </c>
      <c r="M10" s="152" t="e">
        <f ca="1"/>
        <v>#NAME?</v>
      </c>
      <c r="N10" s="152" t="e">
        <f ca="1"/>
        <v>#NAME?</v>
      </c>
      <c r="P10" t="e">
        <f ca="1"/>
        <v>#NAME?</v>
      </c>
      <c r="Q10" s="155" t="e">
        <f ca="1"/>
        <v>#NAME?</v>
      </c>
      <c r="R10" s="156" t="e">
        <f ca="1"/>
        <v>#NAME?</v>
      </c>
      <c r="S10" s="156" t="e">
        <f ca="1"/>
        <v>#NAME?</v>
      </c>
      <c r="T10" s="157" t="e">
        <f ca="1"/>
        <v>#NAME?</v>
      </c>
      <c r="V10">
        <f t="shared" si="2"/>
        <v>7</v>
      </c>
      <c r="W10" t="e">
        <f t="shared" ca="1" si="3"/>
        <v>#NAME?</v>
      </c>
      <c r="X10" t="e">
        <f t="shared" ca="1" si="4"/>
        <v>#NAME?</v>
      </c>
      <c r="Y10" t="e">
        <f t="shared" ca="1" si="5"/>
        <v>#NAME?</v>
      </c>
      <c r="Z10" t="e">
        <f t="shared" ca="1" si="6"/>
        <v>#NAME?</v>
      </c>
      <c r="AA10" t="e">
        <f t="shared" ca="1" si="7"/>
        <v>#NAME?</v>
      </c>
      <c r="AB10" t="e">
        <f t="shared" ca="1" si="8"/>
        <v>#NAME?</v>
      </c>
      <c r="AD10">
        <f t="shared" si="10"/>
        <v>7</v>
      </c>
      <c r="AE10">
        <f t="shared" si="11"/>
        <v>9.147650683887159</v>
      </c>
    </row>
    <row r="11" spans="1:31" x14ac:dyDescent="0.35">
      <c r="A11">
        <f t="shared" si="0"/>
        <v>8</v>
      </c>
      <c r="B11">
        <v>8.1014932813029787</v>
      </c>
      <c r="D11">
        <f t="shared" si="9"/>
        <v>8</v>
      </c>
      <c r="E11" t="e">
        <f t="shared" ca="1" si="1"/>
        <v>#NAME?</v>
      </c>
      <c r="F11" t="e">
        <f t="shared" ca="1" si="12"/>
        <v>#NAME?</v>
      </c>
      <c r="I11" t="s">
        <v>362</v>
      </c>
      <c r="J11" s="107">
        <v>1</v>
      </c>
      <c r="P11" t="e">
        <f ca="1"/>
        <v>#NAME?</v>
      </c>
      <c r="Q11" s="29" t="e">
        <f ca="1"/>
        <v>#NAME?</v>
      </c>
      <c r="R11" s="13" t="e">
        <f ca="1"/>
        <v>#NAME?</v>
      </c>
      <c r="S11" s="13" t="e">
        <f ca="1"/>
        <v>#NAME?</v>
      </c>
      <c r="T11" s="30" t="e">
        <f ca="1"/>
        <v>#NAME?</v>
      </c>
      <c r="V11">
        <f t="shared" si="2"/>
        <v>8</v>
      </c>
      <c r="W11" t="e">
        <f t="shared" ca="1" si="3"/>
        <v>#NAME?</v>
      </c>
      <c r="X11" t="e">
        <f t="shared" ca="1" si="4"/>
        <v>#NAME?</v>
      </c>
      <c r="Y11" t="e">
        <f t="shared" ca="1" si="5"/>
        <v>#NAME?</v>
      </c>
      <c r="Z11" t="e">
        <f t="shared" ca="1" si="6"/>
        <v>#NAME?</v>
      </c>
      <c r="AA11" t="e">
        <f t="shared" ca="1" si="7"/>
        <v>#NAME?</v>
      </c>
      <c r="AB11" t="e">
        <f t="shared" ca="1" si="8"/>
        <v>#NAME?</v>
      </c>
      <c r="AD11">
        <f t="shared" si="10"/>
        <v>8</v>
      </c>
      <c r="AE11">
        <f t="shared" si="11"/>
        <v>8.1014932813029787</v>
      </c>
    </row>
    <row r="12" spans="1:31" x14ac:dyDescent="0.35">
      <c r="A12">
        <f t="shared" si="0"/>
        <v>9</v>
      </c>
      <c r="B12">
        <v>10.146419029172929</v>
      </c>
      <c r="D12">
        <f t="shared" si="9"/>
        <v>9</v>
      </c>
      <c r="E12" t="e">
        <f t="shared" ca="1" si="1"/>
        <v>#NAME?</v>
      </c>
      <c r="F12" t="e">
        <f t="shared" ca="1" si="12"/>
        <v>#NAME?</v>
      </c>
      <c r="I12" t="s">
        <v>363</v>
      </c>
      <c r="J12" s="107">
        <v>2</v>
      </c>
      <c r="L12" t="s">
        <v>377</v>
      </c>
      <c r="P12" t="e">
        <f ca="1"/>
        <v>#NAME?</v>
      </c>
      <c r="Q12" s="29" t="e">
        <f ca="1"/>
        <v>#NAME?</v>
      </c>
      <c r="R12" s="13" t="e">
        <f ca="1"/>
        <v>#NAME?</v>
      </c>
      <c r="S12" s="13" t="e">
        <f ca="1"/>
        <v>#NAME?</v>
      </c>
      <c r="T12" s="30" t="e">
        <f ca="1"/>
        <v>#NAME?</v>
      </c>
      <c r="V12">
        <f t="shared" si="2"/>
        <v>9</v>
      </c>
      <c r="W12" t="e">
        <f t="shared" ca="1" si="3"/>
        <v>#NAME?</v>
      </c>
      <c r="X12" t="e">
        <f t="shared" ca="1" si="4"/>
        <v>#NAME?</v>
      </c>
      <c r="Y12" t="e">
        <f t="shared" ca="1" si="5"/>
        <v>#NAME?</v>
      </c>
      <c r="Z12" t="e">
        <f t="shared" ca="1" si="6"/>
        <v>#NAME?</v>
      </c>
      <c r="AA12" t="e">
        <f t="shared" ca="1" si="7"/>
        <v>#NAME?</v>
      </c>
      <c r="AB12" t="e">
        <f t="shared" ca="1" si="8"/>
        <v>#NAME?</v>
      </c>
      <c r="AD12">
        <f t="shared" si="10"/>
        <v>9</v>
      </c>
      <c r="AE12">
        <f t="shared" si="11"/>
        <v>10.146419029172929</v>
      </c>
    </row>
    <row r="13" spans="1:31" ht="15" thickBot="1" x14ac:dyDescent="0.4">
      <c r="A13">
        <f t="shared" si="0"/>
        <v>10</v>
      </c>
      <c r="B13">
        <v>11.045196349004179</v>
      </c>
      <c r="D13">
        <f t="shared" si="9"/>
        <v>10</v>
      </c>
      <c r="E13" t="e">
        <f t="shared" ca="1" si="1"/>
        <v>#NAME?</v>
      </c>
      <c r="F13" t="e">
        <f t="shared" ca="1" si="12"/>
        <v>#NAME?</v>
      </c>
      <c r="I13" t="s">
        <v>364</v>
      </c>
      <c r="J13" s="107" t="e">
        <f ca="1">AVERAGE(F6:F106)</f>
        <v>#NAME?</v>
      </c>
      <c r="P13" t="e">
        <f ca="1"/>
        <v>#NAME?</v>
      </c>
      <c r="Q13" s="31" t="e">
        <f ca="1"/>
        <v>#NAME?</v>
      </c>
      <c r="R13" s="4" t="e">
        <f ca="1"/>
        <v>#NAME?</v>
      </c>
      <c r="S13" s="4" t="e">
        <f ca="1"/>
        <v>#NAME?</v>
      </c>
      <c r="T13" s="32" t="e">
        <f ca="1"/>
        <v>#NAME?</v>
      </c>
      <c r="V13">
        <f t="shared" si="2"/>
        <v>10</v>
      </c>
      <c r="W13" t="e">
        <f t="shared" ca="1" si="3"/>
        <v>#NAME?</v>
      </c>
      <c r="X13" t="e">
        <f t="shared" ca="1" si="4"/>
        <v>#NAME?</v>
      </c>
      <c r="Y13" t="e">
        <f t="shared" ca="1" si="5"/>
        <v>#NAME?</v>
      </c>
      <c r="Z13" t="e">
        <f t="shared" ca="1" si="6"/>
        <v>#NAME?</v>
      </c>
      <c r="AA13" t="e">
        <f t="shared" ca="1" si="7"/>
        <v>#NAME?</v>
      </c>
      <c r="AB13" t="e">
        <f t="shared" ca="1" si="8"/>
        <v>#NAME?</v>
      </c>
      <c r="AD13">
        <f t="shared" si="10"/>
        <v>10</v>
      </c>
      <c r="AE13">
        <f t="shared" si="11"/>
        <v>11.045196349004179</v>
      </c>
    </row>
    <row r="14" spans="1:31" ht="15" thickTop="1" x14ac:dyDescent="0.35">
      <c r="A14">
        <f t="shared" si="0"/>
        <v>11</v>
      </c>
      <c r="B14">
        <v>10.122578080182986</v>
      </c>
      <c r="D14">
        <f t="shared" si="9"/>
        <v>11</v>
      </c>
      <c r="E14" t="e">
        <f t="shared" ca="1" si="1"/>
        <v>#NAME?</v>
      </c>
      <c r="F14" t="e">
        <f t="shared" ca="1" si="12"/>
        <v>#NAME?</v>
      </c>
      <c r="I14" t="s">
        <v>365</v>
      </c>
      <c r="J14" s="107" t="e">
        <f ca="1">STDEV(F6:F106)</f>
        <v>#NAME?</v>
      </c>
      <c r="L14" s="45" t="s">
        <v>356</v>
      </c>
      <c r="M14" s="45" t="s">
        <v>378</v>
      </c>
      <c r="V14">
        <f t="shared" si="2"/>
        <v>11</v>
      </c>
      <c r="W14" t="e">
        <f t="shared" ca="1" si="3"/>
        <v>#NAME?</v>
      </c>
      <c r="X14" t="e">
        <f t="shared" ca="1" si="4"/>
        <v>#NAME?</v>
      </c>
      <c r="Y14" t="e">
        <f t="shared" ca="1" si="5"/>
        <v>#NAME?</v>
      </c>
      <c r="Z14" t="e">
        <f t="shared" ca="1" si="6"/>
        <v>#NAME?</v>
      </c>
      <c r="AA14" t="e">
        <f t="shared" ca="1" si="7"/>
        <v>#NAME?</v>
      </c>
      <c r="AB14" t="e">
        <f t="shared" ca="1" si="8"/>
        <v>#NAME?</v>
      </c>
      <c r="AD14">
        <f t="shared" si="10"/>
        <v>11</v>
      </c>
      <c r="AE14">
        <f t="shared" si="11"/>
        <v>10.122578080182986</v>
      </c>
    </row>
    <row r="15" spans="1:31" x14ac:dyDescent="0.35">
      <c r="A15">
        <f t="shared" si="0"/>
        <v>12</v>
      </c>
      <c r="B15">
        <v>10.173602244452049</v>
      </c>
      <c r="D15">
        <f t="shared" si="9"/>
        <v>12</v>
      </c>
      <c r="E15" t="e">
        <f t="shared" ca="1" si="1"/>
        <v>#NAME?</v>
      </c>
      <c r="F15" t="e">
        <f t="shared" ca="1" si="12"/>
        <v>#NAME?</v>
      </c>
      <c r="I15" t="s">
        <v>366</v>
      </c>
      <c r="J15" s="107" t="e">
        <f ca="1">SQRT(J8/J18)</f>
        <v>#NAME?</v>
      </c>
      <c r="L15" s="59">
        <v>0</v>
      </c>
      <c r="M15" s="59" t="e">
        <f t="array" aca="1" ref="M15:M19" ca="1">PSICoeff(I4:I5,J5)</f>
        <v>#NAME?</v>
      </c>
      <c r="P15" t="e">
        <f t="array" aca="1" ref="P15:Q21" ca="1">ARIMA_Stats(B4:B108,Q10:Q13,2,1,2,TRUE,TRUE)</f>
        <v>#NAME?</v>
      </c>
      <c r="Q15" s="139" t="e">
        <f ca="1"/>
        <v>#NAME?</v>
      </c>
      <c r="V15">
        <f t="shared" si="2"/>
        <v>12</v>
      </c>
      <c r="W15" t="e">
        <f t="shared" ca="1" si="3"/>
        <v>#NAME?</v>
      </c>
      <c r="X15" t="e">
        <f t="shared" ca="1" si="4"/>
        <v>#NAME?</v>
      </c>
      <c r="Y15" t="e">
        <f t="shared" ca="1" si="5"/>
        <v>#NAME?</v>
      </c>
      <c r="Z15" t="e">
        <f t="shared" ca="1" si="6"/>
        <v>#NAME?</v>
      </c>
      <c r="AA15" t="e">
        <f t="shared" ca="1" si="7"/>
        <v>#NAME?</v>
      </c>
      <c r="AB15" t="e">
        <f t="shared" ca="1" si="8"/>
        <v>#NAME?</v>
      </c>
      <c r="AD15">
        <f t="shared" si="10"/>
        <v>12</v>
      </c>
      <c r="AE15">
        <f t="shared" si="11"/>
        <v>10.173602244452049</v>
      </c>
    </row>
    <row r="16" spans="1:31" x14ac:dyDescent="0.35">
      <c r="A16">
        <f t="shared" si="0"/>
        <v>13</v>
      </c>
      <c r="B16">
        <v>10.821309800892813</v>
      </c>
      <c r="D16">
        <f t="shared" si="9"/>
        <v>13</v>
      </c>
      <c r="E16" t="e">
        <f t="shared" ca="1" si="1"/>
        <v>#NAME?</v>
      </c>
      <c r="F16" t="e">
        <f t="shared" ca="1" si="12"/>
        <v>#NAME?</v>
      </c>
      <c r="I16" t="s">
        <v>367</v>
      </c>
      <c r="J16" s="107" t="e">
        <f ca="1">AVERAGE(E6:E106)</f>
        <v>#NAME?</v>
      </c>
      <c r="L16" s="13">
        <f>L15+1</f>
        <v>1</v>
      </c>
      <c r="M16" s="13" t="e">
        <f ca="1"/>
        <v>#NAME?</v>
      </c>
      <c r="P16" t="e">
        <f ca="1"/>
        <v>#NAME?</v>
      </c>
      <c r="Q16" s="24" t="e">
        <f ca="1"/>
        <v>#NAME?</v>
      </c>
      <c r="V16">
        <f t="shared" si="2"/>
        <v>13</v>
      </c>
      <c r="W16" t="e">
        <f t="shared" ca="1" si="3"/>
        <v>#NAME?</v>
      </c>
      <c r="X16" t="e">
        <f t="shared" ca="1" si="4"/>
        <v>#NAME?</v>
      </c>
      <c r="Y16" t="e">
        <f t="shared" ca="1" si="5"/>
        <v>#NAME?</v>
      </c>
      <c r="Z16" t="e">
        <f t="shared" ca="1" si="6"/>
        <v>#NAME?</v>
      </c>
      <c r="AA16" t="e">
        <f t="shared" ca="1" si="7"/>
        <v>#NAME?</v>
      </c>
      <c r="AB16" t="e">
        <f t="shared" ca="1" si="8"/>
        <v>#NAME?</v>
      </c>
      <c r="AD16">
        <f t="shared" si="10"/>
        <v>13</v>
      </c>
      <c r="AE16">
        <f t="shared" si="11"/>
        <v>10.821309800892813</v>
      </c>
    </row>
    <row r="17" spans="1:31" x14ac:dyDescent="0.35">
      <c r="A17">
        <f t="shared" si="0"/>
        <v>14</v>
      </c>
      <c r="B17">
        <v>10.084063249573957</v>
      </c>
      <c r="D17">
        <f t="shared" si="9"/>
        <v>14</v>
      </c>
      <c r="E17" t="e">
        <f t="shared" ca="1" si="1"/>
        <v>#NAME?</v>
      </c>
      <c r="F17" t="e">
        <f t="shared" ca="1" si="12"/>
        <v>#NAME?</v>
      </c>
      <c r="I17" t="s">
        <v>368</v>
      </c>
      <c r="J17" s="107" t="e">
        <f ca="1">STDEV(E6:E106)</f>
        <v>#NAME?</v>
      </c>
      <c r="L17" s="13">
        <f>L16+1</f>
        <v>2</v>
      </c>
      <c r="M17" s="13" t="e">
        <f ca="1"/>
        <v>#NAME?</v>
      </c>
      <c r="P17" t="e">
        <f ca="1"/>
        <v>#NAME?</v>
      </c>
      <c r="Q17" s="24" t="e">
        <f ca="1"/>
        <v>#NAME?</v>
      </c>
      <c r="V17">
        <f t="shared" si="2"/>
        <v>14</v>
      </c>
      <c r="W17" t="e">
        <f t="shared" ca="1" si="3"/>
        <v>#NAME?</v>
      </c>
      <c r="X17" t="e">
        <f t="shared" ca="1" si="4"/>
        <v>#NAME?</v>
      </c>
      <c r="Y17" t="e">
        <f t="shared" ca="1" si="5"/>
        <v>#NAME?</v>
      </c>
      <c r="Z17" t="e">
        <f t="shared" ca="1" si="6"/>
        <v>#NAME?</v>
      </c>
      <c r="AA17" t="e">
        <f t="shared" ca="1" si="7"/>
        <v>#NAME?</v>
      </c>
      <c r="AB17" t="e">
        <f t="shared" ca="1" si="8"/>
        <v>#NAME?</v>
      </c>
      <c r="AD17">
        <f t="shared" si="10"/>
        <v>14</v>
      </c>
      <c r="AE17">
        <f t="shared" si="11"/>
        <v>10.084063249573957</v>
      </c>
    </row>
    <row r="18" spans="1:31" x14ac:dyDescent="0.35">
      <c r="A18">
        <f t="shared" si="0"/>
        <v>15</v>
      </c>
      <c r="B18">
        <v>10.346054055555477</v>
      </c>
      <c r="D18">
        <f t="shared" si="9"/>
        <v>15</v>
      </c>
      <c r="E18" t="e">
        <f t="shared" ca="1" si="1"/>
        <v>#NAME?</v>
      </c>
      <c r="F18" t="e">
        <f t="shared" ca="1" si="12"/>
        <v>#NAME?</v>
      </c>
      <c r="I18" t="s">
        <v>369</v>
      </c>
      <c r="J18" s="108">
        <f ca="1">COUNT(E6:E106)</f>
        <v>0</v>
      </c>
      <c r="L18" s="13">
        <f>L17+1</f>
        <v>3</v>
      </c>
      <c r="M18" s="13" t="e">
        <f ca="1"/>
        <v>#NAME?</v>
      </c>
      <c r="P18" t="e">
        <f ca="1"/>
        <v>#NAME?</v>
      </c>
      <c r="Q18" s="24" t="e">
        <f ca="1"/>
        <v>#NAME?</v>
      </c>
      <c r="V18">
        <f t="shared" si="2"/>
        <v>15</v>
      </c>
      <c r="W18" t="e">
        <f t="shared" ca="1" si="3"/>
        <v>#NAME?</v>
      </c>
      <c r="X18" t="e">
        <f t="shared" ca="1" si="4"/>
        <v>#NAME?</v>
      </c>
      <c r="Y18" t="e">
        <f t="shared" ca="1" si="5"/>
        <v>#NAME?</v>
      </c>
      <c r="Z18" t="e">
        <f t="shared" ca="1" si="6"/>
        <v>#NAME?</v>
      </c>
      <c r="AA18" t="e">
        <f t="shared" ca="1" si="7"/>
        <v>#NAME?</v>
      </c>
      <c r="AB18" t="e">
        <f t="shared" ca="1" si="8"/>
        <v>#NAME?</v>
      </c>
      <c r="AD18">
        <f t="shared" si="10"/>
        <v>15</v>
      </c>
      <c r="AE18">
        <f t="shared" si="11"/>
        <v>10.346054055555477</v>
      </c>
    </row>
    <row r="19" spans="1:31" x14ac:dyDescent="0.35">
      <c r="A19">
        <f t="shared" si="0"/>
        <v>16</v>
      </c>
      <c r="B19">
        <v>9.6922029393025948</v>
      </c>
      <c r="D19">
        <f t="shared" si="9"/>
        <v>16</v>
      </c>
      <c r="E19" t="e">
        <f t="shared" ca="1" si="1"/>
        <v>#NAME?</v>
      </c>
      <c r="F19" t="e">
        <f t="shared" ca="1" si="12"/>
        <v>#NAME?</v>
      </c>
      <c r="L19" s="4">
        <f>L18+1</f>
        <v>4</v>
      </c>
      <c r="M19" s="4" t="e">
        <f ca="1"/>
        <v>#NAME?</v>
      </c>
      <c r="P19" t="e">
        <f ca="1"/>
        <v>#NAME?</v>
      </c>
      <c r="Q19" s="24" t="e">
        <f ca="1"/>
        <v>#NAME?</v>
      </c>
      <c r="V19">
        <f t="shared" si="2"/>
        <v>16</v>
      </c>
      <c r="W19" t="e">
        <f t="shared" ca="1" si="3"/>
        <v>#NAME?</v>
      </c>
      <c r="X19" t="e">
        <f t="shared" ca="1" si="4"/>
        <v>#NAME?</v>
      </c>
      <c r="Y19" t="e">
        <f t="shared" ca="1" si="5"/>
        <v>#NAME?</v>
      </c>
      <c r="Z19" t="e">
        <f t="shared" ca="1" si="6"/>
        <v>#NAME?</v>
      </c>
      <c r="AA19" t="e">
        <f t="shared" ca="1" si="7"/>
        <v>#NAME?</v>
      </c>
      <c r="AB19" t="e">
        <f t="shared" ca="1" si="8"/>
        <v>#NAME?</v>
      </c>
      <c r="AD19">
        <f t="shared" si="10"/>
        <v>16</v>
      </c>
      <c r="AE19">
        <f t="shared" si="11"/>
        <v>9.6922029393025948</v>
      </c>
    </row>
    <row r="20" spans="1:31" x14ac:dyDescent="0.35">
      <c r="A20">
        <f t="shared" si="0"/>
        <v>17</v>
      </c>
      <c r="B20">
        <v>11.205574770625867</v>
      </c>
      <c r="D20">
        <f t="shared" si="9"/>
        <v>17</v>
      </c>
      <c r="E20" t="e">
        <f t="shared" ca="1" si="1"/>
        <v>#NAME?</v>
      </c>
      <c r="F20" t="e">
        <f t="shared" ca="1" si="12"/>
        <v>#NAME?</v>
      </c>
      <c r="I20" t="s">
        <v>370</v>
      </c>
      <c r="J20" s="151" t="e">
        <f ca="1">-(J23-2*(J10+J11+2))/2</f>
        <v>#NAME?</v>
      </c>
      <c r="P20" t="e">
        <f ca="1"/>
        <v>#NAME?</v>
      </c>
      <c r="Q20" s="24" t="e">
        <f ca="1"/>
        <v>#NAME?</v>
      </c>
      <c r="V20">
        <f t="shared" si="2"/>
        <v>17</v>
      </c>
      <c r="W20" t="e">
        <f t="shared" ca="1" si="3"/>
        <v>#NAME?</v>
      </c>
      <c r="X20" t="e">
        <f t="shared" ca="1" si="4"/>
        <v>#NAME?</v>
      </c>
      <c r="Y20" t="e">
        <f t="shared" ca="1" si="5"/>
        <v>#NAME?</v>
      </c>
      <c r="Z20" t="e">
        <f t="shared" ca="1" si="6"/>
        <v>#NAME?</v>
      </c>
      <c r="AA20" t="e">
        <f t="shared" ca="1" si="7"/>
        <v>#NAME?</v>
      </c>
      <c r="AB20" t="e">
        <f t="shared" ca="1" si="8"/>
        <v>#NAME?</v>
      </c>
      <c r="AD20">
        <f t="shared" si="10"/>
        <v>17</v>
      </c>
      <c r="AE20">
        <f t="shared" si="11"/>
        <v>11.205574770625867</v>
      </c>
    </row>
    <row r="21" spans="1:31" x14ac:dyDescent="0.35">
      <c r="A21">
        <f t="shared" si="0"/>
        <v>18</v>
      </c>
      <c r="B21">
        <v>12.652116416514845</v>
      </c>
      <c r="D21">
        <f t="shared" si="9"/>
        <v>18</v>
      </c>
      <c r="E21" t="e">
        <f t="shared" ca="1" si="1"/>
        <v>#NAME?</v>
      </c>
      <c r="F21" t="e">
        <f t="shared" ca="1" si="12"/>
        <v>#NAME?</v>
      </c>
      <c r="I21" t="s">
        <v>145</v>
      </c>
      <c r="J21" s="107" t="e">
        <f ca="1">J18*LN(J8/J18)+2*(J10+J11+2)</f>
        <v>#NAME?</v>
      </c>
      <c r="P21" t="e">
        <f ca="1"/>
        <v>#NAME?</v>
      </c>
      <c r="Q21" s="34" t="e">
        <f ca="1"/>
        <v>#NAME?</v>
      </c>
      <c r="V21">
        <f t="shared" si="2"/>
        <v>18</v>
      </c>
      <c r="W21" t="e">
        <f t="shared" ca="1" si="3"/>
        <v>#NAME?</v>
      </c>
      <c r="X21" t="e">
        <f t="shared" ca="1" si="4"/>
        <v>#NAME?</v>
      </c>
      <c r="Y21" t="e">
        <f t="shared" ca="1" si="5"/>
        <v>#NAME?</v>
      </c>
      <c r="Z21" t="e">
        <f t="shared" ca="1" si="6"/>
        <v>#NAME?</v>
      </c>
      <c r="AA21" t="e">
        <f t="shared" ca="1" si="7"/>
        <v>#NAME?</v>
      </c>
      <c r="AB21" t="e">
        <f t="shared" ca="1" si="8"/>
        <v>#NAME?</v>
      </c>
      <c r="AD21">
        <f t="shared" si="10"/>
        <v>18</v>
      </c>
      <c r="AE21">
        <f t="shared" si="11"/>
        <v>12.652116416514845</v>
      </c>
    </row>
    <row r="22" spans="1:31" x14ac:dyDescent="0.35">
      <c r="A22">
        <f t="shared" si="0"/>
        <v>19</v>
      </c>
      <c r="B22">
        <v>13.406329168635398</v>
      </c>
      <c r="D22">
        <f t="shared" si="9"/>
        <v>19</v>
      </c>
      <c r="E22" t="e">
        <f t="shared" ca="1" si="1"/>
        <v>#NAME?</v>
      </c>
      <c r="F22" t="e">
        <f t="shared" ca="1" si="12"/>
        <v>#NAME?</v>
      </c>
      <c r="I22" t="s">
        <v>371</v>
      </c>
      <c r="J22" s="107" t="e">
        <f ca="1">J18*LN(J8/J18)+LN(J18)*(J10+J11+2)</f>
        <v>#NAME?</v>
      </c>
      <c r="V22">
        <f t="shared" si="2"/>
        <v>19</v>
      </c>
      <c r="W22" t="e">
        <f t="shared" ca="1" si="3"/>
        <v>#NAME?</v>
      </c>
      <c r="X22" t="e">
        <f t="shared" ca="1" si="4"/>
        <v>#NAME?</v>
      </c>
      <c r="Y22" t="e">
        <f t="shared" ca="1" si="5"/>
        <v>#NAME?</v>
      </c>
      <c r="Z22" t="e">
        <f t="shared" ca="1" si="6"/>
        <v>#NAME?</v>
      </c>
      <c r="AA22" t="e">
        <f t="shared" ca="1" si="7"/>
        <v>#NAME?</v>
      </c>
      <c r="AB22" t="e">
        <f t="shared" ca="1" si="8"/>
        <v>#NAME?</v>
      </c>
      <c r="AD22">
        <f t="shared" si="10"/>
        <v>19</v>
      </c>
      <c r="AE22">
        <f t="shared" si="11"/>
        <v>13.406329168635398</v>
      </c>
    </row>
    <row r="23" spans="1:31" x14ac:dyDescent="0.35">
      <c r="A23">
        <f t="shared" si="0"/>
        <v>20</v>
      </c>
      <c r="B23">
        <v>12.231217930183975</v>
      </c>
      <c r="D23">
        <f t="shared" si="9"/>
        <v>20</v>
      </c>
      <c r="E23" t="e">
        <f t="shared" ca="1" si="1"/>
        <v>#NAME?</v>
      </c>
      <c r="F23" t="e">
        <f t="shared" ca="1" si="12"/>
        <v>#NAME?</v>
      </c>
      <c r="I23" t="s">
        <v>372</v>
      </c>
      <c r="J23" s="107" t="e">
        <f ca="1">J18*(1+LN(2*PI()))+J21</f>
        <v>#NAME?</v>
      </c>
      <c r="V23">
        <f t="shared" si="2"/>
        <v>20</v>
      </c>
      <c r="W23" t="e">
        <f t="shared" ca="1" si="3"/>
        <v>#NAME?</v>
      </c>
      <c r="X23" t="e">
        <f t="shared" ca="1" si="4"/>
        <v>#NAME?</v>
      </c>
      <c r="Y23" t="e">
        <f t="shared" ca="1" si="5"/>
        <v>#NAME?</v>
      </c>
      <c r="Z23" t="e">
        <f t="shared" ca="1" si="6"/>
        <v>#NAME?</v>
      </c>
      <c r="AA23" t="e">
        <f t="shared" ca="1" si="7"/>
        <v>#NAME?</v>
      </c>
      <c r="AB23" t="e">
        <f t="shared" ca="1" si="8"/>
        <v>#NAME?</v>
      </c>
      <c r="AD23">
        <f t="shared" si="10"/>
        <v>20</v>
      </c>
      <c r="AE23">
        <f t="shared" si="11"/>
        <v>12.231217930183975</v>
      </c>
    </row>
    <row r="24" spans="1:31" x14ac:dyDescent="0.35">
      <c r="A24">
        <f t="shared" si="0"/>
        <v>21</v>
      </c>
      <c r="B24">
        <v>12.116974455959237</v>
      </c>
      <c r="D24">
        <f t="shared" si="9"/>
        <v>21</v>
      </c>
      <c r="E24" t="e">
        <f t="shared" ca="1" si="1"/>
        <v>#NAME?</v>
      </c>
      <c r="F24" t="e">
        <f t="shared" ca="1" si="12"/>
        <v>#NAME?</v>
      </c>
      <c r="I24" t="s">
        <v>373</v>
      </c>
      <c r="J24" s="108" t="e">
        <f ca="1">J18*(1+LN(2*PI()))+J22</f>
        <v>#NAME?</v>
      </c>
      <c r="V24">
        <f t="shared" si="2"/>
        <v>21</v>
      </c>
      <c r="W24" t="e">
        <f t="shared" ca="1" si="3"/>
        <v>#NAME?</v>
      </c>
      <c r="X24" t="e">
        <f t="shared" ca="1" si="4"/>
        <v>#NAME?</v>
      </c>
      <c r="Y24" t="e">
        <f t="shared" ca="1" si="5"/>
        <v>#NAME?</v>
      </c>
      <c r="Z24" t="e">
        <f t="shared" ca="1" si="6"/>
        <v>#NAME?</v>
      </c>
      <c r="AA24" t="e">
        <f t="shared" ca="1" si="7"/>
        <v>#NAME?</v>
      </c>
      <c r="AB24" t="e">
        <f t="shared" ca="1" si="8"/>
        <v>#NAME?</v>
      </c>
      <c r="AD24">
        <f t="shared" si="10"/>
        <v>21</v>
      </c>
      <c r="AE24">
        <f t="shared" si="11"/>
        <v>12.116974455959237</v>
      </c>
    </row>
    <row r="25" spans="1:31" x14ac:dyDescent="0.35">
      <c r="A25">
        <f t="shared" si="0"/>
        <v>22</v>
      </c>
      <c r="B25">
        <v>10.45988889436091</v>
      </c>
      <c r="D25">
        <f t="shared" si="9"/>
        <v>22</v>
      </c>
      <c r="E25" t="e">
        <f t="shared" ca="1" si="1"/>
        <v>#NAME?</v>
      </c>
      <c r="F25" t="e">
        <f t="shared" ca="1" si="12"/>
        <v>#NAME?</v>
      </c>
      <c r="V25">
        <f t="shared" si="2"/>
        <v>22</v>
      </c>
      <c r="W25" t="e">
        <f t="shared" ca="1" si="3"/>
        <v>#NAME?</v>
      </c>
      <c r="X25" t="e">
        <f t="shared" ca="1" si="4"/>
        <v>#NAME?</v>
      </c>
      <c r="Y25" t="e">
        <f t="shared" ca="1" si="5"/>
        <v>#NAME?</v>
      </c>
      <c r="Z25" t="e">
        <f t="shared" ca="1" si="6"/>
        <v>#NAME?</v>
      </c>
      <c r="AA25" t="e">
        <f t="shared" ca="1" si="7"/>
        <v>#NAME?</v>
      </c>
      <c r="AB25" t="e">
        <f t="shared" ca="1" si="8"/>
        <v>#NAME?</v>
      </c>
      <c r="AD25">
        <f t="shared" si="10"/>
        <v>22</v>
      </c>
      <c r="AE25">
        <f t="shared" si="11"/>
        <v>10.45988889436091</v>
      </c>
    </row>
    <row r="26" spans="1:31" x14ac:dyDescent="0.35">
      <c r="A26">
        <f t="shared" si="0"/>
        <v>23</v>
      </c>
      <c r="B26">
        <v>9.4464576710812267</v>
      </c>
      <c r="D26">
        <f t="shared" si="9"/>
        <v>23</v>
      </c>
      <c r="E26" t="e">
        <f t="shared" ca="1" si="1"/>
        <v>#NAME?</v>
      </c>
      <c r="F26" t="e">
        <f t="shared" ca="1" si="12"/>
        <v>#NAME?</v>
      </c>
      <c r="V26">
        <f t="shared" si="2"/>
        <v>23</v>
      </c>
      <c r="W26" t="e">
        <f t="shared" ca="1" si="3"/>
        <v>#NAME?</v>
      </c>
      <c r="X26" t="e">
        <f t="shared" ca="1" si="4"/>
        <v>#NAME?</v>
      </c>
      <c r="Y26" t="e">
        <f t="shared" ca="1" si="5"/>
        <v>#NAME?</v>
      </c>
      <c r="Z26" t="e">
        <f t="shared" ca="1" si="6"/>
        <v>#NAME?</v>
      </c>
      <c r="AA26" t="e">
        <f t="shared" ca="1" si="7"/>
        <v>#NAME?</v>
      </c>
      <c r="AB26" t="e">
        <f t="shared" ca="1" si="8"/>
        <v>#NAME?</v>
      </c>
      <c r="AD26">
        <f t="shared" si="10"/>
        <v>23</v>
      </c>
      <c r="AE26">
        <f t="shared" si="11"/>
        <v>9.4464576710812267</v>
      </c>
    </row>
    <row r="27" spans="1:31" x14ac:dyDescent="0.35">
      <c r="A27">
        <f t="shared" si="0"/>
        <v>24</v>
      </c>
      <c r="B27">
        <v>11.181030434794321</v>
      </c>
      <c r="D27">
        <f t="shared" si="9"/>
        <v>24</v>
      </c>
      <c r="E27" t="e">
        <f t="shared" ca="1" si="1"/>
        <v>#NAME?</v>
      </c>
      <c r="F27" t="e">
        <f t="shared" ca="1" si="12"/>
        <v>#NAME?</v>
      </c>
      <c r="V27">
        <f t="shared" si="2"/>
        <v>24</v>
      </c>
      <c r="W27" t="e">
        <f t="shared" ca="1" si="3"/>
        <v>#NAME?</v>
      </c>
      <c r="X27" t="e">
        <f t="shared" ca="1" si="4"/>
        <v>#NAME?</v>
      </c>
      <c r="Y27" t="e">
        <f t="shared" ca="1" si="5"/>
        <v>#NAME?</v>
      </c>
      <c r="Z27" t="e">
        <f t="shared" ca="1" si="6"/>
        <v>#NAME?</v>
      </c>
      <c r="AA27" t="e">
        <f t="shared" ca="1" si="7"/>
        <v>#NAME?</v>
      </c>
      <c r="AB27" t="e">
        <f t="shared" ca="1" si="8"/>
        <v>#NAME?</v>
      </c>
      <c r="AD27">
        <f t="shared" si="10"/>
        <v>24</v>
      </c>
      <c r="AE27">
        <f t="shared" si="11"/>
        <v>11.181030434794321</v>
      </c>
    </row>
    <row r="28" spans="1:31" x14ac:dyDescent="0.35">
      <c r="A28">
        <f t="shared" si="0"/>
        <v>25</v>
      </c>
      <c r="B28">
        <v>7.5853602163456753</v>
      </c>
      <c r="D28">
        <f t="shared" si="9"/>
        <v>25</v>
      </c>
      <c r="E28" t="e">
        <f t="shared" ca="1" si="1"/>
        <v>#NAME?</v>
      </c>
      <c r="F28" t="e">
        <f t="shared" ca="1" si="12"/>
        <v>#NAME?</v>
      </c>
      <c r="V28">
        <f t="shared" si="2"/>
        <v>25</v>
      </c>
      <c r="W28" t="e">
        <f t="shared" ca="1" si="3"/>
        <v>#NAME?</v>
      </c>
      <c r="X28" t="e">
        <f t="shared" ca="1" si="4"/>
        <v>#NAME?</v>
      </c>
      <c r="Y28" t="e">
        <f t="shared" ca="1" si="5"/>
        <v>#NAME?</v>
      </c>
      <c r="Z28" t="e">
        <f t="shared" ca="1" si="6"/>
        <v>#NAME?</v>
      </c>
      <c r="AA28" t="e">
        <f t="shared" ca="1" si="7"/>
        <v>#NAME?</v>
      </c>
      <c r="AB28" t="e">
        <f t="shared" ca="1" si="8"/>
        <v>#NAME?</v>
      </c>
      <c r="AD28">
        <f t="shared" si="10"/>
        <v>25</v>
      </c>
      <c r="AE28">
        <f t="shared" si="11"/>
        <v>7.5853602163456753</v>
      </c>
    </row>
    <row r="29" spans="1:31" x14ac:dyDescent="0.35">
      <c r="A29">
        <f t="shared" si="0"/>
        <v>26</v>
      </c>
      <c r="B29">
        <v>10.978531861411668</v>
      </c>
      <c r="D29">
        <f t="shared" si="9"/>
        <v>26</v>
      </c>
      <c r="E29" t="e">
        <f t="shared" ca="1" si="1"/>
        <v>#NAME?</v>
      </c>
      <c r="F29" t="e">
        <f t="shared" ca="1" si="12"/>
        <v>#NAME?</v>
      </c>
      <c r="V29">
        <f t="shared" si="2"/>
        <v>26</v>
      </c>
      <c r="W29" t="e">
        <f t="shared" ca="1" si="3"/>
        <v>#NAME?</v>
      </c>
      <c r="X29" t="e">
        <f t="shared" ca="1" si="4"/>
        <v>#NAME?</v>
      </c>
      <c r="Y29" t="e">
        <f t="shared" ca="1" si="5"/>
        <v>#NAME?</v>
      </c>
      <c r="Z29" t="e">
        <f t="shared" ca="1" si="6"/>
        <v>#NAME?</v>
      </c>
      <c r="AA29" t="e">
        <f t="shared" ca="1" si="7"/>
        <v>#NAME?</v>
      </c>
      <c r="AB29" t="e">
        <f t="shared" ca="1" si="8"/>
        <v>#NAME?</v>
      </c>
      <c r="AD29">
        <f t="shared" si="10"/>
        <v>26</v>
      </c>
      <c r="AE29">
        <f t="shared" si="11"/>
        <v>10.978531861411668</v>
      </c>
    </row>
    <row r="30" spans="1:31" x14ac:dyDescent="0.35">
      <c r="A30">
        <f t="shared" si="0"/>
        <v>27</v>
      </c>
      <c r="B30">
        <v>10.550225208625736</v>
      </c>
      <c r="D30">
        <f t="shared" si="9"/>
        <v>27</v>
      </c>
      <c r="E30" t="e">
        <f t="shared" ca="1" si="1"/>
        <v>#NAME?</v>
      </c>
      <c r="F30" t="e">
        <f t="shared" ca="1" si="12"/>
        <v>#NAME?</v>
      </c>
      <c r="V30">
        <f t="shared" si="2"/>
        <v>27</v>
      </c>
      <c r="W30" t="e">
        <f t="shared" ca="1" si="3"/>
        <v>#NAME?</v>
      </c>
      <c r="X30" t="e">
        <f t="shared" ca="1" si="4"/>
        <v>#NAME?</v>
      </c>
      <c r="Y30" t="e">
        <f t="shared" ca="1" si="5"/>
        <v>#NAME?</v>
      </c>
      <c r="Z30" t="e">
        <f t="shared" ca="1" si="6"/>
        <v>#NAME?</v>
      </c>
      <c r="AA30" t="e">
        <f t="shared" ca="1" si="7"/>
        <v>#NAME?</v>
      </c>
      <c r="AB30" t="e">
        <f t="shared" ca="1" si="8"/>
        <v>#NAME?</v>
      </c>
      <c r="AD30">
        <f t="shared" si="10"/>
        <v>27</v>
      </c>
      <c r="AE30">
        <f t="shared" si="11"/>
        <v>10.550225208625736</v>
      </c>
    </row>
    <row r="31" spans="1:31" x14ac:dyDescent="0.35">
      <c r="A31">
        <f t="shared" si="0"/>
        <v>28</v>
      </c>
      <c r="B31">
        <v>11.227461431044995</v>
      </c>
      <c r="D31">
        <f t="shared" si="9"/>
        <v>28</v>
      </c>
      <c r="E31" t="e">
        <f t="shared" ca="1" si="1"/>
        <v>#NAME?</v>
      </c>
      <c r="F31" t="e">
        <f t="shared" ca="1" si="12"/>
        <v>#NAME?</v>
      </c>
      <c r="V31">
        <f t="shared" si="2"/>
        <v>28</v>
      </c>
      <c r="W31" t="e">
        <f t="shared" ca="1" si="3"/>
        <v>#NAME?</v>
      </c>
      <c r="X31" t="e">
        <f t="shared" ca="1" si="4"/>
        <v>#NAME?</v>
      </c>
      <c r="Y31" t="e">
        <f t="shared" ca="1" si="5"/>
        <v>#NAME?</v>
      </c>
      <c r="Z31" t="e">
        <f t="shared" ca="1" si="6"/>
        <v>#NAME?</v>
      </c>
      <c r="AA31" t="e">
        <f t="shared" ca="1" si="7"/>
        <v>#NAME?</v>
      </c>
      <c r="AB31" t="e">
        <f t="shared" ca="1" si="8"/>
        <v>#NAME?</v>
      </c>
      <c r="AD31">
        <f t="shared" si="10"/>
        <v>28</v>
      </c>
      <c r="AE31">
        <f t="shared" si="11"/>
        <v>11.227461431044995</v>
      </c>
    </row>
    <row r="32" spans="1:31" x14ac:dyDescent="0.35">
      <c r="A32">
        <f t="shared" si="0"/>
        <v>29</v>
      </c>
      <c r="B32">
        <v>9.0761713255316874</v>
      </c>
      <c r="D32">
        <f t="shared" si="9"/>
        <v>29</v>
      </c>
      <c r="E32" t="e">
        <f t="shared" ca="1" si="1"/>
        <v>#NAME?</v>
      </c>
      <c r="F32" t="e">
        <f t="shared" ca="1" si="12"/>
        <v>#NAME?</v>
      </c>
      <c r="V32">
        <f t="shared" si="2"/>
        <v>29</v>
      </c>
      <c r="W32" t="e">
        <f t="shared" ca="1" si="3"/>
        <v>#NAME?</v>
      </c>
      <c r="X32" t="e">
        <f t="shared" ca="1" si="4"/>
        <v>#NAME?</v>
      </c>
      <c r="Y32" t="e">
        <f t="shared" ca="1" si="5"/>
        <v>#NAME?</v>
      </c>
      <c r="Z32" t="e">
        <f t="shared" ca="1" si="6"/>
        <v>#NAME?</v>
      </c>
      <c r="AA32" t="e">
        <f t="shared" ca="1" si="7"/>
        <v>#NAME?</v>
      </c>
      <c r="AB32" t="e">
        <f t="shared" ca="1" si="8"/>
        <v>#NAME?</v>
      </c>
      <c r="AD32">
        <f t="shared" si="10"/>
        <v>29</v>
      </c>
      <c r="AE32">
        <f t="shared" si="11"/>
        <v>9.0761713255316874</v>
      </c>
    </row>
    <row r="33" spans="1:31" x14ac:dyDescent="0.35">
      <c r="A33">
        <f t="shared" si="0"/>
        <v>30</v>
      </c>
      <c r="B33">
        <v>9.9094956509085375</v>
      </c>
      <c r="D33">
        <f t="shared" si="9"/>
        <v>30</v>
      </c>
      <c r="E33" t="e">
        <f t="shared" ca="1" si="1"/>
        <v>#NAME?</v>
      </c>
      <c r="F33" t="e">
        <f t="shared" ca="1" si="12"/>
        <v>#NAME?</v>
      </c>
      <c r="V33">
        <f t="shared" si="2"/>
        <v>30</v>
      </c>
      <c r="W33" t="e">
        <f t="shared" ca="1" si="3"/>
        <v>#NAME?</v>
      </c>
      <c r="X33" t="e">
        <f t="shared" ca="1" si="4"/>
        <v>#NAME?</v>
      </c>
      <c r="Y33" t="e">
        <f t="shared" ca="1" si="5"/>
        <v>#NAME?</v>
      </c>
      <c r="Z33" t="e">
        <f t="shared" ca="1" si="6"/>
        <v>#NAME?</v>
      </c>
      <c r="AA33" t="e">
        <f t="shared" ca="1" si="7"/>
        <v>#NAME?</v>
      </c>
      <c r="AB33" t="e">
        <f t="shared" ca="1" si="8"/>
        <v>#NAME?</v>
      </c>
      <c r="AD33">
        <f t="shared" si="10"/>
        <v>30</v>
      </c>
      <c r="AE33">
        <f t="shared" si="11"/>
        <v>9.9094956509085375</v>
      </c>
    </row>
    <row r="34" spans="1:31" x14ac:dyDescent="0.35">
      <c r="A34">
        <f t="shared" si="0"/>
        <v>31</v>
      </c>
      <c r="B34">
        <v>11.683635570981139</v>
      </c>
      <c r="D34">
        <f t="shared" si="9"/>
        <v>31</v>
      </c>
      <c r="E34" t="e">
        <f t="shared" ca="1" si="1"/>
        <v>#NAME?</v>
      </c>
      <c r="F34" t="e">
        <f t="shared" ca="1" si="12"/>
        <v>#NAME?</v>
      </c>
      <c r="V34">
        <f t="shared" si="2"/>
        <v>31</v>
      </c>
      <c r="W34" t="e">
        <f t="shared" ca="1" si="3"/>
        <v>#NAME?</v>
      </c>
      <c r="X34" t="e">
        <f t="shared" ca="1" si="4"/>
        <v>#NAME?</v>
      </c>
      <c r="Y34" t="e">
        <f t="shared" ca="1" si="5"/>
        <v>#NAME?</v>
      </c>
      <c r="Z34" t="e">
        <f t="shared" ca="1" si="6"/>
        <v>#NAME?</v>
      </c>
      <c r="AA34" t="e">
        <f t="shared" ca="1" si="7"/>
        <v>#NAME?</v>
      </c>
      <c r="AB34" t="e">
        <f t="shared" ca="1" si="8"/>
        <v>#NAME?</v>
      </c>
      <c r="AD34">
        <f t="shared" si="10"/>
        <v>31</v>
      </c>
      <c r="AE34">
        <f t="shared" si="11"/>
        <v>11.683635570981139</v>
      </c>
    </row>
    <row r="35" spans="1:31" x14ac:dyDescent="0.35">
      <c r="A35">
        <f t="shared" si="0"/>
        <v>32</v>
      </c>
      <c r="B35">
        <v>9.3891181090456559</v>
      </c>
      <c r="D35">
        <f t="shared" si="9"/>
        <v>32</v>
      </c>
      <c r="E35" t="e">
        <f t="shared" ca="1" si="1"/>
        <v>#NAME?</v>
      </c>
      <c r="F35" t="e">
        <f t="shared" ca="1" si="12"/>
        <v>#NAME?</v>
      </c>
      <c r="V35">
        <f t="shared" si="2"/>
        <v>32</v>
      </c>
      <c r="W35" t="e">
        <f t="shared" ca="1" si="3"/>
        <v>#NAME?</v>
      </c>
      <c r="X35" t="e">
        <f t="shared" ca="1" si="4"/>
        <v>#NAME?</v>
      </c>
      <c r="Y35" t="e">
        <f t="shared" ca="1" si="5"/>
        <v>#NAME?</v>
      </c>
      <c r="Z35" t="e">
        <f t="shared" ca="1" si="6"/>
        <v>#NAME?</v>
      </c>
      <c r="AA35" t="e">
        <f t="shared" ca="1" si="7"/>
        <v>#NAME?</v>
      </c>
      <c r="AB35" t="e">
        <f t="shared" ca="1" si="8"/>
        <v>#NAME?</v>
      </c>
      <c r="AD35">
        <f t="shared" si="10"/>
        <v>32</v>
      </c>
      <c r="AE35">
        <f t="shared" si="11"/>
        <v>9.3891181090456559</v>
      </c>
    </row>
    <row r="36" spans="1:31" x14ac:dyDescent="0.35">
      <c r="A36">
        <f t="shared" si="0"/>
        <v>33</v>
      </c>
      <c r="B36">
        <v>11.280967352963561</v>
      </c>
      <c r="D36">
        <f t="shared" si="9"/>
        <v>33</v>
      </c>
      <c r="E36" t="e">
        <f t="shared" ca="1" si="1"/>
        <v>#NAME?</v>
      </c>
      <c r="F36" t="e">
        <f t="shared" ca="1" si="12"/>
        <v>#NAME?</v>
      </c>
      <c r="V36">
        <f t="shared" si="2"/>
        <v>33</v>
      </c>
      <c r="W36" t="e">
        <f t="shared" ca="1" si="3"/>
        <v>#NAME?</v>
      </c>
      <c r="X36" t="e">
        <f t="shared" ca="1" si="4"/>
        <v>#NAME?</v>
      </c>
      <c r="Y36" t="e">
        <f t="shared" ca="1" si="5"/>
        <v>#NAME?</v>
      </c>
      <c r="Z36" t="e">
        <f t="shared" ca="1" si="6"/>
        <v>#NAME?</v>
      </c>
      <c r="AA36" t="e">
        <f t="shared" ca="1" si="7"/>
        <v>#NAME?</v>
      </c>
      <c r="AB36" t="e">
        <f t="shared" ca="1" si="8"/>
        <v>#NAME?</v>
      </c>
      <c r="AD36">
        <f t="shared" si="10"/>
        <v>33</v>
      </c>
      <c r="AE36">
        <f t="shared" si="11"/>
        <v>11.280967352963561</v>
      </c>
    </row>
    <row r="37" spans="1:31" x14ac:dyDescent="0.35">
      <c r="A37">
        <f t="shared" si="0"/>
        <v>34</v>
      </c>
      <c r="B37">
        <v>9.0777000543373685</v>
      </c>
      <c r="D37">
        <f t="shared" si="9"/>
        <v>34</v>
      </c>
      <c r="E37" t="e">
        <f t="shared" ca="1" si="1"/>
        <v>#NAME?</v>
      </c>
      <c r="F37" t="e">
        <f t="shared" ca="1" si="12"/>
        <v>#NAME?</v>
      </c>
      <c r="V37">
        <f t="shared" si="2"/>
        <v>34</v>
      </c>
      <c r="W37" t="e">
        <f t="shared" ca="1" si="3"/>
        <v>#NAME?</v>
      </c>
      <c r="X37" t="e">
        <f t="shared" ca="1" si="4"/>
        <v>#NAME?</v>
      </c>
      <c r="Y37" t="e">
        <f t="shared" ca="1" si="5"/>
        <v>#NAME?</v>
      </c>
      <c r="Z37" t="e">
        <f t="shared" ca="1" si="6"/>
        <v>#NAME?</v>
      </c>
      <c r="AA37" t="e">
        <f t="shared" ca="1" si="7"/>
        <v>#NAME?</v>
      </c>
      <c r="AB37" t="e">
        <f t="shared" ca="1" si="8"/>
        <v>#NAME?</v>
      </c>
      <c r="AD37">
        <f t="shared" si="10"/>
        <v>34</v>
      </c>
      <c r="AE37">
        <f t="shared" si="11"/>
        <v>9.0777000543373685</v>
      </c>
    </row>
    <row r="38" spans="1:31" x14ac:dyDescent="0.35">
      <c r="A38">
        <f t="shared" si="0"/>
        <v>35</v>
      </c>
      <c r="B38">
        <v>9.4218520797101899</v>
      </c>
      <c r="D38">
        <f t="shared" si="9"/>
        <v>35</v>
      </c>
      <c r="E38" t="e">
        <f t="shared" ca="1" si="1"/>
        <v>#NAME?</v>
      </c>
      <c r="F38" t="e">
        <f t="shared" ca="1" si="12"/>
        <v>#NAME?</v>
      </c>
      <c r="V38">
        <f t="shared" si="2"/>
        <v>35</v>
      </c>
      <c r="W38" t="e">
        <f t="shared" ca="1" si="3"/>
        <v>#NAME?</v>
      </c>
      <c r="X38" t="e">
        <f t="shared" ca="1" si="4"/>
        <v>#NAME?</v>
      </c>
      <c r="Y38" t="e">
        <f t="shared" ca="1" si="5"/>
        <v>#NAME?</v>
      </c>
      <c r="Z38" t="e">
        <f t="shared" ca="1" si="6"/>
        <v>#NAME?</v>
      </c>
      <c r="AA38" t="e">
        <f t="shared" ca="1" si="7"/>
        <v>#NAME?</v>
      </c>
      <c r="AB38" t="e">
        <f t="shared" ca="1" si="8"/>
        <v>#NAME?</v>
      </c>
      <c r="AD38">
        <f t="shared" si="10"/>
        <v>35</v>
      </c>
      <c r="AE38">
        <f t="shared" si="11"/>
        <v>9.4218520797101899</v>
      </c>
    </row>
    <row r="39" spans="1:31" x14ac:dyDescent="0.35">
      <c r="A39">
        <f t="shared" si="0"/>
        <v>36</v>
      </c>
      <c r="B39">
        <v>10.768670766726222</v>
      </c>
      <c r="D39">
        <f t="shared" si="9"/>
        <v>36</v>
      </c>
      <c r="E39" t="e">
        <f t="shared" ca="1" si="1"/>
        <v>#NAME?</v>
      </c>
      <c r="F39" t="e">
        <f t="shared" ca="1" si="12"/>
        <v>#NAME?</v>
      </c>
      <c r="V39">
        <f t="shared" si="2"/>
        <v>36</v>
      </c>
      <c r="W39" t="e">
        <f t="shared" ca="1" si="3"/>
        <v>#NAME?</v>
      </c>
      <c r="X39" t="e">
        <f t="shared" ca="1" si="4"/>
        <v>#NAME?</v>
      </c>
      <c r="Y39" t="e">
        <f t="shared" ca="1" si="5"/>
        <v>#NAME?</v>
      </c>
      <c r="Z39" t="e">
        <f t="shared" ca="1" si="6"/>
        <v>#NAME?</v>
      </c>
      <c r="AA39" t="e">
        <f t="shared" ca="1" si="7"/>
        <v>#NAME?</v>
      </c>
      <c r="AB39" t="e">
        <f t="shared" ca="1" si="8"/>
        <v>#NAME?</v>
      </c>
      <c r="AD39">
        <f t="shared" si="10"/>
        <v>36</v>
      </c>
      <c r="AE39">
        <f t="shared" si="11"/>
        <v>10.768670766726222</v>
      </c>
    </row>
    <row r="40" spans="1:31" x14ac:dyDescent="0.35">
      <c r="A40">
        <f t="shared" si="0"/>
        <v>37</v>
      </c>
      <c r="B40">
        <v>10.044686426220611</v>
      </c>
      <c r="D40">
        <f t="shared" si="9"/>
        <v>37</v>
      </c>
      <c r="E40" t="e">
        <f t="shared" ca="1" si="1"/>
        <v>#NAME?</v>
      </c>
      <c r="F40" t="e">
        <f t="shared" ca="1" si="12"/>
        <v>#NAME?</v>
      </c>
      <c r="V40">
        <f t="shared" si="2"/>
        <v>37</v>
      </c>
      <c r="W40" t="e">
        <f t="shared" ca="1" si="3"/>
        <v>#NAME?</v>
      </c>
      <c r="X40" t="e">
        <f t="shared" ca="1" si="4"/>
        <v>#NAME?</v>
      </c>
      <c r="Y40" t="e">
        <f t="shared" ca="1" si="5"/>
        <v>#NAME?</v>
      </c>
      <c r="Z40" t="e">
        <f t="shared" ca="1" si="6"/>
        <v>#NAME?</v>
      </c>
      <c r="AA40" t="e">
        <f t="shared" ca="1" si="7"/>
        <v>#NAME?</v>
      </c>
      <c r="AB40" t="e">
        <f t="shared" ca="1" si="8"/>
        <v>#NAME?</v>
      </c>
      <c r="AD40">
        <f t="shared" si="10"/>
        <v>37</v>
      </c>
      <c r="AE40">
        <f t="shared" si="11"/>
        <v>10.044686426220611</v>
      </c>
    </row>
    <row r="41" spans="1:31" x14ac:dyDescent="0.35">
      <c r="A41">
        <f t="shared" si="0"/>
        <v>38</v>
      </c>
      <c r="B41">
        <v>9.5026475408720934</v>
      </c>
      <c r="D41">
        <f t="shared" si="9"/>
        <v>38</v>
      </c>
      <c r="E41" t="e">
        <f t="shared" ca="1" si="1"/>
        <v>#NAME?</v>
      </c>
      <c r="F41" t="e">
        <f t="shared" ca="1" si="12"/>
        <v>#NAME?</v>
      </c>
      <c r="V41">
        <f t="shared" si="2"/>
        <v>38</v>
      </c>
      <c r="W41" t="e">
        <f t="shared" ca="1" si="3"/>
        <v>#NAME?</v>
      </c>
      <c r="X41" t="e">
        <f t="shared" ca="1" si="4"/>
        <v>#NAME?</v>
      </c>
      <c r="Y41" t="e">
        <f t="shared" ca="1" si="5"/>
        <v>#NAME?</v>
      </c>
      <c r="Z41" t="e">
        <f t="shared" ca="1" si="6"/>
        <v>#NAME?</v>
      </c>
      <c r="AA41" t="e">
        <f t="shared" ca="1" si="7"/>
        <v>#NAME?</v>
      </c>
      <c r="AB41" t="e">
        <f t="shared" ca="1" si="8"/>
        <v>#NAME?</v>
      </c>
      <c r="AD41">
        <f t="shared" si="10"/>
        <v>38</v>
      </c>
      <c r="AE41">
        <f t="shared" si="11"/>
        <v>9.5026475408720934</v>
      </c>
    </row>
    <row r="42" spans="1:31" x14ac:dyDescent="0.35">
      <c r="A42">
        <f t="shared" si="0"/>
        <v>39</v>
      </c>
      <c r="B42">
        <v>12.016635145209889</v>
      </c>
      <c r="D42">
        <f t="shared" si="9"/>
        <v>39</v>
      </c>
      <c r="E42" t="e">
        <f t="shared" ca="1" si="1"/>
        <v>#NAME?</v>
      </c>
      <c r="F42" t="e">
        <f t="shared" ca="1" si="12"/>
        <v>#NAME?</v>
      </c>
      <c r="V42">
        <f t="shared" si="2"/>
        <v>39</v>
      </c>
      <c r="W42" t="e">
        <f t="shared" ca="1" si="3"/>
        <v>#NAME?</v>
      </c>
      <c r="X42" t="e">
        <f t="shared" ca="1" si="4"/>
        <v>#NAME?</v>
      </c>
      <c r="Y42" t="e">
        <f t="shared" ca="1" si="5"/>
        <v>#NAME?</v>
      </c>
      <c r="Z42" t="e">
        <f t="shared" ca="1" si="6"/>
        <v>#NAME?</v>
      </c>
      <c r="AA42" t="e">
        <f t="shared" ca="1" si="7"/>
        <v>#NAME?</v>
      </c>
      <c r="AB42" t="e">
        <f t="shared" ca="1" si="8"/>
        <v>#NAME?</v>
      </c>
      <c r="AD42">
        <f t="shared" si="10"/>
        <v>39</v>
      </c>
      <c r="AE42">
        <f t="shared" si="11"/>
        <v>12.016635145209889</v>
      </c>
    </row>
    <row r="43" spans="1:31" x14ac:dyDescent="0.35">
      <c r="A43">
        <f t="shared" si="0"/>
        <v>40</v>
      </c>
      <c r="B43">
        <v>9.6075824244635548</v>
      </c>
      <c r="D43">
        <f t="shared" si="9"/>
        <v>40</v>
      </c>
      <c r="E43" t="e">
        <f t="shared" ca="1" si="1"/>
        <v>#NAME?</v>
      </c>
      <c r="F43" t="e">
        <f t="shared" ca="1" si="12"/>
        <v>#NAME?</v>
      </c>
      <c r="V43">
        <f t="shared" si="2"/>
        <v>40</v>
      </c>
      <c r="W43" t="e">
        <f t="shared" ca="1" si="3"/>
        <v>#NAME?</v>
      </c>
      <c r="X43" t="e">
        <f t="shared" ca="1" si="4"/>
        <v>#NAME?</v>
      </c>
      <c r="Y43" t="e">
        <f t="shared" ca="1" si="5"/>
        <v>#NAME?</v>
      </c>
      <c r="Z43" t="e">
        <f t="shared" ca="1" si="6"/>
        <v>#NAME?</v>
      </c>
      <c r="AA43" t="e">
        <f t="shared" ca="1" si="7"/>
        <v>#NAME?</v>
      </c>
      <c r="AB43" t="e">
        <f t="shared" ca="1" si="8"/>
        <v>#NAME?</v>
      </c>
      <c r="AD43">
        <f t="shared" si="10"/>
        <v>40</v>
      </c>
      <c r="AE43">
        <f t="shared" si="11"/>
        <v>9.6075824244635548</v>
      </c>
    </row>
    <row r="44" spans="1:31" x14ac:dyDescent="0.35">
      <c r="A44">
        <f t="shared" si="0"/>
        <v>41</v>
      </c>
      <c r="B44">
        <v>10.47879870661002</v>
      </c>
      <c r="D44">
        <f t="shared" si="9"/>
        <v>41</v>
      </c>
      <c r="E44" t="e">
        <f t="shared" ca="1" si="1"/>
        <v>#NAME?</v>
      </c>
      <c r="F44" t="e">
        <f t="shared" ca="1" si="12"/>
        <v>#NAME?</v>
      </c>
      <c r="V44">
        <f t="shared" si="2"/>
        <v>41</v>
      </c>
      <c r="W44" t="e">
        <f t="shared" ca="1" si="3"/>
        <v>#NAME?</v>
      </c>
      <c r="X44" t="e">
        <f t="shared" ca="1" si="4"/>
        <v>#NAME?</v>
      </c>
      <c r="Y44" t="e">
        <f t="shared" ca="1" si="5"/>
        <v>#NAME?</v>
      </c>
      <c r="Z44" t="e">
        <f t="shared" ca="1" si="6"/>
        <v>#NAME?</v>
      </c>
      <c r="AA44" t="e">
        <f t="shared" ca="1" si="7"/>
        <v>#NAME?</v>
      </c>
      <c r="AB44" t="e">
        <f t="shared" ca="1" si="8"/>
        <v>#NAME?</v>
      </c>
      <c r="AD44">
        <f t="shared" si="10"/>
        <v>41</v>
      </c>
      <c r="AE44">
        <f t="shared" si="11"/>
        <v>10.47879870661002</v>
      </c>
    </row>
    <row r="45" spans="1:31" x14ac:dyDescent="0.35">
      <c r="A45">
        <f t="shared" si="0"/>
        <v>42</v>
      </c>
      <c r="B45">
        <v>10.131145996118137</v>
      </c>
      <c r="D45">
        <f t="shared" si="9"/>
        <v>42</v>
      </c>
      <c r="E45" t="e">
        <f t="shared" ca="1" si="1"/>
        <v>#NAME?</v>
      </c>
      <c r="F45" t="e">
        <f t="shared" ca="1" si="12"/>
        <v>#NAME?</v>
      </c>
      <c r="V45">
        <f t="shared" si="2"/>
        <v>42</v>
      </c>
      <c r="W45" t="e">
        <f t="shared" ca="1" si="3"/>
        <v>#NAME?</v>
      </c>
      <c r="X45" t="e">
        <f t="shared" ca="1" si="4"/>
        <v>#NAME?</v>
      </c>
      <c r="Y45" t="e">
        <f t="shared" ca="1" si="5"/>
        <v>#NAME?</v>
      </c>
      <c r="Z45" t="e">
        <f t="shared" ca="1" si="6"/>
        <v>#NAME?</v>
      </c>
      <c r="AA45" t="e">
        <f t="shared" ca="1" si="7"/>
        <v>#NAME?</v>
      </c>
      <c r="AB45" t="e">
        <f t="shared" ca="1" si="8"/>
        <v>#NAME?</v>
      </c>
      <c r="AD45">
        <f t="shared" si="10"/>
        <v>42</v>
      </c>
      <c r="AE45">
        <f t="shared" si="11"/>
        <v>10.131145996118137</v>
      </c>
    </row>
    <row r="46" spans="1:31" x14ac:dyDescent="0.35">
      <c r="A46">
        <f t="shared" si="0"/>
        <v>43</v>
      </c>
      <c r="B46">
        <v>9.3102529930939451</v>
      </c>
      <c r="D46">
        <f t="shared" si="9"/>
        <v>43</v>
      </c>
      <c r="E46" t="e">
        <f t="shared" ca="1" si="1"/>
        <v>#NAME?</v>
      </c>
      <c r="F46" t="e">
        <f t="shared" ca="1" si="12"/>
        <v>#NAME?</v>
      </c>
      <c r="V46">
        <f t="shared" si="2"/>
        <v>43</v>
      </c>
      <c r="W46" t="e">
        <f t="shared" ca="1" si="3"/>
        <v>#NAME?</v>
      </c>
      <c r="X46" t="e">
        <f t="shared" ca="1" si="4"/>
        <v>#NAME?</v>
      </c>
      <c r="Y46" t="e">
        <f t="shared" ca="1" si="5"/>
        <v>#NAME?</v>
      </c>
      <c r="Z46" t="e">
        <f t="shared" ca="1" si="6"/>
        <v>#NAME?</v>
      </c>
      <c r="AA46" t="e">
        <f t="shared" ca="1" si="7"/>
        <v>#NAME?</v>
      </c>
      <c r="AB46" t="e">
        <f t="shared" ca="1" si="8"/>
        <v>#NAME?</v>
      </c>
      <c r="AD46">
        <f t="shared" si="10"/>
        <v>43</v>
      </c>
      <c r="AE46">
        <f t="shared" si="11"/>
        <v>9.3102529930939451</v>
      </c>
    </row>
    <row r="47" spans="1:31" x14ac:dyDescent="0.35">
      <c r="A47">
        <f t="shared" si="0"/>
        <v>44</v>
      </c>
      <c r="B47">
        <v>9.9532374569799149</v>
      </c>
      <c r="D47">
        <f t="shared" si="9"/>
        <v>44</v>
      </c>
      <c r="E47" t="e">
        <f t="shared" ca="1" si="1"/>
        <v>#NAME?</v>
      </c>
      <c r="F47" t="e">
        <f t="shared" ca="1" si="12"/>
        <v>#NAME?</v>
      </c>
      <c r="V47">
        <f t="shared" si="2"/>
        <v>44</v>
      </c>
      <c r="W47" t="e">
        <f t="shared" ca="1" si="3"/>
        <v>#NAME?</v>
      </c>
      <c r="X47" t="e">
        <f t="shared" ca="1" si="4"/>
        <v>#NAME?</v>
      </c>
      <c r="Y47" t="e">
        <f t="shared" ca="1" si="5"/>
        <v>#NAME?</v>
      </c>
      <c r="Z47" t="e">
        <f t="shared" ca="1" si="6"/>
        <v>#NAME?</v>
      </c>
      <c r="AA47" t="e">
        <f t="shared" ca="1" si="7"/>
        <v>#NAME?</v>
      </c>
      <c r="AB47" t="e">
        <f t="shared" ca="1" si="8"/>
        <v>#NAME?</v>
      </c>
      <c r="AD47">
        <f t="shared" si="10"/>
        <v>44</v>
      </c>
      <c r="AE47">
        <f t="shared" si="11"/>
        <v>9.9532374569799149</v>
      </c>
    </row>
    <row r="48" spans="1:31" x14ac:dyDescent="0.35">
      <c r="A48">
        <f t="shared" si="0"/>
        <v>45</v>
      </c>
      <c r="B48">
        <v>9.9320829740295604</v>
      </c>
      <c r="D48">
        <f t="shared" si="9"/>
        <v>45</v>
      </c>
      <c r="E48" t="e">
        <f t="shared" ca="1" si="1"/>
        <v>#NAME?</v>
      </c>
      <c r="F48" t="e">
        <f t="shared" ca="1" si="12"/>
        <v>#NAME?</v>
      </c>
      <c r="V48">
        <f t="shared" si="2"/>
        <v>45</v>
      </c>
      <c r="W48" t="e">
        <f t="shared" ca="1" si="3"/>
        <v>#NAME?</v>
      </c>
      <c r="X48" t="e">
        <f t="shared" ca="1" si="4"/>
        <v>#NAME?</v>
      </c>
      <c r="Y48" t="e">
        <f t="shared" ca="1" si="5"/>
        <v>#NAME?</v>
      </c>
      <c r="Z48" t="e">
        <f t="shared" ca="1" si="6"/>
        <v>#NAME?</v>
      </c>
      <c r="AA48" t="e">
        <f t="shared" ca="1" si="7"/>
        <v>#NAME?</v>
      </c>
      <c r="AB48" t="e">
        <f t="shared" ca="1" si="8"/>
        <v>#NAME?</v>
      </c>
      <c r="AD48">
        <f t="shared" si="10"/>
        <v>45</v>
      </c>
      <c r="AE48">
        <f t="shared" si="11"/>
        <v>9.9320829740295604</v>
      </c>
    </row>
    <row r="49" spans="1:31" x14ac:dyDescent="0.35">
      <c r="A49">
        <f t="shared" si="0"/>
        <v>46</v>
      </c>
      <c r="B49">
        <v>11.635101979488615</v>
      </c>
      <c r="D49">
        <f t="shared" si="9"/>
        <v>46</v>
      </c>
      <c r="E49" t="e">
        <f t="shared" ca="1" si="1"/>
        <v>#NAME?</v>
      </c>
      <c r="F49" t="e">
        <f t="shared" ca="1" si="12"/>
        <v>#NAME?</v>
      </c>
      <c r="V49">
        <f t="shared" si="2"/>
        <v>46</v>
      </c>
      <c r="W49" t="e">
        <f t="shared" ca="1" si="3"/>
        <v>#NAME?</v>
      </c>
      <c r="X49" t="e">
        <f t="shared" ca="1" si="4"/>
        <v>#NAME?</v>
      </c>
      <c r="Y49" t="e">
        <f t="shared" ca="1" si="5"/>
        <v>#NAME?</v>
      </c>
      <c r="Z49" t="e">
        <f t="shared" ca="1" si="6"/>
        <v>#NAME?</v>
      </c>
      <c r="AA49" t="e">
        <f t="shared" ca="1" si="7"/>
        <v>#NAME?</v>
      </c>
      <c r="AB49" t="e">
        <f t="shared" ca="1" si="8"/>
        <v>#NAME?</v>
      </c>
      <c r="AD49">
        <f t="shared" si="10"/>
        <v>46</v>
      </c>
      <c r="AE49">
        <f t="shared" si="11"/>
        <v>11.635101979488615</v>
      </c>
    </row>
    <row r="50" spans="1:31" x14ac:dyDescent="0.35">
      <c r="A50">
        <f t="shared" si="0"/>
        <v>47</v>
      </c>
      <c r="B50">
        <v>10.428242822398191</v>
      </c>
      <c r="D50">
        <f t="shared" si="9"/>
        <v>47</v>
      </c>
      <c r="E50" t="e">
        <f t="shared" ca="1" si="1"/>
        <v>#NAME?</v>
      </c>
      <c r="F50" t="e">
        <f t="shared" ca="1" si="12"/>
        <v>#NAME?</v>
      </c>
      <c r="V50">
        <f t="shared" si="2"/>
        <v>47</v>
      </c>
      <c r="W50" t="e">
        <f t="shared" ca="1" si="3"/>
        <v>#NAME?</v>
      </c>
      <c r="X50" t="e">
        <f t="shared" ca="1" si="4"/>
        <v>#NAME?</v>
      </c>
      <c r="Y50" t="e">
        <f t="shared" ca="1" si="5"/>
        <v>#NAME?</v>
      </c>
      <c r="Z50" t="e">
        <f t="shared" ca="1" si="6"/>
        <v>#NAME?</v>
      </c>
      <c r="AA50" t="e">
        <f t="shared" ca="1" si="7"/>
        <v>#NAME?</v>
      </c>
      <c r="AB50" t="e">
        <f t="shared" ca="1" si="8"/>
        <v>#NAME?</v>
      </c>
      <c r="AD50">
        <f t="shared" si="10"/>
        <v>47</v>
      </c>
      <c r="AE50">
        <f t="shared" si="11"/>
        <v>10.428242822398191</v>
      </c>
    </row>
    <row r="51" spans="1:31" x14ac:dyDescent="0.35">
      <c r="A51">
        <f t="shared" si="0"/>
        <v>48</v>
      </c>
      <c r="B51">
        <v>9.6942306857497602</v>
      </c>
      <c r="D51">
        <f t="shared" si="9"/>
        <v>48</v>
      </c>
      <c r="E51" t="e">
        <f t="shared" ca="1" si="1"/>
        <v>#NAME?</v>
      </c>
      <c r="F51" t="e">
        <f t="shared" ca="1" si="12"/>
        <v>#NAME?</v>
      </c>
      <c r="V51">
        <f t="shared" si="2"/>
        <v>48</v>
      </c>
      <c r="W51" t="e">
        <f t="shared" ca="1" si="3"/>
        <v>#NAME?</v>
      </c>
      <c r="X51" t="e">
        <f t="shared" ca="1" si="4"/>
        <v>#NAME?</v>
      </c>
      <c r="Y51" t="e">
        <f t="shared" ca="1" si="5"/>
        <v>#NAME?</v>
      </c>
      <c r="Z51" t="e">
        <f t="shared" ca="1" si="6"/>
        <v>#NAME?</v>
      </c>
      <c r="AA51" t="e">
        <f t="shared" ca="1" si="7"/>
        <v>#NAME?</v>
      </c>
      <c r="AB51" t="e">
        <f t="shared" ca="1" si="8"/>
        <v>#NAME?</v>
      </c>
      <c r="AD51">
        <f t="shared" si="10"/>
        <v>48</v>
      </c>
      <c r="AE51">
        <f t="shared" si="11"/>
        <v>9.6942306857497602</v>
      </c>
    </row>
    <row r="52" spans="1:31" x14ac:dyDescent="0.35">
      <c r="A52">
        <f t="shared" si="0"/>
        <v>49</v>
      </c>
      <c r="B52">
        <v>10.169036752376758</v>
      </c>
      <c r="D52">
        <f t="shared" si="9"/>
        <v>49</v>
      </c>
      <c r="E52" t="e">
        <f t="shared" ca="1" si="1"/>
        <v>#NAME?</v>
      </c>
      <c r="F52" t="e">
        <f t="shared" ca="1" si="12"/>
        <v>#NAME?</v>
      </c>
      <c r="V52">
        <f t="shared" si="2"/>
        <v>49</v>
      </c>
      <c r="W52" t="e">
        <f t="shared" ca="1" si="3"/>
        <v>#NAME?</v>
      </c>
      <c r="X52" t="e">
        <f t="shared" ca="1" si="4"/>
        <v>#NAME?</v>
      </c>
      <c r="Y52" t="e">
        <f t="shared" ca="1" si="5"/>
        <v>#NAME?</v>
      </c>
      <c r="Z52" t="e">
        <f t="shared" ca="1" si="6"/>
        <v>#NAME?</v>
      </c>
      <c r="AA52" t="e">
        <f t="shared" ca="1" si="7"/>
        <v>#NAME?</v>
      </c>
      <c r="AB52" t="e">
        <f t="shared" ca="1" si="8"/>
        <v>#NAME?</v>
      </c>
      <c r="AD52">
        <f t="shared" si="10"/>
        <v>49</v>
      </c>
      <c r="AE52">
        <f t="shared" si="11"/>
        <v>10.169036752376758</v>
      </c>
    </row>
    <row r="53" spans="1:31" x14ac:dyDescent="0.35">
      <c r="A53">
        <f t="shared" si="0"/>
        <v>50</v>
      </c>
      <c r="B53">
        <v>10.486655712590014</v>
      </c>
      <c r="D53">
        <f t="shared" si="9"/>
        <v>50</v>
      </c>
      <c r="E53" t="e">
        <f t="shared" ca="1" si="1"/>
        <v>#NAME?</v>
      </c>
      <c r="F53" t="e">
        <f t="shared" ca="1" si="12"/>
        <v>#NAME?</v>
      </c>
      <c r="V53">
        <f t="shared" si="2"/>
        <v>50</v>
      </c>
      <c r="W53" t="e">
        <f t="shared" ca="1" si="3"/>
        <v>#NAME?</v>
      </c>
      <c r="X53" t="e">
        <f t="shared" ca="1" si="4"/>
        <v>#NAME?</v>
      </c>
      <c r="Y53" t="e">
        <f t="shared" ca="1" si="5"/>
        <v>#NAME?</v>
      </c>
      <c r="Z53" t="e">
        <f t="shared" ca="1" si="6"/>
        <v>#NAME?</v>
      </c>
      <c r="AA53" t="e">
        <f t="shared" ca="1" si="7"/>
        <v>#NAME?</v>
      </c>
      <c r="AB53" t="e">
        <f t="shared" ca="1" si="8"/>
        <v>#NAME?</v>
      </c>
      <c r="AD53">
        <f t="shared" si="10"/>
        <v>50</v>
      </c>
      <c r="AE53">
        <f t="shared" si="11"/>
        <v>10.486655712590014</v>
      </c>
    </row>
    <row r="54" spans="1:31" x14ac:dyDescent="0.35">
      <c r="A54">
        <f t="shared" si="0"/>
        <v>51</v>
      </c>
      <c r="B54">
        <v>10.656149640052817</v>
      </c>
      <c r="D54">
        <f t="shared" si="9"/>
        <v>51</v>
      </c>
      <c r="E54" t="e">
        <f t="shared" ca="1" si="1"/>
        <v>#NAME?</v>
      </c>
      <c r="F54" t="e">
        <f t="shared" ca="1" si="12"/>
        <v>#NAME?</v>
      </c>
      <c r="V54">
        <f t="shared" si="2"/>
        <v>51</v>
      </c>
      <c r="W54" t="e">
        <f t="shared" ca="1" si="3"/>
        <v>#NAME?</v>
      </c>
      <c r="X54" t="e">
        <f t="shared" ca="1" si="4"/>
        <v>#NAME?</v>
      </c>
      <c r="Y54" t="e">
        <f t="shared" ca="1" si="5"/>
        <v>#NAME?</v>
      </c>
      <c r="Z54" t="e">
        <f t="shared" ca="1" si="6"/>
        <v>#NAME?</v>
      </c>
      <c r="AA54" t="e">
        <f t="shared" ca="1" si="7"/>
        <v>#NAME?</v>
      </c>
      <c r="AB54" t="e">
        <f t="shared" ca="1" si="8"/>
        <v>#NAME?</v>
      </c>
      <c r="AD54">
        <f t="shared" si="10"/>
        <v>51</v>
      </c>
      <c r="AE54">
        <f t="shared" si="11"/>
        <v>10.656149640052817</v>
      </c>
    </row>
    <row r="55" spans="1:31" x14ac:dyDescent="0.35">
      <c r="A55">
        <f t="shared" si="0"/>
        <v>52</v>
      </c>
      <c r="B55">
        <v>10.129317566616011</v>
      </c>
      <c r="D55">
        <f t="shared" si="9"/>
        <v>52</v>
      </c>
      <c r="E55" t="e">
        <f t="shared" ca="1" si="1"/>
        <v>#NAME?</v>
      </c>
      <c r="F55" t="e">
        <f t="shared" ca="1" si="12"/>
        <v>#NAME?</v>
      </c>
      <c r="V55">
        <f t="shared" si="2"/>
        <v>52</v>
      </c>
      <c r="W55" t="e">
        <f t="shared" ca="1" si="3"/>
        <v>#NAME?</v>
      </c>
      <c r="X55" t="e">
        <f t="shared" ca="1" si="4"/>
        <v>#NAME?</v>
      </c>
      <c r="Y55" t="e">
        <f t="shared" ca="1" si="5"/>
        <v>#NAME?</v>
      </c>
      <c r="Z55" t="e">
        <f t="shared" ca="1" si="6"/>
        <v>#NAME?</v>
      </c>
      <c r="AA55" t="e">
        <f t="shared" ca="1" si="7"/>
        <v>#NAME?</v>
      </c>
      <c r="AB55" t="e">
        <f t="shared" ca="1" si="8"/>
        <v>#NAME?</v>
      </c>
      <c r="AD55">
        <f t="shared" si="10"/>
        <v>52</v>
      </c>
      <c r="AE55">
        <f t="shared" si="11"/>
        <v>10.129317566616011</v>
      </c>
    </row>
    <row r="56" spans="1:31" x14ac:dyDescent="0.35">
      <c r="A56">
        <f t="shared" si="0"/>
        <v>53</v>
      </c>
      <c r="B56">
        <v>8.9663057524182062</v>
      </c>
      <c r="D56">
        <f t="shared" si="9"/>
        <v>53</v>
      </c>
      <c r="E56" t="e">
        <f t="shared" ca="1" si="1"/>
        <v>#NAME?</v>
      </c>
      <c r="F56" t="e">
        <f t="shared" ca="1" si="12"/>
        <v>#NAME?</v>
      </c>
      <c r="V56">
        <f t="shared" si="2"/>
        <v>53</v>
      </c>
      <c r="W56" t="e">
        <f t="shared" ca="1" si="3"/>
        <v>#NAME?</v>
      </c>
      <c r="X56" t="e">
        <f t="shared" ca="1" si="4"/>
        <v>#NAME?</v>
      </c>
      <c r="Y56" t="e">
        <f t="shared" ca="1" si="5"/>
        <v>#NAME?</v>
      </c>
      <c r="Z56" t="e">
        <f t="shared" ca="1" si="6"/>
        <v>#NAME?</v>
      </c>
      <c r="AA56" t="e">
        <f t="shared" ca="1" si="7"/>
        <v>#NAME?</v>
      </c>
      <c r="AB56" t="e">
        <f t="shared" ca="1" si="8"/>
        <v>#NAME?</v>
      </c>
      <c r="AD56">
        <f t="shared" si="10"/>
        <v>53</v>
      </c>
      <c r="AE56">
        <f t="shared" si="11"/>
        <v>8.9663057524182062</v>
      </c>
    </row>
    <row r="57" spans="1:31" x14ac:dyDescent="0.35">
      <c r="A57">
        <f t="shared" si="0"/>
        <v>54</v>
      </c>
      <c r="B57">
        <v>8.1067514389924824</v>
      </c>
      <c r="D57">
        <f t="shared" si="9"/>
        <v>54</v>
      </c>
      <c r="E57" t="e">
        <f t="shared" ca="1" si="1"/>
        <v>#NAME?</v>
      </c>
      <c r="F57" t="e">
        <f t="shared" ca="1" si="12"/>
        <v>#NAME?</v>
      </c>
      <c r="V57">
        <f t="shared" si="2"/>
        <v>54</v>
      </c>
      <c r="W57" t="e">
        <f t="shared" ca="1" si="3"/>
        <v>#NAME?</v>
      </c>
      <c r="X57" t="e">
        <f t="shared" ca="1" si="4"/>
        <v>#NAME?</v>
      </c>
      <c r="Y57" t="e">
        <f t="shared" ca="1" si="5"/>
        <v>#NAME?</v>
      </c>
      <c r="Z57" t="e">
        <f t="shared" ca="1" si="6"/>
        <v>#NAME?</v>
      </c>
      <c r="AA57" t="e">
        <f t="shared" ca="1" si="7"/>
        <v>#NAME?</v>
      </c>
      <c r="AB57" t="e">
        <f t="shared" ca="1" si="8"/>
        <v>#NAME?</v>
      </c>
      <c r="AD57">
        <f t="shared" si="10"/>
        <v>54</v>
      </c>
      <c r="AE57">
        <f t="shared" si="11"/>
        <v>8.1067514389924824</v>
      </c>
    </row>
    <row r="58" spans="1:31" x14ac:dyDescent="0.35">
      <c r="A58">
        <f t="shared" si="0"/>
        <v>55</v>
      </c>
      <c r="B58">
        <v>8.6738987578515037</v>
      </c>
      <c r="D58">
        <f t="shared" si="9"/>
        <v>55</v>
      </c>
      <c r="E58" t="e">
        <f t="shared" ca="1" si="1"/>
        <v>#NAME?</v>
      </c>
      <c r="F58" t="e">
        <f t="shared" ca="1" si="12"/>
        <v>#NAME?</v>
      </c>
      <c r="V58">
        <f t="shared" si="2"/>
        <v>55</v>
      </c>
      <c r="W58" t="e">
        <f t="shared" ca="1" si="3"/>
        <v>#NAME?</v>
      </c>
      <c r="X58" t="e">
        <f t="shared" ca="1" si="4"/>
        <v>#NAME?</v>
      </c>
      <c r="Y58" t="e">
        <f t="shared" ca="1" si="5"/>
        <v>#NAME?</v>
      </c>
      <c r="Z58" t="e">
        <f t="shared" ca="1" si="6"/>
        <v>#NAME?</v>
      </c>
      <c r="AA58" t="e">
        <f t="shared" ca="1" si="7"/>
        <v>#NAME?</v>
      </c>
      <c r="AB58" t="e">
        <f t="shared" ca="1" si="8"/>
        <v>#NAME?</v>
      </c>
      <c r="AD58">
        <f t="shared" si="10"/>
        <v>55</v>
      </c>
      <c r="AE58">
        <f t="shared" si="11"/>
        <v>8.6738987578515037</v>
      </c>
    </row>
    <row r="59" spans="1:31" x14ac:dyDescent="0.35">
      <c r="A59">
        <f t="shared" si="0"/>
        <v>56</v>
      </c>
      <c r="B59">
        <v>8.7398621237592646</v>
      </c>
      <c r="D59">
        <f t="shared" si="9"/>
        <v>56</v>
      </c>
      <c r="E59" t="e">
        <f t="shared" ca="1" si="1"/>
        <v>#NAME?</v>
      </c>
      <c r="F59" t="e">
        <f t="shared" ca="1" si="12"/>
        <v>#NAME?</v>
      </c>
      <c r="V59">
        <f t="shared" si="2"/>
        <v>56</v>
      </c>
      <c r="W59" t="e">
        <f t="shared" ca="1" si="3"/>
        <v>#NAME?</v>
      </c>
      <c r="X59" t="e">
        <f t="shared" ca="1" si="4"/>
        <v>#NAME?</v>
      </c>
      <c r="Y59" t="e">
        <f t="shared" ca="1" si="5"/>
        <v>#NAME?</v>
      </c>
      <c r="Z59" t="e">
        <f t="shared" ca="1" si="6"/>
        <v>#NAME?</v>
      </c>
      <c r="AA59" t="e">
        <f t="shared" ca="1" si="7"/>
        <v>#NAME?</v>
      </c>
      <c r="AB59" t="e">
        <f t="shared" ca="1" si="8"/>
        <v>#NAME?</v>
      </c>
      <c r="AD59">
        <f t="shared" si="10"/>
        <v>56</v>
      </c>
      <c r="AE59">
        <f t="shared" si="11"/>
        <v>8.7398621237592646</v>
      </c>
    </row>
    <row r="60" spans="1:31" x14ac:dyDescent="0.35">
      <c r="A60">
        <f t="shared" si="0"/>
        <v>57</v>
      </c>
      <c r="B60">
        <v>8.7639760975280581</v>
      </c>
      <c r="D60">
        <f t="shared" si="9"/>
        <v>57</v>
      </c>
      <c r="E60" t="e">
        <f t="shared" ca="1" si="1"/>
        <v>#NAME?</v>
      </c>
      <c r="F60" t="e">
        <f t="shared" ca="1" si="12"/>
        <v>#NAME?</v>
      </c>
      <c r="V60">
        <f t="shared" si="2"/>
        <v>57</v>
      </c>
      <c r="W60" t="e">
        <f t="shared" ca="1" si="3"/>
        <v>#NAME?</v>
      </c>
      <c r="X60" t="e">
        <f t="shared" ca="1" si="4"/>
        <v>#NAME?</v>
      </c>
      <c r="Y60" t="e">
        <f t="shared" ca="1" si="5"/>
        <v>#NAME?</v>
      </c>
      <c r="Z60" t="e">
        <f t="shared" ca="1" si="6"/>
        <v>#NAME?</v>
      </c>
      <c r="AA60" t="e">
        <f t="shared" ca="1" si="7"/>
        <v>#NAME?</v>
      </c>
      <c r="AB60" t="e">
        <f t="shared" ca="1" si="8"/>
        <v>#NAME?</v>
      </c>
      <c r="AD60">
        <f t="shared" si="10"/>
        <v>57</v>
      </c>
      <c r="AE60">
        <f t="shared" si="11"/>
        <v>8.7639760975280581</v>
      </c>
    </row>
    <row r="61" spans="1:31" x14ac:dyDescent="0.35">
      <c r="A61">
        <f t="shared" si="0"/>
        <v>58</v>
      </c>
      <c r="B61">
        <v>10.607632270250908</v>
      </c>
      <c r="D61">
        <f t="shared" si="9"/>
        <v>58</v>
      </c>
      <c r="E61" t="e">
        <f t="shared" ca="1" si="1"/>
        <v>#NAME?</v>
      </c>
      <c r="F61" t="e">
        <f t="shared" ca="1" si="12"/>
        <v>#NAME?</v>
      </c>
      <c r="V61">
        <f t="shared" si="2"/>
        <v>58</v>
      </c>
      <c r="W61" t="e">
        <f t="shared" ca="1" si="3"/>
        <v>#NAME?</v>
      </c>
      <c r="X61" t="e">
        <f t="shared" ca="1" si="4"/>
        <v>#NAME?</v>
      </c>
      <c r="Y61" t="e">
        <f t="shared" ca="1" si="5"/>
        <v>#NAME?</v>
      </c>
      <c r="Z61" t="e">
        <f t="shared" ca="1" si="6"/>
        <v>#NAME?</v>
      </c>
      <c r="AA61" t="e">
        <f t="shared" ca="1" si="7"/>
        <v>#NAME?</v>
      </c>
      <c r="AB61" t="e">
        <f t="shared" ca="1" si="8"/>
        <v>#NAME?</v>
      </c>
      <c r="AD61">
        <f t="shared" si="10"/>
        <v>58</v>
      </c>
      <c r="AE61">
        <f t="shared" si="11"/>
        <v>10.607632270250908</v>
      </c>
    </row>
    <row r="62" spans="1:31" x14ac:dyDescent="0.35">
      <c r="A62">
        <f t="shared" si="0"/>
        <v>59</v>
      </c>
      <c r="B62">
        <v>8.8462843661117905</v>
      </c>
      <c r="D62">
        <f t="shared" si="9"/>
        <v>59</v>
      </c>
      <c r="E62" t="e">
        <f t="shared" ca="1" si="1"/>
        <v>#NAME?</v>
      </c>
      <c r="F62" t="e">
        <f t="shared" ca="1" si="12"/>
        <v>#NAME?</v>
      </c>
      <c r="V62">
        <f t="shared" si="2"/>
        <v>59</v>
      </c>
      <c r="W62" t="e">
        <f t="shared" ca="1" si="3"/>
        <v>#NAME?</v>
      </c>
      <c r="X62" t="e">
        <f t="shared" ca="1" si="4"/>
        <v>#NAME?</v>
      </c>
      <c r="Y62" t="e">
        <f t="shared" ca="1" si="5"/>
        <v>#NAME?</v>
      </c>
      <c r="Z62" t="e">
        <f t="shared" ca="1" si="6"/>
        <v>#NAME?</v>
      </c>
      <c r="AA62" t="e">
        <f t="shared" ca="1" si="7"/>
        <v>#NAME?</v>
      </c>
      <c r="AB62" t="e">
        <f t="shared" ca="1" si="8"/>
        <v>#NAME?</v>
      </c>
      <c r="AD62">
        <f t="shared" si="10"/>
        <v>59</v>
      </c>
      <c r="AE62">
        <f t="shared" si="11"/>
        <v>8.8462843661117905</v>
      </c>
    </row>
    <row r="63" spans="1:31" x14ac:dyDescent="0.35">
      <c r="A63">
        <f t="shared" si="0"/>
        <v>60</v>
      </c>
      <c r="B63">
        <v>8.197430472078814</v>
      </c>
      <c r="D63">
        <f t="shared" si="9"/>
        <v>60</v>
      </c>
      <c r="E63" t="e">
        <f t="shared" ca="1" si="1"/>
        <v>#NAME?</v>
      </c>
      <c r="F63" t="e">
        <f t="shared" ca="1" si="12"/>
        <v>#NAME?</v>
      </c>
      <c r="V63">
        <f t="shared" si="2"/>
        <v>60</v>
      </c>
      <c r="W63" t="e">
        <f t="shared" ca="1" si="3"/>
        <v>#NAME?</v>
      </c>
      <c r="X63" t="e">
        <f t="shared" ca="1" si="4"/>
        <v>#NAME?</v>
      </c>
      <c r="Y63" t="e">
        <f t="shared" ca="1" si="5"/>
        <v>#NAME?</v>
      </c>
      <c r="Z63" t="e">
        <f t="shared" ca="1" si="6"/>
        <v>#NAME?</v>
      </c>
      <c r="AA63" t="e">
        <f t="shared" ca="1" si="7"/>
        <v>#NAME?</v>
      </c>
      <c r="AB63" t="e">
        <f t="shared" ca="1" si="8"/>
        <v>#NAME?</v>
      </c>
      <c r="AD63">
        <f t="shared" si="10"/>
        <v>60</v>
      </c>
      <c r="AE63">
        <f t="shared" si="11"/>
        <v>8.197430472078814</v>
      </c>
    </row>
    <row r="64" spans="1:31" x14ac:dyDescent="0.35">
      <c r="A64">
        <f t="shared" si="0"/>
        <v>61</v>
      </c>
      <c r="B64">
        <v>9.7004678107933984</v>
      </c>
      <c r="D64">
        <f t="shared" si="9"/>
        <v>61</v>
      </c>
      <c r="E64" t="e">
        <f t="shared" ca="1" si="1"/>
        <v>#NAME?</v>
      </c>
      <c r="F64" t="e">
        <f t="shared" ca="1" si="12"/>
        <v>#NAME?</v>
      </c>
      <c r="V64">
        <f t="shared" si="2"/>
        <v>61</v>
      </c>
      <c r="W64" t="e">
        <f t="shared" ca="1" si="3"/>
        <v>#NAME?</v>
      </c>
      <c r="X64" t="e">
        <f t="shared" ca="1" si="4"/>
        <v>#NAME?</v>
      </c>
      <c r="Y64" t="e">
        <f t="shared" ca="1" si="5"/>
        <v>#NAME?</v>
      </c>
      <c r="Z64" t="e">
        <f t="shared" ca="1" si="6"/>
        <v>#NAME?</v>
      </c>
      <c r="AA64" t="e">
        <f t="shared" ca="1" si="7"/>
        <v>#NAME?</v>
      </c>
      <c r="AB64" t="e">
        <f t="shared" ca="1" si="8"/>
        <v>#NAME?</v>
      </c>
      <c r="AD64">
        <f t="shared" si="10"/>
        <v>61</v>
      </c>
      <c r="AE64">
        <f t="shared" si="11"/>
        <v>9.7004678107933984</v>
      </c>
    </row>
    <row r="65" spans="1:31" x14ac:dyDescent="0.35">
      <c r="A65">
        <f t="shared" si="0"/>
        <v>62</v>
      </c>
      <c r="B65">
        <v>9.4988084630262453</v>
      </c>
      <c r="D65">
        <f t="shared" si="9"/>
        <v>62</v>
      </c>
      <c r="E65" t="e">
        <f t="shared" ca="1" si="1"/>
        <v>#NAME?</v>
      </c>
      <c r="F65" t="e">
        <f t="shared" ca="1" si="12"/>
        <v>#NAME?</v>
      </c>
      <c r="V65">
        <f t="shared" si="2"/>
        <v>62</v>
      </c>
      <c r="W65" t="e">
        <f t="shared" ca="1" si="3"/>
        <v>#NAME?</v>
      </c>
      <c r="X65" t="e">
        <f t="shared" ca="1" si="4"/>
        <v>#NAME?</v>
      </c>
      <c r="Y65" t="e">
        <f t="shared" ca="1" si="5"/>
        <v>#NAME?</v>
      </c>
      <c r="Z65" t="e">
        <f t="shared" ca="1" si="6"/>
        <v>#NAME?</v>
      </c>
      <c r="AA65" t="e">
        <f t="shared" ca="1" si="7"/>
        <v>#NAME?</v>
      </c>
      <c r="AB65" t="e">
        <f t="shared" ca="1" si="8"/>
        <v>#NAME?</v>
      </c>
      <c r="AD65">
        <f t="shared" si="10"/>
        <v>62</v>
      </c>
      <c r="AE65">
        <f t="shared" si="11"/>
        <v>9.4988084630262453</v>
      </c>
    </row>
    <row r="66" spans="1:31" x14ac:dyDescent="0.35">
      <c r="A66">
        <f t="shared" si="0"/>
        <v>63</v>
      </c>
      <c r="B66">
        <v>9.7003857789385908</v>
      </c>
      <c r="D66">
        <f t="shared" si="9"/>
        <v>63</v>
      </c>
      <c r="E66" t="e">
        <f t="shared" ca="1" si="1"/>
        <v>#NAME?</v>
      </c>
      <c r="F66" t="e">
        <f t="shared" ca="1" si="12"/>
        <v>#NAME?</v>
      </c>
      <c r="V66">
        <f t="shared" si="2"/>
        <v>63</v>
      </c>
      <c r="W66" t="e">
        <f t="shared" ca="1" si="3"/>
        <v>#NAME?</v>
      </c>
      <c r="X66" t="e">
        <f t="shared" ca="1" si="4"/>
        <v>#NAME?</v>
      </c>
      <c r="Y66" t="e">
        <f t="shared" ca="1" si="5"/>
        <v>#NAME?</v>
      </c>
      <c r="Z66" t="e">
        <f t="shared" ca="1" si="6"/>
        <v>#NAME?</v>
      </c>
      <c r="AA66" t="e">
        <f t="shared" ca="1" si="7"/>
        <v>#NAME?</v>
      </c>
      <c r="AB66" t="e">
        <f t="shared" ca="1" si="8"/>
        <v>#NAME?</v>
      </c>
      <c r="AD66">
        <f t="shared" si="10"/>
        <v>63</v>
      </c>
      <c r="AE66">
        <f t="shared" si="11"/>
        <v>9.7003857789385908</v>
      </c>
    </row>
    <row r="67" spans="1:31" x14ac:dyDescent="0.35">
      <c r="A67">
        <f t="shared" si="0"/>
        <v>64</v>
      </c>
      <c r="B67">
        <v>9.8196279939384326</v>
      </c>
      <c r="D67">
        <f t="shared" si="9"/>
        <v>64</v>
      </c>
      <c r="E67" t="e">
        <f t="shared" ca="1" si="1"/>
        <v>#NAME?</v>
      </c>
      <c r="F67" t="e">
        <f t="shared" ca="1" si="12"/>
        <v>#NAME?</v>
      </c>
      <c r="V67">
        <f t="shared" si="2"/>
        <v>64</v>
      </c>
      <c r="W67" t="e">
        <f t="shared" ca="1" si="3"/>
        <v>#NAME?</v>
      </c>
      <c r="X67" t="e">
        <f t="shared" ca="1" si="4"/>
        <v>#NAME?</v>
      </c>
      <c r="Y67" t="e">
        <f t="shared" ca="1" si="5"/>
        <v>#NAME?</v>
      </c>
      <c r="Z67" t="e">
        <f t="shared" ca="1" si="6"/>
        <v>#NAME?</v>
      </c>
      <c r="AA67" t="e">
        <f t="shared" ca="1" si="7"/>
        <v>#NAME?</v>
      </c>
      <c r="AB67" t="e">
        <f t="shared" ca="1" si="8"/>
        <v>#NAME?</v>
      </c>
      <c r="AD67">
        <f t="shared" si="10"/>
        <v>64</v>
      </c>
      <c r="AE67">
        <f t="shared" si="11"/>
        <v>9.8196279939384326</v>
      </c>
    </row>
    <row r="68" spans="1:31" x14ac:dyDescent="0.35">
      <c r="A68">
        <f t="shared" si="0"/>
        <v>65</v>
      </c>
      <c r="B68">
        <v>12.357045585234705</v>
      </c>
      <c r="D68">
        <f t="shared" si="9"/>
        <v>65</v>
      </c>
      <c r="E68" t="e">
        <f t="shared" ca="1" si="1"/>
        <v>#NAME?</v>
      </c>
      <c r="F68" t="e">
        <f t="shared" ca="1" si="12"/>
        <v>#NAME?</v>
      </c>
      <c r="V68">
        <f t="shared" si="2"/>
        <v>65</v>
      </c>
      <c r="W68" t="e">
        <f t="shared" ca="1" si="3"/>
        <v>#NAME?</v>
      </c>
      <c r="X68" t="e">
        <f t="shared" ca="1" si="4"/>
        <v>#NAME?</v>
      </c>
      <c r="Y68" t="e">
        <f t="shared" ca="1" si="5"/>
        <v>#NAME?</v>
      </c>
      <c r="Z68" t="e">
        <f t="shared" ca="1" si="6"/>
        <v>#NAME?</v>
      </c>
      <c r="AA68" t="e">
        <f t="shared" ca="1" si="7"/>
        <v>#NAME?</v>
      </c>
      <c r="AB68" t="e">
        <f t="shared" ca="1" si="8"/>
        <v>#NAME?</v>
      </c>
      <c r="AD68">
        <f t="shared" si="10"/>
        <v>65</v>
      </c>
      <c r="AE68">
        <f t="shared" si="11"/>
        <v>12.357045585234705</v>
      </c>
    </row>
    <row r="69" spans="1:31" x14ac:dyDescent="0.35">
      <c r="A69">
        <f t="shared" ref="A69:A108" si="13">A68+1</f>
        <v>66</v>
      </c>
      <c r="B69">
        <v>10.923604414101041</v>
      </c>
      <c r="D69">
        <f t="shared" si="9"/>
        <v>66</v>
      </c>
      <c r="E69" t="e">
        <f t="shared" ref="E69:E106" ca="1" si="14">B71-2*B70+B69-J$6</f>
        <v>#NAME?</v>
      </c>
      <c r="F69" t="e">
        <f t="shared" ca="1" si="12"/>
        <v>#NAME?</v>
      </c>
      <c r="V69">
        <f t="shared" ref="V69:V106" si="15">D69</f>
        <v>66</v>
      </c>
      <c r="W69" t="e">
        <f t="shared" ref="W69:W106" ca="1" si="16">E69</f>
        <v>#NAME?</v>
      </c>
      <c r="X69" t="e">
        <f t="shared" ref="X69:X106" ca="1" si="17">F69</f>
        <v>#NAME?</v>
      </c>
      <c r="Y69" t="e">
        <f t="shared" ref="Y69:Y106" ca="1" si="18">W69-X69</f>
        <v>#NAME?</v>
      </c>
      <c r="Z69" t="e">
        <f t="shared" ref="Z69:Z106" ca="1" si="19">J$15</f>
        <v>#NAME?</v>
      </c>
      <c r="AA69" t="e">
        <f t="shared" ref="AA69:AA106" ca="1" si="20">Y69-NORMSINV(1-Z$2/2)*Z69</f>
        <v>#NAME?</v>
      </c>
      <c r="AB69" t="e">
        <f t="shared" ref="AB69:AB106" ca="1" si="21">Y69+NORMSINV(1-Z$2/2)*Z69</f>
        <v>#NAME?</v>
      </c>
      <c r="AD69">
        <f t="shared" si="10"/>
        <v>66</v>
      </c>
      <c r="AE69">
        <f t="shared" si="11"/>
        <v>10.923604414101041</v>
      </c>
    </row>
    <row r="70" spans="1:31" x14ac:dyDescent="0.35">
      <c r="A70">
        <f t="shared" si="13"/>
        <v>67</v>
      </c>
      <c r="B70">
        <v>9.7007658466065791</v>
      </c>
      <c r="D70">
        <f t="shared" ref="D70:D106" si="22">D69+1</f>
        <v>67</v>
      </c>
      <c r="E70" t="e">
        <f t="shared" ca="1" si="14"/>
        <v>#NAME?</v>
      </c>
      <c r="F70" t="e">
        <f t="shared" ca="1" si="12"/>
        <v>#NAME?</v>
      </c>
      <c r="V70">
        <f t="shared" si="15"/>
        <v>67</v>
      </c>
      <c r="W70" t="e">
        <f t="shared" ca="1" si="16"/>
        <v>#NAME?</v>
      </c>
      <c r="X70" t="e">
        <f t="shared" ca="1" si="17"/>
        <v>#NAME?</v>
      </c>
      <c r="Y70" t="e">
        <f t="shared" ca="1" si="18"/>
        <v>#NAME?</v>
      </c>
      <c r="Z70" t="e">
        <f t="shared" ca="1" si="19"/>
        <v>#NAME?</v>
      </c>
      <c r="AA70" t="e">
        <f t="shared" ca="1" si="20"/>
        <v>#NAME?</v>
      </c>
      <c r="AB70" t="e">
        <f t="shared" ca="1" si="21"/>
        <v>#NAME?</v>
      </c>
      <c r="AD70">
        <f t="shared" ref="AD70:AD113" si="23">AD69+1</f>
        <v>67</v>
      </c>
      <c r="AE70">
        <f t="shared" ref="AE70:AE108" si="24">B70</f>
        <v>9.7007658466065791</v>
      </c>
    </row>
    <row r="71" spans="1:31" x14ac:dyDescent="0.35">
      <c r="A71">
        <f t="shared" si="13"/>
        <v>68</v>
      </c>
      <c r="B71">
        <v>10.274161064714084</v>
      </c>
      <c r="D71">
        <f t="shared" si="22"/>
        <v>68</v>
      </c>
      <c r="E71" t="e">
        <f t="shared" ca="1" si="14"/>
        <v>#NAME?</v>
      </c>
      <c r="F71" t="e">
        <f t="shared" ref="F71:F106" ca="1" si="25">E71-SUMPRODUCT(E69:E70,I$4:I$5)-SUMPRODUCT(F70,J$5)</f>
        <v>#NAME?</v>
      </c>
      <c r="V71">
        <f t="shared" si="15"/>
        <v>68</v>
      </c>
      <c r="W71" t="e">
        <f t="shared" ca="1" si="16"/>
        <v>#NAME?</v>
      </c>
      <c r="X71" t="e">
        <f t="shared" ca="1" si="17"/>
        <v>#NAME?</v>
      </c>
      <c r="Y71" t="e">
        <f t="shared" ca="1" si="18"/>
        <v>#NAME?</v>
      </c>
      <c r="Z71" t="e">
        <f t="shared" ca="1" si="19"/>
        <v>#NAME?</v>
      </c>
      <c r="AA71" t="e">
        <f t="shared" ca="1" si="20"/>
        <v>#NAME?</v>
      </c>
      <c r="AB71" t="e">
        <f t="shared" ca="1" si="21"/>
        <v>#NAME?</v>
      </c>
      <c r="AD71">
        <f t="shared" si="23"/>
        <v>68</v>
      </c>
      <c r="AE71">
        <f t="shared" si="24"/>
        <v>10.274161064714084</v>
      </c>
    </row>
    <row r="72" spans="1:31" x14ac:dyDescent="0.35">
      <c r="A72">
        <f t="shared" si="13"/>
        <v>69</v>
      </c>
      <c r="B72">
        <v>9.7560808735560016</v>
      </c>
      <c r="D72">
        <f t="shared" si="22"/>
        <v>69</v>
      </c>
      <c r="E72" t="e">
        <f t="shared" ca="1" si="14"/>
        <v>#NAME?</v>
      </c>
      <c r="F72" t="e">
        <f t="shared" ca="1" si="25"/>
        <v>#NAME?</v>
      </c>
      <c r="V72">
        <f t="shared" si="15"/>
        <v>69</v>
      </c>
      <c r="W72" t="e">
        <f t="shared" ca="1" si="16"/>
        <v>#NAME?</v>
      </c>
      <c r="X72" t="e">
        <f t="shared" ca="1" si="17"/>
        <v>#NAME?</v>
      </c>
      <c r="Y72" t="e">
        <f t="shared" ca="1" si="18"/>
        <v>#NAME?</v>
      </c>
      <c r="Z72" t="e">
        <f t="shared" ca="1" si="19"/>
        <v>#NAME?</v>
      </c>
      <c r="AA72" t="e">
        <f t="shared" ca="1" si="20"/>
        <v>#NAME?</v>
      </c>
      <c r="AB72" t="e">
        <f t="shared" ca="1" si="21"/>
        <v>#NAME?</v>
      </c>
      <c r="AD72">
        <f t="shared" si="23"/>
        <v>69</v>
      </c>
      <c r="AE72">
        <f t="shared" si="24"/>
        <v>9.7560808735560016</v>
      </c>
    </row>
    <row r="73" spans="1:31" x14ac:dyDescent="0.35">
      <c r="A73">
        <f t="shared" si="13"/>
        <v>70</v>
      </c>
      <c r="B73">
        <v>9.287731842051576</v>
      </c>
      <c r="D73">
        <f t="shared" si="22"/>
        <v>70</v>
      </c>
      <c r="E73" t="e">
        <f t="shared" ca="1" si="14"/>
        <v>#NAME?</v>
      </c>
      <c r="F73" t="e">
        <f t="shared" ca="1" si="25"/>
        <v>#NAME?</v>
      </c>
      <c r="V73">
        <f t="shared" si="15"/>
        <v>70</v>
      </c>
      <c r="W73" t="e">
        <f t="shared" ca="1" si="16"/>
        <v>#NAME?</v>
      </c>
      <c r="X73" t="e">
        <f t="shared" ca="1" si="17"/>
        <v>#NAME?</v>
      </c>
      <c r="Y73" t="e">
        <f t="shared" ca="1" si="18"/>
        <v>#NAME?</v>
      </c>
      <c r="Z73" t="e">
        <f t="shared" ca="1" si="19"/>
        <v>#NAME?</v>
      </c>
      <c r="AA73" t="e">
        <f t="shared" ca="1" si="20"/>
        <v>#NAME?</v>
      </c>
      <c r="AB73" t="e">
        <f t="shared" ca="1" si="21"/>
        <v>#NAME?</v>
      </c>
      <c r="AD73">
        <f t="shared" si="23"/>
        <v>70</v>
      </c>
      <c r="AE73">
        <f t="shared" si="24"/>
        <v>9.287731842051576</v>
      </c>
    </row>
    <row r="74" spans="1:31" x14ac:dyDescent="0.35">
      <c r="A74">
        <f t="shared" si="13"/>
        <v>71</v>
      </c>
      <c r="B74">
        <v>8.7948076969057745</v>
      </c>
      <c r="D74">
        <f t="shared" si="22"/>
        <v>71</v>
      </c>
      <c r="E74" t="e">
        <f t="shared" ca="1" si="14"/>
        <v>#NAME?</v>
      </c>
      <c r="F74" t="e">
        <f t="shared" ca="1" si="25"/>
        <v>#NAME?</v>
      </c>
      <c r="V74">
        <f t="shared" si="15"/>
        <v>71</v>
      </c>
      <c r="W74" t="e">
        <f t="shared" ca="1" si="16"/>
        <v>#NAME?</v>
      </c>
      <c r="X74" t="e">
        <f t="shared" ca="1" si="17"/>
        <v>#NAME?</v>
      </c>
      <c r="Y74" t="e">
        <f t="shared" ca="1" si="18"/>
        <v>#NAME?</v>
      </c>
      <c r="Z74" t="e">
        <f t="shared" ca="1" si="19"/>
        <v>#NAME?</v>
      </c>
      <c r="AA74" t="e">
        <f t="shared" ca="1" si="20"/>
        <v>#NAME?</v>
      </c>
      <c r="AB74" t="e">
        <f t="shared" ca="1" si="21"/>
        <v>#NAME?</v>
      </c>
      <c r="AD74">
        <f t="shared" si="23"/>
        <v>71</v>
      </c>
      <c r="AE74">
        <f t="shared" si="24"/>
        <v>8.7948076969057745</v>
      </c>
    </row>
    <row r="75" spans="1:31" x14ac:dyDescent="0.35">
      <c r="A75">
        <f t="shared" si="13"/>
        <v>72</v>
      </c>
      <c r="B75">
        <v>9.9521659452576507</v>
      </c>
      <c r="D75">
        <f t="shared" si="22"/>
        <v>72</v>
      </c>
      <c r="E75" t="e">
        <f t="shared" ca="1" si="14"/>
        <v>#NAME?</v>
      </c>
      <c r="F75" t="e">
        <f t="shared" ca="1" si="25"/>
        <v>#NAME?</v>
      </c>
      <c r="V75">
        <f t="shared" si="15"/>
        <v>72</v>
      </c>
      <c r="W75" t="e">
        <f t="shared" ca="1" si="16"/>
        <v>#NAME?</v>
      </c>
      <c r="X75" t="e">
        <f t="shared" ca="1" si="17"/>
        <v>#NAME?</v>
      </c>
      <c r="Y75" t="e">
        <f t="shared" ca="1" si="18"/>
        <v>#NAME?</v>
      </c>
      <c r="Z75" t="e">
        <f t="shared" ca="1" si="19"/>
        <v>#NAME?</v>
      </c>
      <c r="AA75" t="e">
        <f t="shared" ca="1" si="20"/>
        <v>#NAME?</v>
      </c>
      <c r="AB75" t="e">
        <f t="shared" ca="1" si="21"/>
        <v>#NAME?</v>
      </c>
      <c r="AD75">
        <f t="shared" si="23"/>
        <v>72</v>
      </c>
      <c r="AE75">
        <f t="shared" si="24"/>
        <v>9.9521659452576507</v>
      </c>
    </row>
    <row r="76" spans="1:31" x14ac:dyDescent="0.35">
      <c r="A76">
        <f t="shared" si="13"/>
        <v>73</v>
      </c>
      <c r="B76">
        <v>9.1465177932835431</v>
      </c>
      <c r="D76">
        <f t="shared" si="22"/>
        <v>73</v>
      </c>
      <c r="E76" t="e">
        <f t="shared" ca="1" si="14"/>
        <v>#NAME?</v>
      </c>
      <c r="F76" t="e">
        <f t="shared" ca="1" si="25"/>
        <v>#NAME?</v>
      </c>
      <c r="V76">
        <f t="shared" si="15"/>
        <v>73</v>
      </c>
      <c r="W76" t="e">
        <f t="shared" ca="1" si="16"/>
        <v>#NAME?</v>
      </c>
      <c r="X76" t="e">
        <f t="shared" ca="1" si="17"/>
        <v>#NAME?</v>
      </c>
      <c r="Y76" t="e">
        <f t="shared" ca="1" si="18"/>
        <v>#NAME?</v>
      </c>
      <c r="Z76" t="e">
        <f t="shared" ca="1" si="19"/>
        <v>#NAME?</v>
      </c>
      <c r="AA76" t="e">
        <f t="shared" ca="1" si="20"/>
        <v>#NAME?</v>
      </c>
      <c r="AB76" t="e">
        <f t="shared" ca="1" si="21"/>
        <v>#NAME?</v>
      </c>
      <c r="AD76">
        <f t="shared" si="23"/>
        <v>73</v>
      </c>
      <c r="AE76">
        <f t="shared" si="24"/>
        <v>9.1465177932835431</v>
      </c>
    </row>
    <row r="77" spans="1:31" x14ac:dyDescent="0.35">
      <c r="A77">
        <f t="shared" si="13"/>
        <v>74</v>
      </c>
      <c r="B77">
        <v>8.4120728228094741</v>
      </c>
      <c r="D77">
        <f t="shared" si="22"/>
        <v>74</v>
      </c>
      <c r="E77" t="e">
        <f t="shared" ca="1" si="14"/>
        <v>#NAME?</v>
      </c>
      <c r="F77" t="e">
        <f t="shared" ca="1" si="25"/>
        <v>#NAME?</v>
      </c>
      <c r="V77">
        <f t="shared" si="15"/>
        <v>74</v>
      </c>
      <c r="W77" t="e">
        <f t="shared" ca="1" si="16"/>
        <v>#NAME?</v>
      </c>
      <c r="X77" t="e">
        <f t="shared" ca="1" si="17"/>
        <v>#NAME?</v>
      </c>
      <c r="Y77" t="e">
        <f t="shared" ca="1" si="18"/>
        <v>#NAME?</v>
      </c>
      <c r="Z77" t="e">
        <f t="shared" ca="1" si="19"/>
        <v>#NAME?</v>
      </c>
      <c r="AA77" t="e">
        <f t="shared" ca="1" si="20"/>
        <v>#NAME?</v>
      </c>
      <c r="AB77" t="e">
        <f t="shared" ca="1" si="21"/>
        <v>#NAME?</v>
      </c>
      <c r="AD77">
        <f t="shared" si="23"/>
        <v>74</v>
      </c>
      <c r="AE77">
        <f t="shared" si="24"/>
        <v>8.4120728228094741</v>
      </c>
    </row>
    <row r="78" spans="1:31" x14ac:dyDescent="0.35">
      <c r="A78">
        <f t="shared" si="13"/>
        <v>75</v>
      </c>
      <c r="B78">
        <v>9.723847340624749</v>
      </c>
      <c r="D78">
        <f t="shared" si="22"/>
        <v>75</v>
      </c>
      <c r="E78" t="e">
        <f t="shared" ca="1" si="14"/>
        <v>#NAME?</v>
      </c>
      <c r="F78" t="e">
        <f t="shared" ca="1" si="25"/>
        <v>#NAME?</v>
      </c>
      <c r="V78">
        <f t="shared" si="15"/>
        <v>75</v>
      </c>
      <c r="W78" t="e">
        <f t="shared" ca="1" si="16"/>
        <v>#NAME?</v>
      </c>
      <c r="X78" t="e">
        <f t="shared" ca="1" si="17"/>
        <v>#NAME?</v>
      </c>
      <c r="Y78" t="e">
        <f t="shared" ca="1" si="18"/>
        <v>#NAME?</v>
      </c>
      <c r="Z78" t="e">
        <f t="shared" ca="1" si="19"/>
        <v>#NAME?</v>
      </c>
      <c r="AA78" t="e">
        <f t="shared" ca="1" si="20"/>
        <v>#NAME?</v>
      </c>
      <c r="AB78" t="e">
        <f t="shared" ca="1" si="21"/>
        <v>#NAME?</v>
      </c>
      <c r="AD78">
        <f t="shared" si="23"/>
        <v>75</v>
      </c>
      <c r="AE78">
        <f t="shared" si="24"/>
        <v>9.723847340624749</v>
      </c>
    </row>
    <row r="79" spans="1:31" x14ac:dyDescent="0.35">
      <c r="A79">
        <f t="shared" si="13"/>
        <v>76</v>
      </c>
      <c r="B79">
        <v>8.4487887533605939</v>
      </c>
      <c r="D79">
        <f t="shared" si="22"/>
        <v>76</v>
      </c>
      <c r="E79" t="e">
        <f t="shared" ca="1" si="14"/>
        <v>#NAME?</v>
      </c>
      <c r="F79" t="e">
        <f t="shared" ca="1" si="25"/>
        <v>#NAME?</v>
      </c>
      <c r="V79">
        <f t="shared" si="15"/>
        <v>76</v>
      </c>
      <c r="W79" t="e">
        <f t="shared" ca="1" si="16"/>
        <v>#NAME?</v>
      </c>
      <c r="X79" t="e">
        <f t="shared" ca="1" si="17"/>
        <v>#NAME?</v>
      </c>
      <c r="Y79" t="e">
        <f t="shared" ca="1" si="18"/>
        <v>#NAME?</v>
      </c>
      <c r="Z79" t="e">
        <f t="shared" ca="1" si="19"/>
        <v>#NAME?</v>
      </c>
      <c r="AA79" t="e">
        <f t="shared" ca="1" si="20"/>
        <v>#NAME?</v>
      </c>
      <c r="AB79" t="e">
        <f t="shared" ca="1" si="21"/>
        <v>#NAME?</v>
      </c>
      <c r="AD79">
        <f t="shared" si="23"/>
        <v>76</v>
      </c>
      <c r="AE79">
        <f t="shared" si="24"/>
        <v>8.4487887533605939</v>
      </c>
    </row>
    <row r="80" spans="1:31" x14ac:dyDescent="0.35">
      <c r="A80">
        <f t="shared" si="13"/>
        <v>77</v>
      </c>
      <c r="B80">
        <v>9.3091696279858951</v>
      </c>
      <c r="D80">
        <f t="shared" si="22"/>
        <v>77</v>
      </c>
      <c r="E80" t="e">
        <f t="shared" ca="1" si="14"/>
        <v>#NAME?</v>
      </c>
      <c r="F80" t="e">
        <f t="shared" ca="1" si="25"/>
        <v>#NAME?</v>
      </c>
      <c r="V80">
        <f t="shared" si="15"/>
        <v>77</v>
      </c>
      <c r="W80" t="e">
        <f t="shared" ca="1" si="16"/>
        <v>#NAME?</v>
      </c>
      <c r="X80" t="e">
        <f t="shared" ca="1" si="17"/>
        <v>#NAME?</v>
      </c>
      <c r="Y80" t="e">
        <f t="shared" ca="1" si="18"/>
        <v>#NAME?</v>
      </c>
      <c r="Z80" t="e">
        <f t="shared" ca="1" si="19"/>
        <v>#NAME?</v>
      </c>
      <c r="AA80" t="e">
        <f t="shared" ca="1" si="20"/>
        <v>#NAME?</v>
      </c>
      <c r="AB80" t="e">
        <f t="shared" ca="1" si="21"/>
        <v>#NAME?</v>
      </c>
      <c r="AD80">
        <f t="shared" si="23"/>
        <v>77</v>
      </c>
      <c r="AE80">
        <f t="shared" si="24"/>
        <v>9.3091696279858951</v>
      </c>
    </row>
    <row r="81" spans="1:31" x14ac:dyDescent="0.35">
      <c r="A81">
        <f t="shared" si="13"/>
        <v>78</v>
      </c>
      <c r="B81">
        <v>9.6290950722323778</v>
      </c>
      <c r="D81">
        <f t="shared" si="22"/>
        <v>78</v>
      </c>
      <c r="E81" t="e">
        <f t="shared" ca="1" si="14"/>
        <v>#NAME?</v>
      </c>
      <c r="F81" t="e">
        <f t="shared" ca="1" si="25"/>
        <v>#NAME?</v>
      </c>
      <c r="V81">
        <f t="shared" si="15"/>
        <v>78</v>
      </c>
      <c r="W81" t="e">
        <f t="shared" ca="1" si="16"/>
        <v>#NAME?</v>
      </c>
      <c r="X81" t="e">
        <f t="shared" ca="1" si="17"/>
        <v>#NAME?</v>
      </c>
      <c r="Y81" t="e">
        <f t="shared" ca="1" si="18"/>
        <v>#NAME?</v>
      </c>
      <c r="Z81" t="e">
        <f t="shared" ca="1" si="19"/>
        <v>#NAME?</v>
      </c>
      <c r="AA81" t="e">
        <f t="shared" ca="1" si="20"/>
        <v>#NAME?</v>
      </c>
      <c r="AB81" t="e">
        <f t="shared" ca="1" si="21"/>
        <v>#NAME?</v>
      </c>
      <c r="AD81">
        <f t="shared" si="23"/>
        <v>78</v>
      </c>
      <c r="AE81">
        <f t="shared" si="24"/>
        <v>9.6290950722323778</v>
      </c>
    </row>
    <row r="82" spans="1:31" x14ac:dyDescent="0.35">
      <c r="A82">
        <f t="shared" si="13"/>
        <v>79</v>
      </c>
      <c r="B82">
        <v>10.498754342121549</v>
      </c>
      <c r="D82">
        <f t="shared" si="22"/>
        <v>79</v>
      </c>
      <c r="E82" t="e">
        <f t="shared" ca="1" si="14"/>
        <v>#NAME?</v>
      </c>
      <c r="F82" t="e">
        <f t="shared" ca="1" si="25"/>
        <v>#NAME?</v>
      </c>
      <c r="V82">
        <f t="shared" si="15"/>
        <v>79</v>
      </c>
      <c r="W82" t="e">
        <f t="shared" ca="1" si="16"/>
        <v>#NAME?</v>
      </c>
      <c r="X82" t="e">
        <f t="shared" ca="1" si="17"/>
        <v>#NAME?</v>
      </c>
      <c r="Y82" t="e">
        <f t="shared" ca="1" si="18"/>
        <v>#NAME?</v>
      </c>
      <c r="Z82" t="e">
        <f t="shared" ca="1" si="19"/>
        <v>#NAME?</v>
      </c>
      <c r="AA82" t="e">
        <f t="shared" ca="1" si="20"/>
        <v>#NAME?</v>
      </c>
      <c r="AB82" t="e">
        <f t="shared" ca="1" si="21"/>
        <v>#NAME?</v>
      </c>
      <c r="AD82">
        <f t="shared" si="23"/>
        <v>79</v>
      </c>
      <c r="AE82">
        <f t="shared" si="24"/>
        <v>10.498754342121549</v>
      </c>
    </row>
    <row r="83" spans="1:31" x14ac:dyDescent="0.35">
      <c r="A83">
        <f t="shared" si="13"/>
        <v>80</v>
      </c>
      <c r="B83">
        <v>8.1345560346257617</v>
      </c>
      <c r="D83">
        <f t="shared" si="22"/>
        <v>80</v>
      </c>
      <c r="E83" t="e">
        <f t="shared" ca="1" si="14"/>
        <v>#NAME?</v>
      </c>
      <c r="F83" t="e">
        <f t="shared" ca="1" si="25"/>
        <v>#NAME?</v>
      </c>
      <c r="V83">
        <f t="shared" si="15"/>
        <v>80</v>
      </c>
      <c r="W83" t="e">
        <f t="shared" ca="1" si="16"/>
        <v>#NAME?</v>
      </c>
      <c r="X83" t="e">
        <f t="shared" ca="1" si="17"/>
        <v>#NAME?</v>
      </c>
      <c r="Y83" t="e">
        <f t="shared" ca="1" si="18"/>
        <v>#NAME?</v>
      </c>
      <c r="Z83" t="e">
        <f t="shared" ca="1" si="19"/>
        <v>#NAME?</v>
      </c>
      <c r="AA83" t="e">
        <f t="shared" ca="1" si="20"/>
        <v>#NAME?</v>
      </c>
      <c r="AB83" t="e">
        <f t="shared" ca="1" si="21"/>
        <v>#NAME?</v>
      </c>
      <c r="AD83">
        <f t="shared" si="23"/>
        <v>80</v>
      </c>
      <c r="AE83">
        <f t="shared" si="24"/>
        <v>8.1345560346257617</v>
      </c>
    </row>
    <row r="84" spans="1:31" x14ac:dyDescent="0.35">
      <c r="A84">
        <f t="shared" si="13"/>
        <v>81</v>
      </c>
      <c r="B84">
        <v>9.155183562363236</v>
      </c>
      <c r="D84">
        <f t="shared" si="22"/>
        <v>81</v>
      </c>
      <c r="E84" t="e">
        <f t="shared" ca="1" si="14"/>
        <v>#NAME?</v>
      </c>
      <c r="F84" t="e">
        <f t="shared" ca="1" si="25"/>
        <v>#NAME?</v>
      </c>
      <c r="V84">
        <f t="shared" si="15"/>
        <v>81</v>
      </c>
      <c r="W84" t="e">
        <f t="shared" ca="1" si="16"/>
        <v>#NAME?</v>
      </c>
      <c r="X84" t="e">
        <f t="shared" ca="1" si="17"/>
        <v>#NAME?</v>
      </c>
      <c r="Y84" t="e">
        <f t="shared" ca="1" si="18"/>
        <v>#NAME?</v>
      </c>
      <c r="Z84" t="e">
        <f t="shared" ca="1" si="19"/>
        <v>#NAME?</v>
      </c>
      <c r="AA84" t="e">
        <f t="shared" ca="1" si="20"/>
        <v>#NAME?</v>
      </c>
      <c r="AB84" t="e">
        <f t="shared" ca="1" si="21"/>
        <v>#NAME?</v>
      </c>
      <c r="AD84">
        <f t="shared" si="23"/>
        <v>81</v>
      </c>
      <c r="AE84">
        <f t="shared" si="24"/>
        <v>9.155183562363236</v>
      </c>
    </row>
    <row r="85" spans="1:31" x14ac:dyDescent="0.35">
      <c r="A85">
        <f t="shared" si="13"/>
        <v>82</v>
      </c>
      <c r="B85">
        <v>7.9920854400738497</v>
      </c>
      <c r="D85">
        <f t="shared" si="22"/>
        <v>82</v>
      </c>
      <c r="E85" t="e">
        <f t="shared" ca="1" si="14"/>
        <v>#NAME?</v>
      </c>
      <c r="F85" t="e">
        <f t="shared" ca="1" si="25"/>
        <v>#NAME?</v>
      </c>
      <c r="V85">
        <f t="shared" si="15"/>
        <v>82</v>
      </c>
      <c r="W85" t="e">
        <f t="shared" ca="1" si="16"/>
        <v>#NAME?</v>
      </c>
      <c r="X85" t="e">
        <f t="shared" ca="1" si="17"/>
        <v>#NAME?</v>
      </c>
      <c r="Y85" t="e">
        <f t="shared" ca="1" si="18"/>
        <v>#NAME?</v>
      </c>
      <c r="Z85" t="e">
        <f t="shared" ca="1" si="19"/>
        <v>#NAME?</v>
      </c>
      <c r="AA85" t="e">
        <f t="shared" ca="1" si="20"/>
        <v>#NAME?</v>
      </c>
      <c r="AB85" t="e">
        <f t="shared" ca="1" si="21"/>
        <v>#NAME?</v>
      </c>
      <c r="AD85">
        <f t="shared" si="23"/>
        <v>82</v>
      </c>
      <c r="AE85">
        <f t="shared" si="24"/>
        <v>7.9920854400738497</v>
      </c>
    </row>
    <row r="86" spans="1:31" x14ac:dyDescent="0.35">
      <c r="A86">
        <f t="shared" si="13"/>
        <v>83</v>
      </c>
      <c r="B86">
        <v>10.439526996669359</v>
      </c>
      <c r="D86">
        <f t="shared" si="22"/>
        <v>83</v>
      </c>
      <c r="E86" t="e">
        <f t="shared" ca="1" si="14"/>
        <v>#NAME?</v>
      </c>
      <c r="F86" t="e">
        <f t="shared" ca="1" si="25"/>
        <v>#NAME?</v>
      </c>
      <c r="V86">
        <f t="shared" si="15"/>
        <v>83</v>
      </c>
      <c r="W86" t="e">
        <f t="shared" ca="1" si="16"/>
        <v>#NAME?</v>
      </c>
      <c r="X86" t="e">
        <f t="shared" ca="1" si="17"/>
        <v>#NAME?</v>
      </c>
      <c r="Y86" t="e">
        <f t="shared" ca="1" si="18"/>
        <v>#NAME?</v>
      </c>
      <c r="Z86" t="e">
        <f t="shared" ca="1" si="19"/>
        <v>#NAME?</v>
      </c>
      <c r="AA86" t="e">
        <f t="shared" ca="1" si="20"/>
        <v>#NAME?</v>
      </c>
      <c r="AB86" t="e">
        <f t="shared" ca="1" si="21"/>
        <v>#NAME?</v>
      </c>
      <c r="AD86">
        <f t="shared" si="23"/>
        <v>83</v>
      </c>
      <c r="AE86">
        <f t="shared" si="24"/>
        <v>10.439526996669359</v>
      </c>
    </row>
    <row r="87" spans="1:31" x14ac:dyDescent="0.35">
      <c r="A87">
        <f t="shared" si="13"/>
        <v>84</v>
      </c>
      <c r="B87">
        <v>11.175252728421926</v>
      </c>
      <c r="D87">
        <f t="shared" si="22"/>
        <v>84</v>
      </c>
      <c r="E87" t="e">
        <f t="shared" ca="1" si="14"/>
        <v>#NAME?</v>
      </c>
      <c r="F87" t="e">
        <f t="shared" ca="1" si="25"/>
        <v>#NAME?</v>
      </c>
      <c r="V87">
        <f t="shared" si="15"/>
        <v>84</v>
      </c>
      <c r="W87" t="e">
        <f t="shared" ca="1" si="16"/>
        <v>#NAME?</v>
      </c>
      <c r="X87" t="e">
        <f t="shared" ca="1" si="17"/>
        <v>#NAME?</v>
      </c>
      <c r="Y87" t="e">
        <f t="shared" ca="1" si="18"/>
        <v>#NAME?</v>
      </c>
      <c r="Z87" t="e">
        <f t="shared" ca="1" si="19"/>
        <v>#NAME?</v>
      </c>
      <c r="AA87" t="e">
        <f t="shared" ca="1" si="20"/>
        <v>#NAME?</v>
      </c>
      <c r="AB87" t="e">
        <f t="shared" ca="1" si="21"/>
        <v>#NAME?</v>
      </c>
      <c r="AD87">
        <f t="shared" si="23"/>
        <v>84</v>
      </c>
      <c r="AE87">
        <f t="shared" si="24"/>
        <v>11.175252728421926</v>
      </c>
    </row>
    <row r="88" spans="1:31" x14ac:dyDescent="0.35">
      <c r="A88">
        <f t="shared" si="13"/>
        <v>85</v>
      </c>
      <c r="B88">
        <v>9.9215034890634719</v>
      </c>
      <c r="D88">
        <f t="shared" si="22"/>
        <v>85</v>
      </c>
      <c r="E88" t="e">
        <f t="shared" ca="1" si="14"/>
        <v>#NAME?</v>
      </c>
      <c r="F88" t="e">
        <f t="shared" ca="1" si="25"/>
        <v>#NAME?</v>
      </c>
      <c r="V88">
        <f t="shared" si="15"/>
        <v>85</v>
      </c>
      <c r="W88" t="e">
        <f t="shared" ca="1" si="16"/>
        <v>#NAME?</v>
      </c>
      <c r="X88" t="e">
        <f t="shared" ca="1" si="17"/>
        <v>#NAME?</v>
      </c>
      <c r="Y88" t="e">
        <f t="shared" ca="1" si="18"/>
        <v>#NAME?</v>
      </c>
      <c r="Z88" t="e">
        <f t="shared" ca="1" si="19"/>
        <v>#NAME?</v>
      </c>
      <c r="AA88" t="e">
        <f t="shared" ca="1" si="20"/>
        <v>#NAME?</v>
      </c>
      <c r="AB88" t="e">
        <f t="shared" ca="1" si="21"/>
        <v>#NAME?</v>
      </c>
      <c r="AD88">
        <f t="shared" si="23"/>
        <v>85</v>
      </c>
      <c r="AE88">
        <f t="shared" si="24"/>
        <v>9.9215034890634719</v>
      </c>
    </row>
    <row r="89" spans="1:31" x14ac:dyDescent="0.35">
      <c r="A89">
        <f t="shared" si="13"/>
        <v>86</v>
      </c>
      <c r="B89">
        <v>10.653018863925139</v>
      </c>
      <c r="D89">
        <f t="shared" si="22"/>
        <v>86</v>
      </c>
      <c r="E89" t="e">
        <f t="shared" ca="1" si="14"/>
        <v>#NAME?</v>
      </c>
      <c r="F89" t="e">
        <f t="shared" ca="1" si="25"/>
        <v>#NAME?</v>
      </c>
      <c r="V89">
        <f t="shared" si="15"/>
        <v>86</v>
      </c>
      <c r="W89" t="e">
        <f t="shared" ca="1" si="16"/>
        <v>#NAME?</v>
      </c>
      <c r="X89" t="e">
        <f t="shared" ca="1" si="17"/>
        <v>#NAME?</v>
      </c>
      <c r="Y89" t="e">
        <f t="shared" ca="1" si="18"/>
        <v>#NAME?</v>
      </c>
      <c r="Z89" t="e">
        <f t="shared" ca="1" si="19"/>
        <v>#NAME?</v>
      </c>
      <c r="AA89" t="e">
        <f t="shared" ca="1" si="20"/>
        <v>#NAME?</v>
      </c>
      <c r="AB89" t="e">
        <f t="shared" ca="1" si="21"/>
        <v>#NAME?</v>
      </c>
      <c r="AD89">
        <f t="shared" si="23"/>
        <v>86</v>
      </c>
      <c r="AE89">
        <f t="shared" si="24"/>
        <v>10.653018863925139</v>
      </c>
    </row>
    <row r="90" spans="1:31" x14ac:dyDescent="0.35">
      <c r="A90">
        <f t="shared" si="13"/>
        <v>87</v>
      </c>
      <c r="B90">
        <v>10.300965035959745</v>
      </c>
      <c r="D90">
        <f t="shared" si="22"/>
        <v>87</v>
      </c>
      <c r="E90" t="e">
        <f t="shared" ca="1" si="14"/>
        <v>#NAME?</v>
      </c>
      <c r="F90" t="e">
        <f t="shared" ca="1" si="25"/>
        <v>#NAME?</v>
      </c>
      <c r="V90">
        <f t="shared" si="15"/>
        <v>87</v>
      </c>
      <c r="W90" t="e">
        <f t="shared" ca="1" si="16"/>
        <v>#NAME?</v>
      </c>
      <c r="X90" t="e">
        <f t="shared" ca="1" si="17"/>
        <v>#NAME?</v>
      </c>
      <c r="Y90" t="e">
        <f t="shared" ca="1" si="18"/>
        <v>#NAME?</v>
      </c>
      <c r="Z90" t="e">
        <f t="shared" ca="1" si="19"/>
        <v>#NAME?</v>
      </c>
      <c r="AA90" t="e">
        <f t="shared" ca="1" si="20"/>
        <v>#NAME?</v>
      </c>
      <c r="AB90" t="e">
        <f t="shared" ca="1" si="21"/>
        <v>#NAME?</v>
      </c>
      <c r="AD90">
        <f t="shared" si="23"/>
        <v>87</v>
      </c>
      <c r="AE90">
        <f t="shared" si="24"/>
        <v>10.300965035959745</v>
      </c>
    </row>
    <row r="91" spans="1:31" x14ac:dyDescent="0.35">
      <c r="A91">
        <f t="shared" si="13"/>
        <v>88</v>
      </c>
      <c r="B91">
        <v>9.322711642040451</v>
      </c>
      <c r="D91">
        <f t="shared" si="22"/>
        <v>88</v>
      </c>
      <c r="E91" t="e">
        <f t="shared" ca="1" si="14"/>
        <v>#NAME?</v>
      </c>
      <c r="F91" t="e">
        <f t="shared" ca="1" si="25"/>
        <v>#NAME?</v>
      </c>
      <c r="V91">
        <f t="shared" si="15"/>
        <v>88</v>
      </c>
      <c r="W91" t="e">
        <f t="shared" ca="1" si="16"/>
        <v>#NAME?</v>
      </c>
      <c r="X91" t="e">
        <f t="shared" ca="1" si="17"/>
        <v>#NAME?</v>
      </c>
      <c r="Y91" t="e">
        <f t="shared" ca="1" si="18"/>
        <v>#NAME?</v>
      </c>
      <c r="Z91" t="e">
        <f t="shared" ca="1" si="19"/>
        <v>#NAME?</v>
      </c>
      <c r="AA91" t="e">
        <f t="shared" ca="1" si="20"/>
        <v>#NAME?</v>
      </c>
      <c r="AB91" t="e">
        <f t="shared" ca="1" si="21"/>
        <v>#NAME?</v>
      </c>
      <c r="AD91">
        <f t="shared" si="23"/>
        <v>88</v>
      </c>
      <c r="AE91">
        <f t="shared" si="24"/>
        <v>9.322711642040451</v>
      </c>
    </row>
    <row r="92" spans="1:31" x14ac:dyDescent="0.35">
      <c r="A92">
        <f t="shared" si="13"/>
        <v>89</v>
      </c>
      <c r="B92">
        <v>11.208496897982</v>
      </c>
      <c r="D92">
        <f t="shared" si="22"/>
        <v>89</v>
      </c>
      <c r="E92" t="e">
        <f t="shared" ca="1" si="14"/>
        <v>#NAME?</v>
      </c>
      <c r="F92" t="e">
        <f t="shared" ca="1" si="25"/>
        <v>#NAME?</v>
      </c>
      <c r="V92">
        <f t="shared" si="15"/>
        <v>89</v>
      </c>
      <c r="W92" t="e">
        <f t="shared" ca="1" si="16"/>
        <v>#NAME?</v>
      </c>
      <c r="X92" t="e">
        <f t="shared" ca="1" si="17"/>
        <v>#NAME?</v>
      </c>
      <c r="Y92" t="e">
        <f t="shared" ca="1" si="18"/>
        <v>#NAME?</v>
      </c>
      <c r="Z92" t="e">
        <f t="shared" ca="1" si="19"/>
        <v>#NAME?</v>
      </c>
      <c r="AA92" t="e">
        <f t="shared" ca="1" si="20"/>
        <v>#NAME?</v>
      </c>
      <c r="AB92" t="e">
        <f t="shared" ca="1" si="21"/>
        <v>#NAME?</v>
      </c>
      <c r="AD92">
        <f t="shared" si="23"/>
        <v>89</v>
      </c>
      <c r="AE92">
        <f t="shared" si="24"/>
        <v>11.208496897982</v>
      </c>
    </row>
    <row r="93" spans="1:31" x14ac:dyDescent="0.35">
      <c r="A93">
        <f t="shared" si="13"/>
        <v>90</v>
      </c>
      <c r="B93">
        <v>9.8337122512150579</v>
      </c>
      <c r="D93">
        <f t="shared" si="22"/>
        <v>90</v>
      </c>
      <c r="E93" t="e">
        <f t="shared" ca="1" si="14"/>
        <v>#NAME?</v>
      </c>
      <c r="F93" t="e">
        <f t="shared" ca="1" si="25"/>
        <v>#NAME?</v>
      </c>
      <c r="V93">
        <f t="shared" si="15"/>
        <v>90</v>
      </c>
      <c r="W93" t="e">
        <f t="shared" ca="1" si="16"/>
        <v>#NAME?</v>
      </c>
      <c r="X93" t="e">
        <f t="shared" ca="1" si="17"/>
        <v>#NAME?</v>
      </c>
      <c r="Y93" t="e">
        <f t="shared" ca="1" si="18"/>
        <v>#NAME?</v>
      </c>
      <c r="Z93" t="e">
        <f t="shared" ca="1" si="19"/>
        <v>#NAME?</v>
      </c>
      <c r="AA93" t="e">
        <f t="shared" ca="1" si="20"/>
        <v>#NAME?</v>
      </c>
      <c r="AB93" t="e">
        <f t="shared" ca="1" si="21"/>
        <v>#NAME?</v>
      </c>
      <c r="AD93">
        <f t="shared" si="23"/>
        <v>90</v>
      </c>
      <c r="AE93">
        <f t="shared" si="24"/>
        <v>9.8337122512150579</v>
      </c>
    </row>
    <row r="94" spans="1:31" x14ac:dyDescent="0.35">
      <c r="A94">
        <f t="shared" si="13"/>
        <v>91</v>
      </c>
      <c r="B94">
        <v>11.009228904367124</v>
      </c>
      <c r="D94">
        <f t="shared" si="22"/>
        <v>91</v>
      </c>
      <c r="E94" t="e">
        <f t="shared" ca="1" si="14"/>
        <v>#NAME?</v>
      </c>
      <c r="F94" t="e">
        <f t="shared" ca="1" si="25"/>
        <v>#NAME?</v>
      </c>
      <c r="V94">
        <f t="shared" si="15"/>
        <v>91</v>
      </c>
      <c r="W94" t="e">
        <f t="shared" ca="1" si="16"/>
        <v>#NAME?</v>
      </c>
      <c r="X94" t="e">
        <f t="shared" ca="1" si="17"/>
        <v>#NAME?</v>
      </c>
      <c r="Y94" t="e">
        <f t="shared" ca="1" si="18"/>
        <v>#NAME?</v>
      </c>
      <c r="Z94" t="e">
        <f t="shared" ca="1" si="19"/>
        <v>#NAME?</v>
      </c>
      <c r="AA94" t="e">
        <f t="shared" ca="1" si="20"/>
        <v>#NAME?</v>
      </c>
      <c r="AB94" t="e">
        <f t="shared" ca="1" si="21"/>
        <v>#NAME?</v>
      </c>
      <c r="AD94">
        <f t="shared" si="23"/>
        <v>91</v>
      </c>
      <c r="AE94">
        <f t="shared" si="24"/>
        <v>11.009228904367124</v>
      </c>
    </row>
    <row r="95" spans="1:31" x14ac:dyDescent="0.35">
      <c r="A95">
        <f t="shared" si="13"/>
        <v>92</v>
      </c>
      <c r="B95">
        <v>9.672211664259164</v>
      </c>
      <c r="D95">
        <f t="shared" si="22"/>
        <v>92</v>
      </c>
      <c r="E95" t="e">
        <f t="shared" ca="1" si="14"/>
        <v>#NAME?</v>
      </c>
      <c r="F95" t="e">
        <f t="shared" ca="1" si="25"/>
        <v>#NAME?</v>
      </c>
      <c r="V95">
        <f t="shared" si="15"/>
        <v>92</v>
      </c>
      <c r="W95" t="e">
        <f t="shared" ca="1" si="16"/>
        <v>#NAME?</v>
      </c>
      <c r="X95" t="e">
        <f t="shared" ca="1" si="17"/>
        <v>#NAME?</v>
      </c>
      <c r="Y95" t="e">
        <f t="shared" ca="1" si="18"/>
        <v>#NAME?</v>
      </c>
      <c r="Z95" t="e">
        <f t="shared" ca="1" si="19"/>
        <v>#NAME?</v>
      </c>
      <c r="AA95" t="e">
        <f t="shared" ca="1" si="20"/>
        <v>#NAME?</v>
      </c>
      <c r="AB95" t="e">
        <f t="shared" ca="1" si="21"/>
        <v>#NAME?</v>
      </c>
      <c r="AD95">
        <f t="shared" si="23"/>
        <v>92</v>
      </c>
      <c r="AE95">
        <f t="shared" si="24"/>
        <v>9.672211664259164</v>
      </c>
    </row>
    <row r="96" spans="1:31" x14ac:dyDescent="0.35">
      <c r="A96">
        <f t="shared" si="13"/>
        <v>93</v>
      </c>
      <c r="B96">
        <v>8.0220551654262664</v>
      </c>
      <c r="D96">
        <f t="shared" si="22"/>
        <v>93</v>
      </c>
      <c r="E96" t="e">
        <f t="shared" ca="1" si="14"/>
        <v>#NAME?</v>
      </c>
      <c r="F96" t="e">
        <f t="shared" ca="1" si="25"/>
        <v>#NAME?</v>
      </c>
      <c r="V96">
        <f t="shared" si="15"/>
        <v>93</v>
      </c>
      <c r="W96" t="e">
        <f t="shared" ca="1" si="16"/>
        <v>#NAME?</v>
      </c>
      <c r="X96" t="e">
        <f t="shared" ca="1" si="17"/>
        <v>#NAME?</v>
      </c>
      <c r="Y96" t="e">
        <f t="shared" ca="1" si="18"/>
        <v>#NAME?</v>
      </c>
      <c r="Z96" t="e">
        <f t="shared" ca="1" si="19"/>
        <v>#NAME?</v>
      </c>
      <c r="AA96" t="e">
        <f t="shared" ca="1" si="20"/>
        <v>#NAME?</v>
      </c>
      <c r="AB96" t="e">
        <f t="shared" ca="1" si="21"/>
        <v>#NAME?</v>
      </c>
      <c r="AD96">
        <f t="shared" si="23"/>
        <v>93</v>
      </c>
      <c r="AE96">
        <f t="shared" si="24"/>
        <v>8.0220551654262664</v>
      </c>
    </row>
    <row r="97" spans="1:31" x14ac:dyDescent="0.35">
      <c r="A97">
        <f t="shared" si="13"/>
        <v>94</v>
      </c>
      <c r="B97">
        <v>9.1001604867082797</v>
      </c>
      <c r="D97">
        <f t="shared" si="22"/>
        <v>94</v>
      </c>
      <c r="E97" t="e">
        <f t="shared" ca="1" si="14"/>
        <v>#NAME?</v>
      </c>
      <c r="F97" t="e">
        <f t="shared" ca="1" si="25"/>
        <v>#NAME?</v>
      </c>
      <c r="V97">
        <f t="shared" si="15"/>
        <v>94</v>
      </c>
      <c r="W97" t="e">
        <f t="shared" ca="1" si="16"/>
        <v>#NAME?</v>
      </c>
      <c r="X97" t="e">
        <f t="shared" ca="1" si="17"/>
        <v>#NAME?</v>
      </c>
      <c r="Y97" t="e">
        <f t="shared" ca="1" si="18"/>
        <v>#NAME?</v>
      </c>
      <c r="Z97" t="e">
        <f t="shared" ca="1" si="19"/>
        <v>#NAME?</v>
      </c>
      <c r="AA97" t="e">
        <f t="shared" ca="1" si="20"/>
        <v>#NAME?</v>
      </c>
      <c r="AB97" t="e">
        <f t="shared" ca="1" si="21"/>
        <v>#NAME?</v>
      </c>
      <c r="AD97">
        <f t="shared" si="23"/>
        <v>94</v>
      </c>
      <c r="AE97">
        <f t="shared" si="24"/>
        <v>9.1001604867082797</v>
      </c>
    </row>
    <row r="98" spans="1:31" x14ac:dyDescent="0.35">
      <c r="A98">
        <f t="shared" si="13"/>
        <v>95</v>
      </c>
      <c r="B98">
        <v>10.293563569831946</v>
      </c>
      <c r="D98">
        <f t="shared" si="22"/>
        <v>95</v>
      </c>
      <c r="E98" t="e">
        <f t="shared" ca="1" si="14"/>
        <v>#NAME?</v>
      </c>
      <c r="F98" t="e">
        <f t="shared" ca="1" si="25"/>
        <v>#NAME?</v>
      </c>
      <c r="V98">
        <f t="shared" si="15"/>
        <v>95</v>
      </c>
      <c r="W98" t="e">
        <f t="shared" ca="1" si="16"/>
        <v>#NAME?</v>
      </c>
      <c r="X98" t="e">
        <f t="shared" ca="1" si="17"/>
        <v>#NAME?</v>
      </c>
      <c r="Y98" t="e">
        <f t="shared" ca="1" si="18"/>
        <v>#NAME?</v>
      </c>
      <c r="Z98" t="e">
        <f t="shared" ca="1" si="19"/>
        <v>#NAME?</v>
      </c>
      <c r="AA98" t="e">
        <f t="shared" ca="1" si="20"/>
        <v>#NAME?</v>
      </c>
      <c r="AB98" t="e">
        <f t="shared" ca="1" si="21"/>
        <v>#NAME?</v>
      </c>
      <c r="AD98">
        <f t="shared" si="23"/>
        <v>95</v>
      </c>
      <c r="AE98">
        <f t="shared" si="24"/>
        <v>10.293563569831946</v>
      </c>
    </row>
    <row r="99" spans="1:31" x14ac:dyDescent="0.35">
      <c r="A99">
        <f t="shared" si="13"/>
        <v>96</v>
      </c>
      <c r="B99">
        <v>10.874137892356456</v>
      </c>
      <c r="D99">
        <f t="shared" si="22"/>
        <v>96</v>
      </c>
      <c r="E99" t="e">
        <f t="shared" ca="1" si="14"/>
        <v>#NAME?</v>
      </c>
      <c r="F99" t="e">
        <f t="shared" ca="1" si="25"/>
        <v>#NAME?</v>
      </c>
      <c r="V99">
        <f t="shared" si="15"/>
        <v>96</v>
      </c>
      <c r="W99" t="e">
        <f t="shared" ca="1" si="16"/>
        <v>#NAME?</v>
      </c>
      <c r="X99" t="e">
        <f t="shared" ca="1" si="17"/>
        <v>#NAME?</v>
      </c>
      <c r="Y99" t="e">
        <f t="shared" ca="1" si="18"/>
        <v>#NAME?</v>
      </c>
      <c r="Z99" t="e">
        <f t="shared" ca="1" si="19"/>
        <v>#NAME?</v>
      </c>
      <c r="AA99" t="e">
        <f t="shared" ca="1" si="20"/>
        <v>#NAME?</v>
      </c>
      <c r="AB99" t="e">
        <f t="shared" ca="1" si="21"/>
        <v>#NAME?</v>
      </c>
      <c r="AD99">
        <f t="shared" si="23"/>
        <v>96</v>
      </c>
      <c r="AE99">
        <f t="shared" si="24"/>
        <v>10.874137892356456</v>
      </c>
    </row>
    <row r="100" spans="1:31" x14ac:dyDescent="0.35">
      <c r="A100">
        <f t="shared" si="13"/>
        <v>97</v>
      </c>
      <c r="B100">
        <v>11.048588930382071</v>
      </c>
      <c r="D100">
        <f t="shared" si="22"/>
        <v>97</v>
      </c>
      <c r="E100" t="e">
        <f t="shared" ca="1" si="14"/>
        <v>#NAME?</v>
      </c>
      <c r="F100" t="e">
        <f t="shared" ca="1" si="25"/>
        <v>#NAME?</v>
      </c>
      <c r="V100">
        <f t="shared" si="15"/>
        <v>97</v>
      </c>
      <c r="W100" t="e">
        <f t="shared" ca="1" si="16"/>
        <v>#NAME?</v>
      </c>
      <c r="X100" t="e">
        <f t="shared" ca="1" si="17"/>
        <v>#NAME?</v>
      </c>
      <c r="Y100" t="e">
        <f t="shared" ca="1" si="18"/>
        <v>#NAME?</v>
      </c>
      <c r="Z100" t="e">
        <f t="shared" ca="1" si="19"/>
        <v>#NAME?</v>
      </c>
      <c r="AA100" t="e">
        <f t="shared" ca="1" si="20"/>
        <v>#NAME?</v>
      </c>
      <c r="AB100" t="e">
        <f t="shared" ca="1" si="21"/>
        <v>#NAME?</v>
      </c>
      <c r="AD100">
        <f t="shared" si="23"/>
        <v>97</v>
      </c>
      <c r="AE100">
        <f t="shared" si="24"/>
        <v>11.048588930382071</v>
      </c>
    </row>
    <row r="101" spans="1:31" x14ac:dyDescent="0.35">
      <c r="A101">
        <f t="shared" si="13"/>
        <v>98</v>
      </c>
      <c r="B101">
        <v>10.377103608405847</v>
      </c>
      <c r="D101">
        <f t="shared" si="22"/>
        <v>98</v>
      </c>
      <c r="E101" t="e">
        <f t="shared" ca="1" si="14"/>
        <v>#NAME?</v>
      </c>
      <c r="F101" t="e">
        <f t="shared" ca="1" si="25"/>
        <v>#NAME?</v>
      </c>
      <c r="V101">
        <f t="shared" si="15"/>
        <v>98</v>
      </c>
      <c r="W101" t="e">
        <f t="shared" ca="1" si="16"/>
        <v>#NAME?</v>
      </c>
      <c r="X101" t="e">
        <f t="shared" ca="1" si="17"/>
        <v>#NAME?</v>
      </c>
      <c r="Y101" t="e">
        <f t="shared" ca="1" si="18"/>
        <v>#NAME?</v>
      </c>
      <c r="Z101" t="e">
        <f t="shared" ca="1" si="19"/>
        <v>#NAME?</v>
      </c>
      <c r="AA101" t="e">
        <f t="shared" ca="1" si="20"/>
        <v>#NAME?</v>
      </c>
      <c r="AB101" t="e">
        <f t="shared" ca="1" si="21"/>
        <v>#NAME?</v>
      </c>
      <c r="AD101">
        <f t="shared" si="23"/>
        <v>98</v>
      </c>
      <c r="AE101">
        <f t="shared" si="24"/>
        <v>10.377103608405847</v>
      </c>
    </row>
    <row r="102" spans="1:31" x14ac:dyDescent="0.35">
      <c r="A102">
        <f t="shared" si="13"/>
        <v>99</v>
      </c>
      <c r="B102">
        <v>11.10073340647541</v>
      </c>
      <c r="D102">
        <f t="shared" si="22"/>
        <v>99</v>
      </c>
      <c r="E102" t="e">
        <f t="shared" ca="1" si="14"/>
        <v>#NAME?</v>
      </c>
      <c r="F102" t="e">
        <f t="shared" ca="1" si="25"/>
        <v>#NAME?</v>
      </c>
      <c r="V102">
        <f t="shared" si="15"/>
        <v>99</v>
      </c>
      <c r="W102" t="e">
        <f t="shared" ca="1" si="16"/>
        <v>#NAME?</v>
      </c>
      <c r="X102" t="e">
        <f t="shared" ca="1" si="17"/>
        <v>#NAME?</v>
      </c>
      <c r="Y102" t="e">
        <f t="shared" ca="1" si="18"/>
        <v>#NAME?</v>
      </c>
      <c r="Z102" t="e">
        <f t="shared" ca="1" si="19"/>
        <v>#NAME?</v>
      </c>
      <c r="AA102" t="e">
        <f t="shared" ca="1" si="20"/>
        <v>#NAME?</v>
      </c>
      <c r="AB102" t="e">
        <f t="shared" ca="1" si="21"/>
        <v>#NAME?</v>
      </c>
      <c r="AD102">
        <f t="shared" si="23"/>
        <v>99</v>
      </c>
      <c r="AE102">
        <f t="shared" si="24"/>
        <v>11.10073340647541</v>
      </c>
    </row>
    <row r="103" spans="1:31" x14ac:dyDescent="0.35">
      <c r="A103">
        <f t="shared" si="13"/>
        <v>100</v>
      </c>
      <c r="B103">
        <v>9.5564566897714425</v>
      </c>
      <c r="D103">
        <f t="shared" si="22"/>
        <v>100</v>
      </c>
      <c r="E103" t="e">
        <f t="shared" ca="1" si="14"/>
        <v>#NAME?</v>
      </c>
      <c r="F103" t="e">
        <f t="shared" ca="1" si="25"/>
        <v>#NAME?</v>
      </c>
      <c r="V103">
        <f t="shared" si="15"/>
        <v>100</v>
      </c>
      <c r="W103" t="e">
        <f t="shared" ca="1" si="16"/>
        <v>#NAME?</v>
      </c>
      <c r="X103" t="e">
        <f t="shared" ca="1" si="17"/>
        <v>#NAME?</v>
      </c>
      <c r="Y103" t="e">
        <f t="shared" ca="1" si="18"/>
        <v>#NAME?</v>
      </c>
      <c r="Z103" t="e">
        <f t="shared" ca="1" si="19"/>
        <v>#NAME?</v>
      </c>
      <c r="AA103" t="e">
        <f t="shared" ca="1" si="20"/>
        <v>#NAME?</v>
      </c>
      <c r="AB103" t="e">
        <f t="shared" ca="1" si="21"/>
        <v>#NAME?</v>
      </c>
      <c r="AD103">
        <f t="shared" si="23"/>
        <v>100</v>
      </c>
      <c r="AE103">
        <f t="shared" si="24"/>
        <v>9.5564566897714425</v>
      </c>
    </row>
    <row r="104" spans="1:31" x14ac:dyDescent="0.35">
      <c r="A104">
        <f t="shared" si="13"/>
        <v>101</v>
      </c>
      <c r="B104">
        <v>10.126612012197914</v>
      </c>
      <c r="D104">
        <f t="shared" si="22"/>
        <v>101</v>
      </c>
      <c r="E104" t="e">
        <f t="shared" ca="1" si="14"/>
        <v>#NAME?</v>
      </c>
      <c r="F104" t="e">
        <f t="shared" ca="1" si="25"/>
        <v>#NAME?</v>
      </c>
      <c r="V104">
        <f t="shared" si="15"/>
        <v>101</v>
      </c>
      <c r="W104" t="e">
        <f t="shared" ca="1" si="16"/>
        <v>#NAME?</v>
      </c>
      <c r="X104" t="e">
        <f t="shared" ca="1" si="17"/>
        <v>#NAME?</v>
      </c>
      <c r="Y104" t="e">
        <f t="shared" ca="1" si="18"/>
        <v>#NAME?</v>
      </c>
      <c r="Z104" t="e">
        <f t="shared" ca="1" si="19"/>
        <v>#NAME?</v>
      </c>
      <c r="AA104" t="e">
        <f t="shared" ca="1" si="20"/>
        <v>#NAME?</v>
      </c>
      <c r="AB104" t="e">
        <f t="shared" ca="1" si="21"/>
        <v>#NAME?</v>
      </c>
      <c r="AD104">
        <f t="shared" si="23"/>
        <v>101</v>
      </c>
      <c r="AE104">
        <f t="shared" si="24"/>
        <v>10.126612012197914</v>
      </c>
    </row>
    <row r="105" spans="1:31" x14ac:dyDescent="0.35">
      <c r="A105">
        <f t="shared" si="13"/>
        <v>102</v>
      </c>
      <c r="B105">
        <v>10.618656799718755</v>
      </c>
      <c r="D105">
        <f t="shared" si="22"/>
        <v>102</v>
      </c>
      <c r="E105" t="e">
        <f t="shared" ca="1" si="14"/>
        <v>#NAME?</v>
      </c>
      <c r="F105" t="e">
        <f t="shared" ca="1" si="25"/>
        <v>#NAME?</v>
      </c>
      <c r="V105">
        <f t="shared" si="15"/>
        <v>102</v>
      </c>
      <c r="W105" t="e">
        <f t="shared" ca="1" si="16"/>
        <v>#NAME?</v>
      </c>
      <c r="X105" t="e">
        <f t="shared" ca="1" si="17"/>
        <v>#NAME?</v>
      </c>
      <c r="Y105" t="e">
        <f t="shared" ca="1" si="18"/>
        <v>#NAME?</v>
      </c>
      <c r="Z105" t="e">
        <f t="shared" ca="1" si="19"/>
        <v>#NAME?</v>
      </c>
      <c r="AA105" t="e">
        <f t="shared" ca="1" si="20"/>
        <v>#NAME?</v>
      </c>
      <c r="AB105" t="e">
        <f t="shared" ca="1" si="21"/>
        <v>#NAME?</v>
      </c>
      <c r="AD105">
        <f t="shared" si="23"/>
        <v>102</v>
      </c>
      <c r="AE105">
        <f t="shared" si="24"/>
        <v>10.618656799718755</v>
      </c>
    </row>
    <row r="106" spans="1:31" x14ac:dyDescent="0.35">
      <c r="A106">
        <f t="shared" si="13"/>
        <v>103</v>
      </c>
      <c r="B106">
        <v>11.369377647513675</v>
      </c>
      <c r="D106" s="4">
        <f t="shared" si="22"/>
        <v>103</v>
      </c>
      <c r="E106" s="4" t="e">
        <f t="shared" ca="1" si="14"/>
        <v>#NAME?</v>
      </c>
      <c r="F106" s="4" t="e">
        <f t="shared" ca="1" si="25"/>
        <v>#NAME?</v>
      </c>
      <c r="V106">
        <f t="shared" si="15"/>
        <v>103</v>
      </c>
      <c r="W106" t="e">
        <f t="shared" ca="1" si="16"/>
        <v>#NAME?</v>
      </c>
      <c r="X106" t="e">
        <f t="shared" ca="1" si="17"/>
        <v>#NAME?</v>
      </c>
      <c r="Y106" t="e">
        <f t="shared" ca="1" si="18"/>
        <v>#NAME?</v>
      </c>
      <c r="Z106" t="e">
        <f t="shared" ca="1" si="19"/>
        <v>#NAME?</v>
      </c>
      <c r="AA106" t="e">
        <f t="shared" ca="1" si="20"/>
        <v>#NAME?</v>
      </c>
      <c r="AB106" t="e">
        <f t="shared" ca="1" si="21"/>
        <v>#NAME?</v>
      </c>
      <c r="AD106">
        <f t="shared" si="23"/>
        <v>103</v>
      </c>
      <c r="AE106">
        <f t="shared" si="24"/>
        <v>11.369377647513675</v>
      </c>
    </row>
    <row r="107" spans="1:31" x14ac:dyDescent="0.35">
      <c r="A107">
        <f t="shared" si="13"/>
        <v>104</v>
      </c>
      <c r="B107">
        <v>10.761442220235375</v>
      </c>
      <c r="V107">
        <f>V106+1</f>
        <v>104</v>
      </c>
      <c r="Y107" t="e">
        <f ca="1">SUMPRODUCT(W105:W106,I$4:I$5)+SUMPRODUCT(X106,J$5)</f>
        <v>#NAME?</v>
      </c>
      <c r="Z107" t="e">
        <f ca="1">J$15*SQRT(SUMSQ(M$15:M15))</f>
        <v>#NAME?</v>
      </c>
      <c r="AA107" t="e">
        <f ca="1">Y107-NORMSINV(1-Z$2/2)*Z107</f>
        <v>#NAME?</v>
      </c>
      <c r="AB107" t="e">
        <f ca="1">Y107+NORMSINV(1-Z$2/2)*Z107</f>
        <v>#NAME?</v>
      </c>
      <c r="AD107">
        <f t="shared" si="23"/>
        <v>104</v>
      </c>
      <c r="AE107">
        <f t="shared" si="24"/>
        <v>10.761442220235375</v>
      </c>
    </row>
    <row r="108" spans="1:31" x14ac:dyDescent="0.35">
      <c r="A108">
        <f t="shared" si="13"/>
        <v>105</v>
      </c>
      <c r="B108" s="4">
        <v>11.954765055482959</v>
      </c>
      <c r="V108">
        <f>V107+1</f>
        <v>105</v>
      </c>
      <c r="Y108" t="e">
        <f ca="1">SUMPRODUCT(W106,I4)+SUMPRODUCT(Y107,I5)</f>
        <v>#NAME?</v>
      </c>
      <c r="Z108" t="e">
        <f ca="1">J$15*SQRT(SUMSQ(M$15:M16))</f>
        <v>#NAME?</v>
      </c>
      <c r="AA108" t="e">
        <f ca="1">Y108-NORMSINV(1-Z$2/2)*Z108</f>
        <v>#NAME?</v>
      </c>
      <c r="AB108" t="e">
        <f ca="1">Y108+NORMSINV(1-Z$2/2)*Z108</f>
        <v>#NAME?</v>
      </c>
      <c r="AD108" s="4">
        <f t="shared" si="23"/>
        <v>105</v>
      </c>
      <c r="AE108" s="4">
        <f t="shared" si="24"/>
        <v>11.954765055482959</v>
      </c>
    </row>
    <row r="109" spans="1:31" x14ac:dyDescent="0.35">
      <c r="V109">
        <f>V108+1</f>
        <v>106</v>
      </c>
      <c r="Y109" t="e">
        <f ca="1">SUMPRODUCT(Y107:Y108,I4:I5)</f>
        <v>#NAME?</v>
      </c>
      <c r="Z109" t="e">
        <f ca="1">J$15*SQRT(SUMSQ(M$15:M17))</f>
        <v>#NAME?</v>
      </c>
      <c r="AA109" t="e">
        <f ca="1">Y109-NORMSINV(1-Z$2/2)*Z109</f>
        <v>#NAME?</v>
      </c>
      <c r="AB109" t="e">
        <f ca="1">Y109+NORMSINV(1-Z$2/2)*Z109</f>
        <v>#NAME?</v>
      </c>
      <c r="AD109">
        <f t="shared" si="23"/>
        <v>106</v>
      </c>
      <c r="AE109" t="e">
        <f ca="1">Y107+2*AE108-AE107+J$6</f>
        <v>#NAME?</v>
      </c>
    </row>
    <row r="110" spans="1:31" x14ac:dyDescent="0.35">
      <c r="V110">
        <f>V109+1</f>
        <v>107</v>
      </c>
      <c r="Y110" t="e">
        <f ca="1">SUMPRODUCT(Y108:Y109,I4:I5)</f>
        <v>#NAME?</v>
      </c>
      <c r="Z110" t="e">
        <f ca="1">J$15*SQRT(SUMSQ(M$15:M18))</f>
        <v>#NAME?</v>
      </c>
      <c r="AA110" t="e">
        <f ca="1">Y110-NORMSINV(1-Z$2/2)*Z110</f>
        <v>#NAME?</v>
      </c>
      <c r="AB110" t="e">
        <f ca="1">Y110+NORMSINV(1-Z$2/2)*Z110</f>
        <v>#NAME?</v>
      </c>
      <c r="AD110">
        <f t="shared" si="23"/>
        <v>107</v>
      </c>
      <c r="AE110" t="e">
        <f ca="1">Y108+2*AE109-AE108+J$6</f>
        <v>#NAME?</v>
      </c>
    </row>
    <row r="111" spans="1:31" x14ac:dyDescent="0.35">
      <c r="V111" s="4">
        <f>V110+1</f>
        <v>108</v>
      </c>
      <c r="W111" s="4"/>
      <c r="X111" s="4"/>
      <c r="Y111" s="4" t="e">
        <f ca="1">SUMPRODUCT(Y109:Y110,I4:I5)</f>
        <v>#NAME?</v>
      </c>
      <c r="Z111" s="4" t="e">
        <f ca="1">J$15*SQRT(SUMSQ(M$15:M19))</f>
        <v>#NAME?</v>
      </c>
      <c r="AA111" s="4" t="e">
        <f ca="1">Y111-NORMSINV(1-Z$2/2)*Z111</f>
        <v>#NAME?</v>
      </c>
      <c r="AB111" s="4" t="e">
        <f ca="1">Y111+NORMSINV(1-Z$2/2)*Z111</f>
        <v>#NAME?</v>
      </c>
      <c r="AD111">
        <f t="shared" si="23"/>
        <v>108</v>
      </c>
      <c r="AE111" t="e">
        <f ca="1">Y109+2*AE110-AE109+J$6</f>
        <v>#NAME?</v>
      </c>
    </row>
    <row r="112" spans="1:31" x14ac:dyDescent="0.35">
      <c r="AD112">
        <f t="shared" si="23"/>
        <v>109</v>
      </c>
      <c r="AE112" t="e">
        <f ca="1">Y110+2*AE111-AE110+J$6</f>
        <v>#NAME?</v>
      </c>
    </row>
    <row r="113" spans="30:31" x14ac:dyDescent="0.35">
      <c r="AD113" s="4">
        <f t="shared" si="23"/>
        <v>110</v>
      </c>
      <c r="AE113" s="4" t="e">
        <f ca="1">Y111+2*AE112-AE111+J$6</f>
        <v>#NAME?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25"/>
  <dimension ref="A1:AE113"/>
  <sheetViews>
    <sheetView workbookViewId="0"/>
  </sheetViews>
  <sheetFormatPr defaultRowHeight="14.5" x14ac:dyDescent="0.35"/>
  <cols>
    <col min="1" max="1" width="4.81640625" customWidth="1"/>
  </cols>
  <sheetData>
    <row r="1" spans="1:31" x14ac:dyDescent="0.35">
      <c r="A1" s="7" t="s">
        <v>430</v>
      </c>
      <c r="D1" t="s">
        <v>353</v>
      </c>
      <c r="H1" t="s">
        <v>355</v>
      </c>
      <c r="L1" t="s">
        <v>374</v>
      </c>
      <c r="P1" t="s">
        <v>487</v>
      </c>
      <c r="V1" t="s">
        <v>383</v>
      </c>
      <c r="AD1" t="s">
        <v>384</v>
      </c>
    </row>
    <row r="2" spans="1:31" ht="15" thickBot="1" x14ac:dyDescent="0.4">
      <c r="A2" s="72"/>
      <c r="B2" s="72"/>
      <c r="Y2" t="s">
        <v>156</v>
      </c>
      <c r="Z2">
        <v>0.05</v>
      </c>
    </row>
    <row r="3" spans="1:31" ht="15" thickTop="1" x14ac:dyDescent="0.35">
      <c r="B3" s="149" t="s">
        <v>110</v>
      </c>
      <c r="D3" s="45" t="s">
        <v>291</v>
      </c>
      <c r="E3" s="45" t="s">
        <v>194</v>
      </c>
      <c r="F3" s="45" t="s">
        <v>354</v>
      </c>
      <c r="H3" s="45" t="s">
        <v>356</v>
      </c>
      <c r="I3" s="45" t="s">
        <v>357</v>
      </c>
      <c r="J3" s="45" t="s">
        <v>358</v>
      </c>
      <c r="L3" s="45" t="s">
        <v>173</v>
      </c>
      <c r="M3" s="45" t="s">
        <v>174</v>
      </c>
      <c r="N3" s="45" t="s">
        <v>375</v>
      </c>
      <c r="P3" s="45" t="s">
        <v>380</v>
      </c>
      <c r="Q3" s="45" t="s">
        <v>167</v>
      </c>
      <c r="R3" s="45" t="s">
        <v>81</v>
      </c>
      <c r="S3" s="45" t="s">
        <v>392</v>
      </c>
      <c r="T3" s="45" t="s">
        <v>92</v>
      </c>
      <c r="V3" s="45" t="s">
        <v>291</v>
      </c>
      <c r="W3" s="45" t="s">
        <v>194</v>
      </c>
      <c r="X3" s="45" t="s">
        <v>354</v>
      </c>
      <c r="Y3" s="45" t="s">
        <v>138</v>
      </c>
      <c r="Z3" s="45" t="s">
        <v>81</v>
      </c>
      <c r="AA3" s="45" t="s">
        <v>127</v>
      </c>
      <c r="AB3" s="45" t="s">
        <v>128</v>
      </c>
      <c r="AD3" s="45" t="s">
        <v>291</v>
      </c>
      <c r="AE3" s="45" t="s">
        <v>179</v>
      </c>
    </row>
    <row r="4" spans="1:31" x14ac:dyDescent="0.35">
      <c r="A4">
        <v>1</v>
      </c>
      <c r="B4">
        <v>3.1176756475655343</v>
      </c>
      <c r="D4">
        <v>1</v>
      </c>
      <c r="E4">
        <f>B6-2*B5+B4-J$6</f>
        <v>-3.5870937804010494</v>
      </c>
      <c r="F4">
        <v>0</v>
      </c>
      <c r="H4" s="137">
        <v>2</v>
      </c>
      <c r="I4">
        <v>-0.14877473524912185</v>
      </c>
      <c r="J4">
        <v>0</v>
      </c>
      <c r="L4" t="e">
        <f t="array" aca="1" ref="L4:N5" ca="1">ARRoots(I4:I5)</f>
        <v>#NAME?</v>
      </c>
      <c r="M4" t="e">
        <f ca="1"/>
        <v>#NAME?</v>
      </c>
      <c r="N4" t="e">
        <f ca="1"/>
        <v>#NAME?</v>
      </c>
      <c r="P4" s="152" t="s">
        <v>120</v>
      </c>
      <c r="Q4" s="152">
        <f>J16</f>
        <v>4.7722338769122666E-3</v>
      </c>
      <c r="R4" s="152">
        <f>J17/SQRT(J18)</f>
        <v>0.2146775633193172</v>
      </c>
      <c r="S4" s="152">
        <f>Q4/R4</f>
        <v>2.2229774752072797E-2</v>
      </c>
      <c r="T4" s="152">
        <f>TDIST(ABS(S4),J$18-1,2)</f>
        <v>0.98230896342469909</v>
      </c>
      <c r="V4">
        <f>D4</f>
        <v>1</v>
      </c>
      <c r="W4">
        <f>E4</f>
        <v>-3.5870937804010494</v>
      </c>
      <c r="X4">
        <f>F4</f>
        <v>0</v>
      </c>
      <c r="Y4">
        <f>W4-X4</f>
        <v>-3.5870937804010494</v>
      </c>
      <c r="Z4">
        <f>J$15</f>
        <v>1.1814764762495735</v>
      </c>
      <c r="AA4">
        <f>Y4-NORMSINV(1-Z$2/2)*Z4</f>
        <v>-5.9027451224315062</v>
      </c>
      <c r="AB4">
        <f>Y4+NORMSINV(1-Z$2/2)*Z4</f>
        <v>-1.2714424383705931</v>
      </c>
      <c r="AD4">
        <v>1</v>
      </c>
      <c r="AE4">
        <f>B4</f>
        <v>3.1176756475655343</v>
      </c>
    </row>
    <row r="5" spans="1:31" x14ac:dyDescent="0.35">
      <c r="A5">
        <f t="shared" ref="A5:A68" si="0">A4+1</f>
        <v>2</v>
      </c>
      <c r="B5">
        <v>5.8082510857989273</v>
      </c>
      <c r="D5">
        <f>D4+1</f>
        <v>2</v>
      </c>
      <c r="E5">
        <f t="shared" ref="E5:E68" si="1">B7-2*B6+B5-J$6</f>
        <v>2.1191525165451139</v>
      </c>
      <c r="F5">
        <v>0</v>
      </c>
      <c r="H5" s="137">
        <f>H4-1</f>
        <v>1</v>
      </c>
      <c r="I5">
        <v>-0.5185446393154074</v>
      </c>
      <c r="J5">
        <v>-0.9289447533261459</v>
      </c>
      <c r="L5" s="4" t="e">
        <f ca="1"/>
        <v>#NAME?</v>
      </c>
      <c r="M5" s="4" t="e">
        <f ca="1"/>
        <v>#NAME?</v>
      </c>
      <c r="N5" s="4" t="e">
        <f ca="1"/>
        <v>#NAME?</v>
      </c>
      <c r="V5">
        <f t="shared" ref="V5:V68" si="2">D5</f>
        <v>2</v>
      </c>
      <c r="W5">
        <f t="shared" ref="W5:W68" si="3">E5</f>
        <v>2.1191525165451139</v>
      </c>
      <c r="X5">
        <f t="shared" ref="X5:X68" si="4">F5</f>
        <v>0</v>
      </c>
      <c r="Y5">
        <f t="shared" ref="Y5:Y68" si="5">W5-X5</f>
        <v>2.1191525165451139</v>
      </c>
      <c r="Z5">
        <f t="shared" ref="Z5:Z68" si="6">J$15</f>
        <v>1.1814764762495735</v>
      </c>
      <c r="AA5">
        <f t="shared" ref="AA5:AA68" si="7">Y5-NORMSINV(1-Z$2/2)*Z5</f>
        <v>-0.19649882548534237</v>
      </c>
      <c r="AB5">
        <f t="shared" ref="AB5:AB68" si="8">Y5+NORMSINV(1-Z$2/2)*Z5</f>
        <v>4.4348038585755702</v>
      </c>
      <c r="AD5">
        <f>AD4+1</f>
        <v>2</v>
      </c>
      <c r="AE5">
        <f>B5</f>
        <v>5.8082510857989273</v>
      </c>
    </row>
    <row r="6" spans="1:31" x14ac:dyDescent="0.35">
      <c r="A6">
        <f t="shared" si="0"/>
        <v>3</v>
      </c>
      <c r="B6">
        <v>4.9067685983817757</v>
      </c>
      <c r="D6">
        <f t="shared" ref="D6:D69" si="9">D5+1</f>
        <v>3</v>
      </c>
      <c r="E6">
        <f t="shared" si="1"/>
        <v>0.80811009087649299</v>
      </c>
      <c r="F6">
        <f>E6-SUMPRODUCT(E4:E5,I$4:I$5)-SUMPRODUCT(F5,J$5)</f>
        <v>1.373316340729779</v>
      </c>
      <c r="H6" s="10" t="s">
        <v>359</v>
      </c>
      <c r="I6" s="4">
        <f>J6*(1-SUM(I4:I5))</f>
        <v>-8.2768155526358085E-3</v>
      </c>
      <c r="J6" s="4">
        <v>-4.9641452494951959E-3</v>
      </c>
      <c r="V6">
        <f t="shared" si="2"/>
        <v>3</v>
      </c>
      <c r="W6">
        <f t="shared" si="3"/>
        <v>0.80811009087649299</v>
      </c>
      <c r="X6">
        <f t="shared" si="4"/>
        <v>1.373316340729779</v>
      </c>
      <c r="Y6">
        <f t="shared" si="5"/>
        <v>-0.56520624985328605</v>
      </c>
      <c r="Z6">
        <f t="shared" si="6"/>
        <v>1.1814764762495735</v>
      </c>
      <c r="AA6">
        <f t="shared" si="7"/>
        <v>-2.8808575918837422</v>
      </c>
      <c r="AB6">
        <f t="shared" si="8"/>
        <v>1.7504450921771704</v>
      </c>
      <c r="AD6">
        <f t="shared" ref="AD6:AD69" si="10">AD5+1</f>
        <v>3</v>
      </c>
      <c r="AE6">
        <f t="shared" ref="AE6:AE69" si="11">B6</f>
        <v>4.9067685983817757</v>
      </c>
    </row>
    <row r="7" spans="1:31" x14ac:dyDescent="0.35">
      <c r="A7">
        <f t="shared" si="0"/>
        <v>4</v>
      </c>
      <c r="B7">
        <v>6.1194744822602427</v>
      </c>
      <c r="D7">
        <f t="shared" si="9"/>
        <v>4</v>
      </c>
      <c r="E7">
        <f t="shared" si="1"/>
        <v>-0.80134656937570281</v>
      </c>
      <c r="F7">
        <f t="shared" ref="F7:F70" si="12">E7-SUMPRODUCT(E5:E6,I$4:I$5)-SUMPRODUCT(F6,J$5)</f>
        <v>1.208705950204489</v>
      </c>
      <c r="L7" t="s">
        <v>376</v>
      </c>
      <c r="V7">
        <f t="shared" si="2"/>
        <v>4</v>
      </c>
      <c r="W7">
        <f t="shared" si="3"/>
        <v>-0.80134656937570281</v>
      </c>
      <c r="X7">
        <f t="shared" si="4"/>
        <v>1.208705950204489</v>
      </c>
      <c r="Y7">
        <f t="shared" si="5"/>
        <v>-2.0100525195801917</v>
      </c>
      <c r="Z7">
        <f t="shared" si="6"/>
        <v>1.1814764762495735</v>
      </c>
      <c r="AA7">
        <f t="shared" si="7"/>
        <v>-4.3257038616106485</v>
      </c>
      <c r="AB7">
        <f t="shared" si="8"/>
        <v>0.3055988224502646</v>
      </c>
      <c r="AD7">
        <f t="shared" si="10"/>
        <v>4</v>
      </c>
      <c r="AE7">
        <f t="shared" si="11"/>
        <v>6.1194744822602427</v>
      </c>
    </row>
    <row r="8" spans="1:31" ht="15" thickBot="1" x14ac:dyDescent="0.4">
      <c r="A8">
        <f t="shared" si="0"/>
        <v>5</v>
      </c>
      <c r="B8">
        <v>8.1353263117657075</v>
      </c>
      <c r="D8">
        <f t="shared" si="9"/>
        <v>5</v>
      </c>
      <c r="E8">
        <f t="shared" si="1"/>
        <v>-1.4017937123895869</v>
      </c>
      <c r="F8">
        <f t="shared" si="12"/>
        <v>-0.57428026459430193</v>
      </c>
      <c r="I8" t="s">
        <v>121</v>
      </c>
      <c r="J8" s="150">
        <f>SUMSQ(F6:F106)</f>
        <v>140.98455305704204</v>
      </c>
      <c r="V8">
        <f t="shared" si="2"/>
        <v>5</v>
      </c>
      <c r="W8">
        <f t="shared" si="3"/>
        <v>-1.4017937123895869</v>
      </c>
      <c r="X8">
        <f t="shared" si="4"/>
        <v>-0.57428026459430193</v>
      </c>
      <c r="Y8">
        <f t="shared" si="5"/>
        <v>-0.82751344779528502</v>
      </c>
      <c r="Z8">
        <f t="shared" si="6"/>
        <v>1.1814764762495735</v>
      </c>
      <c r="AA8">
        <f t="shared" si="7"/>
        <v>-3.1431647898257413</v>
      </c>
      <c r="AB8">
        <f t="shared" si="8"/>
        <v>1.4881378942351713</v>
      </c>
      <c r="AD8">
        <f t="shared" si="10"/>
        <v>5</v>
      </c>
      <c r="AE8">
        <f t="shared" si="11"/>
        <v>8.1353263117657075</v>
      </c>
    </row>
    <row r="9" spans="1:31" ht="15" thickTop="1" x14ac:dyDescent="0.35">
      <c r="A9">
        <f t="shared" si="0"/>
        <v>6</v>
      </c>
      <c r="B9">
        <v>9.3448674266459744</v>
      </c>
      <c r="D9">
        <f t="shared" si="9"/>
        <v>6</v>
      </c>
      <c r="E9">
        <f t="shared" si="1"/>
        <v>-0.84397651457586964</v>
      </c>
      <c r="F9">
        <f t="shared" si="12"/>
        <v>-2.2235638919968235</v>
      </c>
      <c r="L9" s="45" t="s">
        <v>173</v>
      </c>
      <c r="M9" s="45" t="s">
        <v>174</v>
      </c>
      <c r="N9" s="45" t="s">
        <v>375</v>
      </c>
      <c r="V9">
        <f t="shared" si="2"/>
        <v>6</v>
      </c>
      <c r="W9">
        <f t="shared" si="3"/>
        <v>-0.84397651457586964</v>
      </c>
      <c r="X9">
        <f t="shared" si="4"/>
        <v>-2.2235638919968235</v>
      </c>
      <c r="Y9">
        <f t="shared" si="5"/>
        <v>1.3795873774209539</v>
      </c>
      <c r="Z9">
        <f t="shared" si="6"/>
        <v>1.1814764762495735</v>
      </c>
      <c r="AA9">
        <f t="shared" si="7"/>
        <v>-0.93606396460950236</v>
      </c>
      <c r="AB9">
        <f t="shared" si="8"/>
        <v>3.6952387194514102</v>
      </c>
      <c r="AD9">
        <f t="shared" si="10"/>
        <v>6</v>
      </c>
      <c r="AE9">
        <f t="shared" si="11"/>
        <v>9.3448674266459744</v>
      </c>
    </row>
    <row r="10" spans="1:31" x14ac:dyDescent="0.35">
      <c r="A10">
        <f t="shared" si="0"/>
        <v>7</v>
      </c>
      <c r="B10">
        <v>9.147650683887159</v>
      </c>
      <c r="D10">
        <f t="shared" si="9"/>
        <v>7</v>
      </c>
      <c r="E10">
        <f t="shared" si="1"/>
        <v>3.0960472957036256</v>
      </c>
      <c r="F10">
        <f t="shared" si="12"/>
        <v>0.38428829877164805</v>
      </c>
      <c r="I10" t="s">
        <v>361</v>
      </c>
      <c r="J10" s="151">
        <v>2</v>
      </c>
      <c r="L10" s="152" t="e">
        <f t="array" aca="1" ref="L10:N10" ca="1">MARoots(J5)</f>
        <v>#NAME?</v>
      </c>
      <c r="M10" s="152" t="e">
        <f ca="1"/>
        <v>#NAME?</v>
      </c>
      <c r="N10" s="152" t="e">
        <f ca="1"/>
        <v>#NAME?</v>
      </c>
      <c r="V10">
        <f t="shared" si="2"/>
        <v>7</v>
      </c>
      <c r="W10">
        <f t="shared" si="3"/>
        <v>3.0960472957036256</v>
      </c>
      <c r="X10">
        <f t="shared" si="4"/>
        <v>0.38428829877164805</v>
      </c>
      <c r="Y10">
        <f t="shared" si="5"/>
        <v>2.7117589969319775</v>
      </c>
      <c r="Z10">
        <f t="shared" si="6"/>
        <v>1.1814764762495735</v>
      </c>
      <c r="AA10">
        <f t="shared" si="7"/>
        <v>0.39610765490152122</v>
      </c>
      <c r="AB10">
        <f t="shared" si="8"/>
        <v>5.0274103389624338</v>
      </c>
      <c r="AD10">
        <f t="shared" si="10"/>
        <v>7</v>
      </c>
      <c r="AE10">
        <f t="shared" si="11"/>
        <v>9.147650683887159</v>
      </c>
    </row>
    <row r="11" spans="1:31" x14ac:dyDescent="0.35">
      <c r="A11">
        <f t="shared" si="0"/>
        <v>8</v>
      </c>
      <c r="B11">
        <v>8.1014932813029787</v>
      </c>
      <c r="D11">
        <f t="shared" si="9"/>
        <v>8</v>
      </c>
      <c r="E11">
        <f t="shared" si="1"/>
        <v>-1.1411842827892045</v>
      </c>
      <c r="F11">
        <f t="shared" si="12"/>
        <v>0.69567466186092575</v>
      </c>
      <c r="I11" t="s">
        <v>362</v>
      </c>
      <c r="J11" s="107">
        <v>1</v>
      </c>
      <c r="V11">
        <f t="shared" si="2"/>
        <v>8</v>
      </c>
      <c r="W11">
        <f t="shared" si="3"/>
        <v>-1.1411842827892045</v>
      </c>
      <c r="X11">
        <f t="shared" si="4"/>
        <v>0.69567466186092575</v>
      </c>
      <c r="Y11">
        <f t="shared" si="5"/>
        <v>-1.8368589446501302</v>
      </c>
      <c r="Z11">
        <f t="shared" si="6"/>
        <v>1.1814764762495735</v>
      </c>
      <c r="AA11">
        <f t="shared" si="7"/>
        <v>-4.1525102866805863</v>
      </c>
      <c r="AB11">
        <f t="shared" si="8"/>
        <v>0.47879239738032608</v>
      </c>
      <c r="AD11">
        <f t="shared" si="10"/>
        <v>8</v>
      </c>
      <c r="AE11">
        <f t="shared" si="11"/>
        <v>8.1014932813029787</v>
      </c>
    </row>
    <row r="12" spans="1:31" x14ac:dyDescent="0.35">
      <c r="A12">
        <f t="shared" si="0"/>
        <v>9</v>
      </c>
      <c r="B12">
        <v>10.146419029172929</v>
      </c>
      <c r="D12">
        <f t="shared" si="9"/>
        <v>9</v>
      </c>
      <c r="E12">
        <f t="shared" si="1"/>
        <v>-1.8164314434029478</v>
      </c>
      <c r="F12">
        <f t="shared" si="12"/>
        <v>-1.3013294918195735</v>
      </c>
      <c r="I12" t="s">
        <v>363</v>
      </c>
      <c r="J12" s="107">
        <v>2</v>
      </c>
      <c r="L12" t="s">
        <v>377</v>
      </c>
      <c r="V12">
        <f t="shared" si="2"/>
        <v>9</v>
      </c>
      <c r="W12">
        <f t="shared" si="3"/>
        <v>-1.8164314434029478</v>
      </c>
      <c r="X12">
        <f t="shared" si="4"/>
        <v>-1.3013294918195735</v>
      </c>
      <c r="Y12">
        <f t="shared" si="5"/>
        <v>-0.51510195158337435</v>
      </c>
      <c r="Z12">
        <f t="shared" si="6"/>
        <v>1.1814764762495735</v>
      </c>
      <c r="AA12">
        <f t="shared" si="7"/>
        <v>-2.8307532936138307</v>
      </c>
      <c r="AB12">
        <f t="shared" si="8"/>
        <v>1.800549390447082</v>
      </c>
      <c r="AD12">
        <f t="shared" si="10"/>
        <v>9</v>
      </c>
      <c r="AE12">
        <f t="shared" si="11"/>
        <v>10.146419029172929</v>
      </c>
    </row>
    <row r="13" spans="1:31" ht="15" thickBot="1" x14ac:dyDescent="0.4">
      <c r="A13">
        <f t="shared" si="0"/>
        <v>10</v>
      </c>
      <c r="B13">
        <v>11.045196349004179</v>
      </c>
      <c r="D13">
        <f t="shared" si="9"/>
        <v>10</v>
      </c>
      <c r="E13">
        <f t="shared" si="1"/>
        <v>0.97860657833975029</v>
      </c>
      <c r="F13">
        <f t="shared" si="12"/>
        <v>-1.3419368026375915</v>
      </c>
      <c r="I13" t="s">
        <v>364</v>
      </c>
      <c r="J13" s="107">
        <f>AVERAGE(F6:F106)</f>
        <v>-3.5415715727017884E-2</v>
      </c>
      <c r="V13">
        <f t="shared" si="2"/>
        <v>10</v>
      </c>
      <c r="W13">
        <f t="shared" si="3"/>
        <v>0.97860657833975029</v>
      </c>
      <c r="X13">
        <f t="shared" si="4"/>
        <v>-1.3419368026375915</v>
      </c>
      <c r="Y13">
        <f t="shared" si="5"/>
        <v>2.3205433809773419</v>
      </c>
      <c r="Z13">
        <f t="shared" si="6"/>
        <v>1.1814764762495735</v>
      </c>
      <c r="AA13">
        <f t="shared" si="7"/>
        <v>4.8920389468856129E-3</v>
      </c>
      <c r="AB13">
        <f t="shared" si="8"/>
        <v>4.6361947230077982</v>
      </c>
      <c r="AD13">
        <f t="shared" si="10"/>
        <v>10</v>
      </c>
      <c r="AE13">
        <f t="shared" si="11"/>
        <v>11.045196349004179</v>
      </c>
    </row>
    <row r="14" spans="1:31" ht="15" thickTop="1" x14ac:dyDescent="0.35">
      <c r="A14">
        <f t="shared" si="0"/>
        <v>11</v>
      </c>
      <c r="B14">
        <v>10.122578080182986</v>
      </c>
      <c r="D14">
        <f t="shared" si="9"/>
        <v>11</v>
      </c>
      <c r="E14">
        <f t="shared" si="1"/>
        <v>0.60164753742119703</v>
      </c>
      <c r="F14">
        <f t="shared" si="12"/>
        <v>-0.40772552657784034</v>
      </c>
      <c r="I14" t="s">
        <v>365</v>
      </c>
      <c r="J14" s="107">
        <f>STDEV(F6:F106)</f>
        <v>1.1868355888330779</v>
      </c>
      <c r="L14" s="45" t="s">
        <v>356</v>
      </c>
      <c r="M14" s="45" t="s">
        <v>378</v>
      </c>
      <c r="V14">
        <f t="shared" si="2"/>
        <v>11</v>
      </c>
      <c r="W14">
        <f t="shared" si="3"/>
        <v>0.60164753742119703</v>
      </c>
      <c r="X14">
        <f t="shared" si="4"/>
        <v>-0.40772552657784034</v>
      </c>
      <c r="Y14">
        <f t="shared" si="5"/>
        <v>1.0093730639990373</v>
      </c>
      <c r="Z14">
        <f t="shared" si="6"/>
        <v>1.1814764762495735</v>
      </c>
      <c r="AA14">
        <f t="shared" si="7"/>
        <v>-1.306278278031419</v>
      </c>
      <c r="AB14">
        <f t="shared" si="8"/>
        <v>3.3250244060294936</v>
      </c>
      <c r="AD14">
        <f t="shared" si="10"/>
        <v>11</v>
      </c>
      <c r="AE14">
        <f t="shared" si="11"/>
        <v>10.122578080182986</v>
      </c>
    </row>
    <row r="15" spans="1:31" x14ac:dyDescent="0.35">
      <c r="A15">
        <f t="shared" si="0"/>
        <v>12</v>
      </c>
      <c r="B15">
        <v>10.173602244452049</v>
      </c>
      <c r="D15">
        <f t="shared" si="9"/>
        <v>12</v>
      </c>
      <c r="E15">
        <f t="shared" si="1"/>
        <v>-1.3799899625101251</v>
      </c>
      <c r="F15">
        <f t="shared" si="12"/>
        <v>-1.3011714113291268</v>
      </c>
      <c r="I15" t="s">
        <v>366</v>
      </c>
      <c r="J15" s="107">
        <f>SQRT(J8/J18)</f>
        <v>1.1814764762495735</v>
      </c>
      <c r="L15" s="59">
        <v>0</v>
      </c>
      <c r="M15" s="59" t="e">
        <f t="array" aca="1" ref="M15:M19" ca="1">PSICoeff(I4:I5,J5)</f>
        <v>#NAME?</v>
      </c>
      <c r="V15">
        <f t="shared" si="2"/>
        <v>12</v>
      </c>
      <c r="W15">
        <f t="shared" si="3"/>
        <v>-1.3799899625101251</v>
      </c>
      <c r="X15">
        <f t="shared" si="4"/>
        <v>-1.3011714113291268</v>
      </c>
      <c r="Y15">
        <f t="shared" si="5"/>
        <v>-7.8818551180998231E-2</v>
      </c>
      <c r="Z15">
        <f t="shared" si="6"/>
        <v>1.1814764762495735</v>
      </c>
      <c r="AA15">
        <f t="shared" si="7"/>
        <v>-2.3944698932114545</v>
      </c>
      <c r="AB15">
        <f t="shared" si="8"/>
        <v>2.2368327908494581</v>
      </c>
      <c r="AD15">
        <f t="shared" si="10"/>
        <v>12</v>
      </c>
      <c r="AE15">
        <f t="shared" si="11"/>
        <v>10.173602244452049</v>
      </c>
    </row>
    <row r="16" spans="1:31" x14ac:dyDescent="0.35">
      <c r="A16">
        <f t="shared" si="0"/>
        <v>13</v>
      </c>
      <c r="B16">
        <v>10.821309800892813</v>
      </c>
      <c r="D16">
        <f t="shared" si="9"/>
        <v>13</v>
      </c>
      <c r="E16">
        <f t="shared" si="1"/>
        <v>1.0042015025498721</v>
      </c>
      <c r="F16">
        <f t="shared" si="12"/>
        <v>-0.83059129745786753</v>
      </c>
      <c r="I16" t="s">
        <v>367</v>
      </c>
      <c r="J16" s="107">
        <f>AVERAGE(E6:E106)</f>
        <v>4.7722338769122666E-3</v>
      </c>
      <c r="L16" s="13">
        <f>L15+1</f>
        <v>1</v>
      </c>
      <c r="M16" s="13" t="e">
        <f ca="1"/>
        <v>#NAME?</v>
      </c>
      <c r="V16">
        <f t="shared" si="2"/>
        <v>13</v>
      </c>
      <c r="W16">
        <f t="shared" si="3"/>
        <v>1.0042015025498721</v>
      </c>
      <c r="X16">
        <f t="shared" si="4"/>
        <v>-0.83059129745786753</v>
      </c>
      <c r="Y16">
        <f t="shared" si="5"/>
        <v>1.8347928000077396</v>
      </c>
      <c r="Z16">
        <f t="shared" si="6"/>
        <v>1.1814764762495735</v>
      </c>
      <c r="AA16">
        <f t="shared" si="7"/>
        <v>-0.48085854202271672</v>
      </c>
      <c r="AB16">
        <f t="shared" si="8"/>
        <v>4.1504441420381957</v>
      </c>
      <c r="AD16">
        <f t="shared" si="10"/>
        <v>13</v>
      </c>
      <c r="AE16">
        <f t="shared" si="11"/>
        <v>10.821309800892813</v>
      </c>
    </row>
    <row r="17" spans="1:31" x14ac:dyDescent="0.35">
      <c r="A17">
        <f t="shared" si="0"/>
        <v>14</v>
      </c>
      <c r="B17">
        <v>10.084063249573957</v>
      </c>
      <c r="D17">
        <f t="shared" si="9"/>
        <v>14</v>
      </c>
      <c r="E17">
        <f t="shared" si="1"/>
        <v>-0.91087777698490779</v>
      </c>
      <c r="F17">
        <f t="shared" si="12"/>
        <v>-1.3670355402959258</v>
      </c>
      <c r="I17" t="s">
        <v>368</v>
      </c>
      <c r="J17" s="107">
        <f>STDEV(E6:E106)</f>
        <v>2.1574828100044421</v>
      </c>
      <c r="L17" s="13">
        <f>L16+1</f>
        <v>2</v>
      </c>
      <c r="M17" s="13" t="e">
        <f ca="1"/>
        <v>#NAME?</v>
      </c>
      <c r="V17">
        <f t="shared" si="2"/>
        <v>14</v>
      </c>
      <c r="W17">
        <f t="shared" si="3"/>
        <v>-0.91087777698490779</v>
      </c>
      <c r="X17">
        <f t="shared" si="4"/>
        <v>-1.3670355402959258</v>
      </c>
      <c r="Y17">
        <f t="shared" si="5"/>
        <v>0.45615776331101798</v>
      </c>
      <c r="Z17">
        <f t="shared" si="6"/>
        <v>1.1814764762495735</v>
      </c>
      <c r="AA17">
        <f t="shared" si="7"/>
        <v>-1.8594935787194382</v>
      </c>
      <c r="AB17">
        <f t="shared" si="8"/>
        <v>2.7718091053414744</v>
      </c>
      <c r="AD17">
        <f t="shared" si="10"/>
        <v>14</v>
      </c>
      <c r="AE17">
        <f t="shared" si="11"/>
        <v>10.084063249573957</v>
      </c>
    </row>
    <row r="18" spans="1:31" x14ac:dyDescent="0.35">
      <c r="A18">
        <f t="shared" si="0"/>
        <v>15</v>
      </c>
      <c r="B18">
        <v>10.346054055555477</v>
      </c>
      <c r="D18">
        <f t="shared" si="9"/>
        <v>15</v>
      </c>
      <c r="E18">
        <f t="shared" si="1"/>
        <v>2.1721870928256504</v>
      </c>
      <c r="F18">
        <f t="shared" si="12"/>
        <v>0.5793556244089455</v>
      </c>
      <c r="I18" t="s">
        <v>369</v>
      </c>
      <c r="J18" s="108">
        <f>COUNT(E6:E106)</f>
        <v>101</v>
      </c>
      <c r="L18" s="13">
        <f>L17+1</f>
        <v>3</v>
      </c>
      <c r="M18" s="13" t="e">
        <f ca="1"/>
        <v>#NAME?</v>
      </c>
      <c r="V18">
        <f t="shared" si="2"/>
        <v>15</v>
      </c>
      <c r="W18">
        <f t="shared" si="3"/>
        <v>2.1721870928256504</v>
      </c>
      <c r="X18">
        <f t="shared" si="4"/>
        <v>0.5793556244089455</v>
      </c>
      <c r="Y18">
        <f t="shared" si="5"/>
        <v>1.5928314684167049</v>
      </c>
      <c r="Z18">
        <f t="shared" si="6"/>
        <v>1.1814764762495735</v>
      </c>
      <c r="AA18">
        <f t="shared" si="7"/>
        <v>-0.72281987361375144</v>
      </c>
      <c r="AB18">
        <f t="shared" si="8"/>
        <v>3.9084828104471612</v>
      </c>
      <c r="AD18">
        <f t="shared" si="10"/>
        <v>15</v>
      </c>
      <c r="AE18">
        <f t="shared" si="11"/>
        <v>10.346054055555477</v>
      </c>
    </row>
    <row r="19" spans="1:31" x14ac:dyDescent="0.35">
      <c r="A19">
        <f t="shared" si="0"/>
        <v>16</v>
      </c>
      <c r="B19">
        <v>9.6922029393025948</v>
      </c>
      <c r="D19">
        <f t="shared" si="9"/>
        <v>16</v>
      </c>
      <c r="E19">
        <f t="shared" si="1"/>
        <v>-6.1866040184799777E-2</v>
      </c>
      <c r="F19">
        <f t="shared" si="12"/>
        <v>1.4671836998795054</v>
      </c>
      <c r="L19" s="4">
        <f>L18+1</f>
        <v>4</v>
      </c>
      <c r="M19" s="4" t="e">
        <f ca="1"/>
        <v>#NAME?</v>
      </c>
      <c r="V19">
        <f t="shared" si="2"/>
        <v>16</v>
      </c>
      <c r="W19">
        <f t="shared" si="3"/>
        <v>-6.1866040184799777E-2</v>
      </c>
      <c r="X19">
        <f t="shared" si="4"/>
        <v>1.4671836998795054</v>
      </c>
      <c r="Y19">
        <f t="shared" si="5"/>
        <v>-1.5290497400643051</v>
      </c>
      <c r="Z19">
        <f t="shared" si="6"/>
        <v>1.1814764762495735</v>
      </c>
      <c r="AA19">
        <f t="shared" si="7"/>
        <v>-3.8447010820947614</v>
      </c>
      <c r="AB19">
        <f t="shared" si="8"/>
        <v>0.78660160196615125</v>
      </c>
      <c r="AD19">
        <f t="shared" si="10"/>
        <v>16</v>
      </c>
      <c r="AE19">
        <f t="shared" si="11"/>
        <v>9.6922029393025948</v>
      </c>
    </row>
    <row r="20" spans="1:31" x14ac:dyDescent="0.35">
      <c r="A20">
        <f t="shared" si="0"/>
        <v>17</v>
      </c>
      <c r="B20">
        <v>11.205574770625867</v>
      </c>
      <c r="D20">
        <f t="shared" si="9"/>
        <v>17</v>
      </c>
      <c r="E20">
        <f t="shared" si="1"/>
        <v>-0.68736474851892926</v>
      </c>
      <c r="F20">
        <f t="shared" si="12"/>
        <v>0.96665410780297623</v>
      </c>
      <c r="I20" t="s">
        <v>370</v>
      </c>
      <c r="J20" s="151">
        <f>-(J23-2*(J10+J11+2))/2</f>
        <v>-160.15604749847765</v>
      </c>
      <c r="V20">
        <f t="shared" si="2"/>
        <v>17</v>
      </c>
      <c r="W20">
        <f t="shared" si="3"/>
        <v>-0.68736474851892926</v>
      </c>
      <c r="X20">
        <f t="shared" si="4"/>
        <v>0.96665410780297623</v>
      </c>
      <c r="Y20">
        <f t="shared" si="5"/>
        <v>-1.6540188563219056</v>
      </c>
      <c r="Z20">
        <f t="shared" si="6"/>
        <v>1.1814764762495735</v>
      </c>
      <c r="AA20">
        <f t="shared" si="7"/>
        <v>-3.9696701983523619</v>
      </c>
      <c r="AB20">
        <f t="shared" si="8"/>
        <v>0.66163248570855071</v>
      </c>
      <c r="AD20">
        <f t="shared" si="10"/>
        <v>17</v>
      </c>
      <c r="AE20">
        <f t="shared" si="11"/>
        <v>11.205574770625867</v>
      </c>
    </row>
    <row r="21" spans="1:31" x14ac:dyDescent="0.35">
      <c r="A21">
        <f t="shared" si="0"/>
        <v>18</v>
      </c>
      <c r="B21">
        <v>12.652116416514845</v>
      </c>
      <c r="D21">
        <f t="shared" si="9"/>
        <v>18</v>
      </c>
      <c r="E21">
        <f t="shared" si="1"/>
        <v>-1.9243598453224813</v>
      </c>
      <c r="F21">
        <f t="shared" si="12"/>
        <v>-1.3920249929460189</v>
      </c>
      <c r="I21" t="s">
        <v>145</v>
      </c>
      <c r="J21" s="107">
        <f>J18*LN(J8/J18)+2*(J10+J11+2)</f>
        <v>43.686511289611424</v>
      </c>
      <c r="V21">
        <f t="shared" si="2"/>
        <v>18</v>
      </c>
      <c r="W21">
        <f t="shared" si="3"/>
        <v>-1.9243598453224813</v>
      </c>
      <c r="X21">
        <f t="shared" si="4"/>
        <v>-1.3920249929460189</v>
      </c>
      <c r="Y21">
        <f t="shared" si="5"/>
        <v>-0.53233485237646239</v>
      </c>
      <c r="Z21">
        <f t="shared" si="6"/>
        <v>1.1814764762495735</v>
      </c>
      <c r="AA21">
        <f t="shared" si="7"/>
        <v>-2.8479861944069187</v>
      </c>
      <c r="AB21">
        <f t="shared" si="8"/>
        <v>1.7833164896539939</v>
      </c>
      <c r="AD21">
        <f t="shared" si="10"/>
        <v>18</v>
      </c>
      <c r="AE21">
        <f t="shared" si="11"/>
        <v>12.652116416514845</v>
      </c>
    </row>
    <row r="22" spans="1:31" x14ac:dyDescent="0.35">
      <c r="A22">
        <f t="shared" si="0"/>
        <v>19</v>
      </c>
      <c r="B22">
        <v>13.406329168635398</v>
      </c>
      <c r="D22">
        <f t="shared" si="9"/>
        <v>19</v>
      </c>
      <c r="E22">
        <f t="shared" si="1"/>
        <v>1.0658319094761808</v>
      </c>
      <c r="F22">
        <f t="shared" si="12"/>
        <v>-1.3274113946061707</v>
      </c>
      <c r="I22" t="s">
        <v>371</v>
      </c>
      <c r="J22" s="107">
        <f>J18*LN(J8/J18)+LN(J18)*(J10+J11+2)</f>
        <v>56.762113873817725</v>
      </c>
      <c r="V22">
        <f t="shared" si="2"/>
        <v>19</v>
      </c>
      <c r="W22">
        <f t="shared" si="3"/>
        <v>1.0658319094761808</v>
      </c>
      <c r="X22">
        <f t="shared" si="4"/>
        <v>-1.3274113946061707</v>
      </c>
      <c r="Y22">
        <f t="shared" si="5"/>
        <v>2.3932433040823513</v>
      </c>
      <c r="Z22">
        <f t="shared" si="6"/>
        <v>1.1814764762495735</v>
      </c>
      <c r="AA22">
        <f t="shared" si="7"/>
        <v>7.7591962051895003E-2</v>
      </c>
      <c r="AB22">
        <f t="shared" si="8"/>
        <v>4.7088946461128076</v>
      </c>
      <c r="AD22">
        <f t="shared" si="10"/>
        <v>19</v>
      </c>
      <c r="AE22">
        <f t="shared" si="11"/>
        <v>13.406329168635398</v>
      </c>
    </row>
    <row r="23" spans="1:31" x14ac:dyDescent="0.35">
      <c r="A23">
        <f t="shared" si="0"/>
        <v>20</v>
      </c>
      <c r="B23">
        <v>12.231217930183975</v>
      </c>
      <c r="D23">
        <f t="shared" si="9"/>
        <v>20</v>
      </c>
      <c r="E23">
        <f t="shared" si="1"/>
        <v>-1.5378779421240942</v>
      </c>
      <c r="F23">
        <f t="shared" si="12"/>
        <v>-2.5045844960905539</v>
      </c>
      <c r="I23" t="s">
        <v>372</v>
      </c>
      <c r="J23" s="107">
        <f>J18*(1+LN(2*PI()))+J21</f>
        <v>330.3120949969553</v>
      </c>
      <c r="V23">
        <f t="shared" si="2"/>
        <v>20</v>
      </c>
      <c r="W23">
        <f t="shared" si="3"/>
        <v>-1.5378779421240942</v>
      </c>
      <c r="X23">
        <f t="shared" si="4"/>
        <v>-2.5045844960905539</v>
      </c>
      <c r="Y23">
        <f t="shared" si="5"/>
        <v>0.96670655396645966</v>
      </c>
      <c r="Z23">
        <f t="shared" si="6"/>
        <v>1.1814764762495735</v>
      </c>
      <c r="AA23">
        <f t="shared" si="7"/>
        <v>-1.3489447880639966</v>
      </c>
      <c r="AB23">
        <f t="shared" si="8"/>
        <v>3.282357895996916</v>
      </c>
      <c r="AD23">
        <f t="shared" si="10"/>
        <v>20</v>
      </c>
      <c r="AE23">
        <f t="shared" si="11"/>
        <v>12.231217930183975</v>
      </c>
    </row>
    <row r="24" spans="1:31" x14ac:dyDescent="0.35">
      <c r="A24">
        <f t="shared" si="0"/>
        <v>21</v>
      </c>
      <c r="B24">
        <v>12.116974455959237</v>
      </c>
      <c r="D24">
        <f t="shared" si="9"/>
        <v>21</v>
      </c>
      <c r="E24">
        <f t="shared" si="1"/>
        <v>0.64861848356813911</v>
      </c>
      <c r="F24">
        <f t="shared" si="12"/>
        <v>-2.3168916459946645</v>
      </c>
      <c r="I24" t="s">
        <v>373</v>
      </c>
      <c r="J24" s="108">
        <f>J18*(1+LN(2*PI()))+J22</f>
        <v>343.3876975811616</v>
      </c>
      <c r="V24">
        <f t="shared" si="2"/>
        <v>21</v>
      </c>
      <c r="W24">
        <f t="shared" si="3"/>
        <v>0.64861848356813911</v>
      </c>
      <c r="X24">
        <f t="shared" si="4"/>
        <v>-2.3168916459946645</v>
      </c>
      <c r="Y24">
        <f t="shared" si="5"/>
        <v>2.9655101295628037</v>
      </c>
      <c r="Z24">
        <f t="shared" si="6"/>
        <v>1.1814764762495735</v>
      </c>
      <c r="AA24">
        <f t="shared" si="7"/>
        <v>0.64985878753234738</v>
      </c>
      <c r="AB24">
        <f t="shared" si="8"/>
        <v>5.2811614715932595</v>
      </c>
      <c r="AD24">
        <f t="shared" si="10"/>
        <v>21</v>
      </c>
      <c r="AE24">
        <f t="shared" si="11"/>
        <v>12.116974455959237</v>
      </c>
    </row>
    <row r="25" spans="1:31" x14ac:dyDescent="0.35">
      <c r="A25">
        <f t="shared" si="0"/>
        <v>22</v>
      </c>
      <c r="B25">
        <v>10.45988889436091</v>
      </c>
      <c r="D25">
        <f t="shared" si="9"/>
        <v>22</v>
      </c>
      <c r="E25">
        <f t="shared" si="1"/>
        <v>2.7529681322422732</v>
      </c>
      <c r="F25">
        <f t="shared" si="12"/>
        <v>0.70824404760052229</v>
      </c>
      <c r="V25">
        <f t="shared" si="2"/>
        <v>22</v>
      </c>
      <c r="W25">
        <f t="shared" si="3"/>
        <v>2.7529681322422732</v>
      </c>
      <c r="X25">
        <f t="shared" si="4"/>
        <v>0.70824404760052229</v>
      </c>
      <c r="Y25">
        <f t="shared" si="5"/>
        <v>2.0447240846417509</v>
      </c>
      <c r="Z25">
        <f t="shared" si="6"/>
        <v>1.1814764762495735</v>
      </c>
      <c r="AA25">
        <f t="shared" si="7"/>
        <v>-0.27092725738870538</v>
      </c>
      <c r="AB25">
        <f t="shared" si="8"/>
        <v>4.3603754266722072</v>
      </c>
      <c r="AD25">
        <f t="shared" si="10"/>
        <v>22</v>
      </c>
      <c r="AE25">
        <f t="shared" si="11"/>
        <v>10.45988889436091</v>
      </c>
    </row>
    <row r="26" spans="1:31" x14ac:dyDescent="0.35">
      <c r="A26">
        <f t="shared" si="0"/>
        <v>23</v>
      </c>
      <c r="B26">
        <v>9.4464576710812267</v>
      </c>
      <c r="D26">
        <f t="shared" si="9"/>
        <v>23</v>
      </c>
      <c r="E26">
        <f t="shared" si="1"/>
        <v>-5.3252788369122452</v>
      </c>
      <c r="F26">
        <f t="shared" si="12"/>
        <v>-3.1433243344683497</v>
      </c>
      <c r="I26" t="s">
        <v>360</v>
      </c>
      <c r="J26" s="153" t="s">
        <v>304</v>
      </c>
      <c r="V26">
        <f t="shared" si="2"/>
        <v>23</v>
      </c>
      <c r="W26">
        <f t="shared" si="3"/>
        <v>-5.3252788369122452</v>
      </c>
      <c r="X26">
        <f t="shared" si="4"/>
        <v>-3.1433243344683497</v>
      </c>
      <c r="Y26">
        <f t="shared" si="5"/>
        <v>-2.1819545024438955</v>
      </c>
      <c r="Z26">
        <f t="shared" si="6"/>
        <v>1.1814764762495735</v>
      </c>
      <c r="AA26">
        <f t="shared" si="7"/>
        <v>-4.4976058444743519</v>
      </c>
      <c r="AB26">
        <f t="shared" si="8"/>
        <v>0.13369683958656076</v>
      </c>
      <c r="AD26">
        <f t="shared" si="10"/>
        <v>23</v>
      </c>
      <c r="AE26">
        <f t="shared" si="11"/>
        <v>9.4464576710812267</v>
      </c>
    </row>
    <row r="27" spans="1:31" x14ac:dyDescent="0.35">
      <c r="A27">
        <f t="shared" si="0"/>
        <v>24</v>
      </c>
      <c r="B27">
        <v>11.181030434794321</v>
      </c>
      <c r="D27">
        <f t="shared" si="9"/>
        <v>24</v>
      </c>
      <c r="E27">
        <f t="shared" si="1"/>
        <v>6.9938060087641336</v>
      </c>
      <c r="F27">
        <f t="shared" si="12"/>
        <v>1.7220086715403418</v>
      </c>
      <c r="V27">
        <f t="shared" si="2"/>
        <v>24</v>
      </c>
      <c r="W27">
        <f t="shared" si="3"/>
        <v>6.9938060087641336</v>
      </c>
      <c r="X27">
        <f t="shared" si="4"/>
        <v>1.7220086715403418</v>
      </c>
      <c r="Y27">
        <f t="shared" si="5"/>
        <v>5.2717973372237914</v>
      </c>
      <c r="Z27">
        <f t="shared" si="6"/>
        <v>1.1814764762495735</v>
      </c>
      <c r="AA27">
        <f t="shared" si="7"/>
        <v>2.9561459951933351</v>
      </c>
      <c r="AB27">
        <f t="shared" si="8"/>
        <v>7.5874486792542477</v>
      </c>
      <c r="AD27">
        <f t="shared" si="10"/>
        <v>24</v>
      </c>
      <c r="AE27">
        <f t="shared" si="11"/>
        <v>11.181030434794321</v>
      </c>
    </row>
    <row r="28" spans="1:31" x14ac:dyDescent="0.35">
      <c r="A28">
        <f t="shared" si="0"/>
        <v>25</v>
      </c>
      <c r="B28">
        <v>7.5853602163456753</v>
      </c>
      <c r="D28">
        <f t="shared" si="9"/>
        <v>25</v>
      </c>
      <c r="E28">
        <f t="shared" si="1"/>
        <v>-3.8165141526024282</v>
      </c>
      <c r="F28">
        <f t="shared" si="12"/>
        <v>0.61747043317425487</v>
      </c>
      <c r="V28">
        <f t="shared" si="2"/>
        <v>25</v>
      </c>
      <c r="W28">
        <f t="shared" si="3"/>
        <v>-3.8165141526024282</v>
      </c>
      <c r="X28">
        <f t="shared" si="4"/>
        <v>0.61747043317425487</v>
      </c>
      <c r="Y28">
        <f t="shared" si="5"/>
        <v>-4.4339845857766829</v>
      </c>
      <c r="Z28">
        <f t="shared" si="6"/>
        <v>1.1814764762495735</v>
      </c>
      <c r="AA28">
        <f t="shared" si="7"/>
        <v>-6.7496359278071392</v>
      </c>
      <c r="AB28">
        <f t="shared" si="8"/>
        <v>-2.1183332437462266</v>
      </c>
      <c r="AD28">
        <f t="shared" si="10"/>
        <v>25</v>
      </c>
      <c r="AE28">
        <f t="shared" si="11"/>
        <v>7.5853602163456753</v>
      </c>
    </row>
    <row r="29" spans="1:31" x14ac:dyDescent="0.35">
      <c r="A29">
        <f t="shared" si="0"/>
        <v>26</v>
      </c>
      <c r="B29">
        <v>10.978531861411668</v>
      </c>
      <c r="D29">
        <f t="shared" si="9"/>
        <v>26</v>
      </c>
      <c r="E29">
        <f t="shared" si="1"/>
        <v>1.1105070204546852</v>
      </c>
      <c r="F29">
        <f t="shared" si="12"/>
        <v>0.7455716223201595</v>
      </c>
      <c r="V29">
        <f t="shared" si="2"/>
        <v>26</v>
      </c>
      <c r="W29">
        <f t="shared" si="3"/>
        <v>1.1105070204546852</v>
      </c>
      <c r="X29">
        <f t="shared" si="4"/>
        <v>0.7455716223201595</v>
      </c>
      <c r="Y29">
        <f t="shared" si="5"/>
        <v>0.36493539813452569</v>
      </c>
      <c r="Z29">
        <f t="shared" si="6"/>
        <v>1.1814764762495735</v>
      </c>
      <c r="AA29">
        <f t="shared" si="7"/>
        <v>-1.9507159438959305</v>
      </c>
      <c r="AB29">
        <f t="shared" si="8"/>
        <v>2.6805867401649821</v>
      </c>
      <c r="AD29">
        <f t="shared" si="10"/>
        <v>26</v>
      </c>
      <c r="AE29">
        <f t="shared" si="11"/>
        <v>10.978531861411668</v>
      </c>
    </row>
    <row r="30" spans="1:31" x14ac:dyDescent="0.35">
      <c r="A30">
        <f t="shared" si="0"/>
        <v>27</v>
      </c>
      <c r="B30">
        <v>10.550225208625736</v>
      </c>
      <c r="D30">
        <f t="shared" si="9"/>
        <v>27</v>
      </c>
      <c r="E30">
        <f t="shared" si="1"/>
        <v>-2.8235621826830712</v>
      </c>
      <c r="F30">
        <f t="shared" si="12"/>
        <v>-2.1229207561489467</v>
      </c>
      <c r="V30">
        <f t="shared" si="2"/>
        <v>27</v>
      </c>
      <c r="W30">
        <f t="shared" si="3"/>
        <v>-2.8235621826830712</v>
      </c>
      <c r="X30">
        <f t="shared" si="4"/>
        <v>-2.1229207561489467</v>
      </c>
      <c r="Y30">
        <f t="shared" si="5"/>
        <v>-0.70064142653412453</v>
      </c>
      <c r="Z30">
        <f t="shared" si="6"/>
        <v>1.1814764762495735</v>
      </c>
      <c r="AA30">
        <f t="shared" si="7"/>
        <v>-3.0162927685645808</v>
      </c>
      <c r="AB30">
        <f t="shared" si="8"/>
        <v>1.6150099154963318</v>
      </c>
      <c r="AD30">
        <f t="shared" si="10"/>
        <v>27</v>
      </c>
      <c r="AE30">
        <f t="shared" si="11"/>
        <v>10.550225208625736</v>
      </c>
    </row>
    <row r="31" spans="1:31" x14ac:dyDescent="0.35">
      <c r="A31">
        <f t="shared" si="0"/>
        <v>28</v>
      </c>
      <c r="B31">
        <v>11.227461431044995</v>
      </c>
      <c r="D31">
        <f t="shared" si="9"/>
        <v>28</v>
      </c>
      <c r="E31">
        <f t="shared" si="1"/>
        <v>2.9895785761396532</v>
      </c>
      <c r="F31">
        <f t="shared" si="12"/>
        <v>-0.28142516765566583</v>
      </c>
      <c r="V31">
        <f t="shared" si="2"/>
        <v>28</v>
      </c>
      <c r="W31">
        <f t="shared" si="3"/>
        <v>2.9895785761396532</v>
      </c>
      <c r="X31">
        <f t="shared" si="4"/>
        <v>-0.28142516765566583</v>
      </c>
      <c r="Y31">
        <f t="shared" si="5"/>
        <v>3.271003743795319</v>
      </c>
      <c r="Z31">
        <f t="shared" si="6"/>
        <v>1.1814764762495735</v>
      </c>
      <c r="AA31">
        <f t="shared" si="7"/>
        <v>0.95535240176486269</v>
      </c>
      <c r="AB31">
        <f t="shared" si="8"/>
        <v>5.5866550858257753</v>
      </c>
      <c r="AD31">
        <f t="shared" si="10"/>
        <v>28</v>
      </c>
      <c r="AE31">
        <f t="shared" si="11"/>
        <v>11.227461431044995</v>
      </c>
    </row>
    <row r="32" spans="1:31" x14ac:dyDescent="0.35">
      <c r="A32">
        <f t="shared" si="0"/>
        <v>29</v>
      </c>
      <c r="B32">
        <v>9.0761713255316874</v>
      </c>
      <c r="D32">
        <f t="shared" si="9"/>
        <v>29</v>
      </c>
      <c r="E32">
        <f t="shared" si="1"/>
        <v>0.94577973994524622</v>
      </c>
      <c r="F32">
        <f t="shared" si="12"/>
        <v>1.8145065352788836</v>
      </c>
      <c r="V32">
        <f t="shared" si="2"/>
        <v>29</v>
      </c>
      <c r="W32">
        <f t="shared" si="3"/>
        <v>0.94577973994524622</v>
      </c>
      <c r="X32">
        <f t="shared" si="4"/>
        <v>1.8145065352788836</v>
      </c>
      <c r="Y32">
        <f t="shared" si="5"/>
        <v>-0.86872679533363739</v>
      </c>
      <c r="Z32">
        <f t="shared" si="6"/>
        <v>1.1814764762495735</v>
      </c>
      <c r="AA32">
        <f t="shared" si="7"/>
        <v>-3.1843781373640936</v>
      </c>
      <c r="AB32">
        <f t="shared" si="8"/>
        <v>1.446924546696819</v>
      </c>
      <c r="AD32">
        <f t="shared" si="10"/>
        <v>29</v>
      </c>
      <c r="AE32">
        <f t="shared" si="11"/>
        <v>9.0761713255316874</v>
      </c>
    </row>
    <row r="33" spans="1:31" x14ac:dyDescent="0.35">
      <c r="A33">
        <f t="shared" si="0"/>
        <v>30</v>
      </c>
      <c r="B33">
        <v>9.9094956509085375</v>
      </c>
      <c r="D33">
        <f t="shared" si="9"/>
        <v>30</v>
      </c>
      <c r="E33">
        <f t="shared" si="1"/>
        <v>-4.0636932367585885</v>
      </c>
      <c r="F33">
        <f t="shared" si="12"/>
        <v>-1.4429141356419151</v>
      </c>
      <c r="V33">
        <f t="shared" si="2"/>
        <v>30</v>
      </c>
      <c r="W33">
        <f t="shared" si="3"/>
        <v>-4.0636932367585885</v>
      </c>
      <c r="X33">
        <f t="shared" si="4"/>
        <v>-1.4429141356419151</v>
      </c>
      <c r="Y33">
        <f t="shared" si="5"/>
        <v>-2.6207791011166734</v>
      </c>
      <c r="Z33">
        <f t="shared" si="6"/>
        <v>1.1814764762495735</v>
      </c>
      <c r="AA33">
        <f t="shared" si="7"/>
        <v>-4.9364304431471293</v>
      </c>
      <c r="AB33">
        <f t="shared" si="8"/>
        <v>-0.30512775908621714</v>
      </c>
      <c r="AD33">
        <f t="shared" si="10"/>
        <v>30</v>
      </c>
      <c r="AE33">
        <f t="shared" si="11"/>
        <v>9.9094956509085375</v>
      </c>
    </row>
    <row r="34" spans="1:31" x14ac:dyDescent="0.35">
      <c r="A34">
        <f t="shared" si="0"/>
        <v>31</v>
      </c>
      <c r="B34">
        <v>11.683635570981139</v>
      </c>
      <c r="D34">
        <f t="shared" si="9"/>
        <v>31</v>
      </c>
      <c r="E34">
        <f t="shared" si="1"/>
        <v>4.1913308511028831</v>
      </c>
      <c r="F34">
        <f t="shared" si="12"/>
        <v>0.88444512196909009</v>
      </c>
      <c r="V34">
        <f t="shared" si="2"/>
        <v>31</v>
      </c>
      <c r="W34">
        <f t="shared" si="3"/>
        <v>4.1913308511028831</v>
      </c>
      <c r="X34">
        <f t="shared" si="4"/>
        <v>0.88444512196909009</v>
      </c>
      <c r="Y34">
        <f t="shared" si="5"/>
        <v>3.3068857291337928</v>
      </c>
      <c r="Z34">
        <f t="shared" si="6"/>
        <v>1.1814764762495735</v>
      </c>
      <c r="AA34">
        <f t="shared" si="7"/>
        <v>0.99123438710333645</v>
      </c>
      <c r="AB34">
        <f t="shared" si="8"/>
        <v>5.6225370711642491</v>
      </c>
      <c r="AD34">
        <f t="shared" si="10"/>
        <v>31</v>
      </c>
      <c r="AE34">
        <f t="shared" si="11"/>
        <v>11.683635570981139</v>
      </c>
    </row>
    <row r="35" spans="1:31" x14ac:dyDescent="0.35">
      <c r="A35">
        <f t="shared" si="0"/>
        <v>32</v>
      </c>
      <c r="B35">
        <v>9.3891181090456559</v>
      </c>
      <c r="D35">
        <f t="shared" si="9"/>
        <v>32</v>
      </c>
      <c r="E35">
        <f t="shared" si="1"/>
        <v>-4.0901523972946023</v>
      </c>
      <c r="F35">
        <f t="shared" si="12"/>
        <v>-1.6997344826322349</v>
      </c>
      <c r="V35">
        <f t="shared" si="2"/>
        <v>32</v>
      </c>
      <c r="W35">
        <f t="shared" si="3"/>
        <v>-4.0901523972946023</v>
      </c>
      <c r="X35">
        <f t="shared" si="4"/>
        <v>-1.6997344826322349</v>
      </c>
      <c r="Y35">
        <f t="shared" si="5"/>
        <v>-2.3904179146623674</v>
      </c>
      <c r="Z35">
        <f t="shared" si="6"/>
        <v>1.1814764762495735</v>
      </c>
      <c r="AA35">
        <f t="shared" si="7"/>
        <v>-4.7060692566928237</v>
      </c>
      <c r="AB35">
        <f t="shared" si="8"/>
        <v>-7.476657263191111E-2</v>
      </c>
      <c r="AD35">
        <f t="shared" si="10"/>
        <v>32</v>
      </c>
      <c r="AE35">
        <f t="shared" si="11"/>
        <v>9.3891181090456559</v>
      </c>
    </row>
    <row r="36" spans="1:31" x14ac:dyDescent="0.35">
      <c r="A36">
        <f t="shared" si="0"/>
        <v>33</v>
      </c>
      <c r="B36">
        <v>11.280967352963561</v>
      </c>
      <c r="D36">
        <f t="shared" si="9"/>
        <v>33</v>
      </c>
      <c r="E36">
        <f t="shared" si="1"/>
        <v>2.5523834692485092</v>
      </c>
      <c r="F36">
        <f t="shared" si="12"/>
        <v>-0.52393842232610677</v>
      </c>
      <c r="V36">
        <f t="shared" si="2"/>
        <v>33</v>
      </c>
      <c r="W36">
        <f t="shared" si="3"/>
        <v>2.5523834692485092</v>
      </c>
      <c r="X36">
        <f t="shared" si="4"/>
        <v>-0.52393842232610677</v>
      </c>
      <c r="Y36">
        <f t="shared" si="5"/>
        <v>3.076321891574616</v>
      </c>
      <c r="Z36">
        <f t="shared" si="6"/>
        <v>1.1814764762495735</v>
      </c>
      <c r="AA36">
        <f t="shared" si="7"/>
        <v>0.76067054954415969</v>
      </c>
      <c r="AB36">
        <f t="shared" si="8"/>
        <v>5.3919732336050723</v>
      </c>
      <c r="AD36">
        <f t="shared" si="10"/>
        <v>33</v>
      </c>
      <c r="AE36">
        <f t="shared" si="11"/>
        <v>11.280967352963561</v>
      </c>
    </row>
    <row r="37" spans="1:31" x14ac:dyDescent="0.35">
      <c r="A37">
        <f t="shared" si="0"/>
        <v>34</v>
      </c>
      <c r="B37">
        <v>9.0777000543373685</v>
      </c>
      <c r="D37">
        <f t="shared" si="9"/>
        <v>34</v>
      </c>
      <c r="E37">
        <f t="shared" si="1"/>
        <v>1.0076308068927062</v>
      </c>
      <c r="F37">
        <f t="shared" si="12"/>
        <v>1.2359343838269019</v>
      </c>
      <c r="V37">
        <f t="shared" si="2"/>
        <v>34</v>
      </c>
      <c r="W37">
        <f t="shared" si="3"/>
        <v>1.0076308068927062</v>
      </c>
      <c r="X37">
        <f t="shared" si="4"/>
        <v>1.2359343838269019</v>
      </c>
      <c r="Y37">
        <f t="shared" si="5"/>
        <v>-0.22830357693419567</v>
      </c>
      <c r="Z37">
        <f t="shared" si="6"/>
        <v>1.1814764762495735</v>
      </c>
      <c r="AA37">
        <f t="shared" si="7"/>
        <v>-2.5439549189646522</v>
      </c>
      <c r="AB37">
        <f t="shared" si="8"/>
        <v>2.0873477650962604</v>
      </c>
      <c r="AD37">
        <f t="shared" si="10"/>
        <v>34</v>
      </c>
      <c r="AE37">
        <f t="shared" si="11"/>
        <v>9.0777000543373685</v>
      </c>
    </row>
    <row r="38" spans="1:31" x14ac:dyDescent="0.35">
      <c r="A38">
        <f t="shared" si="0"/>
        <v>35</v>
      </c>
      <c r="B38">
        <v>9.4218520797101899</v>
      </c>
      <c r="D38">
        <f t="shared" si="9"/>
        <v>35</v>
      </c>
      <c r="E38">
        <f t="shared" si="1"/>
        <v>-2.0658388822721481</v>
      </c>
      <c r="F38">
        <f t="shared" si="12"/>
        <v>-1.5492392745811046E-2</v>
      </c>
      <c r="V38">
        <f t="shared" si="2"/>
        <v>35</v>
      </c>
      <c r="W38">
        <f t="shared" si="3"/>
        <v>-2.0658388822721481</v>
      </c>
      <c r="X38">
        <f t="shared" si="4"/>
        <v>-1.5492392745811046E-2</v>
      </c>
      <c r="Y38">
        <f t="shared" si="5"/>
        <v>-2.050346489526337</v>
      </c>
      <c r="Z38">
        <f t="shared" si="6"/>
        <v>1.1814764762495735</v>
      </c>
      <c r="AA38">
        <f t="shared" si="7"/>
        <v>-4.3659978315567933</v>
      </c>
      <c r="AB38">
        <f t="shared" si="8"/>
        <v>0.26530485250411928</v>
      </c>
      <c r="AD38">
        <f t="shared" si="10"/>
        <v>35</v>
      </c>
      <c r="AE38">
        <f t="shared" si="11"/>
        <v>9.4218520797101899</v>
      </c>
    </row>
    <row r="39" spans="1:31" x14ac:dyDescent="0.35">
      <c r="A39">
        <f t="shared" si="0"/>
        <v>36</v>
      </c>
      <c r="B39">
        <v>10.768670766726222</v>
      </c>
      <c r="D39">
        <f t="shared" si="9"/>
        <v>36</v>
      </c>
      <c r="E39">
        <f t="shared" si="1"/>
        <v>0.18690960040658836</v>
      </c>
      <c r="F39">
        <f t="shared" si="12"/>
        <v>-0.74880164811833483</v>
      </c>
      <c r="V39">
        <f t="shared" si="2"/>
        <v>36</v>
      </c>
      <c r="W39">
        <f t="shared" si="3"/>
        <v>0.18690960040658836</v>
      </c>
      <c r="X39">
        <f t="shared" si="4"/>
        <v>-0.74880164811833483</v>
      </c>
      <c r="Y39">
        <f t="shared" si="5"/>
        <v>0.93571124852492316</v>
      </c>
      <c r="Z39">
        <f t="shared" si="6"/>
        <v>1.1814764762495735</v>
      </c>
      <c r="AA39">
        <f t="shared" si="7"/>
        <v>-1.379940093505533</v>
      </c>
      <c r="AB39">
        <f t="shared" si="8"/>
        <v>3.2513625905553796</v>
      </c>
      <c r="AD39">
        <f t="shared" si="10"/>
        <v>36</v>
      </c>
      <c r="AE39">
        <f t="shared" si="11"/>
        <v>10.768670766726222</v>
      </c>
    </row>
    <row r="40" spans="1:31" x14ac:dyDescent="0.35">
      <c r="A40">
        <f t="shared" si="0"/>
        <v>37</v>
      </c>
      <c r="B40">
        <v>10.044686426220611</v>
      </c>
      <c r="D40">
        <f t="shared" si="9"/>
        <v>37</v>
      </c>
      <c r="E40">
        <f t="shared" si="1"/>
        <v>3.0609906349358091</v>
      </c>
      <c r="F40">
        <f t="shared" si="12"/>
        <v>2.1549716111843518</v>
      </c>
      <c r="V40">
        <f t="shared" si="2"/>
        <v>37</v>
      </c>
      <c r="W40">
        <f t="shared" si="3"/>
        <v>3.0609906349358091</v>
      </c>
      <c r="X40">
        <f t="shared" si="4"/>
        <v>2.1549716111843518</v>
      </c>
      <c r="Y40">
        <f t="shared" si="5"/>
        <v>0.90601902375145738</v>
      </c>
      <c r="Z40">
        <f t="shared" si="6"/>
        <v>1.1814764762495735</v>
      </c>
      <c r="AA40">
        <f t="shared" si="7"/>
        <v>-1.4096323182789989</v>
      </c>
      <c r="AB40">
        <f t="shared" si="8"/>
        <v>3.2216703657819137</v>
      </c>
      <c r="AD40">
        <f t="shared" si="10"/>
        <v>37</v>
      </c>
      <c r="AE40">
        <f t="shared" si="11"/>
        <v>10.044686426220611</v>
      </c>
    </row>
    <row r="41" spans="1:31" x14ac:dyDescent="0.35">
      <c r="A41">
        <f t="shared" si="0"/>
        <v>38</v>
      </c>
      <c r="B41">
        <v>9.5026475408720934</v>
      </c>
      <c r="D41">
        <f t="shared" si="9"/>
        <v>38</v>
      </c>
      <c r="E41">
        <f t="shared" si="1"/>
        <v>-4.9180761798346353</v>
      </c>
      <c r="F41">
        <f t="shared" si="12"/>
        <v>-1.301158897001502</v>
      </c>
      <c r="V41">
        <f t="shared" si="2"/>
        <v>38</v>
      </c>
      <c r="W41">
        <f t="shared" si="3"/>
        <v>-4.9180761798346353</v>
      </c>
      <c r="X41">
        <f t="shared" si="4"/>
        <v>-1.301158897001502</v>
      </c>
      <c r="Y41">
        <f t="shared" si="5"/>
        <v>-3.6169172828331333</v>
      </c>
      <c r="Z41">
        <f t="shared" si="6"/>
        <v>1.1814764762495735</v>
      </c>
      <c r="AA41">
        <f t="shared" si="7"/>
        <v>-5.93256862486359</v>
      </c>
      <c r="AB41">
        <f t="shared" si="8"/>
        <v>-1.301265940802677</v>
      </c>
      <c r="AD41">
        <f t="shared" si="10"/>
        <v>38</v>
      </c>
      <c r="AE41">
        <f t="shared" si="11"/>
        <v>9.5026475408720934</v>
      </c>
    </row>
    <row r="42" spans="1:31" x14ac:dyDescent="0.35">
      <c r="A42">
        <f t="shared" si="0"/>
        <v>39</v>
      </c>
      <c r="B42">
        <v>12.016635145209889</v>
      </c>
      <c r="D42">
        <f t="shared" si="9"/>
        <v>39</v>
      </c>
      <c r="E42">
        <f t="shared" si="1"/>
        <v>3.2852331481422947</v>
      </c>
      <c r="F42">
        <f t="shared" si="12"/>
        <v>-1.8315549956317012E-2</v>
      </c>
      <c r="V42">
        <f t="shared" si="2"/>
        <v>39</v>
      </c>
      <c r="W42">
        <f t="shared" si="3"/>
        <v>3.2852331481422947</v>
      </c>
      <c r="X42">
        <f t="shared" si="4"/>
        <v>-1.8315549956317012E-2</v>
      </c>
      <c r="Y42">
        <f t="shared" si="5"/>
        <v>3.303548698098612</v>
      </c>
      <c r="Z42">
        <f t="shared" si="6"/>
        <v>1.1814764762495735</v>
      </c>
      <c r="AA42">
        <f t="shared" si="7"/>
        <v>0.98789735606815565</v>
      </c>
      <c r="AB42">
        <f t="shared" si="8"/>
        <v>5.6192000401290683</v>
      </c>
      <c r="AD42">
        <f t="shared" si="10"/>
        <v>39</v>
      </c>
      <c r="AE42">
        <f t="shared" si="11"/>
        <v>12.016635145209889</v>
      </c>
    </row>
    <row r="43" spans="1:31" x14ac:dyDescent="0.35">
      <c r="A43">
        <f t="shared" si="0"/>
        <v>40</v>
      </c>
      <c r="B43">
        <v>9.6075824244635548</v>
      </c>
      <c r="D43">
        <f t="shared" si="9"/>
        <v>40</v>
      </c>
      <c r="E43">
        <f t="shared" si="1"/>
        <v>-1.2139048473888518</v>
      </c>
      <c r="F43">
        <f t="shared" si="12"/>
        <v>-0.25906442514449929</v>
      </c>
      <c r="V43">
        <f t="shared" si="2"/>
        <v>40</v>
      </c>
      <c r="W43">
        <f t="shared" si="3"/>
        <v>-1.2139048473888518</v>
      </c>
      <c r="X43">
        <f t="shared" si="4"/>
        <v>-0.25906442514449929</v>
      </c>
      <c r="Y43">
        <f t="shared" si="5"/>
        <v>-0.9548404222443525</v>
      </c>
      <c r="Z43">
        <f t="shared" si="6"/>
        <v>1.1814764762495735</v>
      </c>
      <c r="AA43">
        <f t="shared" si="7"/>
        <v>-3.2704917642748086</v>
      </c>
      <c r="AB43">
        <f t="shared" si="8"/>
        <v>1.3608109197861038</v>
      </c>
      <c r="AD43">
        <f t="shared" si="10"/>
        <v>40</v>
      </c>
      <c r="AE43">
        <f t="shared" si="11"/>
        <v>9.6075824244635548</v>
      </c>
    </row>
    <row r="44" spans="1:31" x14ac:dyDescent="0.35">
      <c r="A44">
        <f t="shared" si="0"/>
        <v>41</v>
      </c>
      <c r="B44">
        <v>10.47879870661002</v>
      </c>
      <c r="D44">
        <f t="shared" si="9"/>
        <v>41</v>
      </c>
      <c r="E44">
        <f t="shared" si="1"/>
        <v>-0.46827614728281486</v>
      </c>
      <c r="F44">
        <f t="shared" si="12"/>
        <v>-0.84963684520021932</v>
      </c>
      <c r="V44">
        <f t="shared" si="2"/>
        <v>41</v>
      </c>
      <c r="W44">
        <f t="shared" si="3"/>
        <v>-0.46827614728281486</v>
      </c>
      <c r="X44">
        <f t="shared" si="4"/>
        <v>-0.84963684520021932</v>
      </c>
      <c r="Y44">
        <f t="shared" si="5"/>
        <v>0.38136069791740446</v>
      </c>
      <c r="Z44">
        <f t="shared" si="6"/>
        <v>1.1814764762495735</v>
      </c>
      <c r="AA44">
        <f t="shared" si="7"/>
        <v>-1.9342906441130518</v>
      </c>
      <c r="AB44">
        <f t="shared" si="8"/>
        <v>2.697012039947861</v>
      </c>
      <c r="AD44">
        <f t="shared" si="10"/>
        <v>41</v>
      </c>
      <c r="AE44">
        <f t="shared" si="11"/>
        <v>10.47879870661002</v>
      </c>
    </row>
    <row r="45" spans="1:31" x14ac:dyDescent="0.35">
      <c r="A45">
        <f t="shared" si="0"/>
        <v>42</v>
      </c>
      <c r="B45">
        <v>10.131145996118137</v>
      </c>
      <c r="D45">
        <f t="shared" si="9"/>
        <v>42</v>
      </c>
      <c r="E45">
        <f t="shared" si="1"/>
        <v>1.4688416121596575</v>
      </c>
      <c r="F45">
        <f t="shared" si="12"/>
        <v>0.25615546439765691</v>
      </c>
      <c r="V45">
        <f t="shared" si="2"/>
        <v>42</v>
      </c>
      <c r="W45">
        <f t="shared" si="3"/>
        <v>1.4688416121596575</v>
      </c>
      <c r="X45">
        <f t="shared" si="4"/>
        <v>0.25615546439765691</v>
      </c>
      <c r="Y45">
        <f t="shared" si="5"/>
        <v>1.2126861477620006</v>
      </c>
      <c r="Z45">
        <f t="shared" si="6"/>
        <v>1.1814764762495735</v>
      </c>
      <c r="AA45">
        <f t="shared" si="7"/>
        <v>-1.1029651942684557</v>
      </c>
      <c r="AB45">
        <f t="shared" si="8"/>
        <v>3.5283374897924569</v>
      </c>
      <c r="AD45">
        <f t="shared" si="10"/>
        <v>42</v>
      </c>
      <c r="AE45">
        <f t="shared" si="11"/>
        <v>10.131145996118137</v>
      </c>
    </row>
    <row r="46" spans="1:31" x14ac:dyDescent="0.35">
      <c r="A46">
        <f t="shared" si="0"/>
        <v>43</v>
      </c>
      <c r="B46">
        <v>9.3102529930939451</v>
      </c>
      <c r="D46">
        <f t="shared" si="9"/>
        <v>43</v>
      </c>
      <c r="E46">
        <f t="shared" si="1"/>
        <v>-0.65917480158682917</v>
      </c>
      <c r="F46">
        <f t="shared" si="12"/>
        <v>0.27077175725450808</v>
      </c>
      <c r="V46">
        <f t="shared" si="2"/>
        <v>43</v>
      </c>
      <c r="W46">
        <f t="shared" si="3"/>
        <v>-0.65917480158682917</v>
      </c>
      <c r="X46">
        <f t="shared" si="4"/>
        <v>0.27077175725450808</v>
      </c>
      <c r="Y46">
        <f t="shared" si="5"/>
        <v>-0.92994655884133726</v>
      </c>
      <c r="Z46">
        <f t="shared" si="6"/>
        <v>1.1814764762495735</v>
      </c>
      <c r="AA46">
        <f t="shared" si="7"/>
        <v>-3.2455979008717937</v>
      </c>
      <c r="AB46">
        <f t="shared" si="8"/>
        <v>1.3857047831891189</v>
      </c>
      <c r="AD46">
        <f t="shared" si="10"/>
        <v>43</v>
      </c>
      <c r="AE46">
        <f t="shared" si="11"/>
        <v>9.3102529930939451</v>
      </c>
    </row>
    <row r="47" spans="1:31" x14ac:dyDescent="0.35">
      <c r="A47">
        <f t="shared" si="0"/>
        <v>44</v>
      </c>
      <c r="B47">
        <v>9.9532374569799149</v>
      </c>
      <c r="D47">
        <f t="shared" si="9"/>
        <v>44</v>
      </c>
      <c r="E47">
        <f t="shared" si="1"/>
        <v>1.7291376336589046</v>
      </c>
      <c r="F47">
        <f t="shared" si="12"/>
        <v>1.8573845991466795</v>
      </c>
      <c r="V47">
        <f t="shared" si="2"/>
        <v>44</v>
      </c>
      <c r="W47">
        <f t="shared" si="3"/>
        <v>1.7291376336589046</v>
      </c>
      <c r="X47">
        <f t="shared" si="4"/>
        <v>1.8573845991466795</v>
      </c>
      <c r="Y47">
        <f t="shared" si="5"/>
        <v>-0.12824696548777492</v>
      </c>
      <c r="Z47">
        <f t="shared" si="6"/>
        <v>1.1814764762495735</v>
      </c>
      <c r="AA47">
        <f t="shared" si="7"/>
        <v>-2.4438983075182312</v>
      </c>
      <c r="AB47">
        <f t="shared" si="8"/>
        <v>2.1874043765426814</v>
      </c>
      <c r="AD47">
        <f t="shared" si="10"/>
        <v>44</v>
      </c>
      <c r="AE47">
        <f t="shared" si="11"/>
        <v>9.9532374569799149</v>
      </c>
    </row>
    <row r="48" spans="1:31" x14ac:dyDescent="0.35">
      <c r="A48">
        <f t="shared" si="0"/>
        <v>45</v>
      </c>
      <c r="B48">
        <v>9.9320829740295604</v>
      </c>
      <c r="D48">
        <f t="shared" si="9"/>
        <v>45</v>
      </c>
      <c r="E48">
        <f t="shared" si="1"/>
        <v>-2.9049140172999834</v>
      </c>
      <c r="F48">
        <f t="shared" si="12"/>
        <v>-0.38093984503050837</v>
      </c>
      <c r="V48">
        <f t="shared" si="2"/>
        <v>45</v>
      </c>
      <c r="W48">
        <f t="shared" si="3"/>
        <v>-2.9049140172999834</v>
      </c>
      <c r="X48">
        <f t="shared" si="4"/>
        <v>-0.38093984503050837</v>
      </c>
      <c r="Y48">
        <f t="shared" si="5"/>
        <v>-2.5239741722694751</v>
      </c>
      <c r="Z48">
        <f t="shared" si="6"/>
        <v>1.1814764762495735</v>
      </c>
      <c r="AA48">
        <f t="shared" si="7"/>
        <v>-4.8396255142999314</v>
      </c>
      <c r="AB48">
        <f t="shared" si="8"/>
        <v>-0.20832283023901876</v>
      </c>
      <c r="AD48">
        <f t="shared" si="10"/>
        <v>45</v>
      </c>
      <c r="AE48">
        <f t="shared" si="11"/>
        <v>9.9320829740295604</v>
      </c>
    </row>
    <row r="49" spans="1:31" x14ac:dyDescent="0.35">
      <c r="A49">
        <f t="shared" si="0"/>
        <v>46</v>
      </c>
      <c r="B49">
        <v>11.635101979488615</v>
      </c>
      <c r="D49">
        <f t="shared" si="9"/>
        <v>46</v>
      </c>
      <c r="E49">
        <f t="shared" si="1"/>
        <v>0.47781116569148796</v>
      </c>
      <c r="F49">
        <f t="shared" si="12"/>
        <v>-1.1251365023686724</v>
      </c>
      <c r="V49">
        <f t="shared" si="2"/>
        <v>46</v>
      </c>
      <c r="W49">
        <f t="shared" si="3"/>
        <v>0.47781116569148796</v>
      </c>
      <c r="X49">
        <f t="shared" si="4"/>
        <v>-1.1251365023686724</v>
      </c>
      <c r="Y49">
        <f t="shared" si="5"/>
        <v>1.6029476680601604</v>
      </c>
      <c r="Z49">
        <f t="shared" si="6"/>
        <v>1.1814764762495735</v>
      </c>
      <c r="AA49">
        <f t="shared" si="7"/>
        <v>-0.71270367397029588</v>
      </c>
      <c r="AB49">
        <f t="shared" si="8"/>
        <v>3.9185990100906167</v>
      </c>
      <c r="AD49">
        <f t="shared" si="10"/>
        <v>46</v>
      </c>
      <c r="AE49">
        <f t="shared" si="11"/>
        <v>11.635101979488615</v>
      </c>
    </row>
    <row r="50" spans="1:31" x14ac:dyDescent="0.35">
      <c r="A50">
        <f t="shared" si="0"/>
        <v>47</v>
      </c>
      <c r="B50">
        <v>10.428242822398191</v>
      </c>
      <c r="D50">
        <f t="shared" si="9"/>
        <v>47</v>
      </c>
      <c r="E50">
        <f t="shared" si="1"/>
        <v>1.2137823485249246</v>
      </c>
      <c r="F50">
        <f t="shared" si="12"/>
        <v>-1.5818697397085302E-2</v>
      </c>
      <c r="V50">
        <f t="shared" si="2"/>
        <v>47</v>
      </c>
      <c r="W50">
        <f t="shared" si="3"/>
        <v>1.2137823485249246</v>
      </c>
      <c r="X50">
        <f t="shared" si="4"/>
        <v>-1.5818697397085302E-2</v>
      </c>
      <c r="Y50">
        <f t="shared" si="5"/>
        <v>1.2296010459220099</v>
      </c>
      <c r="Z50">
        <f t="shared" si="6"/>
        <v>1.1814764762495735</v>
      </c>
      <c r="AA50">
        <f t="shared" si="7"/>
        <v>-1.0860502961084464</v>
      </c>
      <c r="AB50">
        <f t="shared" si="8"/>
        <v>3.5452523879524662</v>
      </c>
      <c r="AD50">
        <f t="shared" si="10"/>
        <v>47</v>
      </c>
      <c r="AE50">
        <f t="shared" si="11"/>
        <v>10.428242822398191</v>
      </c>
    </row>
    <row r="51" spans="1:31" x14ac:dyDescent="0.35">
      <c r="A51">
        <f t="shared" si="0"/>
        <v>48</v>
      </c>
      <c r="B51">
        <v>9.6942306857497602</v>
      </c>
      <c r="D51">
        <f t="shared" si="9"/>
        <v>48</v>
      </c>
      <c r="E51">
        <f t="shared" si="1"/>
        <v>-0.15222296116424702</v>
      </c>
      <c r="F51">
        <f t="shared" si="12"/>
        <v>0.53356890268236712</v>
      </c>
      <c r="V51">
        <f t="shared" si="2"/>
        <v>48</v>
      </c>
      <c r="W51">
        <f t="shared" si="3"/>
        <v>-0.15222296116424702</v>
      </c>
      <c r="X51">
        <f t="shared" si="4"/>
        <v>0.53356890268236712</v>
      </c>
      <c r="Y51">
        <f t="shared" si="5"/>
        <v>-0.68579186384661417</v>
      </c>
      <c r="Z51">
        <f t="shared" si="6"/>
        <v>1.1814764762495735</v>
      </c>
      <c r="AA51">
        <f t="shared" si="7"/>
        <v>-3.0014432058770706</v>
      </c>
      <c r="AB51">
        <f t="shared" si="8"/>
        <v>1.629859478183842</v>
      </c>
      <c r="AD51">
        <f t="shared" si="10"/>
        <v>48</v>
      </c>
      <c r="AE51">
        <f t="shared" si="11"/>
        <v>9.6942306857497602</v>
      </c>
    </row>
    <row r="52" spans="1:31" x14ac:dyDescent="0.35">
      <c r="A52">
        <f t="shared" si="0"/>
        <v>49</v>
      </c>
      <c r="B52">
        <v>10.169036752376758</v>
      </c>
      <c r="D52">
        <f t="shared" si="9"/>
        <v>49</v>
      </c>
      <c r="E52">
        <f t="shared" si="1"/>
        <v>-0.1431608875009581</v>
      </c>
      <c r="F52">
        <f t="shared" si="12"/>
        <v>0.45414089224323106</v>
      </c>
      <c r="V52">
        <f t="shared" si="2"/>
        <v>49</v>
      </c>
      <c r="W52">
        <f t="shared" si="3"/>
        <v>-0.1431608875009581</v>
      </c>
      <c r="X52">
        <f t="shared" si="4"/>
        <v>0.45414089224323106</v>
      </c>
      <c r="Y52">
        <f t="shared" si="5"/>
        <v>-0.59730177974418919</v>
      </c>
      <c r="Z52">
        <f t="shared" si="6"/>
        <v>1.1814764762495735</v>
      </c>
      <c r="AA52">
        <f t="shared" si="7"/>
        <v>-2.9129531217746454</v>
      </c>
      <c r="AB52">
        <f t="shared" si="8"/>
        <v>1.7183495622862672</v>
      </c>
      <c r="AD52">
        <f t="shared" si="10"/>
        <v>49</v>
      </c>
      <c r="AE52">
        <f t="shared" si="11"/>
        <v>10.169036752376758</v>
      </c>
    </row>
    <row r="53" spans="1:31" x14ac:dyDescent="0.35">
      <c r="A53">
        <f t="shared" si="0"/>
        <v>50</v>
      </c>
      <c r="B53">
        <v>10.486655712590014</v>
      </c>
      <c r="D53">
        <f t="shared" si="9"/>
        <v>50</v>
      </c>
      <c r="E53">
        <f t="shared" si="1"/>
        <v>-0.69136185565011321</v>
      </c>
      <c r="F53">
        <f t="shared" si="12"/>
        <v>-0.36637229804921528</v>
      </c>
      <c r="V53">
        <f t="shared" si="2"/>
        <v>50</v>
      </c>
      <c r="W53">
        <f t="shared" si="3"/>
        <v>-0.69136185565011321</v>
      </c>
      <c r="X53">
        <f t="shared" si="4"/>
        <v>-0.36637229804921528</v>
      </c>
      <c r="Y53">
        <f t="shared" si="5"/>
        <v>-0.32498955760089793</v>
      </c>
      <c r="Z53">
        <f t="shared" si="6"/>
        <v>1.1814764762495735</v>
      </c>
      <c r="AA53">
        <f t="shared" si="7"/>
        <v>-2.6406408996313542</v>
      </c>
      <c r="AB53">
        <f t="shared" si="8"/>
        <v>1.9906617844295584</v>
      </c>
      <c r="AD53">
        <f t="shared" si="10"/>
        <v>50</v>
      </c>
      <c r="AE53">
        <f t="shared" si="11"/>
        <v>10.486655712590014</v>
      </c>
    </row>
    <row r="54" spans="1:31" x14ac:dyDescent="0.35">
      <c r="A54">
        <f t="shared" si="0"/>
        <v>51</v>
      </c>
      <c r="B54">
        <v>10.656149640052817</v>
      </c>
      <c r="D54">
        <f t="shared" si="9"/>
        <v>51</v>
      </c>
      <c r="E54">
        <f t="shared" si="1"/>
        <v>-0.6312155955115043</v>
      </c>
      <c r="F54">
        <f t="shared" si="12"/>
        <v>-1.3513559267588688</v>
      </c>
      <c r="V54">
        <f t="shared" si="2"/>
        <v>51</v>
      </c>
      <c r="W54">
        <f t="shared" si="3"/>
        <v>-0.6312155955115043</v>
      </c>
      <c r="X54">
        <f t="shared" si="4"/>
        <v>-1.3513559267588688</v>
      </c>
      <c r="Y54">
        <f t="shared" si="5"/>
        <v>0.72014033124736454</v>
      </c>
      <c r="Z54">
        <f t="shared" si="6"/>
        <v>1.1814764762495735</v>
      </c>
      <c r="AA54">
        <f t="shared" si="7"/>
        <v>-1.5955110107830919</v>
      </c>
      <c r="AB54">
        <f t="shared" si="8"/>
        <v>3.0357916732778207</v>
      </c>
      <c r="AD54">
        <f t="shared" si="10"/>
        <v>51</v>
      </c>
      <c r="AE54">
        <f t="shared" si="11"/>
        <v>10.656149640052817</v>
      </c>
    </row>
    <row r="55" spans="1:31" x14ac:dyDescent="0.35">
      <c r="A55">
        <f t="shared" si="0"/>
        <v>52</v>
      </c>
      <c r="B55">
        <v>10.129317566616011</v>
      </c>
      <c r="D55">
        <f t="shared" si="9"/>
        <v>52</v>
      </c>
      <c r="E55">
        <f t="shared" si="1"/>
        <v>0.30842164602157662</v>
      </c>
      <c r="F55">
        <f t="shared" si="12"/>
        <v>-1.3770839923577263</v>
      </c>
      <c r="V55">
        <f t="shared" si="2"/>
        <v>52</v>
      </c>
      <c r="W55">
        <f t="shared" si="3"/>
        <v>0.30842164602157662</v>
      </c>
      <c r="X55">
        <f t="shared" si="4"/>
        <v>-1.3770839923577263</v>
      </c>
      <c r="Y55">
        <f t="shared" si="5"/>
        <v>1.6855056383793028</v>
      </c>
      <c r="Z55">
        <f t="shared" si="6"/>
        <v>1.1814764762495735</v>
      </c>
      <c r="AA55">
        <f t="shared" si="7"/>
        <v>-0.63014570365115352</v>
      </c>
      <c r="AB55">
        <f t="shared" si="8"/>
        <v>4.0011569804097586</v>
      </c>
      <c r="AD55">
        <f t="shared" si="10"/>
        <v>52</v>
      </c>
      <c r="AE55">
        <f t="shared" si="11"/>
        <v>10.129317566616011</v>
      </c>
    </row>
    <row r="56" spans="1:31" x14ac:dyDescent="0.35">
      <c r="A56">
        <f t="shared" si="0"/>
        <v>53</v>
      </c>
      <c r="B56">
        <v>8.9663057524182062</v>
      </c>
      <c r="D56">
        <f t="shared" si="9"/>
        <v>53</v>
      </c>
      <c r="E56">
        <f t="shared" si="1"/>
        <v>1.4316657775342403</v>
      </c>
      <c r="F56">
        <f t="shared" si="12"/>
        <v>0.21845228603008993</v>
      </c>
      <c r="V56">
        <f t="shared" si="2"/>
        <v>53</v>
      </c>
      <c r="W56">
        <f t="shared" si="3"/>
        <v>1.4316657775342403</v>
      </c>
      <c r="X56">
        <f t="shared" si="4"/>
        <v>0.21845228603008993</v>
      </c>
      <c r="Y56">
        <f t="shared" si="5"/>
        <v>1.2132134915041504</v>
      </c>
      <c r="Z56">
        <f t="shared" si="6"/>
        <v>1.1814764762495735</v>
      </c>
      <c r="AA56">
        <f t="shared" si="7"/>
        <v>-1.1024378505263059</v>
      </c>
      <c r="AB56">
        <f t="shared" si="8"/>
        <v>3.5288648335346067</v>
      </c>
      <c r="AD56">
        <f t="shared" si="10"/>
        <v>53</v>
      </c>
      <c r="AE56">
        <f t="shared" si="11"/>
        <v>8.9663057524182062</v>
      </c>
    </row>
    <row r="57" spans="1:31" x14ac:dyDescent="0.35">
      <c r="A57">
        <f t="shared" si="0"/>
        <v>54</v>
      </c>
      <c r="B57">
        <v>8.1067514389924824</v>
      </c>
      <c r="D57">
        <f t="shared" si="9"/>
        <v>54</v>
      </c>
      <c r="E57">
        <f t="shared" si="1"/>
        <v>-0.4962198077017651</v>
      </c>
      <c r="F57">
        <f t="shared" si="12"/>
        <v>0.49497826022165287</v>
      </c>
      <c r="V57">
        <f t="shared" si="2"/>
        <v>54</v>
      </c>
      <c r="W57">
        <f t="shared" si="3"/>
        <v>-0.4962198077017651</v>
      </c>
      <c r="X57">
        <f t="shared" si="4"/>
        <v>0.49497826022165287</v>
      </c>
      <c r="Y57">
        <f t="shared" si="5"/>
        <v>-0.99119806792341802</v>
      </c>
      <c r="Z57">
        <f t="shared" si="6"/>
        <v>1.1814764762495735</v>
      </c>
      <c r="AA57">
        <f t="shared" si="7"/>
        <v>-3.3068494099538741</v>
      </c>
      <c r="AB57">
        <f t="shared" si="8"/>
        <v>1.3244532741070383</v>
      </c>
      <c r="AD57">
        <f t="shared" si="10"/>
        <v>54</v>
      </c>
      <c r="AE57">
        <f t="shared" si="11"/>
        <v>8.1067514389924824</v>
      </c>
    </row>
    <row r="58" spans="1:31" x14ac:dyDescent="0.35">
      <c r="A58">
        <f t="shared" si="0"/>
        <v>55</v>
      </c>
      <c r="B58">
        <v>8.6738987578515037</v>
      </c>
      <c r="D58">
        <f t="shared" si="9"/>
        <v>55</v>
      </c>
      <c r="E58">
        <f t="shared" si="1"/>
        <v>-3.6885246889472346E-2</v>
      </c>
      <c r="F58">
        <f t="shared" si="12"/>
        <v>0.37860578676594803</v>
      </c>
      <c r="V58">
        <f t="shared" si="2"/>
        <v>55</v>
      </c>
      <c r="W58">
        <f t="shared" si="3"/>
        <v>-3.6885246889472346E-2</v>
      </c>
      <c r="X58">
        <f t="shared" si="4"/>
        <v>0.37860578676594803</v>
      </c>
      <c r="Y58">
        <f t="shared" si="5"/>
        <v>-0.41549103365542039</v>
      </c>
      <c r="Z58">
        <f t="shared" si="6"/>
        <v>1.1814764762495735</v>
      </c>
      <c r="AA58">
        <f t="shared" si="7"/>
        <v>-2.7311423756858768</v>
      </c>
      <c r="AB58">
        <f t="shared" si="8"/>
        <v>1.9001603083750358</v>
      </c>
      <c r="AD58">
        <f t="shared" si="10"/>
        <v>55</v>
      </c>
      <c r="AE58">
        <f t="shared" si="11"/>
        <v>8.6738987578515037</v>
      </c>
    </row>
    <row r="59" spans="1:31" x14ac:dyDescent="0.35">
      <c r="A59">
        <f t="shared" si="0"/>
        <v>56</v>
      </c>
      <c r="B59">
        <v>8.7398621237592646</v>
      </c>
      <c r="D59">
        <f t="shared" si="9"/>
        <v>56</v>
      </c>
      <c r="E59">
        <f t="shared" si="1"/>
        <v>1.8245063442035523</v>
      </c>
      <c r="F59">
        <f t="shared" si="12"/>
        <v>2.0832585858381361</v>
      </c>
      <c r="V59">
        <f t="shared" si="2"/>
        <v>56</v>
      </c>
      <c r="W59">
        <f t="shared" si="3"/>
        <v>1.8245063442035523</v>
      </c>
      <c r="X59">
        <f t="shared" si="4"/>
        <v>2.0832585858381361</v>
      </c>
      <c r="Y59">
        <f t="shared" si="5"/>
        <v>-0.25875224163458377</v>
      </c>
      <c r="Z59">
        <f t="shared" si="6"/>
        <v>1.1814764762495735</v>
      </c>
      <c r="AA59">
        <f t="shared" si="7"/>
        <v>-2.5744035836650401</v>
      </c>
      <c r="AB59">
        <f t="shared" si="8"/>
        <v>2.0568991003958725</v>
      </c>
      <c r="AD59">
        <f t="shared" si="10"/>
        <v>56</v>
      </c>
      <c r="AE59">
        <f t="shared" si="11"/>
        <v>8.7398621237592646</v>
      </c>
    </row>
    <row r="60" spans="1:31" x14ac:dyDescent="0.35">
      <c r="A60">
        <f t="shared" si="0"/>
        <v>57</v>
      </c>
      <c r="B60">
        <v>8.7639760975280581</v>
      </c>
      <c r="D60">
        <f t="shared" si="9"/>
        <v>57</v>
      </c>
      <c r="E60">
        <f t="shared" si="1"/>
        <v>-3.6000399316124732</v>
      </c>
      <c r="F60">
        <f t="shared" si="12"/>
        <v>-0.7242074071333664</v>
      </c>
      <c r="V60">
        <f t="shared" si="2"/>
        <v>57</v>
      </c>
      <c r="W60">
        <f t="shared" si="3"/>
        <v>-3.6000399316124732</v>
      </c>
      <c r="X60">
        <f t="shared" si="4"/>
        <v>-0.7242074071333664</v>
      </c>
      <c r="Y60">
        <f t="shared" si="5"/>
        <v>-2.8758325244791068</v>
      </c>
      <c r="Z60">
        <f t="shared" si="6"/>
        <v>1.1814764762495735</v>
      </c>
      <c r="AA60">
        <f t="shared" si="7"/>
        <v>-5.1914838665095626</v>
      </c>
      <c r="AB60">
        <f t="shared" si="8"/>
        <v>-0.56018118244865045</v>
      </c>
      <c r="AD60">
        <f t="shared" si="10"/>
        <v>57</v>
      </c>
      <c r="AE60">
        <f t="shared" si="11"/>
        <v>8.7639760975280581</v>
      </c>
    </row>
    <row r="61" spans="1:31" x14ac:dyDescent="0.35">
      <c r="A61">
        <f t="shared" si="0"/>
        <v>58</v>
      </c>
      <c r="B61">
        <v>10.607632270250908</v>
      </c>
      <c r="D61">
        <f t="shared" si="9"/>
        <v>58</v>
      </c>
      <c r="E61">
        <f t="shared" si="1"/>
        <v>1.1174581553556369</v>
      </c>
      <c r="F61">
        <f t="shared" si="12"/>
        <v>-1.150631475360663</v>
      </c>
      <c r="V61">
        <f t="shared" si="2"/>
        <v>58</v>
      </c>
      <c r="W61">
        <f t="shared" si="3"/>
        <v>1.1174581553556369</v>
      </c>
      <c r="X61">
        <f t="shared" si="4"/>
        <v>-1.150631475360663</v>
      </c>
      <c r="Y61">
        <f t="shared" si="5"/>
        <v>2.2680896307162999</v>
      </c>
      <c r="Z61">
        <f t="shared" si="6"/>
        <v>1.1814764762495735</v>
      </c>
      <c r="AA61">
        <f t="shared" si="7"/>
        <v>-4.756171131415643E-2</v>
      </c>
      <c r="AB61">
        <f t="shared" si="8"/>
        <v>4.5837409727467566</v>
      </c>
      <c r="AD61">
        <f t="shared" si="10"/>
        <v>58</v>
      </c>
      <c r="AE61">
        <f t="shared" si="11"/>
        <v>10.607632270250908</v>
      </c>
    </row>
    <row r="62" spans="1:31" x14ac:dyDescent="0.35">
      <c r="A62">
        <f t="shared" si="0"/>
        <v>59</v>
      </c>
      <c r="B62">
        <v>8.8462843661117905</v>
      </c>
      <c r="D62">
        <f t="shared" si="9"/>
        <v>59</v>
      </c>
      <c r="E62">
        <f t="shared" si="1"/>
        <v>2.1568553779970561</v>
      </c>
      <c r="F62">
        <f t="shared" si="12"/>
        <v>1.1318392543558824</v>
      </c>
      <c r="V62">
        <f t="shared" si="2"/>
        <v>59</v>
      </c>
      <c r="W62">
        <f t="shared" si="3"/>
        <v>2.1568553779970561</v>
      </c>
      <c r="X62">
        <f t="shared" si="4"/>
        <v>1.1318392543558824</v>
      </c>
      <c r="Y62">
        <f t="shared" si="5"/>
        <v>1.0250161236411737</v>
      </c>
      <c r="Z62">
        <f t="shared" si="6"/>
        <v>1.1814764762495735</v>
      </c>
      <c r="AA62">
        <f t="shared" si="7"/>
        <v>-1.2906352183892826</v>
      </c>
      <c r="AB62">
        <f t="shared" si="8"/>
        <v>3.34066746567163</v>
      </c>
      <c r="AD62">
        <f t="shared" si="10"/>
        <v>59</v>
      </c>
      <c r="AE62">
        <f t="shared" si="11"/>
        <v>8.8462843661117905</v>
      </c>
    </row>
    <row r="63" spans="1:31" x14ac:dyDescent="0.35">
      <c r="A63">
        <f t="shared" si="0"/>
        <v>60</v>
      </c>
      <c r="B63">
        <v>8.197430472078814</v>
      </c>
      <c r="D63">
        <f t="shared" si="9"/>
        <v>60</v>
      </c>
      <c r="E63">
        <f t="shared" si="1"/>
        <v>-1.6997325412322422</v>
      </c>
      <c r="F63">
        <f t="shared" si="12"/>
        <v>0.63635893096421903</v>
      </c>
      <c r="V63">
        <f t="shared" si="2"/>
        <v>60</v>
      </c>
      <c r="W63">
        <f t="shared" si="3"/>
        <v>-1.6997325412322422</v>
      </c>
      <c r="X63">
        <f t="shared" si="4"/>
        <v>0.63635893096421903</v>
      </c>
      <c r="Y63">
        <f t="shared" si="5"/>
        <v>-2.3360914721964612</v>
      </c>
      <c r="Z63">
        <f t="shared" si="6"/>
        <v>1.1814764762495735</v>
      </c>
      <c r="AA63">
        <f t="shared" si="7"/>
        <v>-4.6517428142269175</v>
      </c>
      <c r="AB63">
        <f t="shared" si="8"/>
        <v>-2.0440130166004877E-2</v>
      </c>
      <c r="AD63">
        <f t="shared" si="10"/>
        <v>60</v>
      </c>
      <c r="AE63">
        <f t="shared" si="11"/>
        <v>8.197430472078814</v>
      </c>
    </row>
    <row r="64" spans="1:31" x14ac:dyDescent="0.35">
      <c r="A64">
        <f t="shared" si="0"/>
        <v>61</v>
      </c>
      <c r="B64">
        <v>9.7004678107933984</v>
      </c>
      <c r="D64">
        <f t="shared" si="9"/>
        <v>61</v>
      </c>
      <c r="E64">
        <f t="shared" si="1"/>
        <v>0.4082008089289938</v>
      </c>
      <c r="F64">
        <f t="shared" si="12"/>
        <v>0.43884148938666301</v>
      </c>
      <c r="V64">
        <f t="shared" si="2"/>
        <v>61</v>
      </c>
      <c r="W64">
        <f t="shared" si="3"/>
        <v>0.4082008089289938</v>
      </c>
      <c r="X64">
        <f t="shared" si="4"/>
        <v>0.43884148938666301</v>
      </c>
      <c r="Y64">
        <f t="shared" si="5"/>
        <v>-3.0640680457669212E-2</v>
      </c>
      <c r="Z64">
        <f t="shared" si="6"/>
        <v>1.1814764762495735</v>
      </c>
      <c r="AA64">
        <f t="shared" si="7"/>
        <v>-2.3462920224881256</v>
      </c>
      <c r="AB64">
        <f t="shared" si="8"/>
        <v>2.285010661572787</v>
      </c>
      <c r="AD64">
        <f t="shared" si="10"/>
        <v>61</v>
      </c>
      <c r="AE64">
        <f t="shared" si="11"/>
        <v>9.7004678107933984</v>
      </c>
    </row>
    <row r="65" spans="1:31" x14ac:dyDescent="0.35">
      <c r="A65">
        <f t="shared" si="0"/>
        <v>62</v>
      </c>
      <c r="B65">
        <v>9.4988084630262453</v>
      </c>
      <c r="D65">
        <f t="shared" si="9"/>
        <v>62</v>
      </c>
      <c r="E65">
        <f t="shared" si="1"/>
        <v>-7.7370955663008542E-2</v>
      </c>
      <c r="F65">
        <f t="shared" si="12"/>
        <v>0.28908162586276231</v>
      </c>
      <c r="V65">
        <f t="shared" si="2"/>
        <v>62</v>
      </c>
      <c r="W65">
        <f t="shared" si="3"/>
        <v>-7.7370955663008542E-2</v>
      </c>
      <c r="X65">
        <f t="shared" si="4"/>
        <v>0.28908162586276231</v>
      </c>
      <c r="Y65">
        <f t="shared" si="5"/>
        <v>-0.36645258152577087</v>
      </c>
      <c r="Z65">
        <f t="shared" si="6"/>
        <v>1.1814764762495735</v>
      </c>
      <c r="AA65">
        <f t="shared" si="7"/>
        <v>-2.6821039235562272</v>
      </c>
      <c r="AB65">
        <f t="shared" si="8"/>
        <v>1.9491987605046854</v>
      </c>
      <c r="AD65">
        <f t="shared" si="10"/>
        <v>62</v>
      </c>
      <c r="AE65">
        <f t="shared" si="11"/>
        <v>9.4988084630262453</v>
      </c>
    </row>
    <row r="66" spans="1:31" x14ac:dyDescent="0.35">
      <c r="A66">
        <f t="shared" si="0"/>
        <v>63</v>
      </c>
      <c r="B66">
        <v>9.7003857789385908</v>
      </c>
      <c r="D66">
        <f t="shared" si="9"/>
        <v>63</v>
      </c>
      <c r="E66">
        <f t="shared" si="1"/>
        <v>2.4231395215459255</v>
      </c>
      <c r="F66">
        <f t="shared" si="12"/>
        <v>2.7122900541532555</v>
      </c>
      <c r="V66">
        <f t="shared" si="2"/>
        <v>63</v>
      </c>
      <c r="W66">
        <f t="shared" si="3"/>
        <v>2.4231395215459255</v>
      </c>
      <c r="X66">
        <f t="shared" si="4"/>
        <v>2.7122900541532555</v>
      </c>
      <c r="Y66">
        <f t="shared" si="5"/>
        <v>-0.28915053260733004</v>
      </c>
      <c r="Z66">
        <f t="shared" si="6"/>
        <v>1.1814764762495735</v>
      </c>
      <c r="AA66">
        <f t="shared" si="7"/>
        <v>-2.6048018746377863</v>
      </c>
      <c r="AB66">
        <f t="shared" si="8"/>
        <v>2.0265008094231263</v>
      </c>
      <c r="AD66">
        <f t="shared" si="10"/>
        <v>63</v>
      </c>
      <c r="AE66">
        <f t="shared" si="11"/>
        <v>9.7003857789385908</v>
      </c>
    </row>
    <row r="67" spans="1:31" x14ac:dyDescent="0.35">
      <c r="A67">
        <f t="shared" si="0"/>
        <v>64</v>
      </c>
      <c r="B67">
        <v>9.8196279939384326</v>
      </c>
      <c r="D67">
        <f t="shared" si="9"/>
        <v>64</v>
      </c>
      <c r="E67">
        <f t="shared" si="1"/>
        <v>-3.9658946171804406</v>
      </c>
      <c r="F67">
        <f t="shared" si="12"/>
        <v>-0.20133183610988059</v>
      </c>
      <c r="V67">
        <f t="shared" si="2"/>
        <v>64</v>
      </c>
      <c r="W67">
        <f t="shared" si="3"/>
        <v>-3.9658946171804406</v>
      </c>
      <c r="X67">
        <f t="shared" si="4"/>
        <v>-0.20133183610988059</v>
      </c>
      <c r="Y67">
        <f t="shared" si="5"/>
        <v>-3.76456278107056</v>
      </c>
      <c r="Z67">
        <f t="shared" si="6"/>
        <v>1.1814764762495735</v>
      </c>
      <c r="AA67">
        <f t="shared" si="7"/>
        <v>-6.0802141231010163</v>
      </c>
      <c r="AB67">
        <f t="shared" si="8"/>
        <v>-1.4489114390401037</v>
      </c>
      <c r="AD67">
        <f t="shared" si="10"/>
        <v>64</v>
      </c>
      <c r="AE67">
        <f t="shared" si="11"/>
        <v>9.8196279939384326</v>
      </c>
    </row>
    <row r="68" spans="1:31" x14ac:dyDescent="0.35">
      <c r="A68">
        <f t="shared" si="0"/>
        <v>65</v>
      </c>
      <c r="B68">
        <v>12.357045585234705</v>
      </c>
      <c r="D68">
        <f t="shared" si="9"/>
        <v>65</v>
      </c>
      <c r="E68">
        <f t="shared" si="1"/>
        <v>0.21556674888869756</v>
      </c>
      <c r="F68">
        <f t="shared" si="12"/>
        <v>-1.6674508569821638</v>
      </c>
      <c r="V68">
        <f t="shared" si="2"/>
        <v>65</v>
      </c>
      <c r="W68">
        <f t="shared" si="3"/>
        <v>0.21556674888869756</v>
      </c>
      <c r="X68">
        <f t="shared" si="4"/>
        <v>-1.6674508569821638</v>
      </c>
      <c r="Y68">
        <f t="shared" si="5"/>
        <v>1.8830176058708614</v>
      </c>
      <c r="Z68">
        <f t="shared" si="6"/>
        <v>1.1814764762495735</v>
      </c>
      <c r="AA68">
        <f t="shared" si="7"/>
        <v>-0.43263373615959488</v>
      </c>
      <c r="AB68">
        <f t="shared" si="8"/>
        <v>4.1986689479013179</v>
      </c>
      <c r="AD68">
        <f t="shared" si="10"/>
        <v>65</v>
      </c>
      <c r="AE68">
        <f t="shared" si="11"/>
        <v>12.357045585234705</v>
      </c>
    </row>
    <row r="69" spans="1:31" x14ac:dyDescent="0.35">
      <c r="A69">
        <f t="shared" ref="A69:A108" si="13">A68+1</f>
        <v>66</v>
      </c>
      <c r="B69">
        <v>10.923604414101041</v>
      </c>
      <c r="D69">
        <f t="shared" si="9"/>
        <v>66</v>
      </c>
      <c r="E69">
        <f t="shared" ref="E69:E106" si="14">B71-2*B70+B69-J$6</f>
        <v>1.8011979308514618</v>
      </c>
      <c r="F69">
        <f t="shared" si="12"/>
        <v>-0.22601573381735784</v>
      </c>
      <c r="V69">
        <f t="shared" ref="V69:V106" si="15">D69</f>
        <v>66</v>
      </c>
      <c r="W69">
        <f t="shared" ref="W69:W106" si="16">E69</f>
        <v>1.8011979308514618</v>
      </c>
      <c r="X69">
        <f t="shared" ref="X69:X106" si="17">F69</f>
        <v>-0.22601573381735784</v>
      </c>
      <c r="Y69">
        <f t="shared" ref="Y69:Y106" si="18">W69-X69</f>
        <v>2.0272136646688197</v>
      </c>
      <c r="Z69">
        <f t="shared" ref="Z69:Z106" si="19">J$15</f>
        <v>1.1814764762495735</v>
      </c>
      <c r="AA69">
        <f t="shared" ref="AA69:AA106" si="20">Y69-NORMSINV(1-Z$2/2)*Z69</f>
        <v>-0.28843767736163661</v>
      </c>
      <c r="AB69">
        <f t="shared" ref="AB69:AB106" si="21">Y69+NORMSINV(1-Z$2/2)*Z69</f>
        <v>4.3428650066992756</v>
      </c>
      <c r="AD69">
        <f t="shared" si="10"/>
        <v>66</v>
      </c>
      <c r="AE69">
        <f t="shared" si="11"/>
        <v>10.923604414101041</v>
      </c>
    </row>
    <row r="70" spans="1:31" x14ac:dyDescent="0.35">
      <c r="A70">
        <f t="shared" si="13"/>
        <v>67</v>
      </c>
      <c r="B70">
        <v>9.7007658466065791</v>
      </c>
      <c r="D70">
        <f t="shared" ref="D70:D106" si="22">D69+1</f>
        <v>67</v>
      </c>
      <c r="E70">
        <f t="shared" si="14"/>
        <v>-1.0865112640160923</v>
      </c>
      <c r="F70">
        <f t="shared" si="12"/>
        <v>-0.33039497673142637</v>
      </c>
      <c r="V70">
        <f t="shared" si="15"/>
        <v>67</v>
      </c>
      <c r="W70">
        <f t="shared" si="16"/>
        <v>-1.0865112640160923</v>
      </c>
      <c r="X70">
        <f t="shared" si="17"/>
        <v>-0.33039497673142637</v>
      </c>
      <c r="Y70">
        <f t="shared" si="18"/>
        <v>-0.75611628728466596</v>
      </c>
      <c r="Z70">
        <f t="shared" si="19"/>
        <v>1.1814764762495735</v>
      </c>
      <c r="AA70">
        <f t="shared" si="20"/>
        <v>-3.0717676293151222</v>
      </c>
      <c r="AB70">
        <f t="shared" si="21"/>
        <v>1.5595350547457905</v>
      </c>
      <c r="AD70">
        <f t="shared" ref="AD70:AD113" si="23">AD69+1</f>
        <v>67</v>
      </c>
      <c r="AE70">
        <f t="shared" ref="AE70:AE108" si="24">B70</f>
        <v>9.7007658466065791</v>
      </c>
    </row>
    <row r="71" spans="1:31" x14ac:dyDescent="0.35">
      <c r="A71">
        <f t="shared" si="13"/>
        <v>68</v>
      </c>
      <c r="B71">
        <v>10.274161064714084</v>
      </c>
      <c r="D71">
        <f t="shared" si="22"/>
        <v>68</v>
      </c>
      <c r="E71">
        <f t="shared" si="14"/>
        <v>5.469530490315213E-2</v>
      </c>
      <c r="F71">
        <f t="shared" ref="F71:F106" si="25">E71-SUMPRODUCT(E69:E70,I$4:I$5)-SUMPRODUCT(F70,J$5)</f>
        <v>-0.5476552214744802</v>
      </c>
      <c r="V71">
        <f t="shared" si="15"/>
        <v>68</v>
      </c>
      <c r="W71">
        <f t="shared" si="16"/>
        <v>5.469530490315213E-2</v>
      </c>
      <c r="X71">
        <f t="shared" si="17"/>
        <v>-0.5476552214744802</v>
      </c>
      <c r="Y71">
        <f t="shared" si="18"/>
        <v>0.60235052637763231</v>
      </c>
      <c r="Z71">
        <f t="shared" si="19"/>
        <v>1.1814764762495735</v>
      </c>
      <c r="AA71">
        <f t="shared" si="20"/>
        <v>-1.713300815652824</v>
      </c>
      <c r="AB71">
        <f t="shared" si="21"/>
        <v>2.9180018684080888</v>
      </c>
      <c r="AD71">
        <f t="shared" si="23"/>
        <v>68</v>
      </c>
      <c r="AE71">
        <f t="shared" si="24"/>
        <v>10.274161064714084</v>
      </c>
    </row>
    <row r="72" spans="1:31" x14ac:dyDescent="0.35">
      <c r="A72">
        <f t="shared" si="13"/>
        <v>69</v>
      </c>
      <c r="B72">
        <v>9.7560808735560016</v>
      </c>
      <c r="D72">
        <f t="shared" si="22"/>
        <v>69</v>
      </c>
      <c r="E72">
        <f t="shared" si="14"/>
        <v>-1.9610968391880684E-2</v>
      </c>
      <c r="F72">
        <f t="shared" si="25"/>
        <v>-0.66163588150819908</v>
      </c>
      <c r="V72">
        <f t="shared" si="15"/>
        <v>69</v>
      </c>
      <c r="W72">
        <f t="shared" si="16"/>
        <v>-1.9610968391880684E-2</v>
      </c>
      <c r="X72">
        <f t="shared" si="17"/>
        <v>-0.66163588150819908</v>
      </c>
      <c r="Y72">
        <f t="shared" si="18"/>
        <v>0.64202491311631837</v>
      </c>
      <c r="Z72">
        <f t="shared" si="19"/>
        <v>1.1814764762495735</v>
      </c>
      <c r="AA72">
        <f t="shared" si="20"/>
        <v>-1.673626428914138</v>
      </c>
      <c r="AB72">
        <f t="shared" si="21"/>
        <v>2.9576762551467746</v>
      </c>
      <c r="AD72">
        <f t="shared" si="23"/>
        <v>69</v>
      </c>
      <c r="AE72">
        <f t="shared" si="24"/>
        <v>9.7560808735560016</v>
      </c>
    </row>
    <row r="73" spans="1:31" x14ac:dyDescent="0.35">
      <c r="A73">
        <f t="shared" si="13"/>
        <v>70</v>
      </c>
      <c r="B73">
        <v>9.287731842051576</v>
      </c>
      <c r="D73">
        <f t="shared" si="22"/>
        <v>70</v>
      </c>
      <c r="E73">
        <f t="shared" si="14"/>
        <v>1.6552465387471731</v>
      </c>
      <c r="F73">
        <f t="shared" si="25"/>
        <v>1.0385914749827547</v>
      </c>
      <c r="V73">
        <f t="shared" si="15"/>
        <v>70</v>
      </c>
      <c r="W73">
        <f t="shared" si="16"/>
        <v>1.6552465387471731</v>
      </c>
      <c r="X73">
        <f t="shared" si="17"/>
        <v>1.0385914749827547</v>
      </c>
      <c r="Y73">
        <f t="shared" si="18"/>
        <v>0.61665506376441837</v>
      </c>
      <c r="Z73">
        <f t="shared" si="19"/>
        <v>1.1814764762495735</v>
      </c>
      <c r="AA73">
        <f t="shared" si="20"/>
        <v>-1.6989962782660379</v>
      </c>
      <c r="AB73">
        <f t="shared" si="21"/>
        <v>2.9323064057948747</v>
      </c>
      <c r="AD73">
        <f t="shared" si="23"/>
        <v>70</v>
      </c>
      <c r="AE73">
        <f t="shared" si="24"/>
        <v>9.287731842051576</v>
      </c>
    </row>
    <row r="74" spans="1:31" x14ac:dyDescent="0.35">
      <c r="A74">
        <f t="shared" si="13"/>
        <v>71</v>
      </c>
      <c r="B74">
        <v>8.7948076969057745</v>
      </c>
      <c r="D74">
        <f t="shared" si="22"/>
        <v>71</v>
      </c>
      <c r="E74">
        <f t="shared" si="14"/>
        <v>-1.9580422550764887</v>
      </c>
      <c r="F74">
        <f t="shared" si="25"/>
        <v>-0.13784655075974717</v>
      </c>
      <c r="V74">
        <f t="shared" si="15"/>
        <v>71</v>
      </c>
      <c r="W74">
        <f t="shared" si="16"/>
        <v>-1.9580422550764887</v>
      </c>
      <c r="X74">
        <f t="shared" si="17"/>
        <v>-0.13784655075974717</v>
      </c>
      <c r="Y74">
        <f t="shared" si="18"/>
        <v>-1.8201957043167414</v>
      </c>
      <c r="Z74">
        <f t="shared" si="19"/>
        <v>1.1814764762495735</v>
      </c>
      <c r="AA74">
        <f t="shared" si="20"/>
        <v>-4.1358470463471981</v>
      </c>
      <c r="AB74">
        <f t="shared" si="21"/>
        <v>0.49545563771371492</v>
      </c>
      <c r="AD74">
        <f t="shared" si="23"/>
        <v>71</v>
      </c>
      <c r="AE74">
        <f t="shared" si="24"/>
        <v>8.7948076969057745</v>
      </c>
    </row>
    <row r="75" spans="1:31" x14ac:dyDescent="0.35">
      <c r="A75">
        <f t="shared" si="13"/>
        <v>72</v>
      </c>
      <c r="B75">
        <v>9.9521659452576507</v>
      </c>
      <c r="D75">
        <f t="shared" si="22"/>
        <v>72</v>
      </c>
      <c r="E75">
        <f t="shared" si="14"/>
        <v>7.6167326749533873E-2</v>
      </c>
      <c r="F75">
        <f t="shared" si="25"/>
        <v>-0.82095795269166827</v>
      </c>
      <c r="V75">
        <f t="shared" si="15"/>
        <v>72</v>
      </c>
      <c r="W75">
        <f t="shared" si="16"/>
        <v>7.6167326749533873E-2</v>
      </c>
      <c r="X75">
        <f t="shared" si="17"/>
        <v>-0.82095795269166827</v>
      </c>
      <c r="Y75">
        <f t="shared" si="18"/>
        <v>0.89712527944120213</v>
      </c>
      <c r="Z75">
        <f t="shared" si="19"/>
        <v>1.1814764762495735</v>
      </c>
      <c r="AA75">
        <f t="shared" si="20"/>
        <v>-1.4185260625892542</v>
      </c>
      <c r="AB75">
        <f t="shared" si="21"/>
        <v>3.2127766214716584</v>
      </c>
      <c r="AD75">
        <f t="shared" si="23"/>
        <v>72</v>
      </c>
      <c r="AE75">
        <f t="shared" si="24"/>
        <v>9.9521659452576507</v>
      </c>
    </row>
    <row r="76" spans="1:31" x14ac:dyDescent="0.35">
      <c r="A76">
        <f t="shared" si="13"/>
        <v>73</v>
      </c>
      <c r="B76">
        <v>9.1465177932835431</v>
      </c>
      <c r="D76">
        <f t="shared" si="22"/>
        <v>73</v>
      </c>
      <c r="E76">
        <f t="shared" si="14"/>
        <v>2.0511836335388391</v>
      </c>
      <c r="F76">
        <f t="shared" si="25"/>
        <v>1.036747991555897</v>
      </c>
      <c r="V76">
        <f t="shared" si="15"/>
        <v>73</v>
      </c>
      <c r="W76">
        <f t="shared" si="16"/>
        <v>2.0511836335388391</v>
      </c>
      <c r="X76">
        <f t="shared" si="17"/>
        <v>1.036747991555897</v>
      </c>
      <c r="Y76">
        <f t="shared" si="18"/>
        <v>1.0144356419829421</v>
      </c>
      <c r="Z76">
        <f t="shared" si="19"/>
        <v>1.1814764762495735</v>
      </c>
      <c r="AA76">
        <f t="shared" si="20"/>
        <v>-1.3012157000475142</v>
      </c>
      <c r="AB76">
        <f t="shared" si="21"/>
        <v>3.3300869840133984</v>
      </c>
      <c r="AD76">
        <f t="shared" si="23"/>
        <v>73</v>
      </c>
      <c r="AE76">
        <f t="shared" si="24"/>
        <v>9.1465177932835431</v>
      </c>
    </row>
    <row r="77" spans="1:31" x14ac:dyDescent="0.35">
      <c r="A77">
        <f t="shared" si="13"/>
        <v>74</v>
      </c>
      <c r="B77">
        <v>8.4120728228094741</v>
      </c>
      <c r="D77">
        <f t="shared" si="22"/>
        <v>74</v>
      </c>
      <c r="E77">
        <f t="shared" si="14"/>
        <v>-2.5818689598299347</v>
      </c>
      <c r="F77">
        <f t="shared" si="25"/>
        <v>-0.54382530125780526</v>
      </c>
      <c r="V77">
        <f t="shared" si="15"/>
        <v>74</v>
      </c>
      <c r="W77">
        <f t="shared" si="16"/>
        <v>-2.5818689598299347</v>
      </c>
      <c r="X77">
        <f t="shared" si="17"/>
        <v>-0.54382530125780526</v>
      </c>
      <c r="Y77">
        <f t="shared" si="18"/>
        <v>-2.0380436585721293</v>
      </c>
      <c r="Z77">
        <f t="shared" si="19"/>
        <v>1.1814764762495735</v>
      </c>
      <c r="AA77">
        <f t="shared" si="20"/>
        <v>-4.3536950006025856</v>
      </c>
      <c r="AB77">
        <f t="shared" si="21"/>
        <v>0.27760768345832698</v>
      </c>
      <c r="AD77">
        <f t="shared" si="23"/>
        <v>74</v>
      </c>
      <c r="AE77">
        <f t="shared" si="24"/>
        <v>8.4120728228094741</v>
      </c>
    </row>
    <row r="78" spans="1:31" x14ac:dyDescent="0.35">
      <c r="A78">
        <f t="shared" si="13"/>
        <v>75</v>
      </c>
      <c r="B78">
        <v>9.723847340624749</v>
      </c>
      <c r="D78">
        <f t="shared" si="22"/>
        <v>75</v>
      </c>
      <c r="E78">
        <f t="shared" si="14"/>
        <v>2.1404036071389516</v>
      </c>
      <c r="F78">
        <f t="shared" si="25"/>
        <v>0.60156994030191568</v>
      </c>
      <c r="V78">
        <f t="shared" si="15"/>
        <v>75</v>
      </c>
      <c r="W78">
        <f t="shared" si="16"/>
        <v>2.1404036071389516</v>
      </c>
      <c r="X78">
        <f t="shared" si="17"/>
        <v>0.60156994030191568</v>
      </c>
      <c r="Y78">
        <f t="shared" si="18"/>
        <v>1.5388336668370359</v>
      </c>
      <c r="Z78">
        <f t="shared" si="19"/>
        <v>1.1814764762495735</v>
      </c>
      <c r="AA78">
        <f t="shared" si="20"/>
        <v>-0.77681767519342038</v>
      </c>
      <c r="AB78">
        <f t="shared" si="21"/>
        <v>3.854485008867492</v>
      </c>
      <c r="AD78">
        <f t="shared" si="23"/>
        <v>75</v>
      </c>
      <c r="AE78">
        <f t="shared" si="24"/>
        <v>9.723847340624749</v>
      </c>
    </row>
    <row r="79" spans="1:31" x14ac:dyDescent="0.35">
      <c r="A79">
        <f t="shared" si="13"/>
        <v>76</v>
      </c>
      <c r="B79">
        <v>8.4487887533605939</v>
      </c>
      <c r="D79">
        <f t="shared" si="22"/>
        <v>76</v>
      </c>
      <c r="E79">
        <f t="shared" si="14"/>
        <v>-0.53549128512932331</v>
      </c>
      <c r="F79">
        <f t="shared" si="25"/>
        <v>0.74911190017950458</v>
      </c>
      <c r="V79">
        <f t="shared" si="15"/>
        <v>76</v>
      </c>
      <c r="W79">
        <f t="shared" si="16"/>
        <v>-0.53549128512932331</v>
      </c>
      <c r="X79">
        <f t="shared" si="17"/>
        <v>0.74911190017950458</v>
      </c>
      <c r="Y79">
        <f t="shared" si="18"/>
        <v>-1.284603185308828</v>
      </c>
      <c r="Z79">
        <f t="shared" si="19"/>
        <v>1.1814764762495735</v>
      </c>
      <c r="AA79">
        <f t="shared" si="20"/>
        <v>-3.6002545273392843</v>
      </c>
      <c r="AB79">
        <f t="shared" si="21"/>
        <v>1.0310481567216283</v>
      </c>
      <c r="AD79">
        <f t="shared" si="23"/>
        <v>76</v>
      </c>
      <c r="AE79">
        <f t="shared" si="24"/>
        <v>8.4487887533605939</v>
      </c>
    </row>
    <row r="80" spans="1:31" x14ac:dyDescent="0.35">
      <c r="A80">
        <f t="shared" si="13"/>
        <v>77</v>
      </c>
      <c r="B80">
        <v>9.3091696279858951</v>
      </c>
      <c r="D80">
        <f t="shared" si="22"/>
        <v>77</v>
      </c>
      <c r="E80">
        <f t="shared" si="14"/>
        <v>0.55469797089218342</v>
      </c>
      <c r="F80">
        <f t="shared" si="25"/>
        <v>1.2913433848925477</v>
      </c>
      <c r="V80">
        <f t="shared" si="15"/>
        <v>77</v>
      </c>
      <c r="W80">
        <f t="shared" si="16"/>
        <v>0.55469797089218342</v>
      </c>
      <c r="X80">
        <f t="shared" si="17"/>
        <v>1.2913433848925477</v>
      </c>
      <c r="Y80">
        <f t="shared" si="18"/>
        <v>-0.73664541400036432</v>
      </c>
      <c r="Z80">
        <f t="shared" si="19"/>
        <v>1.1814764762495735</v>
      </c>
      <c r="AA80">
        <f t="shared" si="20"/>
        <v>-3.0522967560308207</v>
      </c>
      <c r="AB80">
        <f t="shared" si="21"/>
        <v>1.5790059280300919</v>
      </c>
      <c r="AD80">
        <f t="shared" si="23"/>
        <v>77</v>
      </c>
      <c r="AE80">
        <f t="shared" si="24"/>
        <v>9.3091696279858951</v>
      </c>
    </row>
    <row r="81" spans="1:31" x14ac:dyDescent="0.35">
      <c r="A81">
        <f t="shared" si="13"/>
        <v>78</v>
      </c>
      <c r="B81">
        <v>9.6290950722323778</v>
      </c>
      <c r="D81">
        <f t="shared" si="22"/>
        <v>78</v>
      </c>
      <c r="E81">
        <f t="shared" si="14"/>
        <v>-3.2288934321354628</v>
      </c>
      <c r="F81">
        <f t="shared" si="25"/>
        <v>-1.821338684925156</v>
      </c>
      <c r="V81">
        <f t="shared" si="15"/>
        <v>78</v>
      </c>
      <c r="W81">
        <f t="shared" si="16"/>
        <v>-3.2288934321354628</v>
      </c>
      <c r="X81">
        <f t="shared" si="17"/>
        <v>-1.821338684925156</v>
      </c>
      <c r="Y81">
        <f t="shared" si="18"/>
        <v>-1.4075547472103067</v>
      </c>
      <c r="Z81">
        <f t="shared" si="19"/>
        <v>1.1814764762495735</v>
      </c>
      <c r="AA81">
        <f t="shared" si="20"/>
        <v>-3.723206089240763</v>
      </c>
      <c r="AB81">
        <f t="shared" si="21"/>
        <v>0.90809659482014959</v>
      </c>
      <c r="AD81">
        <f t="shared" si="23"/>
        <v>78</v>
      </c>
      <c r="AE81">
        <f t="shared" si="24"/>
        <v>9.6290950722323778</v>
      </c>
    </row>
    <row r="82" spans="1:31" x14ac:dyDescent="0.35">
      <c r="A82">
        <f t="shared" si="13"/>
        <v>79</v>
      </c>
      <c r="B82">
        <v>10.498754342121549</v>
      </c>
      <c r="D82">
        <f t="shared" si="22"/>
        <v>79</v>
      </c>
      <c r="E82">
        <f t="shared" si="14"/>
        <v>3.3897899804827567</v>
      </c>
      <c r="F82">
        <f t="shared" si="25"/>
        <v>0.10606662869972894</v>
      </c>
      <c r="V82">
        <f t="shared" si="15"/>
        <v>79</v>
      </c>
      <c r="W82">
        <f t="shared" si="16"/>
        <v>3.3897899804827567</v>
      </c>
      <c r="X82">
        <f t="shared" si="17"/>
        <v>0.10606662869972894</v>
      </c>
      <c r="Y82">
        <f t="shared" si="18"/>
        <v>3.2837233517830278</v>
      </c>
      <c r="Z82">
        <f t="shared" si="19"/>
        <v>1.1814764762495735</v>
      </c>
      <c r="AA82">
        <f t="shared" si="20"/>
        <v>0.96807200975257146</v>
      </c>
      <c r="AB82">
        <f t="shared" si="21"/>
        <v>5.5993746938134841</v>
      </c>
      <c r="AD82">
        <f t="shared" si="23"/>
        <v>79</v>
      </c>
      <c r="AE82">
        <f t="shared" si="24"/>
        <v>10.498754342121549</v>
      </c>
    </row>
    <row r="83" spans="1:31" x14ac:dyDescent="0.35">
      <c r="A83">
        <f t="shared" si="13"/>
        <v>80</v>
      </c>
      <c r="B83">
        <v>8.1345560346257617</v>
      </c>
      <c r="D83">
        <f t="shared" si="22"/>
        <v>80</v>
      </c>
      <c r="E83">
        <f t="shared" si="14"/>
        <v>-2.1787615047773645</v>
      </c>
      <c r="F83">
        <f t="shared" si="25"/>
        <v>-0.80285180927292776</v>
      </c>
      <c r="V83">
        <f t="shared" si="15"/>
        <v>80</v>
      </c>
      <c r="W83">
        <f t="shared" si="16"/>
        <v>-2.1787615047773645</v>
      </c>
      <c r="X83">
        <f t="shared" si="17"/>
        <v>-0.80285180927292776</v>
      </c>
      <c r="Y83">
        <f t="shared" si="18"/>
        <v>-1.3759096955044368</v>
      </c>
      <c r="Z83">
        <f t="shared" si="19"/>
        <v>1.1814764762495735</v>
      </c>
      <c r="AA83">
        <f t="shared" si="20"/>
        <v>-3.6915610375348931</v>
      </c>
      <c r="AB83">
        <f t="shared" si="21"/>
        <v>0.93974164652601955</v>
      </c>
      <c r="AD83">
        <f t="shared" si="23"/>
        <v>80</v>
      </c>
      <c r="AE83">
        <f t="shared" si="24"/>
        <v>8.1345560346257617</v>
      </c>
    </row>
    <row r="84" spans="1:31" x14ac:dyDescent="0.35">
      <c r="A84">
        <f t="shared" si="13"/>
        <v>81</v>
      </c>
      <c r="B84">
        <v>9.155183562363236</v>
      </c>
      <c r="D84">
        <f t="shared" si="22"/>
        <v>81</v>
      </c>
      <c r="E84">
        <f t="shared" si="14"/>
        <v>3.6155038241343913</v>
      </c>
      <c r="F84">
        <f t="shared" si="25"/>
        <v>2.2442288564592765</v>
      </c>
      <c r="V84">
        <f t="shared" si="15"/>
        <v>81</v>
      </c>
      <c r="W84">
        <f t="shared" si="16"/>
        <v>3.6155038241343913</v>
      </c>
      <c r="X84">
        <f t="shared" si="17"/>
        <v>2.2442288564592765</v>
      </c>
      <c r="Y84">
        <f t="shared" si="18"/>
        <v>1.3712749676751148</v>
      </c>
      <c r="Z84">
        <f t="shared" si="19"/>
        <v>1.1814764762495735</v>
      </c>
      <c r="AA84">
        <f t="shared" si="20"/>
        <v>-0.9443763743553415</v>
      </c>
      <c r="AB84">
        <f t="shared" si="21"/>
        <v>3.6869263097055711</v>
      </c>
      <c r="AD84">
        <f t="shared" si="23"/>
        <v>81</v>
      </c>
      <c r="AE84">
        <f t="shared" si="24"/>
        <v>9.155183562363236</v>
      </c>
    </row>
    <row r="85" spans="1:31" x14ac:dyDescent="0.35">
      <c r="A85">
        <f t="shared" si="13"/>
        <v>82</v>
      </c>
      <c r="B85">
        <v>7.9920854400738497</v>
      </c>
      <c r="D85">
        <f t="shared" si="22"/>
        <v>82</v>
      </c>
      <c r="E85">
        <f t="shared" si="14"/>
        <v>-1.7067516795934479</v>
      </c>
      <c r="F85">
        <f t="shared" si="25"/>
        <v>1.9286684022625464</v>
      </c>
      <c r="V85">
        <f t="shared" si="15"/>
        <v>82</v>
      </c>
      <c r="W85">
        <f t="shared" si="16"/>
        <v>-1.7067516795934479</v>
      </c>
      <c r="X85">
        <f t="shared" si="17"/>
        <v>1.9286684022625464</v>
      </c>
      <c r="Y85">
        <f t="shared" si="18"/>
        <v>-3.6354200818559943</v>
      </c>
      <c r="Z85">
        <f t="shared" si="19"/>
        <v>1.1814764762495735</v>
      </c>
      <c r="AA85">
        <f t="shared" si="20"/>
        <v>-5.9510714238864502</v>
      </c>
      <c r="AB85">
        <f t="shared" si="21"/>
        <v>-1.319768739825538</v>
      </c>
      <c r="AD85">
        <f t="shared" si="23"/>
        <v>82</v>
      </c>
      <c r="AE85">
        <f t="shared" si="24"/>
        <v>7.9920854400738497</v>
      </c>
    </row>
    <row r="86" spans="1:31" x14ac:dyDescent="0.35">
      <c r="A86">
        <f t="shared" si="13"/>
        <v>83</v>
      </c>
      <c r="B86">
        <v>10.439526996669359</v>
      </c>
      <c r="D86">
        <f t="shared" si="22"/>
        <v>83</v>
      </c>
      <c r="E86">
        <f t="shared" si="14"/>
        <v>-1.9845108258615252</v>
      </c>
      <c r="F86">
        <f t="shared" si="25"/>
        <v>-0.54001574254178064</v>
      </c>
      <c r="V86">
        <f t="shared" si="15"/>
        <v>83</v>
      </c>
      <c r="W86">
        <f t="shared" si="16"/>
        <v>-1.9845108258615252</v>
      </c>
      <c r="X86">
        <f t="shared" si="17"/>
        <v>-0.54001574254178064</v>
      </c>
      <c r="Y86">
        <f t="shared" si="18"/>
        <v>-1.4444950833197445</v>
      </c>
      <c r="Z86">
        <f t="shared" si="19"/>
        <v>1.1814764762495735</v>
      </c>
      <c r="AA86">
        <f t="shared" si="20"/>
        <v>-3.760146425350201</v>
      </c>
      <c r="AB86">
        <f t="shared" si="21"/>
        <v>0.87115625871071178</v>
      </c>
      <c r="AD86">
        <f t="shared" si="23"/>
        <v>83</v>
      </c>
      <c r="AE86">
        <f t="shared" si="24"/>
        <v>10.439526996669359</v>
      </c>
    </row>
    <row r="87" spans="1:31" x14ac:dyDescent="0.35">
      <c r="A87">
        <f t="shared" si="13"/>
        <v>84</v>
      </c>
      <c r="B87">
        <v>11.175252728421926</v>
      </c>
      <c r="D87">
        <f t="shared" si="22"/>
        <v>84</v>
      </c>
      <c r="E87">
        <f t="shared" si="14"/>
        <v>1.9902287594696162</v>
      </c>
      <c r="F87">
        <f t="shared" si="25"/>
        <v>0.20560498904051117</v>
      </c>
      <c r="V87">
        <f t="shared" si="15"/>
        <v>84</v>
      </c>
      <c r="W87">
        <f t="shared" si="16"/>
        <v>1.9902287594696162</v>
      </c>
      <c r="X87">
        <f t="shared" si="17"/>
        <v>0.20560498904051117</v>
      </c>
      <c r="Y87">
        <f t="shared" si="18"/>
        <v>1.784623770429105</v>
      </c>
      <c r="Z87">
        <f t="shared" si="19"/>
        <v>1.1814764762495735</v>
      </c>
      <c r="AA87">
        <f t="shared" si="20"/>
        <v>-0.53102757160135128</v>
      </c>
      <c r="AB87">
        <f t="shared" si="21"/>
        <v>4.1002751124595616</v>
      </c>
      <c r="AD87">
        <f t="shared" si="23"/>
        <v>84</v>
      </c>
      <c r="AE87">
        <f t="shared" si="24"/>
        <v>11.175252728421926</v>
      </c>
    </row>
    <row r="88" spans="1:31" x14ac:dyDescent="0.35">
      <c r="A88">
        <f t="shared" si="13"/>
        <v>85</v>
      </c>
      <c r="B88">
        <v>9.9215034890634719</v>
      </c>
      <c r="D88">
        <f t="shared" si="22"/>
        <v>85</v>
      </c>
      <c r="E88">
        <f t="shared" si="14"/>
        <v>-1.0786050575775654</v>
      </c>
      <c r="F88">
        <f t="shared" si="25"/>
        <v>-0.15083200023294455</v>
      </c>
      <c r="V88">
        <f t="shared" si="15"/>
        <v>85</v>
      </c>
      <c r="W88">
        <f t="shared" si="16"/>
        <v>-1.0786050575775654</v>
      </c>
      <c r="X88">
        <f t="shared" si="17"/>
        <v>-0.15083200023294455</v>
      </c>
      <c r="Y88">
        <f t="shared" si="18"/>
        <v>-0.9277730573446209</v>
      </c>
      <c r="Z88">
        <f t="shared" si="19"/>
        <v>1.1814764762495735</v>
      </c>
      <c r="AA88">
        <f t="shared" si="20"/>
        <v>-3.2434243993750771</v>
      </c>
      <c r="AB88">
        <f t="shared" si="21"/>
        <v>1.3878782846858355</v>
      </c>
      <c r="AD88">
        <f t="shared" si="23"/>
        <v>85</v>
      </c>
      <c r="AE88">
        <f t="shared" si="24"/>
        <v>9.9215034890634719</v>
      </c>
    </row>
    <row r="89" spans="1:31" x14ac:dyDescent="0.35">
      <c r="A89">
        <f t="shared" si="13"/>
        <v>86</v>
      </c>
      <c r="B89">
        <v>10.653018863925139</v>
      </c>
      <c r="D89">
        <f t="shared" si="22"/>
        <v>86</v>
      </c>
      <c r="E89">
        <f t="shared" si="14"/>
        <v>-0.62123542070440518</v>
      </c>
      <c r="F89">
        <f t="shared" si="25"/>
        <v>-1.0245591297245396</v>
      </c>
      <c r="V89">
        <f t="shared" si="15"/>
        <v>86</v>
      </c>
      <c r="W89">
        <f t="shared" si="16"/>
        <v>-0.62123542070440518</v>
      </c>
      <c r="X89">
        <f t="shared" si="17"/>
        <v>-1.0245591297245396</v>
      </c>
      <c r="Y89">
        <f t="shared" si="18"/>
        <v>0.40332370902013437</v>
      </c>
      <c r="Z89">
        <f t="shared" si="19"/>
        <v>1.1814764762495735</v>
      </c>
      <c r="AA89">
        <f t="shared" si="20"/>
        <v>-1.9123276330103218</v>
      </c>
      <c r="AB89">
        <f t="shared" si="21"/>
        <v>2.7189750510505908</v>
      </c>
      <c r="AD89">
        <f t="shared" si="23"/>
        <v>86</v>
      </c>
      <c r="AE89">
        <f t="shared" si="24"/>
        <v>10.653018863925139</v>
      </c>
    </row>
    <row r="90" spans="1:31" x14ac:dyDescent="0.35">
      <c r="A90">
        <f t="shared" si="13"/>
        <v>87</v>
      </c>
      <c r="B90">
        <v>10.300965035959745</v>
      </c>
      <c r="D90">
        <f t="shared" si="22"/>
        <v>87</v>
      </c>
      <c r="E90">
        <f t="shared" si="14"/>
        <v>2.8690027951103385</v>
      </c>
      <c r="F90">
        <f t="shared" si="25"/>
        <v>1.4346364880417382</v>
      </c>
      <c r="V90">
        <f t="shared" si="15"/>
        <v>87</v>
      </c>
      <c r="W90">
        <f t="shared" si="16"/>
        <v>2.8690027951103385</v>
      </c>
      <c r="X90">
        <f t="shared" si="17"/>
        <v>1.4346364880417382</v>
      </c>
      <c r="Y90">
        <f t="shared" si="18"/>
        <v>1.4343663070686004</v>
      </c>
      <c r="Z90">
        <f t="shared" si="19"/>
        <v>1.1814764762495735</v>
      </c>
      <c r="AA90">
        <f t="shared" si="20"/>
        <v>-0.88128503496185595</v>
      </c>
      <c r="AB90">
        <f t="shared" si="21"/>
        <v>3.7500176490990569</v>
      </c>
      <c r="AD90">
        <f t="shared" si="23"/>
        <v>87</v>
      </c>
      <c r="AE90">
        <f t="shared" si="24"/>
        <v>10.300965035959745</v>
      </c>
    </row>
    <row r="91" spans="1:31" x14ac:dyDescent="0.35">
      <c r="A91">
        <f t="shared" si="13"/>
        <v>88</v>
      </c>
      <c r="B91">
        <v>9.322711642040451</v>
      </c>
      <c r="D91">
        <f t="shared" si="22"/>
        <v>88</v>
      </c>
      <c r="E91">
        <f t="shared" si="14"/>
        <v>-3.2556057574589961</v>
      </c>
      <c r="F91">
        <f t="shared" si="25"/>
        <v>-0.52762583461966384</v>
      </c>
      <c r="V91">
        <f t="shared" si="15"/>
        <v>88</v>
      </c>
      <c r="W91">
        <f t="shared" si="16"/>
        <v>-3.2556057574589961</v>
      </c>
      <c r="X91">
        <f t="shared" si="17"/>
        <v>-0.52762583461966384</v>
      </c>
      <c r="Y91">
        <f t="shared" si="18"/>
        <v>-2.7279799228393324</v>
      </c>
      <c r="Z91">
        <f t="shared" si="19"/>
        <v>1.1814764762495735</v>
      </c>
      <c r="AA91">
        <f t="shared" si="20"/>
        <v>-5.0436312648697887</v>
      </c>
      <c r="AB91">
        <f t="shared" si="21"/>
        <v>-0.41232858080887613</v>
      </c>
      <c r="AD91">
        <f t="shared" si="23"/>
        <v>88</v>
      </c>
      <c r="AE91">
        <f t="shared" si="24"/>
        <v>9.322711642040451</v>
      </c>
    </row>
    <row r="92" spans="1:31" x14ac:dyDescent="0.35">
      <c r="A92">
        <f t="shared" si="13"/>
        <v>89</v>
      </c>
      <c r="B92">
        <v>11.208496897982</v>
      </c>
      <c r="D92">
        <f t="shared" si="22"/>
        <v>89</v>
      </c>
      <c r="E92">
        <f t="shared" si="14"/>
        <v>2.5552654451685033</v>
      </c>
      <c r="F92">
        <f t="shared" si="25"/>
        <v>0.80378841239603027</v>
      </c>
      <c r="V92">
        <f t="shared" si="15"/>
        <v>89</v>
      </c>
      <c r="W92">
        <f t="shared" si="16"/>
        <v>2.5552654451685033</v>
      </c>
      <c r="X92">
        <f t="shared" si="17"/>
        <v>0.80378841239603027</v>
      </c>
      <c r="Y92">
        <f t="shared" si="18"/>
        <v>1.7514770327724731</v>
      </c>
      <c r="Z92">
        <f t="shared" si="19"/>
        <v>1.1814764762495735</v>
      </c>
      <c r="AA92">
        <f t="shared" si="20"/>
        <v>-0.56417430925798318</v>
      </c>
      <c r="AB92">
        <f t="shared" si="21"/>
        <v>4.0671283748029294</v>
      </c>
      <c r="AD92">
        <f t="shared" si="23"/>
        <v>89</v>
      </c>
      <c r="AE92">
        <f t="shared" si="24"/>
        <v>11.208496897982</v>
      </c>
    </row>
    <row r="93" spans="1:31" x14ac:dyDescent="0.35">
      <c r="A93">
        <f t="shared" si="13"/>
        <v>90</v>
      </c>
      <c r="B93">
        <v>9.8337122512150579</v>
      </c>
      <c r="D93">
        <f t="shared" si="22"/>
        <v>90</v>
      </c>
      <c r="E93">
        <f t="shared" si="14"/>
        <v>-2.5075697480105301</v>
      </c>
      <c r="F93">
        <f t="shared" si="25"/>
        <v>-0.92022740555233884</v>
      </c>
      <c r="V93">
        <f t="shared" si="15"/>
        <v>90</v>
      </c>
      <c r="W93">
        <f t="shared" si="16"/>
        <v>-2.5075697480105301</v>
      </c>
      <c r="X93">
        <f t="shared" si="17"/>
        <v>-0.92022740555233884</v>
      </c>
      <c r="Y93">
        <f t="shared" si="18"/>
        <v>-1.5873423424581912</v>
      </c>
      <c r="Z93">
        <f t="shared" si="19"/>
        <v>1.1814764762495735</v>
      </c>
      <c r="AA93">
        <f t="shared" si="20"/>
        <v>-3.9029936844886475</v>
      </c>
      <c r="AB93">
        <f t="shared" si="21"/>
        <v>0.72830899957226514</v>
      </c>
      <c r="AD93">
        <f t="shared" si="23"/>
        <v>90</v>
      </c>
      <c r="AE93">
        <f t="shared" si="24"/>
        <v>9.8337122512150579</v>
      </c>
    </row>
    <row r="94" spans="1:31" x14ac:dyDescent="0.35">
      <c r="A94">
        <f t="shared" si="13"/>
        <v>91</v>
      </c>
      <c r="B94">
        <v>11.009228904367124</v>
      </c>
      <c r="D94">
        <f t="shared" si="22"/>
        <v>91</v>
      </c>
      <c r="E94">
        <f t="shared" si="14"/>
        <v>-0.3081751134754428</v>
      </c>
      <c r="F94">
        <f t="shared" si="25"/>
        <v>-2.083143444174393</v>
      </c>
      <c r="V94">
        <f t="shared" si="15"/>
        <v>91</v>
      </c>
      <c r="W94">
        <f t="shared" si="16"/>
        <v>-0.3081751134754428</v>
      </c>
      <c r="X94">
        <f t="shared" si="17"/>
        <v>-2.083143444174393</v>
      </c>
      <c r="Y94">
        <f t="shared" si="18"/>
        <v>1.7749683306989503</v>
      </c>
      <c r="Z94">
        <f t="shared" si="19"/>
        <v>1.1814764762495735</v>
      </c>
      <c r="AA94">
        <f t="shared" si="20"/>
        <v>-0.54068301133150598</v>
      </c>
      <c r="AB94">
        <f t="shared" si="21"/>
        <v>4.0906196727294066</v>
      </c>
      <c r="AD94">
        <f t="shared" si="23"/>
        <v>91</v>
      </c>
      <c r="AE94">
        <f t="shared" si="24"/>
        <v>11.009228904367124</v>
      </c>
    </row>
    <row r="95" spans="1:31" x14ac:dyDescent="0.35">
      <c r="A95">
        <f t="shared" si="13"/>
        <v>92</v>
      </c>
      <c r="B95">
        <v>9.672211664259164</v>
      </c>
      <c r="D95">
        <f t="shared" si="22"/>
        <v>92</v>
      </c>
      <c r="E95">
        <f t="shared" si="14"/>
        <v>2.7332259653644062</v>
      </c>
      <c r="F95">
        <f t="shared" si="25"/>
        <v>0.26523521403076478</v>
      </c>
      <c r="V95">
        <f t="shared" si="15"/>
        <v>92</v>
      </c>
      <c r="W95">
        <f t="shared" si="16"/>
        <v>2.7332259653644062</v>
      </c>
      <c r="X95">
        <f t="shared" si="17"/>
        <v>0.26523521403076478</v>
      </c>
      <c r="Y95">
        <f t="shared" si="18"/>
        <v>2.4679907513336414</v>
      </c>
      <c r="Z95">
        <f t="shared" si="19"/>
        <v>1.1814764762495735</v>
      </c>
      <c r="AA95">
        <f t="shared" si="20"/>
        <v>0.15233940930318512</v>
      </c>
      <c r="AB95">
        <f t="shared" si="21"/>
        <v>4.7836420933640973</v>
      </c>
      <c r="AD95">
        <f t="shared" si="23"/>
        <v>92</v>
      </c>
      <c r="AE95">
        <f t="shared" si="24"/>
        <v>9.672211664259164</v>
      </c>
    </row>
    <row r="96" spans="1:31" x14ac:dyDescent="0.35">
      <c r="A96">
        <f t="shared" si="13"/>
        <v>93</v>
      </c>
      <c r="B96">
        <v>8.0220551654262664</v>
      </c>
      <c r="D96">
        <f t="shared" si="22"/>
        <v>93</v>
      </c>
      <c r="E96">
        <f t="shared" si="14"/>
        <v>0.12026190709114805</v>
      </c>
      <c r="F96">
        <f t="shared" si="25"/>
        <v>1.7381017690220797</v>
      </c>
      <c r="V96">
        <f t="shared" si="15"/>
        <v>93</v>
      </c>
      <c r="W96">
        <f t="shared" si="16"/>
        <v>0.12026190709114805</v>
      </c>
      <c r="X96">
        <f t="shared" si="17"/>
        <v>1.7381017690220797</v>
      </c>
      <c r="Y96">
        <f t="shared" si="18"/>
        <v>-1.6178398619309315</v>
      </c>
      <c r="Z96">
        <f t="shared" si="19"/>
        <v>1.1814764762495735</v>
      </c>
      <c r="AA96">
        <f t="shared" si="20"/>
        <v>-3.9334912039613878</v>
      </c>
      <c r="AB96">
        <f t="shared" si="21"/>
        <v>0.69781148009952476</v>
      </c>
      <c r="AD96">
        <f t="shared" si="23"/>
        <v>93</v>
      </c>
      <c r="AE96">
        <f t="shared" si="24"/>
        <v>8.0220551654262664</v>
      </c>
    </row>
    <row r="97" spans="1:31" x14ac:dyDescent="0.35">
      <c r="A97">
        <f t="shared" si="13"/>
        <v>94</v>
      </c>
      <c r="B97">
        <v>9.1001604867082797</v>
      </c>
      <c r="D97">
        <f t="shared" si="22"/>
        <v>94</v>
      </c>
      <c r="E97">
        <f t="shared" si="14"/>
        <v>-0.60786461534966041</v>
      </c>
      <c r="F97">
        <f t="shared" si="25"/>
        <v>1.4757320403393708</v>
      </c>
      <c r="V97">
        <f t="shared" si="15"/>
        <v>94</v>
      </c>
      <c r="W97">
        <f t="shared" si="16"/>
        <v>-0.60786461534966041</v>
      </c>
      <c r="X97">
        <f t="shared" si="17"/>
        <v>1.4757320403393708</v>
      </c>
      <c r="Y97">
        <f t="shared" si="18"/>
        <v>-2.0835966556890311</v>
      </c>
      <c r="Z97">
        <f t="shared" si="19"/>
        <v>1.1814764762495735</v>
      </c>
      <c r="AA97">
        <f t="shared" si="20"/>
        <v>-4.3992479977194874</v>
      </c>
      <c r="AB97">
        <f t="shared" si="21"/>
        <v>0.23205468634142523</v>
      </c>
      <c r="AD97">
        <f t="shared" si="23"/>
        <v>94</v>
      </c>
      <c r="AE97">
        <f t="shared" si="24"/>
        <v>9.1001604867082797</v>
      </c>
    </row>
    <row r="98" spans="1:31" x14ac:dyDescent="0.35">
      <c r="A98">
        <f t="shared" si="13"/>
        <v>95</v>
      </c>
      <c r="B98">
        <v>10.293563569831946</v>
      </c>
      <c r="D98">
        <f t="shared" si="22"/>
        <v>95</v>
      </c>
      <c r="E98">
        <f t="shared" si="14"/>
        <v>-0.40115913924940128</v>
      </c>
      <c r="F98">
        <f t="shared" si="25"/>
        <v>0.67240139260809695</v>
      </c>
      <c r="V98">
        <f t="shared" si="15"/>
        <v>95</v>
      </c>
      <c r="W98">
        <f t="shared" si="16"/>
        <v>-0.40115913924940128</v>
      </c>
      <c r="X98">
        <f t="shared" si="17"/>
        <v>0.67240139260809695</v>
      </c>
      <c r="Y98">
        <f t="shared" si="18"/>
        <v>-1.0735605318574981</v>
      </c>
      <c r="Z98">
        <f t="shared" si="19"/>
        <v>1.1814764762495735</v>
      </c>
      <c r="AA98">
        <f t="shared" si="20"/>
        <v>-3.3892118738879544</v>
      </c>
      <c r="AB98">
        <f t="shared" si="21"/>
        <v>1.2420908101729582</v>
      </c>
      <c r="AD98">
        <f t="shared" si="23"/>
        <v>95</v>
      </c>
      <c r="AE98">
        <f t="shared" si="24"/>
        <v>10.293563569831946</v>
      </c>
    </row>
    <row r="99" spans="1:31" x14ac:dyDescent="0.35">
      <c r="A99">
        <f t="shared" si="13"/>
        <v>96</v>
      </c>
      <c r="B99">
        <v>10.874137892356456</v>
      </c>
      <c r="D99">
        <f t="shared" si="22"/>
        <v>96</v>
      </c>
      <c r="E99">
        <f t="shared" si="14"/>
        <v>-0.84097221475234296</v>
      </c>
      <c r="F99">
        <f t="shared" si="25"/>
        <v>-0.51480228734597244</v>
      </c>
      <c r="V99">
        <f t="shared" si="15"/>
        <v>96</v>
      </c>
      <c r="W99">
        <f t="shared" si="16"/>
        <v>-0.84097221475234296</v>
      </c>
      <c r="X99">
        <f t="shared" si="17"/>
        <v>-0.51480228734597244</v>
      </c>
      <c r="Y99">
        <f t="shared" si="18"/>
        <v>-0.32616992740637052</v>
      </c>
      <c r="Z99">
        <f t="shared" si="19"/>
        <v>1.1814764762495735</v>
      </c>
      <c r="AA99">
        <f t="shared" si="20"/>
        <v>-2.6418212694368268</v>
      </c>
      <c r="AB99">
        <f t="shared" si="21"/>
        <v>1.9894814146240858</v>
      </c>
      <c r="AD99">
        <f t="shared" si="23"/>
        <v>96</v>
      </c>
      <c r="AE99">
        <f t="shared" si="24"/>
        <v>10.874137892356456</v>
      </c>
    </row>
    <row r="100" spans="1:31" x14ac:dyDescent="0.35">
      <c r="A100">
        <f t="shared" si="13"/>
        <v>97</v>
      </c>
      <c r="B100">
        <v>11.048588930382071</v>
      </c>
      <c r="D100">
        <f t="shared" si="22"/>
        <v>97</v>
      </c>
      <c r="E100">
        <f t="shared" si="14"/>
        <v>1.4000792652952825</v>
      </c>
      <c r="F100">
        <f t="shared" si="25"/>
        <v>0.42609240295731421</v>
      </c>
      <c r="V100">
        <f t="shared" si="15"/>
        <v>97</v>
      </c>
      <c r="W100">
        <f t="shared" si="16"/>
        <v>1.4000792652952825</v>
      </c>
      <c r="X100">
        <f t="shared" si="17"/>
        <v>0.42609240295731421</v>
      </c>
      <c r="Y100">
        <f t="shared" si="18"/>
        <v>0.97398686233796827</v>
      </c>
      <c r="Z100">
        <f t="shared" si="19"/>
        <v>1.1814764762495735</v>
      </c>
      <c r="AA100">
        <f t="shared" si="20"/>
        <v>-1.3416644796924881</v>
      </c>
      <c r="AB100">
        <f t="shared" si="21"/>
        <v>3.2896382043684245</v>
      </c>
      <c r="AD100">
        <f t="shared" si="23"/>
        <v>97</v>
      </c>
      <c r="AE100">
        <f t="shared" si="24"/>
        <v>11.048588930382071</v>
      </c>
    </row>
    <row r="101" spans="1:31" x14ac:dyDescent="0.35">
      <c r="A101">
        <f t="shared" si="13"/>
        <v>98</v>
      </c>
      <c r="B101">
        <v>10.377103608405847</v>
      </c>
      <c r="D101">
        <f t="shared" si="22"/>
        <v>98</v>
      </c>
      <c r="E101">
        <f t="shared" si="14"/>
        <v>-2.2629423695240352</v>
      </c>
      <c r="F101">
        <f t="shared" si="25"/>
        <v>-1.2662378883308327</v>
      </c>
      <c r="V101">
        <f t="shared" si="15"/>
        <v>98</v>
      </c>
      <c r="W101">
        <f t="shared" si="16"/>
        <v>-2.2629423695240352</v>
      </c>
      <c r="X101">
        <f t="shared" si="17"/>
        <v>-1.2662378883308327</v>
      </c>
      <c r="Y101">
        <f t="shared" si="18"/>
        <v>-0.99670448119320243</v>
      </c>
      <c r="Z101">
        <f t="shared" si="19"/>
        <v>1.1814764762495735</v>
      </c>
      <c r="AA101">
        <f t="shared" si="20"/>
        <v>-3.3123558232236587</v>
      </c>
      <c r="AB101">
        <f t="shared" si="21"/>
        <v>1.3189468608372539</v>
      </c>
      <c r="AD101">
        <f t="shared" si="23"/>
        <v>98</v>
      </c>
      <c r="AE101">
        <f t="shared" si="24"/>
        <v>10.377103608405847</v>
      </c>
    </row>
    <row r="102" spans="1:31" x14ac:dyDescent="0.35">
      <c r="A102">
        <f t="shared" si="13"/>
        <v>99</v>
      </c>
      <c r="B102">
        <v>11.10073340647541</v>
      </c>
      <c r="D102">
        <f t="shared" si="22"/>
        <v>99</v>
      </c>
      <c r="E102">
        <f t="shared" si="14"/>
        <v>2.1193961843799336</v>
      </c>
      <c r="F102">
        <f t="shared" si="25"/>
        <v>-2.2009071222075294E-2</v>
      </c>
      <c r="V102">
        <f t="shared" si="15"/>
        <v>99</v>
      </c>
      <c r="W102">
        <f t="shared" si="16"/>
        <v>2.1193961843799336</v>
      </c>
      <c r="X102">
        <f t="shared" si="17"/>
        <v>-2.2009071222075294E-2</v>
      </c>
      <c r="Y102">
        <f t="shared" si="18"/>
        <v>2.1414052556020087</v>
      </c>
      <c r="Z102">
        <f t="shared" si="19"/>
        <v>1.1814764762495735</v>
      </c>
      <c r="AA102">
        <f t="shared" si="20"/>
        <v>-0.17424608642844763</v>
      </c>
      <c r="AB102">
        <f t="shared" si="21"/>
        <v>4.457056597632465</v>
      </c>
      <c r="AD102">
        <f t="shared" si="23"/>
        <v>99</v>
      </c>
      <c r="AE102">
        <f t="shared" si="24"/>
        <v>11.10073340647541</v>
      </c>
    </row>
    <row r="103" spans="1:31" x14ac:dyDescent="0.35">
      <c r="A103">
        <f t="shared" si="13"/>
        <v>100</v>
      </c>
      <c r="B103">
        <v>9.5564566897714425</v>
      </c>
      <c r="D103">
        <f t="shared" si="22"/>
        <v>100</v>
      </c>
      <c r="E103">
        <f t="shared" si="14"/>
        <v>-7.31463896561345E-2</v>
      </c>
      <c r="F103">
        <f t="shared" si="25"/>
        <v>0.66874127719232168</v>
      </c>
      <c r="V103">
        <f t="shared" si="15"/>
        <v>100</v>
      </c>
      <c r="W103">
        <f t="shared" si="16"/>
        <v>-7.31463896561345E-2</v>
      </c>
      <c r="X103">
        <f t="shared" si="17"/>
        <v>0.66874127719232168</v>
      </c>
      <c r="Y103">
        <f t="shared" si="18"/>
        <v>-0.7418876668484562</v>
      </c>
      <c r="Z103">
        <f t="shared" si="19"/>
        <v>1.1814764762495735</v>
      </c>
      <c r="AA103">
        <f t="shared" si="20"/>
        <v>-3.0575390088789125</v>
      </c>
      <c r="AB103">
        <f t="shared" si="21"/>
        <v>1.5737636751820001</v>
      </c>
      <c r="AD103">
        <f t="shared" si="23"/>
        <v>100</v>
      </c>
      <c r="AE103">
        <f t="shared" si="24"/>
        <v>9.5564566897714425</v>
      </c>
    </row>
    <row r="104" spans="1:31" x14ac:dyDescent="0.35">
      <c r="A104">
        <f t="shared" si="13"/>
        <v>101</v>
      </c>
      <c r="B104">
        <v>10.126612012197914</v>
      </c>
      <c r="D104">
        <f t="shared" si="22"/>
        <v>101</v>
      </c>
      <c r="E104">
        <f t="shared" si="14"/>
        <v>0.2636402055235737</v>
      </c>
      <c r="F104">
        <f t="shared" si="25"/>
        <v>1.162246844281666</v>
      </c>
      <c r="V104">
        <f t="shared" si="15"/>
        <v>101</v>
      </c>
      <c r="W104">
        <f t="shared" si="16"/>
        <v>0.2636402055235737</v>
      </c>
      <c r="X104">
        <f t="shared" si="17"/>
        <v>1.162246844281666</v>
      </c>
      <c r="Y104">
        <f t="shared" si="18"/>
        <v>-0.89860663875809232</v>
      </c>
      <c r="Z104">
        <f t="shared" si="19"/>
        <v>1.1814764762495735</v>
      </c>
      <c r="AA104">
        <f t="shared" si="20"/>
        <v>-3.2142579807885485</v>
      </c>
      <c r="AB104">
        <f t="shared" si="21"/>
        <v>1.4170447032723641</v>
      </c>
      <c r="AD104">
        <f t="shared" si="23"/>
        <v>101</v>
      </c>
      <c r="AE104">
        <f t="shared" si="24"/>
        <v>10.126612012197914</v>
      </c>
    </row>
    <row r="105" spans="1:31" x14ac:dyDescent="0.35">
      <c r="A105">
        <f t="shared" si="13"/>
        <v>102</v>
      </c>
      <c r="B105">
        <v>10.618656799718755</v>
      </c>
      <c r="D105">
        <f t="shared" si="22"/>
        <v>102</v>
      </c>
      <c r="E105">
        <f t="shared" si="14"/>
        <v>-1.3536921298237239</v>
      </c>
      <c r="F105">
        <f t="shared" si="25"/>
        <v>-0.1482021412316592</v>
      </c>
      <c r="V105">
        <f t="shared" si="15"/>
        <v>102</v>
      </c>
      <c r="W105">
        <f t="shared" si="16"/>
        <v>-1.3536921298237239</v>
      </c>
      <c r="X105">
        <f t="shared" si="17"/>
        <v>-0.1482021412316592</v>
      </c>
      <c r="Y105">
        <f t="shared" si="18"/>
        <v>-1.2054899885920647</v>
      </c>
      <c r="Z105">
        <f t="shared" si="19"/>
        <v>1.1814764762495735</v>
      </c>
      <c r="AA105">
        <f t="shared" si="20"/>
        <v>-3.521141330622521</v>
      </c>
      <c r="AB105">
        <f t="shared" si="21"/>
        <v>1.1101613534383916</v>
      </c>
      <c r="AD105">
        <f t="shared" si="23"/>
        <v>102</v>
      </c>
      <c r="AE105">
        <f t="shared" si="24"/>
        <v>10.618656799718755</v>
      </c>
    </row>
    <row r="106" spans="1:31" x14ac:dyDescent="0.35">
      <c r="A106">
        <f t="shared" si="13"/>
        <v>103</v>
      </c>
      <c r="B106">
        <v>11.369377647513675</v>
      </c>
      <c r="D106" s="4">
        <f t="shared" si="22"/>
        <v>103</v>
      </c>
      <c r="E106" s="4">
        <f t="shared" si="14"/>
        <v>1.8062224077753779</v>
      </c>
      <c r="F106" s="4">
        <f t="shared" si="25"/>
        <v>1.0058240108207728</v>
      </c>
      <c r="V106">
        <f t="shared" si="15"/>
        <v>103</v>
      </c>
      <c r="W106">
        <f t="shared" si="16"/>
        <v>1.8062224077753779</v>
      </c>
      <c r="X106">
        <f t="shared" si="17"/>
        <v>1.0058240108207728</v>
      </c>
      <c r="Y106">
        <f t="shared" si="18"/>
        <v>0.80039839695460513</v>
      </c>
      <c r="Z106">
        <f t="shared" si="19"/>
        <v>1.1814764762495735</v>
      </c>
      <c r="AA106">
        <f t="shared" si="20"/>
        <v>-1.5152529450758512</v>
      </c>
      <c r="AB106">
        <f t="shared" si="21"/>
        <v>3.1160497389850614</v>
      </c>
      <c r="AD106">
        <f t="shared" si="23"/>
        <v>103</v>
      </c>
      <c r="AE106">
        <f t="shared" si="24"/>
        <v>11.369377647513675</v>
      </c>
    </row>
    <row r="107" spans="1:31" x14ac:dyDescent="0.35">
      <c r="A107">
        <f t="shared" si="13"/>
        <v>104</v>
      </c>
      <c r="B107">
        <v>10.761442220235375</v>
      </c>
      <c r="V107">
        <f>V106+1</f>
        <v>104</v>
      </c>
      <c r="Y107">
        <f>SUMPRODUCT(W105:W106,I$4:I$5)+SUMPRODUCT(X106,J$5)</f>
        <v>-1.6695666963613629</v>
      </c>
      <c r="Z107" t="e">
        <f ca="1">J$15*SQRT(SUMSQ(M$15:M15))</f>
        <v>#NAME?</v>
      </c>
      <c r="AA107" t="e">
        <f ca="1">Y107-NORMSINV(1-Z$2/2)*Z107</f>
        <v>#NAME?</v>
      </c>
      <c r="AB107" t="e">
        <f ca="1">Y107+NORMSINV(1-Z$2/2)*Z107</f>
        <v>#NAME?</v>
      </c>
      <c r="AD107">
        <f t="shared" si="23"/>
        <v>104</v>
      </c>
      <c r="AE107">
        <f t="shared" si="24"/>
        <v>10.761442220235375</v>
      </c>
    </row>
    <row r="108" spans="1:31" x14ac:dyDescent="0.35">
      <c r="A108">
        <f t="shared" si="13"/>
        <v>105</v>
      </c>
      <c r="B108" s="4">
        <v>11.954765055482959</v>
      </c>
      <c r="V108">
        <f>V107+1</f>
        <v>105</v>
      </c>
      <c r="Y108">
        <f>SUMPRODUCT(W106,I4)+SUMPRODUCT(Y107,I5)</f>
        <v>0.59702459985990597</v>
      </c>
      <c r="Z108" t="e">
        <f ca="1">J$15*SQRT(SUMSQ(M$15:M16))</f>
        <v>#NAME?</v>
      </c>
      <c r="AA108" t="e">
        <f ca="1">Y108-NORMSINV(1-Z$2/2)*Z108</f>
        <v>#NAME?</v>
      </c>
      <c r="AB108" t="e">
        <f ca="1">Y108+NORMSINV(1-Z$2/2)*Z108</f>
        <v>#NAME?</v>
      </c>
      <c r="AD108" s="4">
        <f t="shared" si="23"/>
        <v>105</v>
      </c>
      <c r="AE108" s="4">
        <f t="shared" si="24"/>
        <v>11.954765055482959</v>
      </c>
    </row>
    <row r="109" spans="1:31" x14ac:dyDescent="0.35">
      <c r="V109">
        <f>V108+1</f>
        <v>106</v>
      </c>
      <c r="Y109">
        <f>SUMPRODUCT(Y107:Y108,I4:I5)</f>
        <v>-6.1194562564867577E-2</v>
      </c>
      <c r="Z109" t="e">
        <f ca="1">J$15*SQRT(SUMSQ(M$15:M17))</f>
        <v>#NAME?</v>
      </c>
      <c r="AA109" t="e">
        <f ca="1">Y109-NORMSINV(1-Z$2/2)*Z109</f>
        <v>#NAME?</v>
      </c>
      <c r="AB109" t="e">
        <f ca="1">Y109+NORMSINV(1-Z$2/2)*Z109</f>
        <v>#NAME?</v>
      </c>
      <c r="AD109">
        <f t="shared" si="23"/>
        <v>106</v>
      </c>
      <c r="AE109">
        <f>Y107+2*AE108-AE107+J$6</f>
        <v>11.473557049119682</v>
      </c>
    </row>
    <row r="110" spans="1:31" x14ac:dyDescent="0.35">
      <c r="V110">
        <f>V109+1</f>
        <v>107</v>
      </c>
      <c r="Y110">
        <f>SUMPRODUCT(Y108:Y109,I4:I5)</f>
        <v>-5.7090064408107037E-2</v>
      </c>
      <c r="Z110" t="e">
        <f ca="1">J$15*SQRT(SUMSQ(M$15:M18))</f>
        <v>#NAME?</v>
      </c>
      <c r="AA110" t="e">
        <f ca="1">Y110-NORMSINV(1-Z$2/2)*Z110</f>
        <v>#NAME?</v>
      </c>
      <c r="AB110" t="e">
        <f ca="1">Y110+NORMSINV(1-Z$2/2)*Z110</f>
        <v>#NAME?</v>
      </c>
      <c r="AD110">
        <f t="shared" si="23"/>
        <v>107</v>
      </c>
      <c r="AE110">
        <f>Y108+2*AE109-AE108+J$6</f>
        <v>11.584409497366817</v>
      </c>
    </row>
    <row r="111" spans="1:31" x14ac:dyDescent="0.35">
      <c r="V111" s="4">
        <f>V110+1</f>
        <v>108</v>
      </c>
      <c r="W111" s="4"/>
      <c r="X111" s="4"/>
      <c r="Y111" s="4">
        <f>SUMPRODUCT(Y109:Y110,I4:I5)</f>
        <v>3.8707951701269241E-2</v>
      </c>
      <c r="Z111" s="4" t="e">
        <f ca="1">J$15*SQRT(SUMSQ(M$15:M19))</f>
        <v>#NAME?</v>
      </c>
      <c r="AA111" s="4" t="e">
        <f ca="1">Y111-NORMSINV(1-Z$2/2)*Z111</f>
        <v>#NAME?</v>
      </c>
      <c r="AB111" s="4" t="e">
        <f ca="1">Y111+NORMSINV(1-Z$2/2)*Z111</f>
        <v>#NAME?</v>
      </c>
      <c r="AD111">
        <f t="shared" si="23"/>
        <v>108</v>
      </c>
      <c r="AE111">
        <f>Y109+2*AE110-AE109+J$6</f>
        <v>11.629103237799589</v>
      </c>
    </row>
    <row r="112" spans="1:31" x14ac:dyDescent="0.35">
      <c r="AD112">
        <f t="shared" si="23"/>
        <v>109</v>
      </c>
      <c r="AE112">
        <f>Y110+2*AE111-AE110+J$6</f>
        <v>11.611742768574757</v>
      </c>
    </row>
    <row r="113" spans="30:31" x14ac:dyDescent="0.35">
      <c r="AD113" s="4">
        <f t="shared" si="23"/>
        <v>110</v>
      </c>
      <c r="AE113" s="4">
        <f>Y111+2*AE112-AE111+J$6</f>
        <v>11.6281261058017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77"/>
  <dimension ref="A1:T37"/>
  <sheetViews>
    <sheetView workbookViewId="0">
      <selection sqref="A1:A1048576"/>
    </sheetView>
  </sheetViews>
  <sheetFormatPr defaultRowHeight="14.5" x14ac:dyDescent="0.35"/>
  <sheetData>
    <row r="1" spans="1:20" x14ac:dyDescent="0.35">
      <c r="A1">
        <v>7131</v>
      </c>
      <c r="C1" t="s">
        <v>548</v>
      </c>
      <c r="H1" t="s">
        <v>355</v>
      </c>
      <c r="L1" t="s">
        <v>549</v>
      </c>
      <c r="O1" t="s">
        <v>550</v>
      </c>
      <c r="S1" t="s">
        <v>384</v>
      </c>
    </row>
    <row r="2" spans="1:20" ht="15" thickBot="1" x14ac:dyDescent="0.4">
      <c r="A2">
        <v>6566</v>
      </c>
    </row>
    <row r="3" spans="1:20" ht="15" thickTop="1" x14ac:dyDescent="0.35">
      <c r="A3">
        <v>7560</v>
      </c>
      <c r="C3" s="45" t="s">
        <v>291</v>
      </c>
      <c r="D3" s="45" t="s">
        <v>194</v>
      </c>
      <c r="E3" s="45" t="s">
        <v>354</v>
      </c>
      <c r="F3" s="45" t="s">
        <v>179</v>
      </c>
      <c r="I3" s="137" t="s">
        <v>551</v>
      </c>
      <c r="J3" s="137" t="s">
        <v>552</v>
      </c>
      <c r="L3" t="s">
        <v>359</v>
      </c>
      <c r="M3" s="151">
        <v>108.6436237479904</v>
      </c>
      <c r="O3" s="45" t="s">
        <v>173</v>
      </c>
      <c r="P3" s="45" t="s">
        <v>174</v>
      </c>
      <c r="Q3" s="45" t="s">
        <v>375</v>
      </c>
      <c r="S3" s="45" t="s">
        <v>291</v>
      </c>
      <c r="T3" s="45" t="s">
        <v>179</v>
      </c>
    </row>
    <row r="4" spans="1:20" x14ac:dyDescent="0.35">
      <c r="A4">
        <v>12947</v>
      </c>
      <c r="C4" s="190">
        <v>1</v>
      </c>
      <c r="D4" s="190" t="e">
        <f t="array" aca="1" ref="D4:D28" ca="1">ADIFF(A1:A30,I6,J6,J7)</f>
        <v>#NAME?</v>
      </c>
      <c r="E4" s="190" t="e">
        <f t="array" aca="1" ref="E4:E28" ca="1">SARMA_RES(D4:D28,M4,M5,M6,M7,J7,M3)</f>
        <v>#NAME?</v>
      </c>
      <c r="F4" s="190" t="e">
        <f t="array" aca="1" ref="F4:F32" ca="1">SARMA_PRED(D4:D28,M4,M5,M6,M7,J7,M3,4)</f>
        <v>#NAME?</v>
      </c>
      <c r="H4" t="s">
        <v>361</v>
      </c>
      <c r="I4" s="179">
        <v>1</v>
      </c>
      <c r="J4" s="184">
        <v>1</v>
      </c>
      <c r="L4" t="s">
        <v>381</v>
      </c>
      <c r="M4" s="107">
        <v>8.0363289652260833E-2</v>
      </c>
      <c r="O4" s="152" t="e">
        <f t="array" aca="1" ref="O4:Q4" ca="1">ARRoots(REVERSE(M4))</f>
        <v>#NAME?</v>
      </c>
      <c r="P4" s="152" t="e">
        <f ca="1"/>
        <v>#NAME?</v>
      </c>
      <c r="Q4" s="152" t="e">
        <f ca="1"/>
        <v>#NAME?</v>
      </c>
      <c r="S4">
        <v>1</v>
      </c>
      <c r="T4">
        <f>A1</f>
        <v>7131</v>
      </c>
    </row>
    <row r="5" spans="1:20" x14ac:dyDescent="0.35">
      <c r="A5">
        <v>9857</v>
      </c>
      <c r="C5" s="13">
        <f>C4+1</f>
        <v>2</v>
      </c>
      <c r="D5" s="13" t="e">
        <f ca="1"/>
        <v>#NAME?</v>
      </c>
      <c r="E5" s="13" t="e">
        <f ca="1"/>
        <v>#NAME?</v>
      </c>
      <c r="F5" s="13" t="e">
        <f ca="1"/>
        <v>#NAME?</v>
      </c>
      <c r="H5" t="s">
        <v>362</v>
      </c>
      <c r="I5" s="165">
        <v>1</v>
      </c>
      <c r="J5" s="168">
        <v>1</v>
      </c>
      <c r="L5" t="s">
        <v>382</v>
      </c>
      <c r="M5" s="107">
        <v>0.45132282070761365</v>
      </c>
      <c r="S5">
        <f>S4+1</f>
        <v>2</v>
      </c>
      <c r="T5">
        <f t="shared" ref="T5:T33" si="0">A2</f>
        <v>6566</v>
      </c>
    </row>
    <row r="6" spans="1:20" x14ac:dyDescent="0.35">
      <c r="A6">
        <v>9913</v>
      </c>
      <c r="C6" s="13">
        <f t="shared" ref="C6:C32" si="1">C5+1</f>
        <v>3</v>
      </c>
      <c r="D6" s="13" t="e">
        <f ca="1"/>
        <v>#NAME?</v>
      </c>
      <c r="E6" s="13" t="e">
        <f ca="1"/>
        <v>#NAME?</v>
      </c>
      <c r="F6" s="13" t="e">
        <f ca="1"/>
        <v>#NAME?</v>
      </c>
      <c r="H6" t="s">
        <v>363</v>
      </c>
      <c r="I6" s="165">
        <v>1</v>
      </c>
      <c r="J6" s="168">
        <v>1</v>
      </c>
      <c r="L6" t="s">
        <v>553</v>
      </c>
      <c r="M6" s="107">
        <v>0.97368447217283882</v>
      </c>
      <c r="O6" t="s">
        <v>554</v>
      </c>
      <c r="S6">
        <f t="shared" ref="S6:S37" si="2">S5+1</f>
        <v>3</v>
      </c>
      <c r="T6">
        <f t="shared" si="0"/>
        <v>7560</v>
      </c>
    </row>
    <row r="7" spans="1:20" ht="15" thickBot="1" x14ac:dyDescent="0.4">
      <c r="A7">
        <v>10876</v>
      </c>
      <c r="C7" s="13">
        <f t="shared" si="1"/>
        <v>4</v>
      </c>
      <c r="D7" s="13" t="e">
        <f ca="1"/>
        <v>#NAME?</v>
      </c>
      <c r="E7" s="13" t="e">
        <f ca="1"/>
        <v>#NAME?</v>
      </c>
      <c r="F7" s="13" t="e">
        <f ca="1"/>
        <v>#NAME?</v>
      </c>
      <c r="H7" t="s">
        <v>555</v>
      </c>
      <c r="I7" s="165"/>
      <c r="J7" s="168">
        <v>4</v>
      </c>
      <c r="L7" t="s">
        <v>556</v>
      </c>
      <c r="M7" s="108">
        <v>-0.59998995341619565</v>
      </c>
      <c r="S7">
        <f t="shared" si="2"/>
        <v>4</v>
      </c>
      <c r="T7">
        <f t="shared" si="0"/>
        <v>12947</v>
      </c>
    </row>
    <row r="8" spans="1:20" ht="15" thickTop="1" x14ac:dyDescent="0.35">
      <c r="A8">
        <v>17431</v>
      </c>
      <c r="C8" s="13">
        <f t="shared" si="1"/>
        <v>5</v>
      </c>
      <c r="D8" s="13" t="e">
        <f ca="1"/>
        <v>#NAME?</v>
      </c>
      <c r="E8" s="13" t="e">
        <f ca="1"/>
        <v>#NAME?</v>
      </c>
      <c r="F8" s="13" t="e">
        <f ca="1"/>
        <v>#NAME?</v>
      </c>
      <c r="H8" t="s">
        <v>359</v>
      </c>
      <c r="I8" s="166"/>
      <c r="J8" s="191" t="b">
        <v>1</v>
      </c>
      <c r="O8" s="45" t="s">
        <v>173</v>
      </c>
      <c r="P8" s="45" t="s">
        <v>174</v>
      </c>
      <c r="Q8" s="45" t="s">
        <v>375</v>
      </c>
      <c r="S8">
        <f t="shared" si="2"/>
        <v>5</v>
      </c>
      <c r="T8">
        <f t="shared" si="0"/>
        <v>9857</v>
      </c>
    </row>
    <row r="9" spans="1:20" x14ac:dyDescent="0.35">
      <c r="A9">
        <v>13185</v>
      </c>
      <c r="C9" s="13">
        <f t="shared" si="1"/>
        <v>6</v>
      </c>
      <c r="D9" s="13" t="e">
        <f ca="1"/>
        <v>#NAME?</v>
      </c>
      <c r="E9" s="13" t="e">
        <f ca="1"/>
        <v>#NAME?</v>
      </c>
      <c r="F9" s="13" t="e">
        <f ca="1"/>
        <v>#NAME?</v>
      </c>
      <c r="O9" s="15" t="e">
        <f t="array" aca="1" ref="O9:Q9" ca="1">MARoots(REVERSE(M5))</f>
        <v>#NAME?</v>
      </c>
      <c r="P9" s="15" t="e">
        <f ca="1"/>
        <v>#NAME?</v>
      </c>
      <c r="Q9" s="15" t="e">
        <f ca="1"/>
        <v>#NAME?</v>
      </c>
      <c r="S9">
        <f t="shared" si="2"/>
        <v>6</v>
      </c>
      <c r="T9">
        <f t="shared" si="0"/>
        <v>9913</v>
      </c>
    </row>
    <row r="10" spans="1:20" x14ac:dyDescent="0.35">
      <c r="A10">
        <v>12834</v>
      </c>
      <c r="C10" s="13">
        <f t="shared" si="1"/>
        <v>7</v>
      </c>
      <c r="D10" s="13" t="e">
        <f ca="1"/>
        <v>#NAME?</v>
      </c>
      <c r="E10" s="13" t="e">
        <f ca="1"/>
        <v>#NAME?</v>
      </c>
      <c r="F10" s="13" t="e">
        <f ca="1"/>
        <v>#NAME?</v>
      </c>
      <c r="H10" t="s">
        <v>390</v>
      </c>
      <c r="I10" s="151" t="e">
        <f ca="1">SUMSQ(E4:E28)</f>
        <v>#NAME?</v>
      </c>
      <c r="S10">
        <f t="shared" si="2"/>
        <v>7</v>
      </c>
      <c r="T10">
        <f t="shared" si="0"/>
        <v>10876</v>
      </c>
    </row>
    <row r="11" spans="1:20" x14ac:dyDescent="0.35">
      <c r="A11">
        <v>13806</v>
      </c>
      <c r="C11" s="13">
        <f t="shared" si="1"/>
        <v>8</v>
      </c>
      <c r="D11" s="13" t="e">
        <f ca="1"/>
        <v>#NAME?</v>
      </c>
      <c r="E11" s="13" t="e">
        <f ca="1"/>
        <v>#NAME?</v>
      </c>
      <c r="F11" s="13" t="e">
        <f ca="1"/>
        <v>#NAME?</v>
      </c>
      <c r="H11" t="s">
        <v>360</v>
      </c>
      <c r="I11" s="192" t="s">
        <v>304</v>
      </c>
      <c r="O11" t="s">
        <v>557</v>
      </c>
      <c r="S11">
        <f t="shared" si="2"/>
        <v>8</v>
      </c>
      <c r="T11">
        <f t="shared" si="0"/>
        <v>17431</v>
      </c>
    </row>
    <row r="12" spans="1:20" ht="15" thickBot="1" x14ac:dyDescent="0.4">
      <c r="A12">
        <v>21268</v>
      </c>
      <c r="C12" s="13">
        <f t="shared" si="1"/>
        <v>9</v>
      </c>
      <c r="D12" s="13" t="e">
        <f ca="1"/>
        <v>#NAME?</v>
      </c>
      <c r="E12" s="13" t="e">
        <f ca="1"/>
        <v>#NAME?</v>
      </c>
      <c r="F12" s="13" t="e">
        <f ca="1"/>
        <v>#NAME?</v>
      </c>
      <c r="S12">
        <f t="shared" si="2"/>
        <v>9</v>
      </c>
      <c r="T12">
        <f t="shared" si="0"/>
        <v>13185</v>
      </c>
    </row>
    <row r="13" spans="1:20" ht="15" thickTop="1" x14ac:dyDescent="0.35">
      <c r="A13">
        <v>16070</v>
      </c>
      <c r="C13" s="13">
        <f t="shared" si="1"/>
        <v>10</v>
      </c>
      <c r="D13" s="13" t="e">
        <f ca="1"/>
        <v>#NAME?</v>
      </c>
      <c r="E13" s="13" t="e">
        <f ca="1"/>
        <v>#NAME?</v>
      </c>
      <c r="F13" s="13" t="e">
        <f ca="1"/>
        <v>#NAME?</v>
      </c>
      <c r="H13" t="s">
        <v>364</v>
      </c>
      <c r="I13" s="151" t="e">
        <f ca="1">AVERAGE(E9:E28)</f>
        <v>#NAME?</v>
      </c>
      <c r="O13" s="45" t="s">
        <v>173</v>
      </c>
      <c r="P13" s="45" t="s">
        <v>174</v>
      </c>
      <c r="Q13" s="45" t="s">
        <v>375</v>
      </c>
      <c r="S13">
        <f t="shared" si="2"/>
        <v>10</v>
      </c>
      <c r="T13">
        <f t="shared" si="0"/>
        <v>12834</v>
      </c>
    </row>
    <row r="14" spans="1:20" x14ac:dyDescent="0.35">
      <c r="A14">
        <v>15704</v>
      </c>
      <c r="C14" s="13">
        <f t="shared" si="1"/>
        <v>11</v>
      </c>
      <c r="D14" s="13" t="e">
        <f ca="1"/>
        <v>#NAME?</v>
      </c>
      <c r="E14" s="13" t="e">
        <f ca="1"/>
        <v>#NAME?</v>
      </c>
      <c r="F14" s="13" t="e">
        <f ca="1"/>
        <v>#NAME?</v>
      </c>
      <c r="H14" t="s">
        <v>365</v>
      </c>
      <c r="I14" s="107" t="e">
        <f ca="1">_xlfn.STDEV.S(E9:E28)</f>
        <v>#NAME?</v>
      </c>
      <c r="O14" s="15" t="e">
        <f t="array" aca="1" ref="O14:Q14" ca="1">ARRoots(REVERSE(M6))</f>
        <v>#NAME?</v>
      </c>
      <c r="P14" s="15" t="e">
        <f ca="1"/>
        <v>#NAME?</v>
      </c>
      <c r="Q14" s="15" t="e">
        <f ca="1"/>
        <v>#NAME?</v>
      </c>
      <c r="S14">
        <f t="shared" si="2"/>
        <v>11</v>
      </c>
      <c r="T14">
        <f t="shared" si="0"/>
        <v>13806</v>
      </c>
    </row>
    <row r="15" spans="1:20" x14ac:dyDescent="0.35">
      <c r="A15">
        <v>17092</v>
      </c>
      <c r="C15" s="13">
        <f t="shared" si="1"/>
        <v>12</v>
      </c>
      <c r="D15" s="13" t="e">
        <f ca="1"/>
        <v>#NAME?</v>
      </c>
      <c r="E15" s="13" t="e">
        <f ca="1"/>
        <v>#NAME?</v>
      </c>
      <c r="F15" s="13" t="e">
        <f ca="1"/>
        <v>#NAME?</v>
      </c>
      <c r="H15" t="s">
        <v>366</v>
      </c>
      <c r="I15" s="107" t="e">
        <f ca="1">I10/I18</f>
        <v>#NAME?</v>
      </c>
      <c r="S15">
        <f t="shared" si="2"/>
        <v>12</v>
      </c>
      <c r="T15">
        <f t="shared" si="0"/>
        <v>21268</v>
      </c>
    </row>
    <row r="16" spans="1:20" x14ac:dyDescent="0.35">
      <c r="A16">
        <v>25586</v>
      </c>
      <c r="C16" s="13">
        <f t="shared" si="1"/>
        <v>13</v>
      </c>
      <c r="D16" s="13" t="e">
        <f ca="1"/>
        <v>#NAME?</v>
      </c>
      <c r="E16" s="13" t="e">
        <f ca="1"/>
        <v>#NAME?</v>
      </c>
      <c r="F16" s="13" t="e">
        <f ca="1"/>
        <v>#NAME?</v>
      </c>
      <c r="H16" t="s">
        <v>367</v>
      </c>
      <c r="I16" s="107" t="e">
        <f ca="1">AVERAGE(D9:D28)</f>
        <v>#NAME?</v>
      </c>
      <c r="O16" t="s">
        <v>558</v>
      </c>
      <c r="S16">
        <f t="shared" si="2"/>
        <v>13</v>
      </c>
      <c r="T16">
        <f t="shared" si="0"/>
        <v>16070</v>
      </c>
    </row>
    <row r="17" spans="1:20" ht="15" thickBot="1" x14ac:dyDescent="0.4">
      <c r="A17">
        <v>19741</v>
      </c>
      <c r="C17" s="13">
        <f t="shared" si="1"/>
        <v>14</v>
      </c>
      <c r="D17" s="13" t="e">
        <f ca="1"/>
        <v>#NAME?</v>
      </c>
      <c r="E17" s="13" t="e">
        <f ca="1"/>
        <v>#NAME?</v>
      </c>
      <c r="F17" s="13" t="e">
        <f ca="1"/>
        <v>#NAME?</v>
      </c>
      <c r="H17" t="s">
        <v>368</v>
      </c>
      <c r="I17" s="107" t="e">
        <f ca="1">_xlfn.STDEV.S(D9:D28)</f>
        <v>#NAME?</v>
      </c>
      <c r="S17">
        <f t="shared" si="2"/>
        <v>14</v>
      </c>
      <c r="T17">
        <f t="shared" si="0"/>
        <v>15704</v>
      </c>
    </row>
    <row r="18" spans="1:20" ht="15" thickTop="1" x14ac:dyDescent="0.35">
      <c r="A18">
        <v>19340</v>
      </c>
      <c r="C18" s="13">
        <f t="shared" si="1"/>
        <v>15</v>
      </c>
      <c r="D18" s="13" t="e">
        <f ca="1"/>
        <v>#NAME?</v>
      </c>
      <c r="E18" s="13" t="e">
        <f ca="1"/>
        <v>#NAME?</v>
      </c>
      <c r="F18" s="13" t="e">
        <f ca="1"/>
        <v>#NAME?</v>
      </c>
      <c r="H18" t="s">
        <v>369</v>
      </c>
      <c r="I18" s="108">
        <f ca="1">COUNT(D9:D28)</f>
        <v>0</v>
      </c>
      <c r="O18" s="45" t="s">
        <v>173</v>
      </c>
      <c r="P18" s="45" t="s">
        <v>174</v>
      </c>
      <c r="Q18" s="45" t="s">
        <v>375</v>
      </c>
      <c r="S18">
        <f t="shared" si="2"/>
        <v>15</v>
      </c>
      <c r="T18">
        <f t="shared" si="0"/>
        <v>17092</v>
      </c>
    </row>
    <row r="19" spans="1:20" x14ac:dyDescent="0.35">
      <c r="A19">
        <v>20579</v>
      </c>
      <c r="C19" s="13">
        <f t="shared" si="1"/>
        <v>16</v>
      </c>
      <c r="D19" s="13" t="e">
        <f ca="1"/>
        <v>#NAME?</v>
      </c>
      <c r="E19" s="13" t="e">
        <f ca="1"/>
        <v>#NAME?</v>
      </c>
      <c r="F19" s="13" t="e">
        <f ca="1"/>
        <v>#NAME?</v>
      </c>
      <c r="O19" s="15" t="e">
        <f t="array" aca="1" ref="O19:Q19" ca="1">MARoots(REVERSE(M7))</f>
        <v>#NAME?</v>
      </c>
      <c r="P19" s="15" t="e">
        <f ca="1"/>
        <v>#NAME?</v>
      </c>
      <c r="Q19" s="15" t="e">
        <f ca="1"/>
        <v>#NAME?</v>
      </c>
      <c r="S19">
        <f t="shared" si="2"/>
        <v>16</v>
      </c>
      <c r="T19">
        <f t="shared" si="0"/>
        <v>25586</v>
      </c>
    </row>
    <row r="20" spans="1:20" x14ac:dyDescent="0.35">
      <c r="A20">
        <v>29328</v>
      </c>
      <c r="C20" s="13">
        <f t="shared" si="1"/>
        <v>17</v>
      </c>
      <c r="D20" s="13" t="e">
        <f ca="1"/>
        <v>#NAME?</v>
      </c>
      <c r="E20" s="13" t="e">
        <f ca="1"/>
        <v>#NAME?</v>
      </c>
      <c r="F20" s="13" t="e">
        <f ca="1"/>
        <v>#NAME?</v>
      </c>
      <c r="H20" t="s">
        <v>370</v>
      </c>
      <c r="I20" s="151" t="e">
        <f ca="1">-(I23-2*(I4+J4+I5+J5+1))/2</f>
        <v>#NAME?</v>
      </c>
      <c r="S20">
        <f t="shared" si="2"/>
        <v>17</v>
      </c>
      <c r="T20">
        <f t="shared" si="0"/>
        <v>19741</v>
      </c>
    </row>
    <row r="21" spans="1:20" x14ac:dyDescent="0.35">
      <c r="A21">
        <v>22717</v>
      </c>
      <c r="C21" s="13">
        <f t="shared" si="1"/>
        <v>18</v>
      </c>
      <c r="D21" s="13" t="e">
        <f ca="1"/>
        <v>#NAME?</v>
      </c>
      <c r="E21" s="13" t="e">
        <f ca="1"/>
        <v>#NAME?</v>
      </c>
      <c r="F21" s="13" t="e">
        <f ca="1"/>
        <v>#NAME?</v>
      </c>
      <c r="H21" t="s">
        <v>145</v>
      </c>
      <c r="I21" s="107" t="e">
        <f ca="1">I18*LN(I10/I18)+2*(I4+J4+I5+J5+1)</f>
        <v>#NAME?</v>
      </c>
      <c r="S21">
        <f t="shared" si="2"/>
        <v>18</v>
      </c>
      <c r="T21">
        <f t="shared" si="0"/>
        <v>19340</v>
      </c>
    </row>
    <row r="22" spans="1:20" x14ac:dyDescent="0.35">
      <c r="A22">
        <v>23185</v>
      </c>
      <c r="C22" s="13">
        <f t="shared" si="1"/>
        <v>19</v>
      </c>
      <c r="D22" s="13" t="e">
        <f ca="1"/>
        <v>#NAME?</v>
      </c>
      <c r="E22" s="13" t="e">
        <f ca="1"/>
        <v>#NAME?</v>
      </c>
      <c r="F22" s="13" t="e">
        <f ca="1"/>
        <v>#NAME?</v>
      </c>
      <c r="H22" t="s">
        <v>371</v>
      </c>
      <c r="I22" s="107" t="e">
        <f ca="1">I18*LN(I10/I18)+LN(I18)*(I4+J4+I5+J5+1)</f>
        <v>#NAME?</v>
      </c>
      <c r="S22">
        <f t="shared" si="2"/>
        <v>19</v>
      </c>
      <c r="T22">
        <f t="shared" si="0"/>
        <v>20579</v>
      </c>
    </row>
    <row r="23" spans="1:20" x14ac:dyDescent="0.35">
      <c r="A23">
        <v>25358</v>
      </c>
      <c r="C23" s="13">
        <f t="shared" si="1"/>
        <v>20</v>
      </c>
      <c r="D23" s="13" t="e">
        <f ca="1"/>
        <v>#NAME?</v>
      </c>
      <c r="E23" s="13" t="e">
        <f ca="1"/>
        <v>#NAME?</v>
      </c>
      <c r="F23" s="13" t="e">
        <f ca="1"/>
        <v>#NAME?</v>
      </c>
      <c r="H23" t="s">
        <v>372</v>
      </c>
      <c r="I23" s="107" t="e">
        <f ca="1">I18*(1+LN(2*PI()))+I21</f>
        <v>#NAME?</v>
      </c>
      <c r="S23">
        <f t="shared" si="2"/>
        <v>20</v>
      </c>
      <c r="T23">
        <f t="shared" si="0"/>
        <v>29328</v>
      </c>
    </row>
    <row r="24" spans="1:20" x14ac:dyDescent="0.35">
      <c r="A24">
        <v>35746</v>
      </c>
      <c r="C24" s="13">
        <f t="shared" si="1"/>
        <v>21</v>
      </c>
      <c r="D24" s="13" t="e">
        <f ca="1"/>
        <v>#NAME?</v>
      </c>
      <c r="E24" s="13" t="e">
        <f ca="1"/>
        <v>#NAME?</v>
      </c>
      <c r="F24" s="13" t="e">
        <f ca="1"/>
        <v>#NAME?</v>
      </c>
      <c r="H24" t="s">
        <v>373</v>
      </c>
      <c r="I24" s="108" t="e">
        <f ca="1">I18*(1+LN(2*PI()))+I22</f>
        <v>#NAME?</v>
      </c>
      <c r="S24">
        <f t="shared" si="2"/>
        <v>21</v>
      </c>
      <c r="T24">
        <f t="shared" si="0"/>
        <v>22717</v>
      </c>
    </row>
    <row r="25" spans="1:20" x14ac:dyDescent="0.35">
      <c r="A25">
        <v>29128</v>
      </c>
      <c r="C25" s="13">
        <f t="shared" si="1"/>
        <v>22</v>
      </c>
      <c r="D25" s="13" t="e">
        <f ca="1"/>
        <v>#NAME?</v>
      </c>
      <c r="E25" s="13" t="e">
        <f ca="1"/>
        <v>#NAME?</v>
      </c>
      <c r="F25" s="13" t="e">
        <f ca="1"/>
        <v>#NAME?</v>
      </c>
      <c r="S25">
        <f t="shared" si="2"/>
        <v>22</v>
      </c>
      <c r="T25">
        <f t="shared" si="0"/>
        <v>23185</v>
      </c>
    </row>
    <row r="26" spans="1:20" x14ac:dyDescent="0.35">
      <c r="A26">
        <v>30404</v>
      </c>
      <c r="C26" s="13">
        <f t="shared" si="1"/>
        <v>23</v>
      </c>
      <c r="D26" s="13" t="e">
        <f ca="1"/>
        <v>#NAME?</v>
      </c>
      <c r="E26" s="13" t="e">
        <f ca="1"/>
        <v>#NAME?</v>
      </c>
      <c r="F26" s="13" t="e">
        <f ca="1"/>
        <v>#NAME?</v>
      </c>
      <c r="S26">
        <f t="shared" si="2"/>
        <v>23</v>
      </c>
      <c r="T26">
        <f t="shared" si="0"/>
        <v>25358</v>
      </c>
    </row>
    <row r="27" spans="1:20" x14ac:dyDescent="0.35">
      <c r="A27">
        <v>32714</v>
      </c>
      <c r="C27" s="13">
        <f t="shared" si="1"/>
        <v>24</v>
      </c>
      <c r="D27" s="13" t="e">
        <f ca="1"/>
        <v>#NAME?</v>
      </c>
      <c r="E27" s="13" t="e">
        <f ca="1"/>
        <v>#NAME?</v>
      </c>
      <c r="F27" s="13" t="e">
        <f ca="1"/>
        <v>#NAME?</v>
      </c>
      <c r="S27">
        <f t="shared" si="2"/>
        <v>24</v>
      </c>
      <c r="T27">
        <f t="shared" si="0"/>
        <v>35746</v>
      </c>
    </row>
    <row r="28" spans="1:20" x14ac:dyDescent="0.35">
      <c r="A28">
        <v>43741</v>
      </c>
      <c r="C28" s="4">
        <f t="shared" si="1"/>
        <v>25</v>
      </c>
      <c r="D28" s="4" t="e">
        <f ca="1"/>
        <v>#NAME?</v>
      </c>
      <c r="E28" s="4" t="e">
        <f ca="1"/>
        <v>#NAME?</v>
      </c>
      <c r="F28" s="4" t="e">
        <f ca="1"/>
        <v>#NAME?</v>
      </c>
      <c r="S28">
        <f t="shared" si="2"/>
        <v>25</v>
      </c>
      <c r="T28">
        <f t="shared" si="0"/>
        <v>29128</v>
      </c>
    </row>
    <row r="29" spans="1:20" x14ac:dyDescent="0.35">
      <c r="A29">
        <v>35714</v>
      </c>
      <c r="C29" s="13">
        <f t="shared" si="1"/>
        <v>26</v>
      </c>
      <c r="D29" s="13"/>
      <c r="E29" s="13"/>
      <c r="F29" s="13" t="e">
        <f ca="1"/>
        <v>#NAME?</v>
      </c>
      <c r="S29">
        <f t="shared" si="2"/>
        <v>26</v>
      </c>
      <c r="T29">
        <f t="shared" si="0"/>
        <v>30404</v>
      </c>
    </row>
    <row r="30" spans="1:20" x14ac:dyDescent="0.35">
      <c r="A30">
        <v>37955</v>
      </c>
      <c r="C30" s="13">
        <f t="shared" si="1"/>
        <v>27</v>
      </c>
      <c r="D30" s="13"/>
      <c r="E30" s="13"/>
      <c r="F30" s="13" t="e">
        <f ca="1"/>
        <v>#NAME?</v>
      </c>
      <c r="S30">
        <f t="shared" si="2"/>
        <v>27</v>
      </c>
      <c r="T30">
        <f t="shared" si="0"/>
        <v>32714</v>
      </c>
    </row>
    <row r="31" spans="1:20" x14ac:dyDescent="0.35">
      <c r="A31" s="1" t="s">
        <v>559</v>
      </c>
      <c r="C31" s="13">
        <f t="shared" si="1"/>
        <v>28</v>
      </c>
      <c r="D31" s="13"/>
      <c r="E31" s="13"/>
      <c r="F31" s="13" t="e">
        <f ca="1"/>
        <v>#NAME?</v>
      </c>
      <c r="S31">
        <f t="shared" si="2"/>
        <v>28</v>
      </c>
      <c r="T31">
        <f t="shared" si="0"/>
        <v>43741</v>
      </c>
    </row>
    <row r="32" spans="1:20" x14ac:dyDescent="0.35">
      <c r="A32" s="1" t="s">
        <v>559</v>
      </c>
      <c r="C32" s="4">
        <f t="shared" si="1"/>
        <v>29</v>
      </c>
      <c r="D32" s="4"/>
      <c r="E32" s="4"/>
      <c r="F32" s="4" t="e">
        <f ca="1"/>
        <v>#NAME?</v>
      </c>
      <c r="S32">
        <f t="shared" si="2"/>
        <v>29</v>
      </c>
      <c r="T32">
        <f t="shared" si="0"/>
        <v>35714</v>
      </c>
    </row>
    <row r="33" spans="1:20" x14ac:dyDescent="0.35">
      <c r="A33" s="1" t="s">
        <v>559</v>
      </c>
      <c r="S33" s="4">
        <f t="shared" si="2"/>
        <v>30</v>
      </c>
      <c r="T33" s="4">
        <f t="shared" si="0"/>
        <v>37955</v>
      </c>
    </row>
    <row r="34" spans="1:20" x14ac:dyDescent="0.35">
      <c r="A34" s="1" t="s">
        <v>559</v>
      </c>
      <c r="S34">
        <f t="shared" si="2"/>
        <v>31</v>
      </c>
      <c r="T34" t="e">
        <f t="array" aca="1" ref="T34:T37" ca="1">SARIMA_PRED(F29:F32,T4:T33,I6,J6,J7)</f>
        <v>#NAME?</v>
      </c>
    </row>
    <row r="35" spans="1:20" x14ac:dyDescent="0.35">
      <c r="S35">
        <f t="shared" si="2"/>
        <v>32</v>
      </c>
      <c r="T35" t="e">
        <f ca="1"/>
        <v>#NAME?</v>
      </c>
    </row>
    <row r="36" spans="1:20" x14ac:dyDescent="0.35">
      <c r="S36">
        <f t="shared" si="2"/>
        <v>33</v>
      </c>
      <c r="T36" t="e">
        <f ca="1"/>
        <v>#NAME?</v>
      </c>
    </row>
    <row r="37" spans="1:20" x14ac:dyDescent="0.35">
      <c r="S37" s="4">
        <f t="shared" si="2"/>
        <v>34</v>
      </c>
      <c r="T37" s="4" t="e">
        <f ca="1"/>
        <v>#NAME?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/>
  <dimension ref="A1:V25"/>
  <sheetViews>
    <sheetView workbookViewId="0"/>
  </sheetViews>
  <sheetFormatPr defaultRowHeight="14.5" x14ac:dyDescent="0.35"/>
  <cols>
    <col min="1" max="4" width="7.1796875" customWidth="1"/>
    <col min="5" max="5" width="8" customWidth="1"/>
    <col min="6" max="6" width="4.54296875" customWidth="1"/>
    <col min="7" max="7" width="7.7265625" customWidth="1"/>
  </cols>
  <sheetData>
    <row r="1" spans="1:22" x14ac:dyDescent="0.35">
      <c r="A1" s="7" t="s">
        <v>7</v>
      </c>
    </row>
    <row r="3" spans="1:22" x14ac:dyDescent="0.35">
      <c r="A3" s="8" t="s">
        <v>3</v>
      </c>
      <c r="B3" s="8" t="s">
        <v>1</v>
      </c>
      <c r="C3" s="8" t="s">
        <v>138</v>
      </c>
      <c r="D3" s="9" t="s">
        <v>6</v>
      </c>
      <c r="E3" s="9" t="s">
        <v>5</v>
      </c>
      <c r="G3" s="9" t="s">
        <v>8</v>
      </c>
      <c r="Q3" t="s">
        <v>7</v>
      </c>
      <c r="T3" t="s">
        <v>10</v>
      </c>
      <c r="U3" s="150">
        <v>0.05</v>
      </c>
    </row>
    <row r="4" spans="1:22" ht="15" thickBot="1" x14ac:dyDescent="0.4">
      <c r="A4" s="3">
        <v>1</v>
      </c>
      <c r="B4" s="3">
        <v>3</v>
      </c>
      <c r="G4" s="3">
        <v>0.1</v>
      </c>
    </row>
    <row r="5" spans="1:22" ht="15" thickTop="1" x14ac:dyDescent="0.35">
      <c r="A5" s="3">
        <f>A4+1</f>
        <v>2</v>
      </c>
      <c r="B5" s="3">
        <v>5</v>
      </c>
      <c r="G5" s="3">
        <v>0.3</v>
      </c>
      <c r="Q5" s="45" t="str">
        <f>A3</f>
        <v>t</v>
      </c>
      <c r="R5" s="45" t="str">
        <f>B3</f>
        <v>y</v>
      </c>
      <c r="S5" s="45" t="s">
        <v>179</v>
      </c>
      <c r="T5" s="45" t="s">
        <v>81</v>
      </c>
      <c r="U5" s="45" t="s">
        <v>127</v>
      </c>
      <c r="V5" s="45" t="s">
        <v>128</v>
      </c>
    </row>
    <row r="6" spans="1:22" x14ac:dyDescent="0.35">
      <c r="A6" s="3">
        <f t="shared" ref="A6:A18" si="0">A5+1</f>
        <v>3</v>
      </c>
      <c r="B6" s="3">
        <v>9</v>
      </c>
      <c r="G6" s="10">
        <v>0.6</v>
      </c>
      <c r="Q6">
        <f>A4</f>
        <v>1</v>
      </c>
      <c r="R6">
        <f>B4</f>
        <v>3</v>
      </c>
    </row>
    <row r="7" spans="1:22" x14ac:dyDescent="0.35">
      <c r="A7" s="3">
        <f t="shared" si="0"/>
        <v>4</v>
      </c>
      <c r="B7" s="3">
        <v>20</v>
      </c>
      <c r="C7">
        <f>SUMPRODUCT(B4:B6,G$4:G$6)</f>
        <v>7.1999999999999993</v>
      </c>
      <c r="D7">
        <f>ABS(B7-C7)</f>
        <v>12.8</v>
      </c>
      <c r="E7">
        <f>(B7-C7)^2</f>
        <v>163.84000000000003</v>
      </c>
      <c r="G7" s="12">
        <f>SUM(G4:G6)</f>
        <v>1</v>
      </c>
      <c r="Q7">
        <f t="shared" ref="Q7:Q20" si="1">A5</f>
        <v>2</v>
      </c>
      <c r="R7">
        <f t="shared" ref="R7:R20" si="2">B5</f>
        <v>5</v>
      </c>
    </row>
    <row r="8" spans="1:22" x14ac:dyDescent="0.35">
      <c r="A8" s="3">
        <f t="shared" si="0"/>
        <v>5</v>
      </c>
      <c r="B8" s="3">
        <v>12</v>
      </c>
      <c r="C8">
        <f t="shared" ref="C8:C19" si="3">SUMPRODUCT(B5:B7,G$4:G$6)</f>
        <v>15.2</v>
      </c>
      <c r="D8">
        <f t="shared" ref="D8:D18" si="4">ABS(B8-C8)</f>
        <v>3.1999999999999993</v>
      </c>
      <c r="E8">
        <f t="shared" ref="E8:E18" si="5">(B8-C8)^2</f>
        <v>10.239999999999995</v>
      </c>
      <c r="Q8">
        <f t="shared" si="1"/>
        <v>3</v>
      </c>
      <c r="R8">
        <f t="shared" si="2"/>
        <v>9</v>
      </c>
    </row>
    <row r="9" spans="1:22" x14ac:dyDescent="0.35">
      <c r="A9" s="3">
        <f t="shared" si="0"/>
        <v>6</v>
      </c>
      <c r="B9" s="3">
        <v>17</v>
      </c>
      <c r="C9">
        <f t="shared" si="3"/>
        <v>14.1</v>
      </c>
      <c r="D9">
        <f t="shared" si="4"/>
        <v>2.9000000000000004</v>
      </c>
      <c r="E9">
        <f t="shared" si="5"/>
        <v>8.4100000000000019</v>
      </c>
      <c r="Q9">
        <f t="shared" si="1"/>
        <v>4</v>
      </c>
      <c r="R9">
        <f t="shared" si="2"/>
        <v>20</v>
      </c>
      <c r="S9">
        <f>SUMPRODUCT(R6:R8,$G$4:$G$6)/SUM($G$4:$G$6)</f>
        <v>7.1999999999999993</v>
      </c>
    </row>
    <row r="10" spans="1:22" x14ac:dyDescent="0.35">
      <c r="A10" s="3">
        <f t="shared" si="0"/>
        <v>7</v>
      </c>
      <c r="B10" s="3">
        <v>22</v>
      </c>
      <c r="C10">
        <f t="shared" si="3"/>
        <v>15.799999999999999</v>
      </c>
      <c r="D10">
        <f t="shared" si="4"/>
        <v>6.2000000000000011</v>
      </c>
      <c r="E10">
        <f t="shared" si="5"/>
        <v>38.440000000000012</v>
      </c>
      <c r="Q10">
        <f t="shared" si="1"/>
        <v>5</v>
      </c>
      <c r="R10">
        <f t="shared" si="2"/>
        <v>12</v>
      </c>
      <c r="S10">
        <f t="shared" ref="S10:S21" si="6">SUMPRODUCT(R7:R9,$G$4:$G$6)/SUM($G$4:$G$6)</f>
        <v>15.2</v>
      </c>
    </row>
    <row r="11" spans="1:22" x14ac:dyDescent="0.35">
      <c r="A11" s="3">
        <f t="shared" si="0"/>
        <v>8</v>
      </c>
      <c r="B11" s="3">
        <v>23</v>
      </c>
      <c r="C11">
        <f t="shared" si="3"/>
        <v>19.5</v>
      </c>
      <c r="D11">
        <f t="shared" si="4"/>
        <v>3.5</v>
      </c>
      <c r="E11">
        <f t="shared" si="5"/>
        <v>12.25</v>
      </c>
      <c r="Q11">
        <f t="shared" si="1"/>
        <v>6</v>
      </c>
      <c r="R11">
        <f t="shared" si="2"/>
        <v>17</v>
      </c>
      <c r="S11">
        <f t="shared" si="6"/>
        <v>14.1</v>
      </c>
      <c r="T11">
        <f>SQRT(SUMXMY2(R8:R10,S9:S11)/3)</f>
        <v>3.1984371183438953</v>
      </c>
      <c r="U11">
        <f>S11-T11*_xlfn.NORM.S.INV(1-U$3/2)</f>
        <v>7.8311784412298913</v>
      </c>
      <c r="V11">
        <f>S11+T11*_xlfn.NORM.S.INV(1-U$3/2)</f>
        <v>20.368821558770108</v>
      </c>
    </row>
    <row r="12" spans="1:22" x14ac:dyDescent="0.35">
      <c r="A12" s="3">
        <f t="shared" si="0"/>
        <v>9</v>
      </c>
      <c r="B12" s="3">
        <v>51</v>
      </c>
      <c r="C12">
        <f t="shared" si="3"/>
        <v>22.1</v>
      </c>
      <c r="D12">
        <f t="shared" si="4"/>
        <v>28.9</v>
      </c>
      <c r="E12">
        <f t="shared" si="5"/>
        <v>835.20999999999992</v>
      </c>
      <c r="Q12">
        <f t="shared" si="1"/>
        <v>7</v>
      </c>
      <c r="R12">
        <f t="shared" si="2"/>
        <v>22</v>
      </c>
      <c r="S12">
        <f t="shared" si="6"/>
        <v>15.799999999999999</v>
      </c>
      <c r="T12">
        <f t="shared" ref="T12:T21" si="7">SQRT(SUMXMY2(R9:R11,S10:S12)/3)</f>
        <v>3.1032241298365801</v>
      </c>
      <c r="U12">
        <f t="shared" ref="U12:U21" si="8">S12-T12*_xlfn.NORM.S.INV(1-U$3/2)</f>
        <v>9.7177924695646549</v>
      </c>
      <c r="V12">
        <f t="shared" ref="V12:V21" si="9">S12+T12*_xlfn.NORM.S.INV(1-U$3/2)</f>
        <v>21.882207530435345</v>
      </c>
    </row>
    <row r="13" spans="1:22" x14ac:dyDescent="0.35">
      <c r="A13" s="3">
        <f t="shared" si="0"/>
        <v>10</v>
      </c>
      <c r="B13" s="3">
        <v>41</v>
      </c>
      <c r="C13">
        <f t="shared" si="3"/>
        <v>39.699999999999996</v>
      </c>
      <c r="D13">
        <f t="shared" si="4"/>
        <v>1.3000000000000043</v>
      </c>
      <c r="E13">
        <f t="shared" si="5"/>
        <v>1.690000000000011</v>
      </c>
      <c r="Q13">
        <f t="shared" si="1"/>
        <v>8</v>
      </c>
      <c r="R13">
        <f t="shared" si="2"/>
        <v>23</v>
      </c>
      <c r="S13">
        <f t="shared" si="6"/>
        <v>19.5</v>
      </c>
      <c r="T13">
        <f t="shared" si="7"/>
        <v>2.0083160441856092</v>
      </c>
      <c r="U13">
        <f t="shared" si="8"/>
        <v>15.563772883822255</v>
      </c>
      <c r="V13">
        <f t="shared" si="9"/>
        <v>23.436227116177744</v>
      </c>
    </row>
    <row r="14" spans="1:22" x14ac:dyDescent="0.35">
      <c r="A14" s="3">
        <f t="shared" si="0"/>
        <v>11</v>
      </c>
      <c r="B14" s="3">
        <v>56</v>
      </c>
      <c r="C14">
        <f t="shared" si="3"/>
        <v>42.199999999999996</v>
      </c>
      <c r="D14">
        <f t="shared" si="4"/>
        <v>13.800000000000004</v>
      </c>
      <c r="E14">
        <f t="shared" si="5"/>
        <v>190.44000000000011</v>
      </c>
      <c r="Q14">
        <f t="shared" si="1"/>
        <v>9</v>
      </c>
      <c r="R14">
        <f t="shared" si="2"/>
        <v>51</v>
      </c>
      <c r="S14">
        <f t="shared" si="6"/>
        <v>22.1</v>
      </c>
      <c r="T14">
        <f t="shared" si="7"/>
        <v>1.6832508230603465</v>
      </c>
      <c r="U14">
        <f t="shared" si="8"/>
        <v>18.80088900985432</v>
      </c>
      <c r="V14">
        <f t="shared" si="9"/>
        <v>25.399110990145683</v>
      </c>
    </row>
    <row r="15" spans="1:22" x14ac:dyDescent="0.35">
      <c r="A15" s="3">
        <f t="shared" si="0"/>
        <v>12</v>
      </c>
      <c r="B15" s="3">
        <v>75</v>
      </c>
      <c r="C15">
        <f t="shared" si="3"/>
        <v>51</v>
      </c>
      <c r="D15">
        <f t="shared" si="4"/>
        <v>24</v>
      </c>
      <c r="E15">
        <f t="shared" si="5"/>
        <v>576</v>
      </c>
      <c r="Q15">
        <f t="shared" si="1"/>
        <v>10</v>
      </c>
      <c r="R15">
        <f t="shared" si="2"/>
        <v>41</v>
      </c>
      <c r="S15">
        <f t="shared" si="6"/>
        <v>39.699999999999996</v>
      </c>
      <c r="T15">
        <f t="shared" si="7"/>
        <v>6.7019897542943685</v>
      </c>
      <c r="U15">
        <f t="shared" si="8"/>
        <v>26.56434145682659</v>
      </c>
      <c r="V15">
        <f t="shared" si="9"/>
        <v>52.835658543173402</v>
      </c>
    </row>
    <row r="16" spans="1:22" x14ac:dyDescent="0.35">
      <c r="A16" s="3">
        <f t="shared" si="0"/>
        <v>13</v>
      </c>
      <c r="B16" s="3">
        <v>60</v>
      </c>
      <c r="C16">
        <f t="shared" si="3"/>
        <v>65.900000000000006</v>
      </c>
      <c r="D16">
        <f t="shared" si="4"/>
        <v>5.9000000000000057</v>
      </c>
      <c r="E16">
        <f t="shared" si="5"/>
        <v>34.810000000000066</v>
      </c>
      <c r="Q16">
        <f t="shared" si="1"/>
        <v>11</v>
      </c>
      <c r="R16">
        <f t="shared" si="2"/>
        <v>56</v>
      </c>
      <c r="S16">
        <f t="shared" si="6"/>
        <v>42.199999999999996</v>
      </c>
      <c r="T16">
        <f t="shared" si="7"/>
        <v>6.5812866016709348</v>
      </c>
      <c r="U16">
        <f t="shared" si="8"/>
        <v>29.300915288788964</v>
      </c>
      <c r="V16">
        <f t="shared" si="9"/>
        <v>55.099084711211027</v>
      </c>
    </row>
    <row r="17" spans="1:22" x14ac:dyDescent="0.35">
      <c r="A17" s="3">
        <f t="shared" si="0"/>
        <v>14</v>
      </c>
      <c r="B17" s="3">
        <v>75</v>
      </c>
      <c r="C17">
        <f t="shared" si="3"/>
        <v>64.099999999999994</v>
      </c>
      <c r="D17">
        <f t="shared" si="4"/>
        <v>10.900000000000006</v>
      </c>
      <c r="E17">
        <f t="shared" si="5"/>
        <v>118.81000000000013</v>
      </c>
      <c r="Q17">
        <f t="shared" si="1"/>
        <v>12</v>
      </c>
      <c r="R17">
        <f t="shared" si="2"/>
        <v>75</v>
      </c>
      <c r="S17">
        <f t="shared" si="6"/>
        <v>51</v>
      </c>
      <c r="T17">
        <f t="shared" si="7"/>
        <v>7.1677518558238811</v>
      </c>
      <c r="U17">
        <f t="shared" si="8"/>
        <v>36.951464512465066</v>
      </c>
      <c r="V17">
        <f t="shared" si="9"/>
        <v>65.048535487534934</v>
      </c>
    </row>
    <row r="18" spans="1:22" x14ac:dyDescent="0.35">
      <c r="A18" s="10">
        <f t="shared" si="0"/>
        <v>15</v>
      </c>
      <c r="B18" s="10">
        <v>88</v>
      </c>
      <c r="C18" s="4">
        <f t="shared" si="3"/>
        <v>70.5</v>
      </c>
      <c r="D18" s="4">
        <f t="shared" si="4"/>
        <v>17.5</v>
      </c>
      <c r="E18" s="4">
        <f t="shared" si="5"/>
        <v>306.25</v>
      </c>
      <c r="Q18">
        <f t="shared" si="1"/>
        <v>13</v>
      </c>
      <c r="R18">
        <f t="shared" si="2"/>
        <v>60</v>
      </c>
      <c r="S18">
        <f t="shared" si="6"/>
        <v>65.900000000000006</v>
      </c>
      <c r="T18">
        <f t="shared" si="7"/>
        <v>6.0346223300772213</v>
      </c>
      <c r="U18">
        <f t="shared" si="8"/>
        <v>54.072357572747471</v>
      </c>
      <c r="V18">
        <f t="shared" si="9"/>
        <v>77.727642427252533</v>
      </c>
    </row>
    <row r="19" spans="1:22" x14ac:dyDescent="0.35">
      <c r="A19" s="17" t="s">
        <v>138</v>
      </c>
      <c r="B19" s="17"/>
      <c r="C19">
        <f t="shared" si="3"/>
        <v>81.3</v>
      </c>
      <c r="D19" s="13"/>
      <c r="E19" s="13"/>
      <c r="Q19">
        <f t="shared" si="1"/>
        <v>14</v>
      </c>
      <c r="R19">
        <f t="shared" si="2"/>
        <v>75</v>
      </c>
      <c r="S19">
        <f t="shared" si="6"/>
        <v>64.099999999999994</v>
      </c>
      <c r="T19">
        <f t="shared" si="7"/>
        <v>6.4451532177288042</v>
      </c>
      <c r="U19">
        <f t="shared" si="8"/>
        <v>51.467731818409099</v>
      </c>
      <c r="V19">
        <f t="shared" si="9"/>
        <v>76.732268181590882</v>
      </c>
    </row>
    <row r="20" spans="1:22" x14ac:dyDescent="0.35">
      <c r="Q20" s="4">
        <f t="shared" si="1"/>
        <v>15</v>
      </c>
      <c r="R20" s="4">
        <f t="shared" si="2"/>
        <v>88</v>
      </c>
      <c r="S20" s="4">
        <f t="shared" si="6"/>
        <v>70.5</v>
      </c>
      <c r="T20" s="4">
        <f t="shared" si="7"/>
        <v>6.3211285912142792</v>
      </c>
      <c r="U20" s="4">
        <f t="shared" si="8"/>
        <v>58.110815619573607</v>
      </c>
      <c r="V20" s="4">
        <f t="shared" si="9"/>
        <v>82.8891843804264</v>
      </c>
    </row>
    <row r="21" spans="1:22" x14ac:dyDescent="0.35">
      <c r="D21" s="3" t="s">
        <v>12</v>
      </c>
      <c r="E21" s="3" t="s">
        <v>4</v>
      </c>
      <c r="Q21" t="s">
        <v>180</v>
      </c>
      <c r="S21">
        <f t="shared" si="6"/>
        <v>81.3</v>
      </c>
      <c r="T21">
        <f t="shared" si="7"/>
        <v>5.2265348622836774</v>
      </c>
      <c r="U21">
        <f t="shared" si="8"/>
        <v>71.056179905980983</v>
      </c>
      <c r="V21">
        <f t="shared" si="9"/>
        <v>91.543820094019011</v>
      </c>
    </row>
    <row r="22" spans="1:22" x14ac:dyDescent="0.35">
      <c r="D22" s="5">
        <f>AVERAGE(D4:D18)</f>
        <v>10.908333333333337</v>
      </c>
      <c r="E22" s="6">
        <f>AVERAGE(E4:E18)</f>
        <v>191.36583333333337</v>
      </c>
    </row>
    <row r="23" spans="1:22" x14ac:dyDescent="0.35">
      <c r="R23" s="264" t="s">
        <v>12</v>
      </c>
      <c r="S23" s="264" t="s">
        <v>4</v>
      </c>
      <c r="T23" s="264" t="s">
        <v>611</v>
      </c>
    </row>
    <row r="24" spans="1:22" x14ac:dyDescent="0.35">
      <c r="D24">
        <f>SUMPRODUCT(ABS(B7:B18-C7:C18))/COUNT(B7:B18)</f>
        <v>10.908333333333337</v>
      </c>
      <c r="E24">
        <f>SUMPRODUCT((B7:B18-C7:C18)^2)/COUNT(B7:B18)</f>
        <v>191.36583333333337</v>
      </c>
      <c r="R24" s="142">
        <f>SUMPRODUCT(ABS(R9:R20-S9:S20))/COUNT(S9:S20)</f>
        <v>10.908333333333337</v>
      </c>
      <c r="S24" s="143">
        <f>SUMXMY2(R9:R20,S9:S20)/COUNT(S9:S20)</f>
        <v>191.36583333333337</v>
      </c>
      <c r="T24" s="144">
        <f>SUMPRODUCT(ABS(1-S9:S20/R9:R20))/COUNT(S9:S20)</f>
        <v>0.25988165458509632</v>
      </c>
    </row>
    <row r="25" spans="1:22" x14ac:dyDescent="0.35">
      <c r="E25">
        <f>SUMXMY2(B7:B18,C7:C18)/COUNT(B7:B18)</f>
        <v>191.36583333333337</v>
      </c>
    </row>
  </sheetData>
  <pageMargins left="0.7" right="0.7" top="0.75" bottom="0.75" header="0.3" footer="0.3"/>
  <ignoredErrors>
    <ignoredError sqref="C7:C19" formulaRange="1"/>
  </ignoredErrors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66"/>
  <dimension ref="A1:T37"/>
  <sheetViews>
    <sheetView workbookViewId="0"/>
  </sheetViews>
  <sheetFormatPr defaultRowHeight="14.5" x14ac:dyDescent="0.35"/>
  <sheetData>
    <row r="1" spans="1:20" x14ac:dyDescent="0.35">
      <c r="A1">
        <v>7131</v>
      </c>
      <c r="C1" t="s">
        <v>548</v>
      </c>
      <c r="H1" t="s">
        <v>355</v>
      </c>
      <c r="L1" t="s">
        <v>549</v>
      </c>
      <c r="O1" t="s">
        <v>550</v>
      </c>
      <c r="S1" t="s">
        <v>384</v>
      </c>
    </row>
    <row r="2" spans="1:20" ht="15" thickBot="1" x14ac:dyDescent="0.4">
      <c r="A2">
        <v>6566</v>
      </c>
    </row>
    <row r="3" spans="1:20" ht="15" thickTop="1" x14ac:dyDescent="0.35">
      <c r="A3">
        <v>7560</v>
      </c>
      <c r="C3" s="45" t="s">
        <v>291</v>
      </c>
      <c r="D3" s="45" t="s">
        <v>194</v>
      </c>
      <c r="E3" s="45" t="s">
        <v>354</v>
      </c>
      <c r="F3" s="45" t="s">
        <v>179</v>
      </c>
      <c r="I3" s="137" t="s">
        <v>551</v>
      </c>
      <c r="J3" s="137" t="s">
        <v>552</v>
      </c>
      <c r="L3" t="s">
        <v>359</v>
      </c>
      <c r="M3" s="151" t="e">
        <f t="array" ref="M3:M7" ca="1">I28:I32</f>
        <v>#NAME?</v>
      </c>
      <c r="O3" s="45" t="s">
        <v>173</v>
      </c>
      <c r="P3" s="45" t="s">
        <v>174</v>
      </c>
      <c r="Q3" s="45" t="s">
        <v>375</v>
      </c>
      <c r="S3" s="45" t="s">
        <v>291</v>
      </c>
      <c r="T3" s="45" t="s">
        <v>179</v>
      </c>
    </row>
    <row r="4" spans="1:20" x14ac:dyDescent="0.35">
      <c r="A4">
        <v>12947</v>
      </c>
      <c r="C4" s="161">
        <v>1</v>
      </c>
      <c r="D4" s="161" t="e">
        <f t="array" aca="1" ref="D4:D28" ca="1">ADIFF(A1:A30,I6,J6,J7)</f>
        <v>#NAME?</v>
      </c>
      <c r="E4" s="161" t="e">
        <f t="array" aca="1" ref="E4:E28" ca="1">SARMA_RES(D4:D28,M4,M5,M6,M7,J7,M3)</f>
        <v>#NAME?</v>
      </c>
      <c r="F4" s="161" t="e">
        <f t="array" aca="1" ref="F4:F32" ca="1">SARMA_PRED(D4:D28,M4,M5,M6,M7,J7,M3,4)</f>
        <v>#NAME?</v>
      </c>
      <c r="H4" t="s">
        <v>361</v>
      </c>
      <c r="I4" s="234">
        <v>1</v>
      </c>
      <c r="J4" s="235">
        <v>1</v>
      </c>
      <c r="L4" t="s">
        <v>381</v>
      </c>
      <c r="M4" s="107" t="e">
        <f ca="1"/>
        <v>#NAME?</v>
      </c>
      <c r="O4" s="152" t="e">
        <f t="array" aca="1" ref="O4:Q4" ca="1">ARRoots(REVERSE(M4))</f>
        <v>#NAME?</v>
      </c>
      <c r="P4" s="152" t="e">
        <f ca="1"/>
        <v>#NAME?</v>
      </c>
      <c r="Q4" s="152" t="e">
        <f ca="1"/>
        <v>#NAME?</v>
      </c>
      <c r="S4">
        <v>1</v>
      </c>
      <c r="T4">
        <f>A1</f>
        <v>7131</v>
      </c>
    </row>
    <row r="5" spans="1:20" x14ac:dyDescent="0.35">
      <c r="A5">
        <v>9857</v>
      </c>
      <c r="C5" s="13">
        <f>C4+1</f>
        <v>2</v>
      </c>
      <c r="D5" s="13" t="e">
        <f ca="1"/>
        <v>#NAME?</v>
      </c>
      <c r="E5" s="13" t="e">
        <f ca="1"/>
        <v>#NAME?</v>
      </c>
      <c r="F5" s="13" t="e">
        <f ca="1"/>
        <v>#NAME?</v>
      </c>
      <c r="H5" t="s">
        <v>362</v>
      </c>
      <c r="I5" s="165">
        <v>1</v>
      </c>
      <c r="J5" s="168">
        <v>1</v>
      </c>
      <c r="L5" t="s">
        <v>382</v>
      </c>
      <c r="M5" s="107" t="e">
        <f ca="1"/>
        <v>#NAME?</v>
      </c>
      <c r="S5">
        <f>S4+1</f>
        <v>2</v>
      </c>
      <c r="T5">
        <f t="shared" ref="T5:T33" si="0">A2</f>
        <v>6566</v>
      </c>
    </row>
    <row r="6" spans="1:20" x14ac:dyDescent="0.35">
      <c r="A6">
        <v>9913</v>
      </c>
      <c r="C6" s="13">
        <f t="shared" ref="C6:C32" si="1">C5+1</f>
        <v>3</v>
      </c>
      <c r="D6" s="13" t="e">
        <f ca="1"/>
        <v>#NAME?</v>
      </c>
      <c r="E6" s="13" t="e">
        <f ca="1"/>
        <v>#NAME?</v>
      </c>
      <c r="F6" s="13" t="e">
        <f ca="1"/>
        <v>#NAME?</v>
      </c>
      <c r="H6" t="s">
        <v>363</v>
      </c>
      <c r="I6" s="165">
        <v>1</v>
      </c>
      <c r="J6" s="168">
        <v>1</v>
      </c>
      <c r="L6" t="s">
        <v>553</v>
      </c>
      <c r="M6" s="107" t="e">
        <f ca="1"/>
        <v>#NAME?</v>
      </c>
      <c r="O6" t="s">
        <v>554</v>
      </c>
      <c r="S6">
        <f t="shared" ref="S6:S37" si="2">S5+1</f>
        <v>3</v>
      </c>
      <c r="T6">
        <f t="shared" si="0"/>
        <v>7560</v>
      </c>
    </row>
    <row r="7" spans="1:20" ht="15" thickBot="1" x14ac:dyDescent="0.4">
      <c r="A7">
        <v>10876</v>
      </c>
      <c r="C7" s="13">
        <f t="shared" si="1"/>
        <v>4</v>
      </c>
      <c r="D7" s="13" t="e">
        <f ca="1"/>
        <v>#NAME?</v>
      </c>
      <c r="E7" s="13" t="e">
        <f ca="1"/>
        <v>#NAME?</v>
      </c>
      <c r="F7" s="13" t="e">
        <f ca="1"/>
        <v>#NAME?</v>
      </c>
      <c r="H7" t="s">
        <v>555</v>
      </c>
      <c r="I7" s="165"/>
      <c r="J7" s="168">
        <v>4</v>
      </c>
      <c r="L7" t="s">
        <v>556</v>
      </c>
      <c r="M7" s="108" t="e">
        <f ca="1"/>
        <v>#NAME?</v>
      </c>
      <c r="S7">
        <f t="shared" si="2"/>
        <v>4</v>
      </c>
      <c r="T7">
        <f t="shared" si="0"/>
        <v>12947</v>
      </c>
    </row>
    <row r="8" spans="1:20" ht="15" thickTop="1" x14ac:dyDescent="0.35">
      <c r="A8">
        <v>17431</v>
      </c>
      <c r="C8" s="13">
        <f t="shared" si="1"/>
        <v>5</v>
      </c>
      <c r="D8" s="13" t="e">
        <f ca="1"/>
        <v>#NAME?</v>
      </c>
      <c r="E8" s="13" t="e">
        <f ca="1"/>
        <v>#NAME?</v>
      </c>
      <c r="F8" s="13" t="e">
        <f ca="1"/>
        <v>#NAME?</v>
      </c>
      <c r="H8" t="s">
        <v>359</v>
      </c>
      <c r="I8" s="166"/>
      <c r="J8" s="191" t="b">
        <v>1</v>
      </c>
      <c r="O8" s="45" t="s">
        <v>173</v>
      </c>
      <c r="P8" s="45" t="s">
        <v>174</v>
      </c>
      <c r="Q8" s="45" t="s">
        <v>375</v>
      </c>
      <c r="S8">
        <f t="shared" si="2"/>
        <v>5</v>
      </c>
      <c r="T8">
        <f t="shared" si="0"/>
        <v>9857</v>
      </c>
    </row>
    <row r="9" spans="1:20" x14ac:dyDescent="0.35">
      <c r="A9">
        <v>13185</v>
      </c>
      <c r="C9" s="13">
        <f t="shared" si="1"/>
        <v>6</v>
      </c>
      <c r="D9" s="13" t="e">
        <f ca="1"/>
        <v>#NAME?</v>
      </c>
      <c r="E9" s="13" t="e">
        <f ca="1"/>
        <v>#NAME?</v>
      </c>
      <c r="F9" s="13" t="e">
        <f ca="1"/>
        <v>#NAME?</v>
      </c>
      <c r="O9" s="152" t="e">
        <f t="array" aca="1" ref="O9:Q9" ca="1">MARoots(REVERSE(M5))</f>
        <v>#NAME?</v>
      </c>
      <c r="P9" s="152" t="e">
        <f ca="1"/>
        <v>#NAME?</v>
      </c>
      <c r="Q9" s="152" t="e">
        <f ca="1"/>
        <v>#NAME?</v>
      </c>
      <c r="S9">
        <f t="shared" si="2"/>
        <v>6</v>
      </c>
      <c r="T9">
        <f t="shared" si="0"/>
        <v>9913</v>
      </c>
    </row>
    <row r="10" spans="1:20" x14ac:dyDescent="0.35">
      <c r="A10">
        <v>12834</v>
      </c>
      <c r="C10" s="13">
        <f t="shared" si="1"/>
        <v>7</v>
      </c>
      <c r="D10" s="13" t="e">
        <f ca="1"/>
        <v>#NAME?</v>
      </c>
      <c r="E10" s="13" t="e">
        <f ca="1"/>
        <v>#NAME?</v>
      </c>
      <c r="F10" s="13" t="e">
        <f ca="1"/>
        <v>#NAME?</v>
      </c>
      <c r="H10" t="s">
        <v>390</v>
      </c>
      <c r="I10" s="151" t="e">
        <f ca="1">SUMSQ(E4:E28)</f>
        <v>#NAME?</v>
      </c>
      <c r="S10">
        <f t="shared" si="2"/>
        <v>7</v>
      </c>
      <c r="T10">
        <f t="shared" si="0"/>
        <v>10876</v>
      </c>
    </row>
    <row r="11" spans="1:20" x14ac:dyDescent="0.35">
      <c r="A11">
        <v>13806</v>
      </c>
      <c r="C11" s="13">
        <f t="shared" si="1"/>
        <v>8</v>
      </c>
      <c r="D11" s="13" t="e">
        <f ca="1"/>
        <v>#NAME?</v>
      </c>
      <c r="E11" s="13" t="e">
        <f ca="1"/>
        <v>#NAME?</v>
      </c>
      <c r="F11" s="13" t="e">
        <f ca="1"/>
        <v>#NAME?</v>
      </c>
      <c r="H11" t="s">
        <v>360</v>
      </c>
      <c r="I11" s="192" t="s">
        <v>304</v>
      </c>
      <c r="O11" t="s">
        <v>557</v>
      </c>
      <c r="S11">
        <f t="shared" si="2"/>
        <v>8</v>
      </c>
      <c r="T11">
        <f t="shared" si="0"/>
        <v>17431</v>
      </c>
    </row>
    <row r="12" spans="1:20" ht="15" thickBot="1" x14ac:dyDescent="0.4">
      <c r="A12">
        <v>21268</v>
      </c>
      <c r="C12" s="13">
        <f t="shared" si="1"/>
        <v>9</v>
      </c>
      <c r="D12" s="13" t="e">
        <f ca="1"/>
        <v>#NAME?</v>
      </c>
      <c r="E12" s="13" t="e">
        <f ca="1"/>
        <v>#NAME?</v>
      </c>
      <c r="F12" s="13" t="e">
        <f ca="1"/>
        <v>#NAME?</v>
      </c>
      <c r="S12">
        <f t="shared" si="2"/>
        <v>9</v>
      </c>
      <c r="T12">
        <f t="shared" si="0"/>
        <v>13185</v>
      </c>
    </row>
    <row r="13" spans="1:20" ht="15" thickTop="1" x14ac:dyDescent="0.35">
      <c r="A13">
        <v>16070</v>
      </c>
      <c r="C13" s="13">
        <f t="shared" si="1"/>
        <v>10</v>
      </c>
      <c r="D13" s="13" t="e">
        <f ca="1"/>
        <v>#NAME?</v>
      </c>
      <c r="E13" s="13" t="e">
        <f ca="1"/>
        <v>#NAME?</v>
      </c>
      <c r="F13" s="13" t="e">
        <f ca="1"/>
        <v>#NAME?</v>
      </c>
      <c r="H13" t="s">
        <v>364</v>
      </c>
      <c r="I13" s="151" t="e">
        <f ca="1">AVERAGE(E9:E28)</f>
        <v>#NAME?</v>
      </c>
      <c r="O13" s="45" t="s">
        <v>173</v>
      </c>
      <c r="P13" s="45" t="s">
        <v>174</v>
      </c>
      <c r="Q13" s="45" t="s">
        <v>375</v>
      </c>
      <c r="S13">
        <f t="shared" si="2"/>
        <v>10</v>
      </c>
      <c r="T13">
        <f t="shared" si="0"/>
        <v>12834</v>
      </c>
    </row>
    <row r="14" spans="1:20" x14ac:dyDescent="0.35">
      <c r="A14">
        <v>15704</v>
      </c>
      <c r="C14" s="13">
        <f t="shared" si="1"/>
        <v>11</v>
      </c>
      <c r="D14" s="13" t="e">
        <f ca="1"/>
        <v>#NAME?</v>
      </c>
      <c r="E14" s="13" t="e">
        <f ca="1"/>
        <v>#NAME?</v>
      </c>
      <c r="F14" s="13" t="e">
        <f ca="1"/>
        <v>#NAME?</v>
      </c>
      <c r="H14" t="s">
        <v>365</v>
      </c>
      <c r="I14" s="107" t="e">
        <f ca="1">_xlfn.STDEV.S(E9:E28)</f>
        <v>#NAME?</v>
      </c>
      <c r="O14" s="152" t="e">
        <f t="array" aca="1" ref="O14:Q14" ca="1">ARRoots(REVERSE(M6))</f>
        <v>#NAME?</v>
      </c>
      <c r="P14" s="152" t="e">
        <f ca="1"/>
        <v>#NAME?</v>
      </c>
      <c r="Q14" s="152" t="e">
        <f ca="1"/>
        <v>#NAME?</v>
      </c>
      <c r="S14">
        <f t="shared" si="2"/>
        <v>11</v>
      </c>
      <c r="T14">
        <f t="shared" si="0"/>
        <v>13806</v>
      </c>
    </row>
    <row r="15" spans="1:20" x14ac:dyDescent="0.35">
      <c r="A15">
        <v>17092</v>
      </c>
      <c r="C15" s="13">
        <f t="shared" si="1"/>
        <v>12</v>
      </c>
      <c r="D15" s="13" t="e">
        <f ca="1"/>
        <v>#NAME?</v>
      </c>
      <c r="E15" s="13" t="e">
        <f ca="1"/>
        <v>#NAME?</v>
      </c>
      <c r="F15" s="13" t="e">
        <f ca="1"/>
        <v>#NAME?</v>
      </c>
      <c r="H15" t="s">
        <v>366</v>
      </c>
      <c r="I15" s="107" t="e">
        <f ca="1">I10/I18</f>
        <v>#NAME?</v>
      </c>
      <c r="S15">
        <f t="shared" si="2"/>
        <v>12</v>
      </c>
      <c r="T15">
        <f t="shared" si="0"/>
        <v>21268</v>
      </c>
    </row>
    <row r="16" spans="1:20" x14ac:dyDescent="0.35">
      <c r="A16">
        <v>25586</v>
      </c>
      <c r="C16" s="13">
        <f t="shared" si="1"/>
        <v>13</v>
      </c>
      <c r="D16" s="13" t="e">
        <f ca="1"/>
        <v>#NAME?</v>
      </c>
      <c r="E16" s="13" t="e">
        <f ca="1"/>
        <v>#NAME?</v>
      </c>
      <c r="F16" s="13" t="e">
        <f ca="1"/>
        <v>#NAME?</v>
      </c>
      <c r="H16" t="s">
        <v>367</v>
      </c>
      <c r="I16" s="107" t="e">
        <f ca="1">AVERAGE(D9:D28)</f>
        <v>#NAME?</v>
      </c>
      <c r="O16" t="s">
        <v>558</v>
      </c>
      <c r="S16">
        <f t="shared" si="2"/>
        <v>13</v>
      </c>
      <c r="T16">
        <f t="shared" si="0"/>
        <v>16070</v>
      </c>
    </row>
    <row r="17" spans="1:20" ht="15" thickBot="1" x14ac:dyDescent="0.4">
      <c r="A17">
        <v>19741</v>
      </c>
      <c r="C17" s="13">
        <f t="shared" si="1"/>
        <v>14</v>
      </c>
      <c r="D17" s="13" t="e">
        <f ca="1"/>
        <v>#NAME?</v>
      </c>
      <c r="E17" s="13" t="e">
        <f ca="1"/>
        <v>#NAME?</v>
      </c>
      <c r="F17" s="13" t="e">
        <f ca="1"/>
        <v>#NAME?</v>
      </c>
      <c r="H17" t="s">
        <v>368</v>
      </c>
      <c r="I17" s="107" t="e">
        <f ca="1">_xlfn.STDEV.S(D9:D28)</f>
        <v>#NAME?</v>
      </c>
      <c r="S17">
        <f t="shared" si="2"/>
        <v>14</v>
      </c>
      <c r="T17">
        <f t="shared" si="0"/>
        <v>15704</v>
      </c>
    </row>
    <row r="18" spans="1:20" ht="15" thickTop="1" x14ac:dyDescent="0.35">
      <c r="A18">
        <v>19340</v>
      </c>
      <c r="C18" s="13">
        <f t="shared" si="1"/>
        <v>15</v>
      </c>
      <c r="D18" s="13" t="e">
        <f ca="1"/>
        <v>#NAME?</v>
      </c>
      <c r="E18" s="13" t="e">
        <f ca="1"/>
        <v>#NAME?</v>
      </c>
      <c r="F18" s="13" t="e">
        <f ca="1"/>
        <v>#NAME?</v>
      </c>
      <c r="H18" t="s">
        <v>369</v>
      </c>
      <c r="I18" s="108">
        <f ca="1">COUNT(D9:D28)</f>
        <v>0</v>
      </c>
      <c r="O18" s="45" t="s">
        <v>173</v>
      </c>
      <c r="P18" s="45" t="s">
        <v>174</v>
      </c>
      <c r="Q18" s="45" t="s">
        <v>375</v>
      </c>
      <c r="S18">
        <f t="shared" si="2"/>
        <v>15</v>
      </c>
      <c r="T18">
        <f t="shared" si="0"/>
        <v>17092</v>
      </c>
    </row>
    <row r="19" spans="1:20" x14ac:dyDescent="0.35">
      <c r="A19">
        <v>20579</v>
      </c>
      <c r="C19" s="13">
        <f t="shared" si="1"/>
        <v>16</v>
      </c>
      <c r="D19" s="13" t="e">
        <f ca="1"/>
        <v>#NAME?</v>
      </c>
      <c r="E19" s="13" t="e">
        <f ca="1"/>
        <v>#NAME?</v>
      </c>
      <c r="F19" s="13" t="e">
        <f ca="1"/>
        <v>#NAME?</v>
      </c>
      <c r="O19" s="152" t="e">
        <f t="array" aca="1" ref="O19:Q19" ca="1">MARoots(REVERSE(M7))</f>
        <v>#NAME?</v>
      </c>
      <c r="P19" s="152" t="e">
        <f ca="1"/>
        <v>#NAME?</v>
      </c>
      <c r="Q19" s="152" t="e">
        <f ca="1"/>
        <v>#NAME?</v>
      </c>
      <c r="S19">
        <f t="shared" si="2"/>
        <v>16</v>
      </c>
      <c r="T19">
        <f t="shared" si="0"/>
        <v>25586</v>
      </c>
    </row>
    <row r="20" spans="1:20" x14ac:dyDescent="0.35">
      <c r="A20">
        <v>29328</v>
      </c>
      <c r="C20" s="13">
        <f t="shared" si="1"/>
        <v>17</v>
      </c>
      <c r="D20" s="13" t="e">
        <f ca="1"/>
        <v>#NAME?</v>
      </c>
      <c r="E20" s="13" t="e">
        <f ca="1"/>
        <v>#NAME?</v>
      </c>
      <c r="F20" s="13" t="e">
        <f ca="1"/>
        <v>#NAME?</v>
      </c>
      <c r="H20" t="s">
        <v>370</v>
      </c>
      <c r="I20" s="151" t="e">
        <f ca="1">-(I23-2*(I4+J4+I5+J5+1))/2</f>
        <v>#NAME?</v>
      </c>
      <c r="S20">
        <f t="shared" si="2"/>
        <v>17</v>
      </c>
      <c r="T20">
        <f t="shared" si="0"/>
        <v>19741</v>
      </c>
    </row>
    <row r="21" spans="1:20" x14ac:dyDescent="0.35">
      <c r="A21">
        <v>22717</v>
      </c>
      <c r="C21" s="13">
        <f t="shared" si="1"/>
        <v>18</v>
      </c>
      <c r="D21" s="13" t="e">
        <f ca="1"/>
        <v>#NAME?</v>
      </c>
      <c r="E21" s="13" t="e">
        <f ca="1"/>
        <v>#NAME?</v>
      </c>
      <c r="F21" s="13" t="e">
        <f ca="1"/>
        <v>#NAME?</v>
      </c>
      <c r="H21" t="s">
        <v>145</v>
      </c>
      <c r="I21" s="107" t="e">
        <f ca="1">I18*LN(I10/I18)+2*(I4+J4+I5+J5+1)</f>
        <v>#NAME?</v>
      </c>
      <c r="S21">
        <f t="shared" si="2"/>
        <v>18</v>
      </c>
      <c r="T21">
        <f t="shared" si="0"/>
        <v>19340</v>
      </c>
    </row>
    <row r="22" spans="1:20" x14ac:dyDescent="0.35">
      <c r="A22">
        <v>23185</v>
      </c>
      <c r="C22" s="13">
        <f t="shared" si="1"/>
        <v>19</v>
      </c>
      <c r="D22" s="13" t="e">
        <f ca="1"/>
        <v>#NAME?</v>
      </c>
      <c r="E22" s="13" t="e">
        <f ca="1"/>
        <v>#NAME?</v>
      </c>
      <c r="F22" s="13" t="e">
        <f ca="1"/>
        <v>#NAME?</v>
      </c>
      <c r="H22" t="s">
        <v>371</v>
      </c>
      <c r="I22" s="107" t="e">
        <f ca="1">I18*LN(I10/I18)+LN(I18)*(I4+J4+I5+J5+1)</f>
        <v>#NAME?</v>
      </c>
      <c r="S22">
        <f t="shared" si="2"/>
        <v>19</v>
      </c>
      <c r="T22">
        <f t="shared" si="0"/>
        <v>20579</v>
      </c>
    </row>
    <row r="23" spans="1:20" x14ac:dyDescent="0.35">
      <c r="A23">
        <v>25358</v>
      </c>
      <c r="C23" s="13">
        <f t="shared" si="1"/>
        <v>20</v>
      </c>
      <c r="D23" s="13" t="e">
        <f ca="1"/>
        <v>#NAME?</v>
      </c>
      <c r="E23" s="13" t="e">
        <f ca="1"/>
        <v>#NAME?</v>
      </c>
      <c r="F23" s="13" t="e">
        <f ca="1"/>
        <v>#NAME?</v>
      </c>
      <c r="H23" t="s">
        <v>372</v>
      </c>
      <c r="I23" s="107" t="e">
        <f ca="1">I18*(1+LN(2*PI()))+I21</f>
        <v>#NAME?</v>
      </c>
      <c r="S23">
        <f t="shared" si="2"/>
        <v>20</v>
      </c>
      <c r="T23">
        <f t="shared" si="0"/>
        <v>29328</v>
      </c>
    </row>
    <row r="24" spans="1:20" x14ac:dyDescent="0.35">
      <c r="A24">
        <v>35746</v>
      </c>
      <c r="C24" s="13">
        <f t="shared" si="1"/>
        <v>21</v>
      </c>
      <c r="D24" s="13" t="e">
        <f ca="1"/>
        <v>#NAME?</v>
      </c>
      <c r="E24" s="13" t="e">
        <f ca="1"/>
        <v>#NAME?</v>
      </c>
      <c r="F24" s="13" t="e">
        <f ca="1"/>
        <v>#NAME?</v>
      </c>
      <c r="H24" t="s">
        <v>373</v>
      </c>
      <c r="I24" s="108" t="e">
        <f ca="1">I18*(1+LN(2*PI()))+I22</f>
        <v>#NAME?</v>
      </c>
      <c r="S24">
        <f t="shared" si="2"/>
        <v>21</v>
      </c>
      <c r="T24">
        <f t="shared" si="0"/>
        <v>22717</v>
      </c>
    </row>
    <row r="25" spans="1:20" x14ac:dyDescent="0.35">
      <c r="A25">
        <v>29128</v>
      </c>
      <c r="C25" s="13">
        <f t="shared" si="1"/>
        <v>22</v>
      </c>
      <c r="D25" s="13" t="e">
        <f ca="1"/>
        <v>#NAME?</v>
      </c>
      <c r="E25" s="13" t="e">
        <f ca="1"/>
        <v>#NAME?</v>
      </c>
      <c r="F25" s="13" t="e">
        <f ca="1"/>
        <v>#NAME?</v>
      </c>
      <c r="S25">
        <f t="shared" si="2"/>
        <v>22</v>
      </c>
      <c r="T25">
        <f t="shared" si="0"/>
        <v>23185</v>
      </c>
    </row>
    <row r="26" spans="1:20" x14ac:dyDescent="0.35">
      <c r="A26">
        <v>30404</v>
      </c>
      <c r="C26" s="13">
        <f t="shared" si="1"/>
        <v>23</v>
      </c>
      <c r="D26" s="13" t="e">
        <f ca="1"/>
        <v>#NAME?</v>
      </c>
      <c r="E26" s="13" t="e">
        <f ca="1"/>
        <v>#NAME?</v>
      </c>
      <c r="F26" s="13" t="e">
        <f ca="1"/>
        <v>#NAME?</v>
      </c>
      <c r="S26">
        <f t="shared" si="2"/>
        <v>23</v>
      </c>
      <c r="T26">
        <f t="shared" si="0"/>
        <v>25358</v>
      </c>
    </row>
    <row r="27" spans="1:20" x14ac:dyDescent="0.35">
      <c r="A27">
        <v>32714</v>
      </c>
      <c r="C27" s="13">
        <f t="shared" si="1"/>
        <v>24</v>
      </c>
      <c r="D27" s="13" t="e">
        <f ca="1"/>
        <v>#NAME?</v>
      </c>
      <c r="E27" s="13" t="e">
        <f ca="1"/>
        <v>#NAME?</v>
      </c>
      <c r="F27" s="13" t="e">
        <f ca="1"/>
        <v>#NAME?</v>
      </c>
      <c r="H27" t="e">
        <f t="array" aca="1" ref="H27:L32" ca="1">SARIMA_PARAM(A1:A30,I4,I5,I6,J7,J4,J5,J6,J8)</f>
        <v>#NAME?</v>
      </c>
      <c r="I27" s="137" t="e">
        <f ca="1"/>
        <v>#NAME?</v>
      </c>
      <c r="J27" s="137" t="e">
        <f ca="1"/>
        <v>#NAME?</v>
      </c>
      <c r="K27" s="137" t="e">
        <f ca="1"/>
        <v>#NAME?</v>
      </c>
      <c r="L27" s="137" t="e">
        <f ca="1"/>
        <v>#NAME?</v>
      </c>
      <c r="S27">
        <f t="shared" si="2"/>
        <v>24</v>
      </c>
      <c r="T27">
        <f t="shared" si="0"/>
        <v>35746</v>
      </c>
    </row>
    <row r="28" spans="1:20" x14ac:dyDescent="0.35">
      <c r="A28">
        <v>43741</v>
      </c>
      <c r="C28" s="4">
        <f t="shared" si="1"/>
        <v>25</v>
      </c>
      <c r="D28" s="4" t="e">
        <f ca="1"/>
        <v>#NAME?</v>
      </c>
      <c r="E28" s="4" t="e">
        <f ca="1"/>
        <v>#NAME?</v>
      </c>
      <c r="F28" s="4" t="e">
        <f ca="1"/>
        <v>#NAME?</v>
      </c>
      <c r="H28" t="e">
        <f ca="1"/>
        <v>#NAME?</v>
      </c>
      <c r="I28" s="234" t="e">
        <f ca="1"/>
        <v>#NAME?</v>
      </c>
      <c r="J28" s="236" t="e">
        <f ca="1"/>
        <v>#NAME?</v>
      </c>
      <c r="K28" s="236" t="e">
        <f ca="1"/>
        <v>#NAME?</v>
      </c>
      <c r="L28" s="235" t="e">
        <f ca="1"/>
        <v>#NAME?</v>
      </c>
      <c r="S28">
        <f t="shared" si="2"/>
        <v>25</v>
      </c>
      <c r="T28">
        <f t="shared" si="0"/>
        <v>29128</v>
      </c>
    </row>
    <row r="29" spans="1:20" x14ac:dyDescent="0.35">
      <c r="A29">
        <v>35714</v>
      </c>
      <c r="C29" s="13">
        <f t="shared" si="1"/>
        <v>26</v>
      </c>
      <c r="D29" s="13"/>
      <c r="E29" s="13"/>
      <c r="F29" s="13" t="e">
        <f ca="1"/>
        <v>#NAME?</v>
      </c>
      <c r="H29" t="e">
        <f ca="1"/>
        <v>#NAME?</v>
      </c>
      <c r="I29" s="165" t="e">
        <f ca="1"/>
        <v>#NAME?</v>
      </c>
      <c r="J29" s="13" t="e">
        <f ca="1"/>
        <v>#NAME?</v>
      </c>
      <c r="K29" s="13" t="e">
        <f ca="1"/>
        <v>#NAME?</v>
      </c>
      <c r="L29" s="168" t="e">
        <f ca="1"/>
        <v>#NAME?</v>
      </c>
      <c r="S29">
        <f t="shared" si="2"/>
        <v>26</v>
      </c>
      <c r="T29">
        <f t="shared" si="0"/>
        <v>30404</v>
      </c>
    </row>
    <row r="30" spans="1:20" x14ac:dyDescent="0.35">
      <c r="A30">
        <v>37955</v>
      </c>
      <c r="C30" s="13">
        <f t="shared" si="1"/>
        <v>27</v>
      </c>
      <c r="D30" s="13"/>
      <c r="E30" s="13"/>
      <c r="F30" s="13" t="e">
        <f ca="1"/>
        <v>#NAME?</v>
      </c>
      <c r="H30" t="e">
        <f ca="1"/>
        <v>#NAME?</v>
      </c>
      <c r="I30" s="165" t="e">
        <f ca="1"/>
        <v>#NAME?</v>
      </c>
      <c r="J30" s="13" t="e">
        <f ca="1"/>
        <v>#NAME?</v>
      </c>
      <c r="K30" s="13" t="e">
        <f ca="1"/>
        <v>#NAME?</v>
      </c>
      <c r="L30" s="168" t="e">
        <f ca="1"/>
        <v>#NAME?</v>
      </c>
      <c r="S30">
        <f t="shared" si="2"/>
        <v>27</v>
      </c>
      <c r="T30">
        <f t="shared" si="0"/>
        <v>32714</v>
      </c>
    </row>
    <row r="31" spans="1:20" x14ac:dyDescent="0.35">
      <c r="A31" s="1" t="s">
        <v>559</v>
      </c>
      <c r="C31" s="13">
        <f t="shared" si="1"/>
        <v>28</v>
      </c>
      <c r="D31" s="13"/>
      <c r="E31" s="13"/>
      <c r="F31" s="13" t="e">
        <f ca="1"/>
        <v>#NAME?</v>
      </c>
      <c r="H31" t="e">
        <f ca="1"/>
        <v>#NAME?</v>
      </c>
      <c r="I31" s="165" t="e">
        <f ca="1"/>
        <v>#NAME?</v>
      </c>
      <c r="J31" s="13" t="e">
        <f ca="1"/>
        <v>#NAME?</v>
      </c>
      <c r="K31" s="13" t="e">
        <f ca="1"/>
        <v>#NAME?</v>
      </c>
      <c r="L31" s="168" t="e">
        <f ca="1"/>
        <v>#NAME?</v>
      </c>
      <c r="S31">
        <f t="shared" si="2"/>
        <v>28</v>
      </c>
      <c r="T31">
        <f t="shared" si="0"/>
        <v>43741</v>
      </c>
    </row>
    <row r="32" spans="1:20" x14ac:dyDescent="0.35">
      <c r="A32" s="1" t="s">
        <v>559</v>
      </c>
      <c r="C32" s="4">
        <f t="shared" si="1"/>
        <v>29</v>
      </c>
      <c r="D32" s="4"/>
      <c r="E32" s="4"/>
      <c r="F32" s="4" t="e">
        <f ca="1"/>
        <v>#NAME?</v>
      </c>
      <c r="H32" t="e">
        <f ca="1"/>
        <v>#NAME?</v>
      </c>
      <c r="I32" s="166" t="e">
        <f ca="1"/>
        <v>#NAME?</v>
      </c>
      <c r="J32" s="237" t="e">
        <f ca="1"/>
        <v>#NAME?</v>
      </c>
      <c r="K32" s="237" t="e">
        <f ca="1"/>
        <v>#NAME?</v>
      </c>
      <c r="L32" s="169" t="e">
        <f ca="1"/>
        <v>#NAME?</v>
      </c>
      <c r="S32">
        <f t="shared" si="2"/>
        <v>29</v>
      </c>
      <c r="T32">
        <f t="shared" si="0"/>
        <v>35714</v>
      </c>
    </row>
    <row r="33" spans="1:20" x14ac:dyDescent="0.35">
      <c r="A33" s="1" t="s">
        <v>559</v>
      </c>
      <c r="S33" s="4">
        <f t="shared" si="2"/>
        <v>30</v>
      </c>
      <c r="T33" s="4">
        <f t="shared" si="0"/>
        <v>37955</v>
      </c>
    </row>
    <row r="34" spans="1:20" x14ac:dyDescent="0.35">
      <c r="A34" s="1" t="s">
        <v>559</v>
      </c>
      <c r="S34">
        <f t="shared" si="2"/>
        <v>31</v>
      </c>
      <c r="T34" t="e">
        <f t="array" aca="1" ref="T34:T37" ca="1">SARIMA_PRED(F29:F32,T4:T33,I6,J6,J7)</f>
        <v>#NAME?</v>
      </c>
    </row>
    <row r="35" spans="1:20" x14ac:dyDescent="0.35">
      <c r="S35">
        <f t="shared" si="2"/>
        <v>32</v>
      </c>
      <c r="T35" t="e">
        <f ca="1"/>
        <v>#NAME?</v>
      </c>
    </row>
    <row r="36" spans="1:20" x14ac:dyDescent="0.35">
      <c r="S36">
        <f t="shared" si="2"/>
        <v>33</v>
      </c>
      <c r="T36" t="e">
        <f ca="1"/>
        <v>#NAME?</v>
      </c>
    </row>
    <row r="37" spans="1:20" x14ac:dyDescent="0.35">
      <c r="S37" s="4">
        <f t="shared" si="2"/>
        <v>34</v>
      </c>
      <c r="T37" s="4" t="e">
        <f ca="1"/>
        <v>#NAME?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0"/>
  <dimension ref="A1:W19"/>
  <sheetViews>
    <sheetView workbookViewId="0"/>
  </sheetViews>
  <sheetFormatPr defaultRowHeight="14.5" x14ac:dyDescent="0.35"/>
  <cols>
    <col min="1" max="1" width="7.54296875" customWidth="1"/>
    <col min="2" max="2" width="4" customWidth="1"/>
    <col min="3" max="3" width="5.26953125" customWidth="1"/>
    <col min="4" max="15" width="4.26953125" customWidth="1"/>
    <col min="16" max="16" width="6.1796875" customWidth="1"/>
    <col min="17" max="18" width="9.1796875" customWidth="1"/>
    <col min="19" max="19" width="3.26953125" customWidth="1"/>
    <col min="20" max="20" width="37.26953125" customWidth="1"/>
    <col min="21" max="21" width="6.1796875" customWidth="1"/>
    <col min="24" max="24" width="9.1796875" customWidth="1"/>
  </cols>
  <sheetData>
    <row r="1" spans="1:23" x14ac:dyDescent="0.35">
      <c r="A1" s="7" t="s">
        <v>567</v>
      </c>
    </row>
    <row r="3" spans="1:23" x14ac:dyDescent="0.35">
      <c r="A3" s="216" t="s">
        <v>194</v>
      </c>
      <c r="D3" s="217">
        <f t="array" ref="D3:O3">TRANSPOSE(C4:C15)</f>
        <v>6.8</v>
      </c>
      <c r="E3" s="217">
        <v>5.9</v>
      </c>
      <c r="F3" s="217">
        <v>5.7</v>
      </c>
      <c r="G3" s="217">
        <v>5.5</v>
      </c>
      <c r="H3" s="217">
        <v>5.5</v>
      </c>
      <c r="I3" s="217">
        <v>4.5</v>
      </c>
      <c r="J3" s="217">
        <v>4</v>
      </c>
      <c r="K3" s="217">
        <v>5.1000000000000005</v>
      </c>
      <c r="L3" s="217">
        <v>4.5</v>
      </c>
      <c r="M3" s="217">
        <v>4.5</v>
      </c>
      <c r="N3" s="217">
        <v>3.3</v>
      </c>
      <c r="O3" s="217">
        <v>4.8</v>
      </c>
    </row>
    <row r="4" spans="1:23" x14ac:dyDescent="0.35">
      <c r="A4" s="218">
        <v>6.8</v>
      </c>
      <c r="C4" s="218">
        <f>A4</f>
        <v>6.8</v>
      </c>
      <c r="D4" s="219" t="str">
        <f>IF(ROW(D4)-ROW(D$4)&gt;COLUMN(D4)-COLUMN($D4),SIGN($C4-D$3),"")</f>
        <v/>
      </c>
      <c r="E4" s="161" t="str">
        <f t="shared" ref="E4:O15" si="0">IF(ROW(E4)-ROW(E$4)&gt;COLUMN(E4)-COLUMN($D4),SIGN($C4-E$3),"")</f>
        <v/>
      </c>
      <c r="F4" s="161" t="str">
        <f t="shared" si="0"/>
        <v/>
      </c>
      <c r="G4" s="161" t="str">
        <f t="shared" si="0"/>
        <v/>
      </c>
      <c r="H4" s="161" t="str">
        <f t="shared" si="0"/>
        <v/>
      </c>
      <c r="I4" s="161" t="str">
        <f t="shared" si="0"/>
        <v/>
      </c>
      <c r="J4" s="161" t="str">
        <f t="shared" si="0"/>
        <v/>
      </c>
      <c r="K4" s="161" t="str">
        <f t="shared" si="0"/>
        <v/>
      </c>
      <c r="L4" s="161" t="str">
        <f t="shared" si="0"/>
        <v/>
      </c>
      <c r="M4" s="161" t="str">
        <f t="shared" si="0"/>
        <v/>
      </c>
      <c r="N4" s="161" t="str">
        <f t="shared" si="0"/>
        <v/>
      </c>
      <c r="O4" s="220" t="str">
        <f t="shared" si="0"/>
        <v/>
      </c>
      <c r="Q4" t="s">
        <v>80</v>
      </c>
      <c r="R4" s="221">
        <f>COUNT(C4:C15)</f>
        <v>12</v>
      </c>
      <c r="T4" t="e" cm="1">
        <f t="array" aca="1" ref="T4" ca="1">FTEXT(R4)</f>
        <v>#NAME?</v>
      </c>
      <c r="V4" t="e">
        <f t="array" aca="1" ref="V4:W8" ca="1">MK_TEST(A4:A15,TRUE)</f>
        <v>#NAME?</v>
      </c>
      <c r="W4" s="221" t="e">
        <f ca="1"/>
        <v>#NAME?</v>
      </c>
    </row>
    <row r="5" spans="1:23" x14ac:dyDescent="0.35">
      <c r="A5" s="218">
        <v>5.9</v>
      </c>
      <c r="C5" s="218">
        <f t="shared" ref="C5:C15" si="1">A5</f>
        <v>5.9</v>
      </c>
      <c r="D5" s="29">
        <f t="shared" ref="D5:D15" si="2">IF(ROW(D5)-ROW(D$4)&gt;COLUMN(D5)-COLUMN($D5),SIGN($C5-D$3),"")</f>
        <v>-1</v>
      </c>
      <c r="E5" s="13" t="str">
        <f t="shared" si="0"/>
        <v/>
      </c>
      <c r="F5" s="13" t="str">
        <f t="shared" si="0"/>
        <v/>
      </c>
      <c r="G5" s="13" t="str">
        <f t="shared" si="0"/>
        <v/>
      </c>
      <c r="H5" s="13" t="str">
        <f t="shared" si="0"/>
        <v/>
      </c>
      <c r="I5" s="13" t="str">
        <f t="shared" si="0"/>
        <v/>
      </c>
      <c r="J5" s="13" t="str">
        <f t="shared" si="0"/>
        <v/>
      </c>
      <c r="K5" s="13" t="str">
        <f t="shared" si="0"/>
        <v/>
      </c>
      <c r="L5" s="13" t="str">
        <f t="shared" si="0"/>
        <v/>
      </c>
      <c r="M5" s="13" t="str">
        <f t="shared" si="0"/>
        <v/>
      </c>
      <c r="N5" s="13" t="str">
        <f t="shared" si="0"/>
        <v/>
      </c>
      <c r="O5" s="30" t="str">
        <f t="shared" si="0"/>
        <v/>
      </c>
      <c r="Q5" t="s">
        <v>10</v>
      </c>
      <c r="R5" s="34">
        <v>0.05</v>
      </c>
      <c r="V5" t="e">
        <f ca="1"/>
        <v>#NAME?</v>
      </c>
      <c r="W5" s="24" t="e">
        <f ca="1"/>
        <v>#NAME?</v>
      </c>
    </row>
    <row r="6" spans="1:23" x14ac:dyDescent="0.35">
      <c r="A6" s="218">
        <v>5.7</v>
      </c>
      <c r="C6" s="218">
        <f t="shared" si="1"/>
        <v>5.7</v>
      </c>
      <c r="D6" s="29">
        <f t="shared" si="2"/>
        <v>-1</v>
      </c>
      <c r="E6" s="13">
        <f t="shared" si="0"/>
        <v>-1</v>
      </c>
      <c r="F6" s="13" t="str">
        <f t="shared" si="0"/>
        <v/>
      </c>
      <c r="G6" s="13" t="str">
        <f t="shared" si="0"/>
        <v/>
      </c>
      <c r="H6" s="13" t="str">
        <f t="shared" si="0"/>
        <v/>
      </c>
      <c r="I6" s="13" t="str">
        <f t="shared" si="0"/>
        <v/>
      </c>
      <c r="J6" s="13" t="str">
        <f t="shared" si="0"/>
        <v/>
      </c>
      <c r="K6" s="13" t="str">
        <f t="shared" si="0"/>
        <v/>
      </c>
      <c r="L6" s="13" t="str">
        <f t="shared" si="0"/>
        <v/>
      </c>
      <c r="M6" s="13" t="str">
        <f t="shared" si="0"/>
        <v/>
      </c>
      <c r="N6" s="13" t="str">
        <f t="shared" si="0"/>
        <v/>
      </c>
      <c r="O6" s="30" t="str">
        <f t="shared" si="0"/>
        <v/>
      </c>
      <c r="V6" t="e">
        <f ca="1"/>
        <v>#NAME?</v>
      </c>
      <c r="W6" s="24" t="e">
        <f ca="1"/>
        <v>#NAME?</v>
      </c>
    </row>
    <row r="7" spans="1:23" x14ac:dyDescent="0.35">
      <c r="A7" s="218">
        <v>5.5</v>
      </c>
      <c r="C7" s="218">
        <f t="shared" si="1"/>
        <v>5.5</v>
      </c>
      <c r="D7" s="29">
        <f t="shared" si="2"/>
        <v>-1</v>
      </c>
      <c r="E7" s="13">
        <f t="shared" si="0"/>
        <v>-1</v>
      </c>
      <c r="F7" s="13">
        <f t="shared" si="0"/>
        <v>-1</v>
      </c>
      <c r="G7" s="13" t="str">
        <f t="shared" si="0"/>
        <v/>
      </c>
      <c r="H7" s="13" t="str">
        <f t="shared" si="0"/>
        <v/>
      </c>
      <c r="I7" s="13" t="str">
        <f t="shared" si="0"/>
        <v/>
      </c>
      <c r="J7" s="13" t="str">
        <f t="shared" si="0"/>
        <v/>
      </c>
      <c r="K7" s="13" t="str">
        <f t="shared" si="0"/>
        <v/>
      </c>
      <c r="L7" s="13" t="str">
        <f t="shared" si="0"/>
        <v/>
      </c>
      <c r="M7" s="13" t="str">
        <f t="shared" si="0"/>
        <v/>
      </c>
      <c r="N7" s="13" t="str">
        <f t="shared" si="0"/>
        <v/>
      </c>
      <c r="O7" s="30" t="str">
        <f t="shared" si="0"/>
        <v/>
      </c>
      <c r="Q7" t="s">
        <v>570</v>
      </c>
      <c r="R7" s="221">
        <f>SUM(D4:O15)</f>
        <v>-44</v>
      </c>
      <c r="T7" t="e" cm="1">
        <f t="array" aca="1" ref="T7" ca="1">FTEXT(R7)</f>
        <v>#NAME?</v>
      </c>
      <c r="V7" t="e">
        <f ca="1"/>
        <v>#NAME?</v>
      </c>
      <c r="W7" s="24" t="e">
        <f ca="1"/>
        <v>#NAME?</v>
      </c>
    </row>
    <row r="8" spans="1:23" x14ac:dyDescent="0.35">
      <c r="A8" s="218">
        <v>5.5</v>
      </c>
      <c r="C8" s="218">
        <f t="shared" si="1"/>
        <v>5.5</v>
      </c>
      <c r="D8" s="29">
        <f t="shared" si="2"/>
        <v>-1</v>
      </c>
      <c r="E8" s="13">
        <f t="shared" si="0"/>
        <v>-1</v>
      </c>
      <c r="F8" s="13">
        <f t="shared" si="0"/>
        <v>-1</v>
      </c>
      <c r="G8" s="13">
        <f t="shared" si="0"/>
        <v>0</v>
      </c>
      <c r="H8" s="13" t="str">
        <f t="shared" si="0"/>
        <v/>
      </c>
      <c r="I8" s="13" t="str">
        <f t="shared" si="0"/>
        <v/>
      </c>
      <c r="J8" s="13" t="str">
        <f t="shared" si="0"/>
        <v/>
      </c>
      <c r="K8" s="13" t="str">
        <f t="shared" si="0"/>
        <v/>
      </c>
      <c r="L8" s="13" t="str">
        <f t="shared" si="0"/>
        <v/>
      </c>
      <c r="M8" s="13" t="str">
        <f t="shared" si="0"/>
        <v/>
      </c>
      <c r="N8" s="13" t="str">
        <f t="shared" si="0"/>
        <v/>
      </c>
      <c r="O8" s="30" t="str">
        <f t="shared" si="0"/>
        <v/>
      </c>
      <c r="Q8" t="s">
        <v>81</v>
      </c>
      <c r="R8" s="24">
        <f>SQRT((R4*(R4-1)*(2*R4+5)-P19)/18)</f>
        <v>14.422205101855956</v>
      </c>
      <c r="T8" t="e" cm="1">
        <f t="array" aca="1" ref="T8" ca="1">FTEXT(R8)</f>
        <v>#NAME?</v>
      </c>
      <c r="V8" t="e">
        <f ca="1"/>
        <v>#NAME?</v>
      </c>
      <c r="W8" s="25" t="e">
        <f ca="1"/>
        <v>#NAME?</v>
      </c>
    </row>
    <row r="9" spans="1:23" x14ac:dyDescent="0.35">
      <c r="A9" s="218">
        <v>4.5</v>
      </c>
      <c r="C9" s="218">
        <f t="shared" si="1"/>
        <v>4.5</v>
      </c>
      <c r="D9" s="29">
        <f t="shared" si="2"/>
        <v>-1</v>
      </c>
      <c r="E9" s="13">
        <f t="shared" si="0"/>
        <v>-1</v>
      </c>
      <c r="F9" s="13">
        <f t="shared" si="0"/>
        <v>-1</v>
      </c>
      <c r="G9" s="13">
        <f t="shared" si="0"/>
        <v>-1</v>
      </c>
      <c r="H9" s="13">
        <f t="shared" si="0"/>
        <v>-1</v>
      </c>
      <c r="I9" s="13" t="str">
        <f t="shared" si="0"/>
        <v/>
      </c>
      <c r="J9" s="13" t="str">
        <f t="shared" si="0"/>
        <v/>
      </c>
      <c r="K9" s="13" t="str">
        <f t="shared" si="0"/>
        <v/>
      </c>
      <c r="L9" s="13" t="str">
        <f t="shared" si="0"/>
        <v/>
      </c>
      <c r="M9" s="13" t="str">
        <f t="shared" si="0"/>
        <v/>
      </c>
      <c r="N9" s="13" t="str">
        <f t="shared" si="0"/>
        <v/>
      </c>
      <c r="O9" s="30" t="str">
        <f t="shared" si="0"/>
        <v/>
      </c>
      <c r="Q9" t="s">
        <v>571</v>
      </c>
      <c r="R9" s="24">
        <f>IF(R7&gt;0,(R7-1)/R8,IF(R7&lt;0,(R7+1)/R8,0))</f>
        <v>-2.9815135547106069</v>
      </c>
      <c r="T9" t="e" cm="1">
        <f t="array" aca="1" ref="T9" ca="1">FTEXT(R9)</f>
        <v>#NAME?</v>
      </c>
    </row>
    <row r="10" spans="1:23" x14ac:dyDescent="0.35">
      <c r="A10" s="218">
        <v>4</v>
      </c>
      <c r="C10" s="218">
        <f t="shared" si="1"/>
        <v>4</v>
      </c>
      <c r="D10" s="29">
        <f t="shared" si="2"/>
        <v>-1</v>
      </c>
      <c r="E10" s="13">
        <f t="shared" si="0"/>
        <v>-1</v>
      </c>
      <c r="F10" s="13">
        <f t="shared" si="0"/>
        <v>-1</v>
      </c>
      <c r="G10" s="13">
        <f t="shared" si="0"/>
        <v>-1</v>
      </c>
      <c r="H10" s="13">
        <f t="shared" si="0"/>
        <v>-1</v>
      </c>
      <c r="I10" s="13">
        <f t="shared" si="0"/>
        <v>-1</v>
      </c>
      <c r="J10" s="13" t="str">
        <f t="shared" si="0"/>
        <v/>
      </c>
      <c r="K10" s="13" t="str">
        <f t="shared" si="0"/>
        <v/>
      </c>
      <c r="L10" s="13" t="str">
        <f t="shared" si="0"/>
        <v/>
      </c>
      <c r="M10" s="13" t="str">
        <f t="shared" si="0"/>
        <v/>
      </c>
      <c r="N10" s="13" t="str">
        <f t="shared" si="0"/>
        <v/>
      </c>
      <c r="O10" s="30" t="str">
        <f t="shared" si="0"/>
        <v/>
      </c>
      <c r="Q10" t="s">
        <v>92</v>
      </c>
      <c r="R10" s="24">
        <f>2*NORMSDIST(-ABS(R9))</f>
        <v>2.8682734900661224E-3</v>
      </c>
      <c r="T10" s="20" t="s">
        <v>572</v>
      </c>
      <c r="V10" t="e" cm="1">
        <f t="array" aca="1" ref="V10" ca="1">FTEXT(V4)</f>
        <v>#NAME?</v>
      </c>
    </row>
    <row r="11" spans="1:23" x14ac:dyDescent="0.35">
      <c r="A11" s="218">
        <v>5.1000000000000005</v>
      </c>
      <c r="C11" s="218">
        <f t="shared" si="1"/>
        <v>5.1000000000000005</v>
      </c>
      <c r="D11" s="29">
        <f t="shared" si="2"/>
        <v>-1</v>
      </c>
      <c r="E11" s="13">
        <f t="shared" si="0"/>
        <v>-1</v>
      </c>
      <c r="F11" s="13">
        <f t="shared" si="0"/>
        <v>-1</v>
      </c>
      <c r="G11" s="13">
        <f t="shared" si="0"/>
        <v>-1</v>
      </c>
      <c r="H11" s="13">
        <f t="shared" si="0"/>
        <v>-1</v>
      </c>
      <c r="I11" s="13">
        <f t="shared" si="0"/>
        <v>1</v>
      </c>
      <c r="J11" s="13">
        <f t="shared" si="0"/>
        <v>1</v>
      </c>
      <c r="K11" s="13" t="str">
        <f t="shared" si="0"/>
        <v/>
      </c>
      <c r="L11" s="13" t="str">
        <f t="shared" si="0"/>
        <v/>
      </c>
      <c r="M11" s="13" t="str">
        <f t="shared" si="0"/>
        <v/>
      </c>
      <c r="N11" s="13" t="str">
        <f t="shared" si="0"/>
        <v/>
      </c>
      <c r="O11" s="30" t="str">
        <f t="shared" si="0"/>
        <v/>
      </c>
      <c r="Q11" t="s">
        <v>302</v>
      </c>
      <c r="R11" s="25" t="str">
        <f>IF(R10&lt;R5,"yes","no")</f>
        <v>yes</v>
      </c>
      <c r="T11" t="e" cm="1">
        <f t="array" aca="1" ref="T11" ca="1">FTEXT(R11)</f>
        <v>#NAME?</v>
      </c>
    </row>
    <row r="12" spans="1:23" x14ac:dyDescent="0.35">
      <c r="A12" s="218">
        <v>4.5</v>
      </c>
      <c r="C12" s="218">
        <f t="shared" si="1"/>
        <v>4.5</v>
      </c>
      <c r="D12" s="29">
        <f t="shared" si="2"/>
        <v>-1</v>
      </c>
      <c r="E12" s="13">
        <f t="shared" si="0"/>
        <v>-1</v>
      </c>
      <c r="F12" s="13">
        <f t="shared" si="0"/>
        <v>-1</v>
      </c>
      <c r="G12" s="13">
        <f t="shared" si="0"/>
        <v>-1</v>
      </c>
      <c r="H12" s="13">
        <f t="shared" si="0"/>
        <v>-1</v>
      </c>
      <c r="I12" s="13">
        <f t="shared" si="0"/>
        <v>0</v>
      </c>
      <c r="J12" s="13">
        <f t="shared" si="0"/>
        <v>1</v>
      </c>
      <c r="K12" s="13">
        <f t="shared" si="0"/>
        <v>-1</v>
      </c>
      <c r="L12" s="13" t="str">
        <f t="shared" si="0"/>
        <v/>
      </c>
      <c r="M12" s="13" t="str">
        <f t="shared" si="0"/>
        <v/>
      </c>
      <c r="N12" s="13" t="str">
        <f t="shared" si="0"/>
        <v/>
      </c>
      <c r="O12" s="30" t="str">
        <f t="shared" si="0"/>
        <v/>
      </c>
    </row>
    <row r="13" spans="1:23" x14ac:dyDescent="0.35">
      <c r="A13" s="218">
        <v>4.5</v>
      </c>
      <c r="C13" s="218">
        <f t="shared" si="1"/>
        <v>4.5</v>
      </c>
      <c r="D13" s="29">
        <f t="shared" si="2"/>
        <v>-1</v>
      </c>
      <c r="E13" s="13">
        <f t="shared" si="0"/>
        <v>-1</v>
      </c>
      <c r="F13" s="13">
        <f t="shared" si="0"/>
        <v>-1</v>
      </c>
      <c r="G13" s="13">
        <f t="shared" si="0"/>
        <v>-1</v>
      </c>
      <c r="H13" s="13">
        <f t="shared" si="0"/>
        <v>-1</v>
      </c>
      <c r="I13" s="13">
        <f t="shared" si="0"/>
        <v>0</v>
      </c>
      <c r="J13" s="13">
        <f t="shared" si="0"/>
        <v>1</v>
      </c>
      <c r="K13" s="13">
        <f t="shared" si="0"/>
        <v>-1</v>
      </c>
      <c r="L13" s="13">
        <f t="shared" si="0"/>
        <v>0</v>
      </c>
      <c r="M13" s="13" t="str">
        <f t="shared" si="0"/>
        <v/>
      </c>
      <c r="N13" s="13" t="str">
        <f t="shared" si="0"/>
        <v/>
      </c>
      <c r="O13" s="30" t="str">
        <f t="shared" si="0"/>
        <v/>
      </c>
    </row>
    <row r="14" spans="1:23" x14ac:dyDescent="0.35">
      <c r="A14" s="218">
        <v>3.3</v>
      </c>
      <c r="C14" s="218">
        <f t="shared" si="1"/>
        <v>3.3</v>
      </c>
      <c r="D14" s="29">
        <f t="shared" si="2"/>
        <v>-1</v>
      </c>
      <c r="E14" s="13">
        <f t="shared" si="0"/>
        <v>-1</v>
      </c>
      <c r="F14" s="13">
        <f t="shared" si="0"/>
        <v>-1</v>
      </c>
      <c r="G14" s="13">
        <f t="shared" si="0"/>
        <v>-1</v>
      </c>
      <c r="H14" s="13">
        <f t="shared" si="0"/>
        <v>-1</v>
      </c>
      <c r="I14" s="13">
        <f t="shared" si="0"/>
        <v>-1</v>
      </c>
      <c r="J14" s="13">
        <f t="shared" si="0"/>
        <v>-1</v>
      </c>
      <c r="K14" s="13">
        <f t="shared" si="0"/>
        <v>-1</v>
      </c>
      <c r="L14" s="13">
        <f t="shared" si="0"/>
        <v>-1</v>
      </c>
      <c r="M14" s="13">
        <f t="shared" si="0"/>
        <v>-1</v>
      </c>
      <c r="N14" s="13" t="str">
        <f t="shared" si="0"/>
        <v/>
      </c>
      <c r="O14" s="30" t="str">
        <f t="shared" si="0"/>
        <v/>
      </c>
    </row>
    <row r="15" spans="1:23" x14ac:dyDescent="0.35">
      <c r="A15" s="222">
        <v>4.8</v>
      </c>
      <c r="C15" s="218">
        <f t="shared" si="1"/>
        <v>4.8</v>
      </c>
      <c r="D15" s="31">
        <f t="shared" si="2"/>
        <v>-1</v>
      </c>
      <c r="E15" s="4">
        <f t="shared" si="0"/>
        <v>-1</v>
      </c>
      <c r="F15" s="4">
        <f t="shared" si="0"/>
        <v>-1</v>
      </c>
      <c r="G15" s="4">
        <f t="shared" si="0"/>
        <v>-1</v>
      </c>
      <c r="H15" s="4">
        <f t="shared" si="0"/>
        <v>-1</v>
      </c>
      <c r="I15" s="4">
        <f t="shared" si="0"/>
        <v>1</v>
      </c>
      <c r="J15" s="4">
        <f t="shared" si="0"/>
        <v>1</v>
      </c>
      <c r="K15" s="4">
        <f t="shared" si="0"/>
        <v>-1</v>
      </c>
      <c r="L15" s="4">
        <f t="shared" si="0"/>
        <v>1</v>
      </c>
      <c r="M15" s="4">
        <f t="shared" si="0"/>
        <v>1</v>
      </c>
      <c r="N15" s="4">
        <f t="shared" si="0"/>
        <v>1</v>
      </c>
      <c r="O15" s="32" t="str">
        <f t="shared" si="0"/>
        <v/>
      </c>
    </row>
    <row r="16" spans="1:23" x14ac:dyDescent="0.35">
      <c r="C16" s="17"/>
    </row>
    <row r="17" spans="1:16" x14ac:dyDescent="0.35">
      <c r="A17" s="137"/>
      <c r="B17" s="137"/>
      <c r="C17" s="137" t="s">
        <v>573</v>
      </c>
      <c r="D17" s="223">
        <f>COUNTIF(E3:$O3,D3)</f>
        <v>0</v>
      </c>
      <c r="E17" s="205">
        <f>COUNTIF(F3:$O3,E3)</f>
        <v>0</v>
      </c>
      <c r="F17" s="205">
        <f>COUNTIF(G3:$O3,F3)</f>
        <v>0</v>
      </c>
      <c r="G17" s="205">
        <f>COUNTIF(H3:$O3,G3)</f>
        <v>1</v>
      </c>
      <c r="H17" s="205">
        <f>COUNTIF(I3:$O3,H3)</f>
        <v>0</v>
      </c>
      <c r="I17" s="205">
        <f>COUNTIF(J3:$O3,I3)</f>
        <v>2</v>
      </c>
      <c r="J17" s="205">
        <f>COUNTIF(K3:$O3,J3)</f>
        <v>0</v>
      </c>
      <c r="K17" s="205">
        <f>COUNTIF(L3:$O3,K3)</f>
        <v>0</v>
      </c>
      <c r="L17" s="205">
        <f>COUNTIF(M3:$O3,L3)</f>
        <v>1</v>
      </c>
      <c r="M17" s="205">
        <f>COUNTIF(N3:$O3,M3)</f>
        <v>0</v>
      </c>
      <c r="N17" s="224">
        <f>COUNTIF(O3:$O3,N3)</f>
        <v>0</v>
      </c>
    </row>
    <row r="18" spans="1:16" x14ac:dyDescent="0.35">
      <c r="C18" s="137" t="s">
        <v>574</v>
      </c>
      <c r="D18" s="207">
        <f>D17</f>
        <v>0</v>
      </c>
      <c r="E18" s="208">
        <f>IF(COUNTIF($D3:D3,E3)=0,E17,0)</f>
        <v>0</v>
      </c>
      <c r="F18" s="208">
        <f>IF(COUNTIF($D3:E3,F3)=0,F17,0)</f>
        <v>0</v>
      </c>
      <c r="G18" s="208">
        <f>IF(COUNTIF($D3:F3,G3)=0,G17,0)</f>
        <v>1</v>
      </c>
      <c r="H18" s="208">
        <f>IF(COUNTIF($D3:G3,H3)=0,H17,0)</f>
        <v>0</v>
      </c>
      <c r="I18" s="208">
        <f>IF(COUNTIF($D3:H3,I3)=0,I17,0)</f>
        <v>2</v>
      </c>
      <c r="J18" s="208">
        <f>IF(COUNTIF($D3:I3,J3)=0,J17,0)</f>
        <v>0</v>
      </c>
      <c r="K18" s="208">
        <f>IF(COUNTIF($D3:J3,K3)=0,K17,0)</f>
        <v>0</v>
      </c>
      <c r="L18" s="208">
        <f>IF(COUNTIF($D3:K3,L3)=0,L17,0)</f>
        <v>0</v>
      </c>
      <c r="M18" s="208">
        <f>IF(COUNTIF($D3:L3,M3)=0,M17,0)</f>
        <v>0</v>
      </c>
      <c r="N18" s="209">
        <f>IF(COUNTIF($D3:M3,N3)=0,N17,0)</f>
        <v>0</v>
      </c>
    </row>
    <row r="19" spans="1:16" x14ac:dyDescent="0.35">
      <c r="C19" s="137" t="s">
        <v>575</v>
      </c>
      <c r="D19" s="31">
        <f>IF(D18=0,0,D18*(D18+1)*(2*D18+7))</f>
        <v>0</v>
      </c>
      <c r="E19" s="4">
        <f t="shared" ref="E19:N19" si="3">IF(E18=0,0,E18*(E18+1)*(2*E18+7))</f>
        <v>0</v>
      </c>
      <c r="F19" s="4">
        <f t="shared" si="3"/>
        <v>0</v>
      </c>
      <c r="G19" s="4">
        <f t="shared" si="3"/>
        <v>18</v>
      </c>
      <c r="H19" s="4">
        <f t="shared" si="3"/>
        <v>0</v>
      </c>
      <c r="I19" s="4">
        <f t="shared" si="3"/>
        <v>66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32">
        <f t="shared" si="3"/>
        <v>0</v>
      </c>
      <c r="P19" s="170">
        <f>SUM(D19:N19)</f>
        <v>84</v>
      </c>
    </row>
  </sheetData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1"/>
  <dimension ref="A1:W16"/>
  <sheetViews>
    <sheetView workbookViewId="0"/>
  </sheetViews>
  <sheetFormatPr defaultRowHeight="14.5" x14ac:dyDescent="0.35"/>
  <cols>
    <col min="1" max="1" width="7.7265625" customWidth="1"/>
    <col min="2" max="3" width="4.453125" customWidth="1"/>
    <col min="4" max="15" width="6.7265625" customWidth="1"/>
    <col min="19" max="19" width="3.26953125" customWidth="1"/>
    <col min="20" max="20" width="24" customWidth="1"/>
  </cols>
  <sheetData>
    <row r="1" spans="1:23" x14ac:dyDescent="0.35">
      <c r="A1" s="7" t="s">
        <v>568</v>
      </c>
    </row>
    <row r="3" spans="1:23" x14ac:dyDescent="0.35">
      <c r="A3" s="216" t="s">
        <v>154</v>
      </c>
      <c r="D3" s="137">
        <f t="array" ref="D3:O3">TRANSPOSE(C4:C15)</f>
        <v>6.8</v>
      </c>
      <c r="E3" s="137">
        <v>5.9</v>
      </c>
      <c r="F3" s="137">
        <v>5.7</v>
      </c>
      <c r="G3" s="137">
        <v>5.5</v>
      </c>
      <c r="H3" s="137">
        <v>5.5</v>
      </c>
      <c r="I3" s="137">
        <v>4.5</v>
      </c>
      <c r="J3" s="137">
        <v>4</v>
      </c>
      <c r="K3" s="137">
        <v>5.1000000000000005</v>
      </c>
      <c r="L3" s="137">
        <v>4.5</v>
      </c>
      <c r="M3" s="137">
        <v>4.5</v>
      </c>
      <c r="N3" s="137">
        <v>3.3</v>
      </c>
      <c r="O3" s="137">
        <v>4.8</v>
      </c>
    </row>
    <row r="4" spans="1:23" x14ac:dyDescent="0.35">
      <c r="A4" s="218">
        <v>6.8</v>
      </c>
      <c r="C4" s="12">
        <f>A4</f>
        <v>6.8</v>
      </c>
      <c r="D4" s="219" t="str">
        <f>IF(ROW(D4)-ROW(D$4)&gt;COLUMN(D4)-COLUMN($D4),($C4-D$3)/((ROW(D4)-ROW(D$4))-(COLUMN(D4)-COLUMN($D4))),"")</f>
        <v/>
      </c>
      <c r="E4" s="161" t="str">
        <f t="shared" ref="E4:O15" si="0">IF(ROW(E4)-ROW(E$4)&gt;COLUMN(E4)-COLUMN($D4),($C4-E$3)/((ROW(E4)-ROW(E$4))-(COLUMN(E4)-COLUMN($D4))),"")</f>
        <v/>
      </c>
      <c r="F4" s="161" t="str">
        <f t="shared" si="0"/>
        <v/>
      </c>
      <c r="G4" s="161" t="str">
        <f t="shared" si="0"/>
        <v/>
      </c>
      <c r="H4" s="161" t="str">
        <f t="shared" si="0"/>
        <v/>
      </c>
      <c r="I4" s="161" t="str">
        <f t="shared" si="0"/>
        <v/>
      </c>
      <c r="J4" s="161" t="str">
        <f t="shared" si="0"/>
        <v/>
      </c>
      <c r="K4" s="161" t="str">
        <f t="shared" si="0"/>
        <v/>
      </c>
      <c r="L4" s="161" t="str">
        <f t="shared" si="0"/>
        <v/>
      </c>
      <c r="M4" s="161" t="str">
        <f t="shared" si="0"/>
        <v/>
      </c>
      <c r="N4" s="161" t="str">
        <f t="shared" si="0"/>
        <v/>
      </c>
      <c r="O4" s="220" t="str">
        <f t="shared" si="0"/>
        <v/>
      </c>
      <c r="Q4" t="s">
        <v>10</v>
      </c>
      <c r="R4" s="221">
        <v>0.05</v>
      </c>
      <c r="V4" t="e">
        <f t="array" aca="1" ref="V4:W6" ca="1">SEN_SLOPE(A4:A15,TRUE)</f>
        <v>#NAME?</v>
      </c>
      <c r="W4" s="221" t="e">
        <f ca="1"/>
        <v>#NAME?</v>
      </c>
    </row>
    <row r="5" spans="1:23" x14ac:dyDescent="0.35">
      <c r="A5" s="218">
        <v>5.9</v>
      </c>
      <c r="C5" s="12">
        <f t="shared" ref="C5:C15" si="1">A5</f>
        <v>5.9</v>
      </c>
      <c r="D5" s="29">
        <f t="shared" ref="D5:D15" si="2">IF(ROW(D5)-ROW(D$4)&gt;COLUMN(D5)-COLUMN($D5),($C5-D$3)/((ROW(D5)-ROW(D$4))-(COLUMN(D5)-COLUMN($D5))),"")</f>
        <v>-0.89999999999999947</v>
      </c>
      <c r="E5" s="13" t="str">
        <f t="shared" si="0"/>
        <v/>
      </c>
      <c r="F5" s="13" t="str">
        <f t="shared" si="0"/>
        <v/>
      </c>
      <c r="G5" s="13" t="str">
        <f t="shared" si="0"/>
        <v/>
      </c>
      <c r="H5" s="13" t="str">
        <f t="shared" si="0"/>
        <v/>
      </c>
      <c r="I5" s="13" t="str">
        <f t="shared" si="0"/>
        <v/>
      </c>
      <c r="J5" s="13" t="str">
        <f t="shared" si="0"/>
        <v/>
      </c>
      <c r="K5" s="13" t="str">
        <f t="shared" si="0"/>
        <v/>
      </c>
      <c r="L5" s="13" t="str">
        <f t="shared" si="0"/>
        <v/>
      </c>
      <c r="M5" s="13" t="str">
        <f t="shared" si="0"/>
        <v/>
      </c>
      <c r="N5" s="13" t="str">
        <f t="shared" si="0"/>
        <v/>
      </c>
      <c r="O5" s="30" t="str">
        <f t="shared" si="0"/>
        <v/>
      </c>
      <c r="Q5" t="s">
        <v>576</v>
      </c>
      <c r="R5" s="24">
        <f>COUNT(D5:N15)</f>
        <v>66</v>
      </c>
      <c r="T5" t="e" cm="1">
        <f t="array" aca="1" ref="T5" ca="1">FTEXT(R5)</f>
        <v>#NAME?</v>
      </c>
      <c r="V5" t="e">
        <f ca="1"/>
        <v>#NAME?</v>
      </c>
      <c r="W5" s="24" t="e">
        <f ca="1"/>
        <v>#NAME?</v>
      </c>
    </row>
    <row r="6" spans="1:23" x14ac:dyDescent="0.35">
      <c r="A6" s="218">
        <v>5.7</v>
      </c>
      <c r="C6" s="12">
        <f t="shared" si="1"/>
        <v>5.7</v>
      </c>
      <c r="D6" s="29">
        <f t="shared" si="2"/>
        <v>-0.54999999999999982</v>
      </c>
      <c r="E6" s="13">
        <f t="shared" si="0"/>
        <v>-0.20000000000000018</v>
      </c>
      <c r="F6" s="13" t="str">
        <f t="shared" si="0"/>
        <v/>
      </c>
      <c r="G6" s="13" t="str">
        <f t="shared" si="0"/>
        <v/>
      </c>
      <c r="H6" s="13" t="str">
        <f t="shared" si="0"/>
        <v/>
      </c>
      <c r="I6" s="13" t="str">
        <f t="shared" si="0"/>
        <v/>
      </c>
      <c r="J6" s="13" t="str">
        <f t="shared" si="0"/>
        <v/>
      </c>
      <c r="K6" s="13" t="str">
        <f t="shared" si="0"/>
        <v/>
      </c>
      <c r="L6" s="13" t="str">
        <f t="shared" si="0"/>
        <v/>
      </c>
      <c r="M6" s="13" t="str">
        <f t="shared" si="0"/>
        <v/>
      </c>
      <c r="N6" s="13" t="str">
        <f t="shared" si="0"/>
        <v/>
      </c>
      <c r="O6" s="30" t="str">
        <f t="shared" si="0"/>
        <v/>
      </c>
      <c r="Q6" t="s">
        <v>81</v>
      </c>
      <c r="R6" s="24">
        <f>MK!R8</f>
        <v>14.422205101855956</v>
      </c>
      <c r="V6" t="e">
        <f ca="1"/>
        <v>#NAME?</v>
      </c>
      <c r="W6" s="34" t="e">
        <f ca="1"/>
        <v>#NAME?</v>
      </c>
    </row>
    <row r="7" spans="1:23" x14ac:dyDescent="0.35">
      <c r="A7" s="218">
        <v>5.5</v>
      </c>
      <c r="C7" s="12">
        <f t="shared" si="1"/>
        <v>5.5</v>
      </c>
      <c r="D7" s="29">
        <f t="shared" si="2"/>
        <v>-0.43333333333333329</v>
      </c>
      <c r="E7" s="13">
        <f t="shared" si="0"/>
        <v>-0.20000000000000018</v>
      </c>
      <c r="F7" s="13">
        <f t="shared" si="0"/>
        <v>-0.20000000000000018</v>
      </c>
      <c r="G7" s="13" t="str">
        <f t="shared" si="0"/>
        <v/>
      </c>
      <c r="H7" s="13" t="str">
        <f t="shared" si="0"/>
        <v/>
      </c>
      <c r="I7" s="13" t="str">
        <f t="shared" si="0"/>
        <v/>
      </c>
      <c r="J7" s="13" t="str">
        <f t="shared" si="0"/>
        <v/>
      </c>
      <c r="K7" s="13" t="str">
        <f t="shared" si="0"/>
        <v/>
      </c>
      <c r="L7" s="13" t="str">
        <f t="shared" si="0"/>
        <v/>
      </c>
      <c r="M7" s="13" t="str">
        <f t="shared" si="0"/>
        <v/>
      </c>
      <c r="N7" s="13" t="str">
        <f t="shared" si="0"/>
        <v/>
      </c>
      <c r="O7" s="30" t="str">
        <f t="shared" si="0"/>
        <v/>
      </c>
      <c r="Q7" t="s">
        <v>83</v>
      </c>
      <c r="R7" s="24">
        <f>NORMSINV(1-R4/2)*R6</f>
        <v>28.267002577287489</v>
      </c>
      <c r="T7" s="20" t="s">
        <v>577</v>
      </c>
    </row>
    <row r="8" spans="1:23" x14ac:dyDescent="0.35">
      <c r="A8" s="218">
        <v>5.5</v>
      </c>
      <c r="C8" s="12">
        <f t="shared" si="1"/>
        <v>5.5</v>
      </c>
      <c r="D8" s="29">
        <f t="shared" si="2"/>
        <v>-0.32499999999999996</v>
      </c>
      <c r="E8" s="13">
        <f t="shared" si="0"/>
        <v>-0.13333333333333344</v>
      </c>
      <c r="F8" s="13">
        <f t="shared" si="0"/>
        <v>-0.10000000000000009</v>
      </c>
      <c r="G8" s="13">
        <f t="shared" si="0"/>
        <v>0</v>
      </c>
      <c r="H8" s="13" t="str">
        <f t="shared" si="0"/>
        <v/>
      </c>
      <c r="I8" s="13" t="str">
        <f t="shared" si="0"/>
        <v/>
      </c>
      <c r="J8" s="13" t="str">
        <f t="shared" si="0"/>
        <v/>
      </c>
      <c r="K8" s="13" t="str">
        <f t="shared" si="0"/>
        <v/>
      </c>
      <c r="L8" s="13" t="str">
        <f t="shared" si="0"/>
        <v/>
      </c>
      <c r="M8" s="13" t="str">
        <f t="shared" si="0"/>
        <v/>
      </c>
      <c r="N8" s="13" t="str">
        <f t="shared" si="0"/>
        <v/>
      </c>
      <c r="O8" s="30" t="str">
        <f t="shared" si="0"/>
        <v/>
      </c>
      <c r="Q8" t="s">
        <v>127</v>
      </c>
      <c r="R8" s="24">
        <f>(R5-R7)/2</f>
        <v>18.866498711356257</v>
      </c>
      <c r="T8" t="e" cm="1">
        <f t="array" aca="1" ref="T8" ca="1">FTEXT(R8)</f>
        <v>#NAME?</v>
      </c>
      <c r="V8" t="e" cm="1">
        <f t="array" aca="1" ref="V8" ca="1">FTEXT(V4)</f>
        <v>#NAME?</v>
      </c>
    </row>
    <row r="9" spans="1:23" x14ac:dyDescent="0.35">
      <c r="A9" s="218">
        <v>4.5</v>
      </c>
      <c r="C9" s="12">
        <f t="shared" si="1"/>
        <v>4.5</v>
      </c>
      <c r="D9" s="29">
        <f t="shared" si="2"/>
        <v>-0.45999999999999996</v>
      </c>
      <c r="E9" s="13">
        <f t="shared" si="0"/>
        <v>-0.35000000000000009</v>
      </c>
      <c r="F9" s="13">
        <f t="shared" si="0"/>
        <v>-0.40000000000000008</v>
      </c>
      <c r="G9" s="13">
        <f t="shared" si="0"/>
        <v>-0.5</v>
      </c>
      <c r="H9" s="13">
        <f t="shared" si="0"/>
        <v>-1</v>
      </c>
      <c r="I9" s="13" t="str">
        <f t="shared" si="0"/>
        <v/>
      </c>
      <c r="J9" s="13" t="str">
        <f t="shared" si="0"/>
        <v/>
      </c>
      <c r="K9" s="13" t="str">
        <f t="shared" si="0"/>
        <v/>
      </c>
      <c r="L9" s="13" t="str">
        <f t="shared" si="0"/>
        <v/>
      </c>
      <c r="M9" s="13" t="str">
        <f t="shared" si="0"/>
        <v/>
      </c>
      <c r="N9" s="13" t="str">
        <f t="shared" si="0"/>
        <v/>
      </c>
      <c r="O9" s="30" t="str">
        <f t="shared" si="0"/>
        <v/>
      </c>
      <c r="Q9" t="s">
        <v>128</v>
      </c>
      <c r="R9" s="34">
        <f>(R5+R7)/2</f>
        <v>47.133501288643743</v>
      </c>
      <c r="T9" t="e" cm="1">
        <f t="array" aca="1" ref="T9" ca="1">FTEXT(R9)</f>
        <v>#NAME?</v>
      </c>
    </row>
    <row r="10" spans="1:23" x14ac:dyDescent="0.35">
      <c r="A10" s="218">
        <v>4</v>
      </c>
      <c r="C10" s="12">
        <f t="shared" si="1"/>
        <v>4</v>
      </c>
      <c r="D10" s="29">
        <f t="shared" si="2"/>
        <v>-0.46666666666666662</v>
      </c>
      <c r="E10" s="13">
        <f t="shared" si="0"/>
        <v>-0.38000000000000006</v>
      </c>
      <c r="F10" s="13">
        <f t="shared" si="0"/>
        <v>-0.42500000000000004</v>
      </c>
      <c r="G10" s="13">
        <f t="shared" si="0"/>
        <v>-0.5</v>
      </c>
      <c r="H10" s="13">
        <f t="shared" si="0"/>
        <v>-0.75</v>
      </c>
      <c r="I10" s="13">
        <f t="shared" si="0"/>
        <v>-0.5</v>
      </c>
      <c r="J10" s="13" t="str">
        <f t="shared" si="0"/>
        <v/>
      </c>
      <c r="K10" s="13" t="str">
        <f t="shared" si="0"/>
        <v/>
      </c>
      <c r="L10" s="13" t="str">
        <f t="shared" si="0"/>
        <v/>
      </c>
      <c r="M10" s="13" t="str">
        <f t="shared" si="0"/>
        <v/>
      </c>
      <c r="N10" s="13" t="str">
        <f t="shared" si="0"/>
        <v/>
      </c>
      <c r="O10" s="30" t="str">
        <f t="shared" si="0"/>
        <v/>
      </c>
    </row>
    <row r="11" spans="1:23" x14ac:dyDescent="0.35">
      <c r="A11" s="218">
        <v>5.1000000000000005</v>
      </c>
      <c r="C11" s="12">
        <f t="shared" si="1"/>
        <v>5.1000000000000005</v>
      </c>
      <c r="D11" s="29">
        <f t="shared" si="2"/>
        <v>-0.24285714285714274</v>
      </c>
      <c r="E11" s="13">
        <f t="shared" si="0"/>
        <v>-0.1333333333333333</v>
      </c>
      <c r="F11" s="13">
        <f t="shared" si="0"/>
        <v>-0.11999999999999993</v>
      </c>
      <c r="G11" s="13">
        <f t="shared" si="0"/>
        <v>-9.9999999999999867E-2</v>
      </c>
      <c r="H11" s="13">
        <f t="shared" si="0"/>
        <v>-0.13333333333333316</v>
      </c>
      <c r="I11" s="13">
        <f t="shared" si="0"/>
        <v>0.30000000000000027</v>
      </c>
      <c r="J11" s="13">
        <f t="shared" si="0"/>
        <v>1.1000000000000005</v>
      </c>
      <c r="K11" s="13" t="str">
        <f t="shared" si="0"/>
        <v/>
      </c>
      <c r="L11" s="13" t="str">
        <f t="shared" si="0"/>
        <v/>
      </c>
      <c r="M11" s="13" t="str">
        <f t="shared" si="0"/>
        <v/>
      </c>
      <c r="N11" s="13" t="str">
        <f t="shared" si="0"/>
        <v/>
      </c>
      <c r="O11" s="30" t="str">
        <f t="shared" si="0"/>
        <v/>
      </c>
      <c r="Q11" t="s">
        <v>578</v>
      </c>
      <c r="R11" s="221">
        <f>MEDIAN(D5:N15)</f>
        <v>-0.20000000000000012</v>
      </c>
      <c r="T11" t="e" cm="1">
        <f t="array" aca="1" ref="T11" ca="1">FTEXT(R11)</f>
        <v>#NAME?</v>
      </c>
    </row>
    <row r="12" spans="1:23" x14ac:dyDescent="0.35">
      <c r="A12" s="218">
        <v>4.5</v>
      </c>
      <c r="C12" s="12">
        <f t="shared" si="1"/>
        <v>4.5</v>
      </c>
      <c r="D12" s="29">
        <f t="shared" si="2"/>
        <v>-0.28749999999999998</v>
      </c>
      <c r="E12" s="13">
        <f t="shared" si="0"/>
        <v>-0.20000000000000004</v>
      </c>
      <c r="F12" s="13">
        <f t="shared" si="0"/>
        <v>-0.20000000000000004</v>
      </c>
      <c r="G12" s="13">
        <f t="shared" si="0"/>
        <v>-0.2</v>
      </c>
      <c r="H12" s="13">
        <f t="shared" si="0"/>
        <v>-0.25</v>
      </c>
      <c r="I12" s="13">
        <f t="shared" si="0"/>
        <v>0</v>
      </c>
      <c r="J12" s="13">
        <f t="shared" si="0"/>
        <v>0.25</v>
      </c>
      <c r="K12" s="13">
        <f t="shared" si="0"/>
        <v>-0.60000000000000053</v>
      </c>
      <c r="L12" s="13" t="str">
        <f t="shared" si="0"/>
        <v/>
      </c>
      <c r="M12" s="13" t="str">
        <f t="shared" si="0"/>
        <v/>
      </c>
      <c r="N12" s="13" t="str">
        <f t="shared" si="0"/>
        <v/>
      </c>
      <c r="O12" s="30" t="str">
        <f t="shared" si="0"/>
        <v/>
      </c>
      <c r="Q12" t="s">
        <v>127</v>
      </c>
      <c r="R12" s="24">
        <f>SMALL(D5:N15,R8)</f>
        <v>-0.3666666666666667</v>
      </c>
      <c r="T12" t="e" cm="1">
        <f t="array" aca="1" ref="T12" ca="1">FTEXT(R12)</f>
        <v>#NAME?</v>
      </c>
    </row>
    <row r="13" spans="1:23" x14ac:dyDescent="0.35">
      <c r="A13" s="218">
        <v>4.5</v>
      </c>
      <c r="C13" s="12">
        <f t="shared" si="1"/>
        <v>4.5</v>
      </c>
      <c r="D13" s="29">
        <f t="shared" si="2"/>
        <v>-0.25555555555555554</v>
      </c>
      <c r="E13" s="13">
        <f t="shared" si="0"/>
        <v>-0.17500000000000004</v>
      </c>
      <c r="F13" s="13">
        <f t="shared" si="0"/>
        <v>-0.17142857142857146</v>
      </c>
      <c r="G13" s="13">
        <f t="shared" si="0"/>
        <v>-0.16666666666666666</v>
      </c>
      <c r="H13" s="13">
        <f t="shared" si="0"/>
        <v>-0.2</v>
      </c>
      <c r="I13" s="13">
        <f t="shared" si="0"/>
        <v>0</v>
      </c>
      <c r="J13" s="13">
        <f t="shared" si="0"/>
        <v>0.16666666666666666</v>
      </c>
      <c r="K13" s="13">
        <f t="shared" si="0"/>
        <v>-0.30000000000000027</v>
      </c>
      <c r="L13" s="13">
        <f t="shared" si="0"/>
        <v>0</v>
      </c>
      <c r="M13" s="13" t="str">
        <f t="shared" si="0"/>
        <v/>
      </c>
      <c r="N13" s="13" t="str">
        <f t="shared" si="0"/>
        <v/>
      </c>
      <c r="O13" s="30" t="str">
        <f t="shared" si="0"/>
        <v/>
      </c>
      <c r="Q13" t="s">
        <v>128</v>
      </c>
      <c r="R13" s="34">
        <f>SMALL(D5:N15,R9+1)</f>
        <v>-0.10000000000000009</v>
      </c>
      <c r="T13" t="e" cm="1">
        <f t="array" aca="1" ref="T13" ca="1">FTEXT(R13)</f>
        <v>#NAME?</v>
      </c>
    </row>
    <row r="14" spans="1:23" x14ac:dyDescent="0.35">
      <c r="A14" s="218">
        <v>3.3</v>
      </c>
      <c r="C14" s="12">
        <f t="shared" si="1"/>
        <v>3.3</v>
      </c>
      <c r="D14" s="29">
        <f t="shared" si="2"/>
        <v>-0.35</v>
      </c>
      <c r="E14" s="13">
        <f t="shared" si="0"/>
        <v>-0.28888888888888897</v>
      </c>
      <c r="F14" s="13">
        <f t="shared" si="0"/>
        <v>-0.30000000000000004</v>
      </c>
      <c r="G14" s="13">
        <f t="shared" si="0"/>
        <v>-0.31428571428571433</v>
      </c>
      <c r="H14" s="13">
        <f t="shared" si="0"/>
        <v>-0.3666666666666667</v>
      </c>
      <c r="I14" s="13">
        <f t="shared" si="0"/>
        <v>-0.24000000000000005</v>
      </c>
      <c r="J14" s="13">
        <f t="shared" si="0"/>
        <v>-0.17500000000000004</v>
      </c>
      <c r="K14" s="13">
        <f t="shared" si="0"/>
        <v>-0.6000000000000002</v>
      </c>
      <c r="L14" s="13">
        <f t="shared" si="0"/>
        <v>-0.60000000000000009</v>
      </c>
      <c r="M14" s="13">
        <f t="shared" si="0"/>
        <v>-1.2000000000000002</v>
      </c>
      <c r="N14" s="13" t="str">
        <f t="shared" si="0"/>
        <v/>
      </c>
      <c r="O14" s="30" t="str">
        <f t="shared" si="0"/>
        <v/>
      </c>
    </row>
    <row r="15" spans="1:23" x14ac:dyDescent="0.35">
      <c r="A15" s="222">
        <v>4.8</v>
      </c>
      <c r="C15" s="12">
        <f t="shared" si="1"/>
        <v>4.8</v>
      </c>
      <c r="D15" s="31">
        <f t="shared" si="2"/>
        <v>-0.18181818181818182</v>
      </c>
      <c r="E15" s="4">
        <f t="shared" si="0"/>
        <v>-0.11000000000000006</v>
      </c>
      <c r="F15" s="4">
        <f t="shared" si="0"/>
        <v>-0.10000000000000003</v>
      </c>
      <c r="G15" s="4">
        <f t="shared" si="0"/>
        <v>-8.7500000000000022E-2</v>
      </c>
      <c r="H15" s="4">
        <f t="shared" si="0"/>
        <v>-0.10000000000000002</v>
      </c>
      <c r="I15" s="4">
        <f t="shared" si="0"/>
        <v>4.9999999999999968E-2</v>
      </c>
      <c r="J15" s="4">
        <f t="shared" si="0"/>
        <v>0.15999999999999998</v>
      </c>
      <c r="K15" s="4">
        <f t="shared" si="0"/>
        <v>-7.5000000000000178E-2</v>
      </c>
      <c r="L15" s="4">
        <f t="shared" si="0"/>
        <v>9.9999999999999936E-2</v>
      </c>
      <c r="M15" s="4">
        <f t="shared" si="0"/>
        <v>0.14999999999999991</v>
      </c>
      <c r="N15" s="4">
        <f t="shared" si="0"/>
        <v>1.5</v>
      </c>
      <c r="O15" s="32" t="str">
        <f t="shared" si="0"/>
        <v/>
      </c>
    </row>
    <row r="16" spans="1:23" x14ac:dyDescent="0.35">
      <c r="C16" s="13"/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10"/>
  <dimension ref="A1:D17"/>
  <sheetViews>
    <sheetView workbookViewId="0"/>
  </sheetViews>
  <sheetFormatPr defaultRowHeight="14.5" x14ac:dyDescent="0.35"/>
  <cols>
    <col min="2" max="2" width="4.54296875" customWidth="1"/>
  </cols>
  <sheetData>
    <row r="1" spans="1:4" x14ac:dyDescent="0.35">
      <c r="A1" s="7" t="s">
        <v>649</v>
      </c>
    </row>
    <row r="3" spans="1:4" x14ac:dyDescent="0.35">
      <c r="C3" t="s">
        <v>567</v>
      </c>
    </row>
    <row r="5" spans="1:4" x14ac:dyDescent="0.35">
      <c r="A5" s="216" t="s">
        <v>194</v>
      </c>
      <c r="C5" t="s">
        <v>10</v>
      </c>
      <c r="D5" s="151">
        <v>0.05</v>
      </c>
    </row>
    <row r="6" spans="1:4" x14ac:dyDescent="0.35">
      <c r="A6" s="218">
        <v>6.8</v>
      </c>
      <c r="C6" t="e">
        <f t="array" aca="1" ref="C6:D10" ca="1">MK_TEST(A6:A17,TRUE,2,D5)</f>
        <v>#NAME?</v>
      </c>
      <c r="D6" s="107" t="e">
        <f ca="1"/>
        <v>#NAME?</v>
      </c>
    </row>
    <row r="7" spans="1:4" x14ac:dyDescent="0.35">
      <c r="A7" s="218">
        <v>5.9</v>
      </c>
      <c r="C7" t="e">
        <f ca="1"/>
        <v>#NAME?</v>
      </c>
      <c r="D7" s="107" t="e">
        <f ca="1"/>
        <v>#NAME?</v>
      </c>
    </row>
    <row r="8" spans="1:4" x14ac:dyDescent="0.35">
      <c r="A8" s="218">
        <v>5.7</v>
      </c>
      <c r="C8" t="e">
        <f ca="1"/>
        <v>#NAME?</v>
      </c>
      <c r="D8" s="107" t="e">
        <f ca="1"/>
        <v>#NAME?</v>
      </c>
    </row>
    <row r="9" spans="1:4" x14ac:dyDescent="0.35">
      <c r="A9" s="218">
        <v>5.5</v>
      </c>
      <c r="C9" t="e">
        <f ca="1"/>
        <v>#NAME?</v>
      </c>
      <c r="D9" s="107" t="e">
        <f ca="1"/>
        <v>#NAME?</v>
      </c>
    </row>
    <row r="10" spans="1:4" x14ac:dyDescent="0.35">
      <c r="A10" s="218">
        <v>5.5</v>
      </c>
      <c r="C10" t="e">
        <f ca="1"/>
        <v>#NAME?</v>
      </c>
      <c r="D10" s="187" t="e">
        <f ca="1"/>
        <v>#NAME?</v>
      </c>
    </row>
    <row r="11" spans="1:4" x14ac:dyDescent="0.35">
      <c r="A11" s="218">
        <v>4.5</v>
      </c>
    </row>
    <row r="12" spans="1:4" x14ac:dyDescent="0.35">
      <c r="A12" s="218">
        <v>4</v>
      </c>
      <c r="C12" t="s">
        <v>568</v>
      </c>
    </row>
    <row r="13" spans="1:4" x14ac:dyDescent="0.35">
      <c r="A13" s="218">
        <v>5.1000000000000005</v>
      </c>
    </row>
    <row r="14" spans="1:4" x14ac:dyDescent="0.35">
      <c r="A14" s="218">
        <v>4.5</v>
      </c>
      <c r="C14" t="s">
        <v>10</v>
      </c>
      <c r="D14" s="151">
        <v>0.05</v>
      </c>
    </row>
    <row r="15" spans="1:4" x14ac:dyDescent="0.35">
      <c r="A15" s="218">
        <v>4.5</v>
      </c>
      <c r="C15" t="e">
        <f t="array" aca="1" ref="C15:D17" ca="1">SEN_SLOPE(A6:A17,TRUE,D14)</f>
        <v>#NAME?</v>
      </c>
      <c r="D15" s="107" t="e">
        <f ca="1"/>
        <v>#NAME?</v>
      </c>
    </row>
    <row r="16" spans="1:4" x14ac:dyDescent="0.35">
      <c r="A16" s="218">
        <v>3.3</v>
      </c>
      <c r="C16" t="e">
        <f ca="1"/>
        <v>#NAME?</v>
      </c>
      <c r="D16" s="107" t="e">
        <f ca="1"/>
        <v>#NAME?</v>
      </c>
    </row>
    <row r="17" spans="1:4" x14ac:dyDescent="0.35">
      <c r="A17" s="222">
        <v>4.8</v>
      </c>
      <c r="C17" t="e">
        <f ca="1"/>
        <v>#NAME?</v>
      </c>
      <c r="D17" s="108" t="e">
        <f ca="1"/>
        <v>#NAME?</v>
      </c>
    </row>
  </sheetData>
  <pageMargins left="0.7" right="0.7" top="0.75" bottom="0.75" header="0.3" footer="0.3"/>
  <pageSetup paperSize="9"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82"/>
  <dimension ref="A1:G72"/>
  <sheetViews>
    <sheetView workbookViewId="0">
      <selection activeCell="J17" sqref="J17"/>
    </sheetView>
  </sheetViews>
  <sheetFormatPr defaultRowHeight="14.5" x14ac:dyDescent="0.35"/>
  <cols>
    <col min="8" max="8" width="12" bestFit="1" customWidth="1"/>
  </cols>
  <sheetData>
    <row r="1" spans="1:7" x14ac:dyDescent="0.35">
      <c r="A1" s="7" t="s">
        <v>579</v>
      </c>
    </row>
    <row r="3" spans="1:7" x14ac:dyDescent="0.35">
      <c r="A3" s="217">
        <v>4.8</v>
      </c>
      <c r="C3" t="e">
        <f t="array" aca="1" ref="C3:D7" ca="1">MK_TEST(A3:A72,TRUE,1)</f>
        <v>#NAME?</v>
      </c>
      <c r="D3" s="221" t="e">
        <f ca="1"/>
        <v>#NAME?</v>
      </c>
      <c r="F3" t="e">
        <f t="array" aca="1" ref="F3:G5" ca="1">SEN_SLOPE(A3:A72,TRUE,0.01)</f>
        <v>#NAME?</v>
      </c>
      <c r="G3" s="221" t="e">
        <f ca="1"/>
        <v>#NAME?</v>
      </c>
    </row>
    <row r="4" spans="1:7" x14ac:dyDescent="0.35">
      <c r="A4" s="217">
        <v>4.9000000000000004</v>
      </c>
      <c r="C4" t="e">
        <f ca="1"/>
        <v>#NAME?</v>
      </c>
      <c r="D4" s="24" t="e">
        <f ca="1"/>
        <v>#NAME?</v>
      </c>
      <c r="F4" t="e">
        <f ca="1"/>
        <v>#NAME?</v>
      </c>
      <c r="G4" s="24" t="e">
        <f ca="1"/>
        <v>#NAME?</v>
      </c>
    </row>
    <row r="5" spans="1:7" x14ac:dyDescent="0.35">
      <c r="A5" s="217">
        <v>4.5</v>
      </c>
      <c r="C5" t="e">
        <f ca="1"/>
        <v>#NAME?</v>
      </c>
      <c r="D5" s="24" t="e">
        <f ca="1"/>
        <v>#NAME?</v>
      </c>
      <c r="F5" t="e">
        <f ca="1"/>
        <v>#NAME?</v>
      </c>
      <c r="G5" s="34" t="e">
        <f ca="1"/>
        <v>#NAME?</v>
      </c>
    </row>
    <row r="6" spans="1:7" x14ac:dyDescent="0.35">
      <c r="A6" s="217">
        <v>5.9</v>
      </c>
      <c r="C6" t="e">
        <f ca="1"/>
        <v>#NAME?</v>
      </c>
      <c r="D6" s="24" t="e">
        <f ca="1"/>
        <v>#NAME?</v>
      </c>
    </row>
    <row r="7" spans="1:7" x14ac:dyDescent="0.35">
      <c r="A7" s="217">
        <v>6.8</v>
      </c>
      <c r="C7" t="e">
        <f ca="1"/>
        <v>#NAME?</v>
      </c>
      <c r="D7" s="34" t="e">
        <f ca="1"/>
        <v>#NAME?</v>
      </c>
    </row>
    <row r="8" spans="1:7" x14ac:dyDescent="0.35">
      <c r="A8" s="217">
        <v>5.3</v>
      </c>
    </row>
    <row r="9" spans="1:7" x14ac:dyDescent="0.35">
      <c r="A9" s="217">
        <v>4.5</v>
      </c>
      <c r="C9" t="e" cm="1">
        <f t="array" aca="1" ref="C9" ca="1">FTEXT(C3)</f>
        <v>#NAME?</v>
      </c>
      <c r="F9" t="e" cm="1">
        <f t="array" aca="1" ref="F9" ca="1">FTEXT(F3)</f>
        <v>#NAME?</v>
      </c>
    </row>
    <row r="10" spans="1:7" x14ac:dyDescent="0.35">
      <c r="A10" s="217">
        <v>4.0999999999999996</v>
      </c>
    </row>
    <row r="11" spans="1:7" x14ac:dyDescent="0.35">
      <c r="A11" s="217">
        <v>5.0999999999999996</v>
      </c>
    </row>
    <row r="12" spans="1:7" x14ac:dyDescent="0.35">
      <c r="A12" s="217">
        <v>4.5</v>
      </c>
    </row>
    <row r="13" spans="1:7" x14ac:dyDescent="0.35">
      <c r="A13" s="217">
        <v>3.9</v>
      </c>
    </row>
    <row r="14" spans="1:7" x14ac:dyDescent="0.35">
      <c r="A14" s="217">
        <v>3</v>
      </c>
    </row>
    <row r="15" spans="1:7" x14ac:dyDescent="0.35">
      <c r="A15" s="217">
        <v>5.4</v>
      </c>
    </row>
    <row r="16" spans="1:7" x14ac:dyDescent="0.35">
      <c r="A16" s="217">
        <v>3.9</v>
      </c>
    </row>
    <row r="17" spans="1:1" x14ac:dyDescent="0.35">
      <c r="A17" s="217">
        <v>5.7</v>
      </c>
    </row>
    <row r="18" spans="1:1" x14ac:dyDescent="0.35">
      <c r="A18" s="217">
        <v>4.4000000000000004</v>
      </c>
    </row>
    <row r="19" spans="1:1" x14ac:dyDescent="0.35">
      <c r="A19" s="217">
        <v>6.2</v>
      </c>
    </row>
    <row r="20" spans="1:1" x14ac:dyDescent="0.35">
      <c r="A20" s="217">
        <v>4.4000000000000004</v>
      </c>
    </row>
    <row r="21" spans="1:1" x14ac:dyDescent="0.35">
      <c r="A21" s="217">
        <v>3.7</v>
      </c>
    </row>
    <row r="22" spans="1:1" x14ac:dyDescent="0.35">
      <c r="A22" s="217">
        <v>4.4000000000000004</v>
      </c>
    </row>
    <row r="23" spans="1:1" x14ac:dyDescent="0.35">
      <c r="A23" s="217">
        <v>4</v>
      </c>
    </row>
    <row r="24" spans="1:1" x14ac:dyDescent="0.35">
      <c r="A24" s="217">
        <v>3.8</v>
      </c>
    </row>
    <row r="25" spans="1:1" x14ac:dyDescent="0.35">
      <c r="A25" s="217">
        <v>5.0999999999999996</v>
      </c>
    </row>
    <row r="26" spans="1:1" x14ac:dyDescent="0.35">
      <c r="A26" s="217">
        <v>4.4000000000000004</v>
      </c>
    </row>
    <row r="27" spans="1:1" x14ac:dyDescent="0.35">
      <c r="A27" s="217">
        <v>3.3</v>
      </c>
    </row>
    <row r="28" spans="1:1" x14ac:dyDescent="0.35">
      <c r="A28" s="217">
        <v>3.9</v>
      </c>
    </row>
    <row r="29" spans="1:1" x14ac:dyDescent="0.35">
      <c r="A29" s="217">
        <v>5.2</v>
      </c>
    </row>
    <row r="30" spans="1:1" x14ac:dyDescent="0.35">
      <c r="A30" s="217">
        <v>5.5</v>
      </c>
    </row>
    <row r="31" spans="1:1" x14ac:dyDescent="0.35">
      <c r="A31" s="217">
        <v>5.0999999999999996</v>
      </c>
    </row>
    <row r="32" spans="1:1" x14ac:dyDescent="0.35">
      <c r="A32" s="217">
        <v>6</v>
      </c>
    </row>
    <row r="33" spans="1:1" x14ac:dyDescent="0.35">
      <c r="A33" s="217">
        <v>6.6</v>
      </c>
    </row>
    <row r="34" spans="1:1" x14ac:dyDescent="0.35">
      <c r="A34" s="217">
        <v>3.5</v>
      </c>
    </row>
    <row r="35" spans="1:1" x14ac:dyDescent="0.35">
      <c r="A35" s="217">
        <v>4.5999999999999996</v>
      </c>
    </row>
    <row r="36" spans="1:1" x14ac:dyDescent="0.35">
      <c r="A36" s="217">
        <v>3.6</v>
      </c>
    </row>
    <row r="37" spans="1:1" x14ac:dyDescent="0.35">
      <c r="A37" s="217">
        <v>4.8</v>
      </c>
    </row>
    <row r="38" spans="1:1" x14ac:dyDescent="0.35">
      <c r="A38" s="217">
        <v>4.0999999999999996</v>
      </c>
    </row>
    <row r="39" spans="1:1" x14ac:dyDescent="0.35">
      <c r="A39" s="217">
        <v>5</v>
      </c>
    </row>
    <row r="40" spans="1:1" x14ac:dyDescent="0.35">
      <c r="A40" s="217">
        <v>5.4</v>
      </c>
    </row>
    <row r="41" spans="1:1" x14ac:dyDescent="0.35">
      <c r="A41" s="217">
        <v>6.2</v>
      </c>
    </row>
    <row r="42" spans="1:1" x14ac:dyDescent="0.35">
      <c r="A42" s="217">
        <v>5.5</v>
      </c>
    </row>
    <row r="43" spans="1:1" x14ac:dyDescent="0.35">
      <c r="A43" s="217">
        <v>3.5</v>
      </c>
    </row>
    <row r="44" spans="1:1" x14ac:dyDescent="0.35">
      <c r="A44" s="217">
        <v>4.9000000000000004</v>
      </c>
    </row>
    <row r="45" spans="1:1" x14ac:dyDescent="0.35">
      <c r="A45" s="217">
        <v>3.2</v>
      </c>
    </row>
    <row r="46" spans="1:1" x14ac:dyDescent="0.35">
      <c r="A46" s="217">
        <v>5.7</v>
      </c>
    </row>
    <row r="47" spans="1:1" x14ac:dyDescent="0.35">
      <c r="A47" s="217">
        <v>7.2</v>
      </c>
    </row>
    <row r="48" spans="1:1" x14ac:dyDescent="0.35">
      <c r="A48" s="217">
        <v>6.6</v>
      </c>
    </row>
    <row r="49" spans="1:1" x14ac:dyDescent="0.35">
      <c r="A49" s="217">
        <v>6.3</v>
      </c>
    </row>
    <row r="50" spans="1:1" x14ac:dyDescent="0.35">
      <c r="A50" s="217">
        <v>6.4</v>
      </c>
    </row>
    <row r="51" spans="1:1" x14ac:dyDescent="0.35">
      <c r="A51" s="217">
        <v>4.9000000000000004</v>
      </c>
    </row>
    <row r="52" spans="1:1" x14ac:dyDescent="0.35">
      <c r="A52" s="217">
        <v>5.2</v>
      </c>
    </row>
    <row r="53" spans="1:1" x14ac:dyDescent="0.35">
      <c r="A53" s="217">
        <v>6.2</v>
      </c>
    </row>
    <row r="54" spans="1:1" x14ac:dyDescent="0.35">
      <c r="A54" s="217">
        <v>4.4000000000000004</v>
      </c>
    </row>
    <row r="55" spans="1:1" x14ac:dyDescent="0.35">
      <c r="A55" s="217">
        <v>5.7</v>
      </c>
    </row>
    <row r="56" spans="1:1" x14ac:dyDescent="0.35">
      <c r="A56" s="217">
        <v>5.3</v>
      </c>
    </row>
    <row r="57" spans="1:1" x14ac:dyDescent="0.35">
      <c r="A57" s="217">
        <v>6.6</v>
      </c>
    </row>
    <row r="58" spans="1:1" x14ac:dyDescent="0.35">
      <c r="A58" s="217">
        <v>7</v>
      </c>
    </row>
    <row r="59" spans="1:1" x14ac:dyDescent="0.35">
      <c r="A59" s="217">
        <v>5.8</v>
      </c>
    </row>
    <row r="60" spans="1:1" x14ac:dyDescent="0.35">
      <c r="A60" s="217">
        <v>6.2</v>
      </c>
    </row>
    <row r="61" spans="1:1" x14ac:dyDescent="0.35">
      <c r="A61" s="217">
        <v>5.6</v>
      </c>
    </row>
    <row r="62" spans="1:1" x14ac:dyDescent="0.35">
      <c r="A62" s="217">
        <v>5.9</v>
      </c>
    </row>
    <row r="63" spans="1:1" x14ac:dyDescent="0.35">
      <c r="A63" s="217">
        <v>5.8</v>
      </c>
    </row>
    <row r="64" spans="1:1" x14ac:dyDescent="0.35">
      <c r="A64" s="217">
        <v>6.5</v>
      </c>
    </row>
    <row r="65" spans="1:1" x14ac:dyDescent="0.35">
      <c r="A65" s="217">
        <v>6.7</v>
      </c>
    </row>
    <row r="66" spans="1:1" x14ac:dyDescent="0.35">
      <c r="A66" s="217">
        <v>7.2</v>
      </c>
    </row>
    <row r="67" spans="1:1" x14ac:dyDescent="0.35">
      <c r="A67" s="217">
        <v>6</v>
      </c>
    </row>
    <row r="68" spans="1:1" x14ac:dyDescent="0.35">
      <c r="A68" s="217">
        <v>5.0999999999999996</v>
      </c>
    </row>
    <row r="69" spans="1:1" x14ac:dyDescent="0.35">
      <c r="A69" s="217">
        <v>6.9</v>
      </c>
    </row>
    <row r="70" spans="1:1" x14ac:dyDescent="0.35">
      <c r="A70" s="217">
        <v>5.3</v>
      </c>
    </row>
    <row r="71" spans="1:1" x14ac:dyDescent="0.35">
      <c r="A71" s="217">
        <v>6.6</v>
      </c>
    </row>
    <row r="72" spans="1:1" x14ac:dyDescent="0.35">
      <c r="A72" s="217">
        <v>6.7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51"/>
  <dimension ref="A1:AQ45"/>
  <sheetViews>
    <sheetView workbookViewId="0">
      <selection activeCell="F1" sqref="F1"/>
    </sheetView>
  </sheetViews>
  <sheetFormatPr defaultRowHeight="14.5" x14ac:dyDescent="0.35"/>
  <sheetData>
    <row r="1" spans="1:43" x14ac:dyDescent="0.35">
      <c r="A1" s="10" t="s">
        <v>540</v>
      </c>
      <c r="B1" s="10" t="s">
        <v>541</v>
      </c>
      <c r="C1" s="10" t="s">
        <v>542</v>
      </c>
      <c r="F1" s="11" t="s">
        <v>543</v>
      </c>
      <c r="G1" s="11" t="s">
        <v>544</v>
      </c>
      <c r="I1" t="s">
        <v>290</v>
      </c>
      <c r="J1">
        <v>0</v>
      </c>
      <c r="L1" t="s">
        <v>299</v>
      </c>
      <c r="M1" s="1" t="s">
        <v>541</v>
      </c>
      <c r="O1" t="s">
        <v>290</v>
      </c>
      <c r="P1">
        <v>0</v>
      </c>
      <c r="R1" t="s">
        <v>299</v>
      </c>
      <c r="S1" s="1" t="s">
        <v>542</v>
      </c>
      <c r="U1" t="s">
        <v>290</v>
      </c>
      <c r="V1">
        <v>0</v>
      </c>
      <c r="X1" t="s">
        <v>299</v>
      </c>
      <c r="Y1" s="1" t="s">
        <v>541</v>
      </c>
      <c r="AA1" t="s">
        <v>290</v>
      </c>
      <c r="AB1">
        <v>0</v>
      </c>
      <c r="AD1" t="s">
        <v>299</v>
      </c>
      <c r="AE1" s="1" t="s">
        <v>542</v>
      </c>
      <c r="AG1" t="s">
        <v>290</v>
      </c>
      <c r="AH1">
        <v>0</v>
      </c>
      <c r="AJ1" t="s">
        <v>299</v>
      </c>
      <c r="AM1" t="s">
        <v>290</v>
      </c>
      <c r="AN1">
        <v>0</v>
      </c>
      <c r="AP1" t="s">
        <v>299</v>
      </c>
    </row>
    <row r="2" spans="1:43" ht="15" thickBot="1" x14ac:dyDescent="0.4">
      <c r="A2">
        <v>1931</v>
      </c>
      <c r="B2">
        <v>449743</v>
      </c>
      <c r="C2">
        <v>3532</v>
      </c>
      <c r="E2">
        <v>1</v>
      </c>
      <c r="F2" t="e" cm="1">
        <f t="array" aca="1" ref="F2" ca="1">GRANGER_TEST($B$2:$B$41,$C$2:$C$41,$E2)</f>
        <v>#NAME?</v>
      </c>
      <c r="G2" t="e" cm="1">
        <f t="array" aca="1" ref="G2" ca="1">GRANGER_TEST($C$2:$C$41,$B$2:$B$41,$E2)</f>
        <v>#NAME?</v>
      </c>
    </row>
    <row r="3" spans="1:43" ht="15" thickTop="1" x14ac:dyDescent="0.35">
      <c r="A3">
        <v>1932</v>
      </c>
      <c r="B3">
        <v>436815</v>
      </c>
      <c r="C3">
        <v>3327</v>
      </c>
      <c r="E3">
        <v>2</v>
      </c>
      <c r="F3" t="e" cm="1">
        <f t="array" aca="1" ref="F3" ca="1">GRANGER_TEST($B$2:$B$41,$C$2:$C$41,$E3)</f>
        <v>#NAME?</v>
      </c>
      <c r="G3" t="e" cm="1">
        <f t="array" aca="1" ref="G3" ca="1">GRANGER_TEST($C$2:$C$41,$B$2:$B$41,$E3)</f>
        <v>#NAME?</v>
      </c>
      <c r="I3" s="45" t="s">
        <v>291</v>
      </c>
      <c r="J3" s="45" t="s">
        <v>194</v>
      </c>
      <c r="L3" t="s">
        <v>300</v>
      </c>
      <c r="M3" s="189" t="s">
        <v>303</v>
      </c>
      <c r="O3" s="45" t="s">
        <v>291</v>
      </c>
      <c r="P3" s="45" t="s">
        <v>194</v>
      </c>
      <c r="R3" t="s">
        <v>300</v>
      </c>
      <c r="S3" s="189" t="s">
        <v>303</v>
      </c>
      <c r="U3" s="45" t="s">
        <v>291</v>
      </c>
      <c r="V3" s="45" t="s">
        <v>194</v>
      </c>
      <c r="X3" t="s">
        <v>300</v>
      </c>
      <c r="Y3" s="189" t="s">
        <v>303</v>
      </c>
      <c r="AA3" s="45" t="s">
        <v>291</v>
      </c>
      <c r="AB3" s="45" t="s">
        <v>194</v>
      </c>
      <c r="AD3" t="s">
        <v>300</v>
      </c>
      <c r="AE3" s="189" t="s">
        <v>303</v>
      </c>
      <c r="AG3" s="45" t="s">
        <v>291</v>
      </c>
      <c r="AH3" s="45" t="s">
        <v>194</v>
      </c>
      <c r="AJ3" t="s">
        <v>300</v>
      </c>
      <c r="AK3" s="189" t="s">
        <v>303</v>
      </c>
      <c r="AM3" s="45" t="s">
        <v>291</v>
      </c>
      <c r="AN3" s="45" t="s">
        <v>194</v>
      </c>
      <c r="AP3" t="s">
        <v>300</v>
      </c>
      <c r="AQ3" s="189" t="s">
        <v>303</v>
      </c>
    </row>
    <row r="4" spans="1:43" x14ac:dyDescent="0.35">
      <c r="A4">
        <v>1933</v>
      </c>
      <c r="B4">
        <v>444523</v>
      </c>
      <c r="C4">
        <v>3255</v>
      </c>
      <c r="E4">
        <v>3</v>
      </c>
      <c r="F4" t="e" cm="1">
        <f t="array" aca="1" ref="F4" ca="1">GRANGER_TEST($B$2:$B$41,$C$2:$C$41,$E4)</f>
        <v>#NAME?</v>
      </c>
      <c r="G4" t="e" cm="1">
        <f t="array" aca="1" ref="G4" ca="1">GRANGER_TEST($C$2:$C$41,$B$2:$B$41,$E4)</f>
        <v>#NAME?</v>
      </c>
      <c r="I4">
        <v>1</v>
      </c>
      <c r="J4" t="e">
        <f t="array" aca="1" ref="J4:J43" ca="1">ADIFF(B2:B41,J1)</f>
        <v>#NAME?</v>
      </c>
      <c r="L4" t="s">
        <v>301</v>
      </c>
      <c r="M4" s="106" t="s">
        <v>305</v>
      </c>
      <c r="O4">
        <v>1</v>
      </c>
      <c r="P4" t="e">
        <f t="array" aca="1" ref="P4:P43" ca="1">ADIFF(C2:C41,P1)</f>
        <v>#NAME?</v>
      </c>
      <c r="R4" t="s">
        <v>301</v>
      </c>
      <c r="S4" s="106" t="s">
        <v>305</v>
      </c>
      <c r="U4">
        <v>1</v>
      </c>
      <c r="V4" t="e">
        <f t="array" aca="1" ref="V4:V45" ca="1">ADIFF(B2:B43,V1)</f>
        <v>#NAME?</v>
      </c>
      <c r="X4" t="s">
        <v>301</v>
      </c>
      <c r="Y4" s="106" t="s">
        <v>304</v>
      </c>
      <c r="AA4">
        <v>1</v>
      </c>
      <c r="AB4" t="e">
        <f t="array" aca="1" ref="AB4:AB45" ca="1">ADIFF(C2:C43,AB1)</f>
        <v>#NAME?</v>
      </c>
      <c r="AD4" t="s">
        <v>301</v>
      </c>
      <c r="AE4" s="106" t="s">
        <v>304</v>
      </c>
      <c r="AG4">
        <v>1</v>
      </c>
      <c r="AH4" t="e">
        <f t="array" aca="1" ref="AH4:AH45" ca="1">ADIFF(B2:B43,AH1)</f>
        <v>#NAME?</v>
      </c>
      <c r="AJ4" t="s">
        <v>301</v>
      </c>
      <c r="AK4" s="106" t="s">
        <v>304</v>
      </c>
      <c r="AM4">
        <v>1</v>
      </c>
      <c r="AN4" t="e">
        <f t="array" aca="1" ref="AN4:AN45" ca="1">ADIFF(C2:C43,AN1)</f>
        <v>#NAME?</v>
      </c>
      <c r="AP4" t="s">
        <v>301</v>
      </c>
      <c r="AQ4" s="106" t="s">
        <v>304</v>
      </c>
    </row>
    <row r="5" spans="1:43" x14ac:dyDescent="0.35">
      <c r="A5">
        <v>1934</v>
      </c>
      <c r="B5">
        <v>433937</v>
      </c>
      <c r="C5">
        <v>3156</v>
      </c>
      <c r="E5">
        <v>4</v>
      </c>
      <c r="F5" t="e" cm="1">
        <f t="array" aca="1" ref="F5" ca="1">GRANGER_TEST($B$2:$B$41,$C$2:$C$41,$E5)</f>
        <v>#NAME?</v>
      </c>
      <c r="G5" t="e" cm="1">
        <f t="array" aca="1" ref="G5" ca="1">GRANGER_TEST($C$2:$C$41,$B$2:$B$41,$E5)</f>
        <v>#NAME?</v>
      </c>
      <c r="I5">
        <f>I4+1</f>
        <v>2</v>
      </c>
      <c r="J5" t="e">
        <f ca="1"/>
        <v>#NAME?</v>
      </c>
      <c r="L5" t="s">
        <v>302</v>
      </c>
      <c r="M5" s="106" t="s">
        <v>305</v>
      </c>
      <c r="O5">
        <f>O4+1</f>
        <v>2</v>
      </c>
      <c r="P5" t="e">
        <f ca="1"/>
        <v>#NAME?</v>
      </c>
      <c r="R5" t="s">
        <v>302</v>
      </c>
      <c r="S5" s="106" t="s">
        <v>305</v>
      </c>
      <c r="U5">
        <f>U4+1</f>
        <v>2</v>
      </c>
      <c r="V5" t="e">
        <f ca="1"/>
        <v>#NAME?</v>
      </c>
      <c r="X5" t="s">
        <v>302</v>
      </c>
      <c r="Y5" s="106" t="s">
        <v>305</v>
      </c>
      <c r="AA5">
        <f>AA4+1</f>
        <v>2</v>
      </c>
      <c r="AB5" t="e">
        <f ca="1"/>
        <v>#NAME?</v>
      </c>
      <c r="AD5" t="s">
        <v>302</v>
      </c>
      <c r="AE5" s="106" t="s">
        <v>305</v>
      </c>
      <c r="AG5">
        <f>AG4+1</f>
        <v>2</v>
      </c>
      <c r="AH5" t="e">
        <f ca="1"/>
        <v>#NAME?</v>
      </c>
      <c r="AJ5" t="s">
        <v>302</v>
      </c>
      <c r="AK5" s="106" t="s">
        <v>304</v>
      </c>
      <c r="AM5">
        <f>AM4+1</f>
        <v>2</v>
      </c>
      <c r="AN5" t="e">
        <f ca="1"/>
        <v>#NAME?</v>
      </c>
      <c r="AP5" t="s">
        <v>302</v>
      </c>
      <c r="AQ5" s="106" t="s">
        <v>304</v>
      </c>
    </row>
    <row r="6" spans="1:43" x14ac:dyDescent="0.35">
      <c r="A6">
        <v>1935</v>
      </c>
      <c r="B6">
        <v>389958</v>
      </c>
      <c r="C6">
        <v>3081</v>
      </c>
      <c r="I6">
        <f t="shared" ref="I6:I43" si="0">I5+1</f>
        <v>3</v>
      </c>
      <c r="J6" t="e">
        <f ca="1"/>
        <v>#NAME?</v>
      </c>
      <c r="L6" t="s">
        <v>293</v>
      </c>
      <c r="M6" s="107">
        <f ca="1">IF(M3&lt;&gt;"schwert",0,ROUND(12*(COUNT(J4:J43)/100)^(1/4),0))</f>
        <v>0</v>
      </c>
      <c r="O6">
        <f t="shared" ref="O6:O43" si="1">O5+1</f>
        <v>3</v>
      </c>
      <c r="P6" t="e">
        <f ca="1"/>
        <v>#NAME?</v>
      </c>
      <c r="R6" t="s">
        <v>293</v>
      </c>
      <c r="S6" s="107">
        <f ca="1">IF(S3&lt;&gt;"schwert",0,ROUND(12*(COUNT(P4:P43)/100)^(1/4),0))</f>
        <v>0</v>
      </c>
      <c r="U6">
        <f t="shared" ref="U6:U45" si="2">U5+1</f>
        <v>3</v>
      </c>
      <c r="V6" t="e">
        <f ca="1"/>
        <v>#NAME?</v>
      </c>
      <c r="X6" t="s">
        <v>293</v>
      </c>
      <c r="Y6" s="107">
        <f ca="1">IF(Y3&lt;&gt;"schwert",0,ROUND(12*(COUNT(V4:V45)/100)^(1/4),0))</f>
        <v>0</v>
      </c>
      <c r="AA6">
        <f t="shared" ref="AA6:AA45" si="3">AA5+1</f>
        <v>3</v>
      </c>
      <c r="AB6" t="e">
        <f ca="1"/>
        <v>#NAME?</v>
      </c>
      <c r="AD6" t="s">
        <v>293</v>
      </c>
      <c r="AE6" s="107">
        <f ca="1">IF(AE3&lt;&gt;"schwert",0,ROUND(12*(COUNT(AB4:AB45)/100)^(1/4),0))</f>
        <v>0</v>
      </c>
      <c r="AG6">
        <f t="shared" ref="AG6:AG45" si="4">AG5+1</f>
        <v>3</v>
      </c>
      <c r="AH6" t="e">
        <f ca="1"/>
        <v>#NAME?</v>
      </c>
      <c r="AJ6" t="s">
        <v>293</v>
      </c>
      <c r="AK6" s="107">
        <f ca="1">IF(AK3&lt;&gt;"schwert",0,ROUND(12*(COUNT(AH4:AH45)/100)^(1/4),0))</f>
        <v>0</v>
      </c>
      <c r="AM6">
        <f t="shared" ref="AM6:AM45" si="5">AM5+1</f>
        <v>3</v>
      </c>
      <c r="AN6" t="e">
        <f ca="1"/>
        <v>#NAME?</v>
      </c>
      <c r="AP6" t="s">
        <v>293</v>
      </c>
      <c r="AQ6" s="107">
        <f ca="1">IF(AQ3&lt;&gt;"schwert",0,ROUND(12*(COUNT(AN4:AN45)/100)^(1/4),0))</f>
        <v>0</v>
      </c>
    </row>
    <row r="7" spans="1:43" x14ac:dyDescent="0.35">
      <c r="A7">
        <v>1936</v>
      </c>
      <c r="B7">
        <v>403446</v>
      </c>
      <c r="C7">
        <v>3166</v>
      </c>
      <c r="I7">
        <f t="shared" si="0"/>
        <v>4</v>
      </c>
      <c r="J7" t="e">
        <f ca="1"/>
        <v>#NAME?</v>
      </c>
      <c r="L7" t="s">
        <v>10</v>
      </c>
      <c r="M7" s="108">
        <v>0.05</v>
      </c>
      <c r="O7">
        <f t="shared" si="1"/>
        <v>4</v>
      </c>
      <c r="P7" t="e">
        <f ca="1"/>
        <v>#NAME?</v>
      </c>
      <c r="R7" t="s">
        <v>10</v>
      </c>
      <c r="S7" s="108">
        <v>0.05</v>
      </c>
      <c r="U7">
        <f t="shared" si="2"/>
        <v>4</v>
      </c>
      <c r="V7" t="e">
        <f ca="1"/>
        <v>#NAME?</v>
      </c>
      <c r="X7" t="s">
        <v>10</v>
      </c>
      <c r="Y7" s="108">
        <v>0.05</v>
      </c>
      <c r="AA7">
        <f t="shared" si="3"/>
        <v>4</v>
      </c>
      <c r="AB7" t="e">
        <f ca="1"/>
        <v>#NAME?</v>
      </c>
      <c r="AD7" t="s">
        <v>10</v>
      </c>
      <c r="AE7" s="108">
        <v>0.05</v>
      </c>
      <c r="AG7">
        <f t="shared" si="4"/>
        <v>4</v>
      </c>
      <c r="AH7" t="e">
        <f ca="1"/>
        <v>#NAME?</v>
      </c>
      <c r="AJ7" t="s">
        <v>10</v>
      </c>
      <c r="AK7" s="108">
        <v>0.05</v>
      </c>
      <c r="AM7">
        <f t="shared" si="5"/>
        <v>4</v>
      </c>
      <c r="AN7" t="e">
        <f ca="1"/>
        <v>#NAME?</v>
      </c>
      <c r="AP7" t="s">
        <v>10</v>
      </c>
      <c r="AQ7" s="108">
        <v>0.05</v>
      </c>
    </row>
    <row r="8" spans="1:43" x14ac:dyDescent="0.35">
      <c r="A8">
        <v>1937</v>
      </c>
      <c r="B8">
        <v>423921</v>
      </c>
      <c r="C8">
        <v>3443</v>
      </c>
      <c r="I8">
        <f t="shared" si="0"/>
        <v>5</v>
      </c>
      <c r="J8" t="e">
        <f ca="1"/>
        <v>#NAME?</v>
      </c>
      <c r="O8">
        <f t="shared" si="1"/>
        <v>5</v>
      </c>
      <c r="P8" t="e">
        <f ca="1"/>
        <v>#NAME?</v>
      </c>
      <c r="U8">
        <f t="shared" si="2"/>
        <v>5</v>
      </c>
      <c r="V8" t="e">
        <f ca="1"/>
        <v>#NAME?</v>
      </c>
      <c r="AA8">
        <f t="shared" si="3"/>
        <v>5</v>
      </c>
      <c r="AB8" t="e">
        <f ca="1"/>
        <v>#NAME?</v>
      </c>
      <c r="AG8">
        <f t="shared" si="4"/>
        <v>5</v>
      </c>
      <c r="AH8" t="e">
        <f ca="1"/>
        <v>#NAME?</v>
      </c>
      <c r="AM8">
        <f t="shared" si="5"/>
        <v>5</v>
      </c>
      <c r="AN8" t="e">
        <f ca="1"/>
        <v>#NAME?</v>
      </c>
    </row>
    <row r="9" spans="1:43" x14ac:dyDescent="0.35">
      <c r="A9">
        <v>1938</v>
      </c>
      <c r="B9">
        <v>389624</v>
      </c>
      <c r="C9">
        <v>3424</v>
      </c>
      <c r="I9">
        <f t="shared" si="0"/>
        <v>6</v>
      </c>
      <c r="J9" t="e">
        <f ca="1"/>
        <v>#NAME?</v>
      </c>
      <c r="L9" t="e">
        <f t="array" aca="1" ref="L9:M16" ca="1">ADFTEST(J4:J43,TRUE,M6,M3,0,M7)</f>
        <v>#NAME?</v>
      </c>
      <c r="M9" s="151" t="e">
        <f ca="1"/>
        <v>#NAME?</v>
      </c>
      <c r="O9">
        <f t="shared" si="1"/>
        <v>6</v>
      </c>
      <c r="P9" t="e">
        <f ca="1"/>
        <v>#NAME?</v>
      </c>
      <c r="R9" t="e">
        <f t="array" aca="1" ref="R9:S16" ca="1">ADFTEST(P4:P43,TRUE,S6,S3,0,S7)</f>
        <v>#NAME?</v>
      </c>
      <c r="S9" s="151" t="e">
        <f ca="1"/>
        <v>#NAME?</v>
      </c>
      <c r="U9">
        <f t="shared" si="2"/>
        <v>6</v>
      </c>
      <c r="V9" t="e">
        <f ca="1"/>
        <v>#NAME?</v>
      </c>
      <c r="X9" t="e">
        <f t="array" aca="1" ref="X9:Y16" ca="1">ADFTEST(V4:V45,TRUE,Y6,Y3,1,Y7)</f>
        <v>#NAME?</v>
      </c>
      <c r="Y9" s="151" t="e">
        <f ca="1"/>
        <v>#NAME?</v>
      </c>
      <c r="AA9">
        <f t="shared" si="3"/>
        <v>6</v>
      </c>
      <c r="AB9" t="e">
        <f ca="1"/>
        <v>#NAME?</v>
      </c>
      <c r="AD9" t="e">
        <f t="array" aca="1" ref="AD9:AE16" ca="1">ADFTEST(AB4:AB45,TRUE,AE6,AE3,1,AE7)</f>
        <v>#NAME?</v>
      </c>
      <c r="AE9" s="151" t="e">
        <f ca="1"/>
        <v>#NAME?</v>
      </c>
      <c r="AG9">
        <f t="shared" si="4"/>
        <v>6</v>
      </c>
      <c r="AH9" t="e">
        <f ca="1"/>
        <v>#NAME?</v>
      </c>
      <c r="AJ9" t="e">
        <f t="array" aca="1" ref="AJ9:AK16" ca="1">ADFTEST(AH4:AH45,TRUE,AK6,AK3,2,AK7)</f>
        <v>#NAME?</v>
      </c>
      <c r="AK9" s="151" t="e">
        <f ca="1"/>
        <v>#NAME?</v>
      </c>
      <c r="AM9">
        <f t="shared" si="5"/>
        <v>6</v>
      </c>
      <c r="AN9" t="e">
        <f ca="1"/>
        <v>#NAME?</v>
      </c>
      <c r="AP9" t="e">
        <f t="array" aca="1" ref="AP9:AQ16" ca="1">ADFTEST(AN4:AN45,TRUE,AQ6,AQ3,2,AQ7)</f>
        <v>#NAME?</v>
      </c>
      <c r="AQ9" s="151" t="e">
        <f ca="1"/>
        <v>#NAME?</v>
      </c>
    </row>
    <row r="10" spans="1:43" x14ac:dyDescent="0.35">
      <c r="A10">
        <v>1939</v>
      </c>
      <c r="B10">
        <v>418591</v>
      </c>
      <c r="C10">
        <v>3561</v>
      </c>
      <c r="I10">
        <f t="shared" si="0"/>
        <v>7</v>
      </c>
      <c r="J10" t="e">
        <f ca="1"/>
        <v>#NAME?</v>
      </c>
      <c r="L10" t="e">
        <f ca="1"/>
        <v>#NAME?</v>
      </c>
      <c r="M10" s="107" t="e">
        <f ca="1"/>
        <v>#NAME?</v>
      </c>
      <c r="O10">
        <f t="shared" si="1"/>
        <v>7</v>
      </c>
      <c r="P10" t="e">
        <f ca="1"/>
        <v>#NAME?</v>
      </c>
      <c r="R10" t="e">
        <f ca="1"/>
        <v>#NAME?</v>
      </c>
      <c r="S10" s="107" t="e">
        <f ca="1"/>
        <v>#NAME?</v>
      </c>
      <c r="U10">
        <f t="shared" si="2"/>
        <v>7</v>
      </c>
      <c r="V10" t="e">
        <f ca="1"/>
        <v>#NAME?</v>
      </c>
      <c r="X10" t="e">
        <f ca="1"/>
        <v>#NAME?</v>
      </c>
      <c r="Y10" s="107" t="e">
        <f ca="1"/>
        <v>#NAME?</v>
      </c>
      <c r="AA10">
        <f t="shared" si="3"/>
        <v>7</v>
      </c>
      <c r="AB10" t="e">
        <f ca="1"/>
        <v>#NAME?</v>
      </c>
      <c r="AD10" t="e">
        <f ca="1"/>
        <v>#NAME?</v>
      </c>
      <c r="AE10" s="107" t="e">
        <f ca="1"/>
        <v>#NAME?</v>
      </c>
      <c r="AG10">
        <f t="shared" si="4"/>
        <v>7</v>
      </c>
      <c r="AH10" t="e">
        <f ca="1"/>
        <v>#NAME?</v>
      </c>
      <c r="AJ10" t="e">
        <f ca="1"/>
        <v>#NAME?</v>
      </c>
      <c r="AK10" s="107" t="e">
        <f ca="1"/>
        <v>#NAME?</v>
      </c>
      <c r="AM10">
        <f t="shared" si="5"/>
        <v>7</v>
      </c>
      <c r="AN10" t="e">
        <f ca="1"/>
        <v>#NAME?</v>
      </c>
      <c r="AP10" t="e">
        <f ca="1"/>
        <v>#NAME?</v>
      </c>
      <c r="AQ10" s="107" t="e">
        <f ca="1"/>
        <v>#NAME?</v>
      </c>
    </row>
    <row r="11" spans="1:43" x14ac:dyDescent="0.35">
      <c r="A11">
        <v>1940</v>
      </c>
      <c r="B11">
        <v>438288</v>
      </c>
      <c r="C11">
        <v>3640</v>
      </c>
      <c r="I11">
        <f t="shared" si="0"/>
        <v>8</v>
      </c>
      <c r="J11" t="e">
        <f ca="1"/>
        <v>#NAME?</v>
      </c>
      <c r="L11" t="e">
        <f ca="1"/>
        <v>#NAME?</v>
      </c>
      <c r="M11" s="106" t="e">
        <f ca="1"/>
        <v>#NAME?</v>
      </c>
      <c r="O11">
        <f t="shared" si="1"/>
        <v>8</v>
      </c>
      <c r="P11" t="e">
        <f ca="1"/>
        <v>#NAME?</v>
      </c>
      <c r="R11" t="e">
        <f ca="1"/>
        <v>#NAME?</v>
      </c>
      <c r="S11" s="106" t="e">
        <f ca="1"/>
        <v>#NAME?</v>
      </c>
      <c r="U11">
        <f t="shared" si="2"/>
        <v>8</v>
      </c>
      <c r="V11" t="e">
        <f ca="1"/>
        <v>#NAME?</v>
      </c>
      <c r="X11" t="e">
        <f ca="1"/>
        <v>#NAME?</v>
      </c>
      <c r="Y11" s="106" t="e">
        <f ca="1"/>
        <v>#NAME?</v>
      </c>
      <c r="AA11">
        <f t="shared" si="3"/>
        <v>8</v>
      </c>
      <c r="AB11" t="e">
        <f ca="1"/>
        <v>#NAME?</v>
      </c>
      <c r="AD11" t="e">
        <f ca="1"/>
        <v>#NAME?</v>
      </c>
      <c r="AE11" s="106" t="e">
        <f ca="1"/>
        <v>#NAME?</v>
      </c>
      <c r="AG11">
        <f t="shared" si="4"/>
        <v>8</v>
      </c>
      <c r="AH11" t="e">
        <f ca="1"/>
        <v>#NAME?</v>
      </c>
      <c r="AJ11" t="e">
        <f ca="1"/>
        <v>#NAME?</v>
      </c>
      <c r="AK11" s="106" t="e">
        <f ca="1"/>
        <v>#NAME?</v>
      </c>
      <c r="AM11">
        <f t="shared" si="5"/>
        <v>8</v>
      </c>
      <c r="AN11" t="e">
        <f ca="1"/>
        <v>#NAME?</v>
      </c>
      <c r="AP11" t="e">
        <f ca="1"/>
        <v>#NAME?</v>
      </c>
      <c r="AQ11" s="106" t="e">
        <f ca="1"/>
        <v>#NAME?</v>
      </c>
    </row>
    <row r="12" spans="1:43" x14ac:dyDescent="0.35">
      <c r="A12">
        <v>1941</v>
      </c>
      <c r="B12">
        <v>422841</v>
      </c>
      <c r="C12">
        <v>3840</v>
      </c>
      <c r="I12">
        <f t="shared" si="0"/>
        <v>9</v>
      </c>
      <c r="J12" t="e">
        <f ca="1"/>
        <v>#NAME?</v>
      </c>
      <c r="L12" t="e">
        <f ca="1"/>
        <v>#NAME?</v>
      </c>
      <c r="M12" s="107" t="e">
        <f ca="1"/>
        <v>#NAME?</v>
      </c>
      <c r="O12">
        <f t="shared" si="1"/>
        <v>9</v>
      </c>
      <c r="P12" t="e">
        <f ca="1"/>
        <v>#NAME?</v>
      </c>
      <c r="R12" t="e">
        <f ca="1"/>
        <v>#NAME?</v>
      </c>
      <c r="S12" s="107" t="e">
        <f ca="1"/>
        <v>#NAME?</v>
      </c>
      <c r="U12">
        <f t="shared" si="2"/>
        <v>9</v>
      </c>
      <c r="V12" t="e">
        <f ca="1"/>
        <v>#NAME?</v>
      </c>
      <c r="X12" t="e">
        <f ca="1"/>
        <v>#NAME?</v>
      </c>
      <c r="Y12" s="107" t="e">
        <f ca="1"/>
        <v>#NAME?</v>
      </c>
      <c r="AA12">
        <f t="shared" si="3"/>
        <v>9</v>
      </c>
      <c r="AB12" t="e">
        <f ca="1"/>
        <v>#NAME?</v>
      </c>
      <c r="AD12" t="e">
        <f ca="1"/>
        <v>#NAME?</v>
      </c>
      <c r="AE12" s="107" t="e">
        <f ca="1"/>
        <v>#NAME?</v>
      </c>
      <c r="AG12">
        <f t="shared" si="4"/>
        <v>9</v>
      </c>
      <c r="AH12" t="e">
        <f ca="1"/>
        <v>#NAME?</v>
      </c>
      <c r="AJ12" t="e">
        <f ca="1"/>
        <v>#NAME?</v>
      </c>
      <c r="AK12" s="107" t="e">
        <f ca="1"/>
        <v>#NAME?</v>
      </c>
      <c r="AM12">
        <f t="shared" si="5"/>
        <v>9</v>
      </c>
      <c r="AN12" t="e">
        <f ca="1"/>
        <v>#NAME?</v>
      </c>
      <c r="AP12" t="e">
        <f ca="1"/>
        <v>#NAME?</v>
      </c>
      <c r="AQ12" s="107" t="e">
        <f ca="1"/>
        <v>#NAME?</v>
      </c>
    </row>
    <row r="13" spans="1:43" x14ac:dyDescent="0.35">
      <c r="A13">
        <v>1942</v>
      </c>
      <c r="B13">
        <v>476935</v>
      </c>
      <c r="C13">
        <v>4456</v>
      </c>
      <c r="I13">
        <f t="shared" si="0"/>
        <v>10</v>
      </c>
      <c r="J13" t="e">
        <f ca="1"/>
        <v>#NAME?</v>
      </c>
      <c r="L13" t="e">
        <f ca="1"/>
        <v>#NAME?</v>
      </c>
      <c r="M13" s="107" t="e">
        <f ca="1"/>
        <v>#NAME?</v>
      </c>
      <c r="O13">
        <f t="shared" si="1"/>
        <v>10</v>
      </c>
      <c r="P13" t="e">
        <f ca="1"/>
        <v>#NAME?</v>
      </c>
      <c r="R13" t="e">
        <f ca="1"/>
        <v>#NAME?</v>
      </c>
      <c r="S13" s="107" t="e">
        <f ca="1"/>
        <v>#NAME?</v>
      </c>
      <c r="U13">
        <f t="shared" si="2"/>
        <v>10</v>
      </c>
      <c r="V13" t="e">
        <f ca="1"/>
        <v>#NAME?</v>
      </c>
      <c r="X13" t="e">
        <f ca="1"/>
        <v>#NAME?</v>
      </c>
      <c r="Y13" s="107" t="e">
        <f ca="1"/>
        <v>#NAME?</v>
      </c>
      <c r="AA13">
        <f t="shared" si="3"/>
        <v>10</v>
      </c>
      <c r="AB13" t="e">
        <f ca="1"/>
        <v>#NAME?</v>
      </c>
      <c r="AD13" t="e">
        <f ca="1"/>
        <v>#NAME?</v>
      </c>
      <c r="AE13" s="107" t="e">
        <f ca="1"/>
        <v>#NAME?</v>
      </c>
      <c r="AG13">
        <f t="shared" si="4"/>
        <v>10</v>
      </c>
      <c r="AH13" t="e">
        <f ca="1"/>
        <v>#NAME?</v>
      </c>
      <c r="AJ13" t="e">
        <f ca="1"/>
        <v>#NAME?</v>
      </c>
      <c r="AK13" s="107" t="e">
        <f ca="1"/>
        <v>#NAME?</v>
      </c>
      <c r="AM13">
        <f t="shared" si="5"/>
        <v>10</v>
      </c>
      <c r="AN13" t="e">
        <f ca="1"/>
        <v>#NAME?</v>
      </c>
      <c r="AP13" t="e">
        <f ca="1"/>
        <v>#NAME?</v>
      </c>
      <c r="AQ13" s="107" t="e">
        <f ca="1"/>
        <v>#NAME?</v>
      </c>
    </row>
    <row r="14" spans="1:43" x14ac:dyDescent="0.35">
      <c r="A14">
        <v>1943</v>
      </c>
      <c r="B14">
        <v>542047</v>
      </c>
      <c r="C14">
        <v>5000</v>
      </c>
      <c r="I14">
        <f t="shared" si="0"/>
        <v>11</v>
      </c>
      <c r="J14" t="e">
        <f ca="1"/>
        <v>#NAME?</v>
      </c>
      <c r="L14" t="e">
        <f ca="1"/>
        <v>#NAME?</v>
      </c>
      <c r="M14" s="107" t="e">
        <f ca="1"/>
        <v>#NAME?</v>
      </c>
      <c r="O14">
        <f t="shared" si="1"/>
        <v>11</v>
      </c>
      <c r="P14" t="e">
        <f ca="1"/>
        <v>#NAME?</v>
      </c>
      <c r="R14" t="e">
        <f ca="1"/>
        <v>#NAME?</v>
      </c>
      <c r="S14" s="107" t="e">
        <f ca="1"/>
        <v>#NAME?</v>
      </c>
      <c r="U14">
        <f t="shared" si="2"/>
        <v>11</v>
      </c>
      <c r="V14" t="e">
        <f ca="1"/>
        <v>#NAME?</v>
      </c>
      <c r="X14" t="e">
        <f ca="1"/>
        <v>#NAME?</v>
      </c>
      <c r="Y14" s="107" t="e">
        <f ca="1"/>
        <v>#NAME?</v>
      </c>
      <c r="AA14">
        <f t="shared" si="3"/>
        <v>11</v>
      </c>
      <c r="AB14" t="e">
        <f ca="1"/>
        <v>#NAME?</v>
      </c>
      <c r="AD14" t="e">
        <f ca="1"/>
        <v>#NAME?</v>
      </c>
      <c r="AE14" s="107" t="e">
        <f ca="1"/>
        <v>#NAME?</v>
      </c>
      <c r="AG14">
        <f t="shared" si="4"/>
        <v>11</v>
      </c>
      <c r="AH14" t="e">
        <f ca="1"/>
        <v>#NAME?</v>
      </c>
      <c r="AJ14" t="e">
        <f ca="1"/>
        <v>#NAME?</v>
      </c>
      <c r="AK14" s="107" t="e">
        <f ca="1"/>
        <v>#NAME?</v>
      </c>
      <c r="AM14">
        <f t="shared" si="5"/>
        <v>11</v>
      </c>
      <c r="AN14" t="e">
        <f ca="1"/>
        <v>#NAME?</v>
      </c>
      <c r="AP14" t="e">
        <f ca="1"/>
        <v>#NAME?</v>
      </c>
      <c r="AQ14" s="107" t="e">
        <f ca="1"/>
        <v>#NAME?</v>
      </c>
    </row>
    <row r="15" spans="1:43" x14ac:dyDescent="0.35">
      <c r="A15">
        <v>1944</v>
      </c>
      <c r="B15">
        <v>582197</v>
      </c>
      <c r="C15">
        <v>5366</v>
      </c>
      <c r="I15">
        <f t="shared" si="0"/>
        <v>12</v>
      </c>
      <c r="J15" t="e">
        <f ca="1"/>
        <v>#NAME?</v>
      </c>
      <c r="L15" t="e">
        <f ca="1"/>
        <v>#NAME?</v>
      </c>
      <c r="M15" s="107" t="e">
        <f ca="1"/>
        <v>#NAME?</v>
      </c>
      <c r="O15">
        <f t="shared" si="1"/>
        <v>12</v>
      </c>
      <c r="P15" t="e">
        <f ca="1"/>
        <v>#NAME?</v>
      </c>
      <c r="R15" t="e">
        <f ca="1"/>
        <v>#NAME?</v>
      </c>
      <c r="S15" s="107" t="e">
        <f ca="1"/>
        <v>#NAME?</v>
      </c>
      <c r="U15">
        <f t="shared" si="2"/>
        <v>12</v>
      </c>
      <c r="V15" t="e">
        <f ca="1"/>
        <v>#NAME?</v>
      </c>
      <c r="X15" t="e">
        <f ca="1"/>
        <v>#NAME?</v>
      </c>
      <c r="Y15" s="107" t="e">
        <f ca="1"/>
        <v>#NAME?</v>
      </c>
      <c r="AA15">
        <f t="shared" si="3"/>
        <v>12</v>
      </c>
      <c r="AB15" t="e">
        <f ca="1"/>
        <v>#NAME?</v>
      </c>
      <c r="AD15" t="e">
        <f ca="1"/>
        <v>#NAME?</v>
      </c>
      <c r="AE15" s="107" t="e">
        <f ca="1"/>
        <v>#NAME?</v>
      </c>
      <c r="AG15">
        <f t="shared" si="4"/>
        <v>12</v>
      </c>
      <c r="AH15" t="e">
        <f ca="1"/>
        <v>#NAME?</v>
      </c>
      <c r="AJ15" t="e">
        <f ca="1"/>
        <v>#NAME?</v>
      </c>
      <c r="AK15" s="107" t="e">
        <f ca="1"/>
        <v>#NAME?</v>
      </c>
      <c r="AM15">
        <f t="shared" si="5"/>
        <v>12</v>
      </c>
      <c r="AN15" t="e">
        <f ca="1"/>
        <v>#NAME?</v>
      </c>
      <c r="AP15" t="e">
        <f ca="1"/>
        <v>#NAME?</v>
      </c>
      <c r="AQ15" s="107" t="e">
        <f ca="1"/>
        <v>#NAME?</v>
      </c>
    </row>
    <row r="16" spans="1:43" x14ac:dyDescent="0.35">
      <c r="A16">
        <v>1945</v>
      </c>
      <c r="B16">
        <v>516497</v>
      </c>
      <c r="C16">
        <v>5154</v>
      </c>
      <c r="I16">
        <f t="shared" si="0"/>
        <v>13</v>
      </c>
      <c r="J16" t="e">
        <f ca="1"/>
        <v>#NAME?</v>
      </c>
      <c r="L16" t="e">
        <f ca="1"/>
        <v>#NAME?</v>
      </c>
      <c r="M16" s="187" t="e">
        <f ca="1"/>
        <v>#NAME?</v>
      </c>
      <c r="O16">
        <f t="shared" si="1"/>
        <v>13</v>
      </c>
      <c r="P16" t="e">
        <f ca="1"/>
        <v>#NAME?</v>
      </c>
      <c r="R16" t="e">
        <f ca="1"/>
        <v>#NAME?</v>
      </c>
      <c r="S16" s="187" t="e">
        <f ca="1"/>
        <v>#NAME?</v>
      </c>
      <c r="U16">
        <f t="shared" si="2"/>
        <v>13</v>
      </c>
      <c r="V16" t="e">
        <f ca="1"/>
        <v>#NAME?</v>
      </c>
      <c r="X16" t="e">
        <f ca="1"/>
        <v>#NAME?</v>
      </c>
      <c r="Y16" s="187" t="e">
        <f ca="1"/>
        <v>#NAME?</v>
      </c>
      <c r="AA16">
        <f t="shared" si="3"/>
        <v>13</v>
      </c>
      <c r="AB16" t="e">
        <f ca="1"/>
        <v>#NAME?</v>
      </c>
      <c r="AD16" t="e">
        <f ca="1"/>
        <v>#NAME?</v>
      </c>
      <c r="AE16" s="187" t="e">
        <f ca="1"/>
        <v>#NAME?</v>
      </c>
      <c r="AG16">
        <f t="shared" si="4"/>
        <v>13</v>
      </c>
      <c r="AH16" t="e">
        <f ca="1"/>
        <v>#NAME?</v>
      </c>
      <c r="AJ16" t="e">
        <f ca="1"/>
        <v>#NAME?</v>
      </c>
      <c r="AK16" s="187" t="e">
        <f ca="1"/>
        <v>#NAME?</v>
      </c>
      <c r="AM16">
        <f t="shared" si="5"/>
        <v>13</v>
      </c>
      <c r="AN16" t="e">
        <f ca="1"/>
        <v>#NAME?</v>
      </c>
      <c r="AP16" t="e">
        <f ca="1"/>
        <v>#NAME?</v>
      </c>
      <c r="AQ16" s="187" t="e">
        <f ca="1"/>
        <v>#NAME?</v>
      </c>
    </row>
    <row r="17" spans="1:40" x14ac:dyDescent="0.35">
      <c r="A17">
        <v>1946</v>
      </c>
      <c r="B17">
        <v>523227</v>
      </c>
      <c r="C17">
        <v>5130</v>
      </c>
      <c r="I17">
        <f t="shared" si="0"/>
        <v>14</v>
      </c>
      <c r="J17" t="e">
        <f ca="1"/>
        <v>#NAME?</v>
      </c>
      <c r="O17">
        <f t="shared" si="1"/>
        <v>14</v>
      </c>
      <c r="P17" t="e">
        <f ca="1"/>
        <v>#NAME?</v>
      </c>
      <c r="U17">
        <f t="shared" si="2"/>
        <v>14</v>
      </c>
      <c r="V17" t="e">
        <f ca="1"/>
        <v>#NAME?</v>
      </c>
      <c r="AA17">
        <f t="shared" si="3"/>
        <v>14</v>
      </c>
      <c r="AB17" t="e">
        <f ca="1"/>
        <v>#NAME?</v>
      </c>
      <c r="AG17">
        <f t="shared" si="4"/>
        <v>14</v>
      </c>
      <c r="AH17" t="e">
        <f ca="1"/>
        <v>#NAME?</v>
      </c>
      <c r="AM17">
        <f t="shared" si="5"/>
        <v>14</v>
      </c>
      <c r="AN17" t="e">
        <f ca="1"/>
        <v>#NAME?</v>
      </c>
    </row>
    <row r="18" spans="1:40" x14ac:dyDescent="0.35">
      <c r="A18">
        <v>1947</v>
      </c>
      <c r="B18">
        <v>467217</v>
      </c>
      <c r="C18">
        <v>5077</v>
      </c>
      <c r="I18">
        <f t="shared" si="0"/>
        <v>15</v>
      </c>
      <c r="J18" t="e">
        <f ca="1"/>
        <v>#NAME?</v>
      </c>
      <c r="O18">
        <f t="shared" si="1"/>
        <v>15</v>
      </c>
      <c r="P18" t="e">
        <f ca="1"/>
        <v>#NAME?</v>
      </c>
      <c r="U18">
        <f t="shared" si="2"/>
        <v>15</v>
      </c>
      <c r="V18" t="e">
        <f ca="1"/>
        <v>#NAME?</v>
      </c>
      <c r="AA18">
        <f t="shared" si="3"/>
        <v>15</v>
      </c>
      <c r="AB18" t="e">
        <f ca="1"/>
        <v>#NAME?</v>
      </c>
      <c r="AG18">
        <f t="shared" si="4"/>
        <v>15</v>
      </c>
      <c r="AH18" t="e">
        <f ca="1"/>
        <v>#NAME?</v>
      </c>
      <c r="AM18">
        <f t="shared" si="5"/>
        <v>15</v>
      </c>
      <c r="AN18" t="e">
        <f ca="1"/>
        <v>#NAME?</v>
      </c>
    </row>
    <row r="19" spans="1:40" x14ac:dyDescent="0.35">
      <c r="A19">
        <v>1948</v>
      </c>
      <c r="B19">
        <v>499644</v>
      </c>
      <c r="C19">
        <v>5032</v>
      </c>
      <c r="I19">
        <f t="shared" si="0"/>
        <v>16</v>
      </c>
      <c r="J19" t="e">
        <f ca="1"/>
        <v>#NAME?</v>
      </c>
      <c r="O19">
        <f t="shared" si="1"/>
        <v>16</v>
      </c>
      <c r="P19" t="e">
        <f ca="1"/>
        <v>#NAME?</v>
      </c>
      <c r="U19">
        <f t="shared" si="2"/>
        <v>16</v>
      </c>
      <c r="V19" t="e">
        <f ca="1"/>
        <v>#NAME?</v>
      </c>
      <c r="AA19">
        <f t="shared" si="3"/>
        <v>16</v>
      </c>
      <c r="AB19" t="e">
        <f ca="1"/>
        <v>#NAME?</v>
      </c>
      <c r="AG19">
        <f t="shared" si="4"/>
        <v>16</v>
      </c>
      <c r="AH19" t="e">
        <f ca="1"/>
        <v>#NAME?</v>
      </c>
      <c r="AM19">
        <f t="shared" si="5"/>
        <v>16</v>
      </c>
      <c r="AN19" t="e">
        <f ca="1"/>
        <v>#NAME?</v>
      </c>
    </row>
    <row r="20" spans="1:40" x14ac:dyDescent="0.35">
      <c r="A20">
        <v>1949</v>
      </c>
      <c r="B20">
        <v>430876</v>
      </c>
      <c r="C20">
        <v>5148</v>
      </c>
      <c r="I20">
        <f t="shared" si="0"/>
        <v>17</v>
      </c>
      <c r="J20" t="e">
        <f ca="1"/>
        <v>#NAME?</v>
      </c>
      <c r="O20">
        <f t="shared" si="1"/>
        <v>17</v>
      </c>
      <c r="P20" t="e">
        <f ca="1"/>
        <v>#NAME?</v>
      </c>
      <c r="U20">
        <f t="shared" si="2"/>
        <v>17</v>
      </c>
      <c r="V20" t="e">
        <f ca="1"/>
        <v>#NAME?</v>
      </c>
      <c r="AA20">
        <f t="shared" si="3"/>
        <v>17</v>
      </c>
      <c r="AB20" t="e">
        <f ca="1"/>
        <v>#NAME?</v>
      </c>
      <c r="AG20">
        <f t="shared" si="4"/>
        <v>17</v>
      </c>
      <c r="AH20" t="e">
        <f ca="1"/>
        <v>#NAME?</v>
      </c>
      <c r="AM20">
        <f t="shared" si="5"/>
        <v>17</v>
      </c>
      <c r="AN20" t="e">
        <f ca="1"/>
        <v>#NAME?</v>
      </c>
    </row>
    <row r="21" spans="1:40" x14ac:dyDescent="0.35">
      <c r="A21">
        <v>1950</v>
      </c>
      <c r="B21">
        <v>456549</v>
      </c>
      <c r="C21">
        <v>5404</v>
      </c>
      <c r="I21">
        <f t="shared" si="0"/>
        <v>18</v>
      </c>
      <c r="J21" t="e">
        <f ca="1"/>
        <v>#NAME?</v>
      </c>
      <c r="O21">
        <f t="shared" si="1"/>
        <v>18</v>
      </c>
      <c r="P21" t="e">
        <f ca="1"/>
        <v>#NAME?</v>
      </c>
      <c r="U21">
        <f t="shared" si="2"/>
        <v>18</v>
      </c>
      <c r="V21" t="e">
        <f ca="1"/>
        <v>#NAME?</v>
      </c>
      <c r="AA21">
        <f t="shared" si="3"/>
        <v>18</v>
      </c>
      <c r="AB21" t="e">
        <f ca="1"/>
        <v>#NAME?</v>
      </c>
      <c r="AG21">
        <f t="shared" si="4"/>
        <v>18</v>
      </c>
      <c r="AH21" t="e">
        <f ca="1"/>
        <v>#NAME?</v>
      </c>
      <c r="AM21">
        <f t="shared" si="5"/>
        <v>18</v>
      </c>
      <c r="AN21" t="e">
        <f ca="1"/>
        <v>#NAME?</v>
      </c>
    </row>
    <row r="22" spans="1:40" x14ac:dyDescent="0.35">
      <c r="A22">
        <v>1951</v>
      </c>
      <c r="B22">
        <v>430988</v>
      </c>
      <c r="C22">
        <v>5322</v>
      </c>
      <c r="I22">
        <f t="shared" si="0"/>
        <v>19</v>
      </c>
      <c r="J22" t="e">
        <f ca="1"/>
        <v>#NAME?</v>
      </c>
      <c r="O22">
        <f t="shared" si="1"/>
        <v>19</v>
      </c>
      <c r="P22" t="e">
        <f ca="1"/>
        <v>#NAME?</v>
      </c>
      <c r="U22">
        <f t="shared" si="2"/>
        <v>19</v>
      </c>
      <c r="V22" t="e">
        <f ca="1"/>
        <v>#NAME?</v>
      </c>
      <c r="AA22">
        <f t="shared" si="3"/>
        <v>19</v>
      </c>
      <c r="AB22" t="e">
        <f ca="1"/>
        <v>#NAME?</v>
      </c>
      <c r="AG22">
        <f t="shared" si="4"/>
        <v>19</v>
      </c>
      <c r="AH22" t="e">
        <f ca="1"/>
        <v>#NAME?</v>
      </c>
      <c r="AM22">
        <f t="shared" si="5"/>
        <v>19</v>
      </c>
      <c r="AN22" t="e">
        <f ca="1"/>
        <v>#NAME?</v>
      </c>
    </row>
    <row r="23" spans="1:40" x14ac:dyDescent="0.35">
      <c r="A23">
        <v>1952</v>
      </c>
      <c r="B23">
        <v>426555</v>
      </c>
      <c r="C23">
        <v>5323</v>
      </c>
      <c r="I23">
        <f t="shared" si="0"/>
        <v>20</v>
      </c>
      <c r="J23" t="e">
        <f ca="1"/>
        <v>#NAME?</v>
      </c>
      <c r="O23">
        <f t="shared" si="1"/>
        <v>20</v>
      </c>
      <c r="P23" t="e">
        <f ca="1"/>
        <v>#NAME?</v>
      </c>
      <c r="U23">
        <f t="shared" si="2"/>
        <v>20</v>
      </c>
      <c r="V23" t="e">
        <f ca="1"/>
        <v>#NAME?</v>
      </c>
      <c r="AA23">
        <f t="shared" si="3"/>
        <v>20</v>
      </c>
      <c r="AB23" t="e">
        <f ca="1"/>
        <v>#NAME?</v>
      </c>
      <c r="AG23">
        <f t="shared" si="4"/>
        <v>20</v>
      </c>
      <c r="AH23" t="e">
        <f ca="1"/>
        <v>#NAME?</v>
      </c>
      <c r="AM23">
        <f t="shared" si="5"/>
        <v>20</v>
      </c>
      <c r="AN23" t="e">
        <f ca="1"/>
        <v>#NAME?</v>
      </c>
    </row>
    <row r="24" spans="1:40" x14ac:dyDescent="0.35">
      <c r="A24">
        <v>1953</v>
      </c>
      <c r="B24">
        <v>398156</v>
      </c>
      <c r="C24">
        <v>5307</v>
      </c>
      <c r="I24">
        <f t="shared" si="0"/>
        <v>21</v>
      </c>
      <c r="J24" t="e">
        <f ca="1"/>
        <v>#NAME?</v>
      </c>
      <c r="O24">
        <f t="shared" si="1"/>
        <v>21</v>
      </c>
      <c r="P24" t="e">
        <f ca="1"/>
        <v>#NAME?</v>
      </c>
      <c r="U24">
        <f t="shared" si="2"/>
        <v>21</v>
      </c>
      <c r="V24" t="e">
        <f ca="1"/>
        <v>#NAME?</v>
      </c>
      <c r="AA24">
        <f t="shared" si="3"/>
        <v>21</v>
      </c>
      <c r="AB24" t="e">
        <f ca="1"/>
        <v>#NAME?</v>
      </c>
      <c r="AG24">
        <f t="shared" si="4"/>
        <v>21</v>
      </c>
      <c r="AH24" t="e">
        <f ca="1"/>
        <v>#NAME?</v>
      </c>
      <c r="AM24">
        <f t="shared" si="5"/>
        <v>21</v>
      </c>
      <c r="AN24" t="e">
        <f ca="1"/>
        <v>#NAME?</v>
      </c>
    </row>
    <row r="25" spans="1:40" x14ac:dyDescent="0.35">
      <c r="A25">
        <v>1954</v>
      </c>
      <c r="B25">
        <v>396776</v>
      </c>
      <c r="C25">
        <v>5402</v>
      </c>
      <c r="I25">
        <f t="shared" si="0"/>
        <v>22</v>
      </c>
      <c r="J25" t="e">
        <f ca="1"/>
        <v>#NAME?</v>
      </c>
      <c r="O25">
        <f t="shared" si="1"/>
        <v>22</v>
      </c>
      <c r="P25" t="e">
        <f ca="1"/>
        <v>#NAME?</v>
      </c>
      <c r="U25">
        <f t="shared" si="2"/>
        <v>22</v>
      </c>
      <c r="V25" t="e">
        <f ca="1"/>
        <v>#NAME?</v>
      </c>
      <c r="AA25">
        <f t="shared" si="3"/>
        <v>22</v>
      </c>
      <c r="AB25" t="e">
        <f ca="1"/>
        <v>#NAME?</v>
      </c>
      <c r="AG25">
        <f t="shared" si="4"/>
        <v>22</v>
      </c>
      <c r="AH25" t="e">
        <f ca="1"/>
        <v>#NAME?</v>
      </c>
      <c r="AM25">
        <f t="shared" si="5"/>
        <v>22</v>
      </c>
      <c r="AN25" t="e">
        <f ca="1"/>
        <v>#NAME?</v>
      </c>
    </row>
    <row r="26" spans="1:40" x14ac:dyDescent="0.35">
      <c r="A26">
        <v>1955</v>
      </c>
      <c r="B26">
        <v>390708</v>
      </c>
      <c r="C26">
        <v>5407</v>
      </c>
      <c r="I26">
        <f t="shared" si="0"/>
        <v>23</v>
      </c>
      <c r="J26" t="e">
        <f ca="1"/>
        <v>#NAME?</v>
      </c>
      <c r="O26">
        <f t="shared" si="1"/>
        <v>23</v>
      </c>
      <c r="P26" t="e">
        <f ca="1"/>
        <v>#NAME?</v>
      </c>
      <c r="U26">
        <f t="shared" si="2"/>
        <v>23</v>
      </c>
      <c r="V26" t="e">
        <f ca="1"/>
        <v>#NAME?</v>
      </c>
      <c r="AA26">
        <f t="shared" si="3"/>
        <v>23</v>
      </c>
      <c r="AB26" t="e">
        <f ca="1"/>
        <v>#NAME?</v>
      </c>
      <c r="AG26">
        <f t="shared" si="4"/>
        <v>23</v>
      </c>
      <c r="AH26" t="e">
        <f ca="1"/>
        <v>#NAME?</v>
      </c>
      <c r="AM26">
        <f t="shared" si="5"/>
        <v>23</v>
      </c>
      <c r="AN26" t="e">
        <f ca="1"/>
        <v>#NAME?</v>
      </c>
    </row>
    <row r="27" spans="1:40" x14ac:dyDescent="0.35">
      <c r="A27">
        <v>1956</v>
      </c>
      <c r="B27">
        <v>383690</v>
      </c>
      <c r="C27">
        <v>5500</v>
      </c>
      <c r="I27">
        <f t="shared" si="0"/>
        <v>24</v>
      </c>
      <c r="J27" t="e">
        <f ca="1"/>
        <v>#NAME?</v>
      </c>
      <c r="O27">
        <f t="shared" si="1"/>
        <v>24</v>
      </c>
      <c r="P27" t="e">
        <f ca="1"/>
        <v>#NAME?</v>
      </c>
      <c r="U27">
        <f t="shared" si="2"/>
        <v>24</v>
      </c>
      <c r="V27" t="e">
        <f ca="1"/>
        <v>#NAME?</v>
      </c>
      <c r="AA27">
        <f t="shared" si="3"/>
        <v>24</v>
      </c>
      <c r="AB27" t="e">
        <f ca="1"/>
        <v>#NAME?</v>
      </c>
      <c r="AG27">
        <f t="shared" si="4"/>
        <v>24</v>
      </c>
      <c r="AH27" t="e">
        <f ca="1"/>
        <v>#NAME?</v>
      </c>
      <c r="AM27">
        <f t="shared" si="5"/>
        <v>24</v>
      </c>
      <c r="AN27" t="e">
        <f ca="1"/>
        <v>#NAME?</v>
      </c>
    </row>
    <row r="28" spans="1:40" x14ac:dyDescent="0.35">
      <c r="A28">
        <v>1957</v>
      </c>
      <c r="B28">
        <v>391363</v>
      </c>
      <c r="C28">
        <v>5442</v>
      </c>
      <c r="I28">
        <f t="shared" si="0"/>
        <v>25</v>
      </c>
      <c r="J28" t="e">
        <f ca="1"/>
        <v>#NAME?</v>
      </c>
      <c r="O28">
        <f t="shared" si="1"/>
        <v>25</v>
      </c>
      <c r="P28" t="e">
        <f ca="1"/>
        <v>#NAME?</v>
      </c>
      <c r="U28">
        <f t="shared" si="2"/>
        <v>25</v>
      </c>
      <c r="V28" t="e">
        <f ca="1"/>
        <v>#NAME?</v>
      </c>
      <c r="AA28">
        <f t="shared" si="3"/>
        <v>25</v>
      </c>
      <c r="AB28" t="e">
        <f ca="1"/>
        <v>#NAME?</v>
      </c>
      <c r="AG28">
        <f t="shared" si="4"/>
        <v>25</v>
      </c>
      <c r="AH28" t="e">
        <f ca="1"/>
        <v>#NAME?</v>
      </c>
      <c r="AM28">
        <f t="shared" si="5"/>
        <v>25</v>
      </c>
      <c r="AN28" t="e">
        <f ca="1"/>
        <v>#NAME?</v>
      </c>
    </row>
    <row r="29" spans="1:40" x14ac:dyDescent="0.35">
      <c r="A29">
        <v>1958</v>
      </c>
      <c r="B29">
        <v>374281</v>
      </c>
      <c r="C29">
        <v>5442</v>
      </c>
      <c r="I29">
        <f t="shared" si="0"/>
        <v>26</v>
      </c>
      <c r="J29" t="e">
        <f ca="1"/>
        <v>#NAME?</v>
      </c>
      <c r="O29">
        <f t="shared" si="1"/>
        <v>26</v>
      </c>
      <c r="P29" t="e">
        <f ca="1"/>
        <v>#NAME?</v>
      </c>
      <c r="U29">
        <f t="shared" si="2"/>
        <v>26</v>
      </c>
      <c r="V29" t="e">
        <f ca="1"/>
        <v>#NAME?</v>
      </c>
      <c r="AA29">
        <f t="shared" si="3"/>
        <v>26</v>
      </c>
      <c r="AB29" t="e">
        <f ca="1"/>
        <v>#NAME?</v>
      </c>
      <c r="AG29">
        <f t="shared" si="4"/>
        <v>26</v>
      </c>
      <c r="AH29" t="e">
        <f ca="1"/>
        <v>#NAME?</v>
      </c>
      <c r="AM29">
        <f t="shared" si="5"/>
        <v>26</v>
      </c>
      <c r="AN29" t="e">
        <f ca="1"/>
        <v>#NAME?</v>
      </c>
    </row>
    <row r="30" spans="1:40" x14ac:dyDescent="0.35">
      <c r="A30">
        <v>1959</v>
      </c>
      <c r="B30">
        <v>387002</v>
      </c>
      <c r="C30">
        <v>5542</v>
      </c>
      <c r="I30">
        <f t="shared" si="0"/>
        <v>27</v>
      </c>
      <c r="J30" t="e">
        <f ca="1"/>
        <v>#NAME?</v>
      </c>
      <c r="O30">
        <f t="shared" si="1"/>
        <v>27</v>
      </c>
      <c r="P30" t="e">
        <f ca="1"/>
        <v>#NAME?</v>
      </c>
      <c r="U30">
        <f t="shared" si="2"/>
        <v>27</v>
      </c>
      <c r="V30" t="e">
        <f ca="1"/>
        <v>#NAME?</v>
      </c>
      <c r="AA30">
        <f t="shared" si="3"/>
        <v>27</v>
      </c>
      <c r="AB30" t="e">
        <f ca="1"/>
        <v>#NAME?</v>
      </c>
      <c r="AG30">
        <f t="shared" si="4"/>
        <v>27</v>
      </c>
      <c r="AH30" t="e">
        <f ca="1"/>
        <v>#NAME?</v>
      </c>
      <c r="AM30">
        <f t="shared" si="5"/>
        <v>27</v>
      </c>
      <c r="AN30" t="e">
        <f ca="1"/>
        <v>#NAME?</v>
      </c>
    </row>
    <row r="31" spans="1:40" x14ac:dyDescent="0.35">
      <c r="A31">
        <v>1960</v>
      </c>
      <c r="B31">
        <v>369484</v>
      </c>
      <c r="C31">
        <v>5339</v>
      </c>
      <c r="I31">
        <f t="shared" si="0"/>
        <v>28</v>
      </c>
      <c r="J31" t="e">
        <f ca="1"/>
        <v>#NAME?</v>
      </c>
      <c r="O31">
        <f t="shared" si="1"/>
        <v>28</v>
      </c>
      <c r="P31" t="e">
        <f ca="1"/>
        <v>#NAME?</v>
      </c>
      <c r="U31">
        <f t="shared" si="2"/>
        <v>28</v>
      </c>
      <c r="V31" t="e">
        <f ca="1"/>
        <v>#NAME?</v>
      </c>
      <c r="AA31">
        <f t="shared" si="3"/>
        <v>28</v>
      </c>
      <c r="AB31" t="e">
        <f ca="1"/>
        <v>#NAME?</v>
      </c>
      <c r="AG31">
        <f t="shared" si="4"/>
        <v>28</v>
      </c>
      <c r="AH31" t="e">
        <f ca="1"/>
        <v>#NAME?</v>
      </c>
      <c r="AM31">
        <f t="shared" si="5"/>
        <v>28</v>
      </c>
      <c r="AN31" t="e">
        <f ca="1"/>
        <v>#NAME?</v>
      </c>
    </row>
    <row r="32" spans="1:40" x14ac:dyDescent="0.35">
      <c r="A32">
        <v>1961</v>
      </c>
      <c r="B32">
        <v>366082</v>
      </c>
      <c r="C32">
        <v>5358</v>
      </c>
      <c r="I32">
        <f t="shared" si="0"/>
        <v>29</v>
      </c>
      <c r="J32" t="e">
        <f ca="1"/>
        <v>#NAME?</v>
      </c>
      <c r="O32">
        <f t="shared" si="1"/>
        <v>29</v>
      </c>
      <c r="P32" t="e">
        <f ca="1"/>
        <v>#NAME?</v>
      </c>
      <c r="U32">
        <f t="shared" si="2"/>
        <v>29</v>
      </c>
      <c r="V32" t="e">
        <f ca="1"/>
        <v>#NAME?</v>
      </c>
      <c r="AA32">
        <f t="shared" si="3"/>
        <v>29</v>
      </c>
      <c r="AB32" t="e">
        <f ca="1"/>
        <v>#NAME?</v>
      </c>
      <c r="AG32">
        <f t="shared" si="4"/>
        <v>29</v>
      </c>
      <c r="AH32" t="e">
        <f ca="1"/>
        <v>#NAME?</v>
      </c>
      <c r="AM32">
        <f t="shared" si="5"/>
        <v>29</v>
      </c>
      <c r="AN32" t="e">
        <f ca="1"/>
        <v>#NAME?</v>
      </c>
    </row>
    <row r="33" spans="1:40" x14ac:dyDescent="0.35">
      <c r="A33">
        <v>1962</v>
      </c>
      <c r="B33">
        <v>377392</v>
      </c>
      <c r="C33">
        <v>5403</v>
      </c>
      <c r="I33">
        <f t="shared" si="0"/>
        <v>30</v>
      </c>
      <c r="J33" t="e">
        <f ca="1"/>
        <v>#NAME?</v>
      </c>
      <c r="O33">
        <f t="shared" si="1"/>
        <v>30</v>
      </c>
      <c r="P33" t="e">
        <f ca="1"/>
        <v>#NAME?</v>
      </c>
      <c r="U33">
        <f t="shared" si="2"/>
        <v>30</v>
      </c>
      <c r="V33" t="e">
        <f ca="1"/>
        <v>#NAME?</v>
      </c>
      <c r="AA33">
        <f t="shared" si="3"/>
        <v>30</v>
      </c>
      <c r="AB33" t="e">
        <f ca="1"/>
        <v>#NAME?</v>
      </c>
      <c r="AG33">
        <f t="shared" si="4"/>
        <v>30</v>
      </c>
      <c r="AH33" t="e">
        <f ca="1"/>
        <v>#NAME?</v>
      </c>
      <c r="AM33">
        <f t="shared" si="5"/>
        <v>30</v>
      </c>
      <c r="AN33" t="e">
        <f ca="1"/>
        <v>#NAME?</v>
      </c>
    </row>
    <row r="34" spans="1:40" x14ac:dyDescent="0.35">
      <c r="A34">
        <v>1963</v>
      </c>
      <c r="B34">
        <v>375575</v>
      </c>
      <c r="C34">
        <v>5345</v>
      </c>
      <c r="I34">
        <f t="shared" si="0"/>
        <v>31</v>
      </c>
      <c r="J34" t="e">
        <f ca="1"/>
        <v>#NAME?</v>
      </c>
      <c r="O34">
        <f t="shared" si="1"/>
        <v>31</v>
      </c>
      <c r="P34" t="e">
        <f ca="1"/>
        <v>#NAME?</v>
      </c>
      <c r="U34">
        <f t="shared" si="2"/>
        <v>31</v>
      </c>
      <c r="V34" t="e">
        <f ca="1"/>
        <v>#NAME?</v>
      </c>
      <c r="AA34">
        <f t="shared" si="3"/>
        <v>31</v>
      </c>
      <c r="AB34" t="e">
        <f ca="1"/>
        <v>#NAME?</v>
      </c>
      <c r="AG34">
        <f t="shared" si="4"/>
        <v>31</v>
      </c>
      <c r="AH34" t="e">
        <f ca="1"/>
        <v>#NAME?</v>
      </c>
      <c r="AM34">
        <f t="shared" si="5"/>
        <v>31</v>
      </c>
      <c r="AN34" t="e">
        <f ca="1"/>
        <v>#NAME?</v>
      </c>
    </row>
    <row r="35" spans="1:40" x14ac:dyDescent="0.35">
      <c r="A35">
        <v>1964</v>
      </c>
      <c r="B35">
        <v>382262</v>
      </c>
      <c r="C35">
        <v>5435</v>
      </c>
      <c r="I35">
        <f t="shared" si="0"/>
        <v>32</v>
      </c>
      <c r="J35" t="e">
        <f ca="1"/>
        <v>#NAME?</v>
      </c>
      <c r="O35">
        <f t="shared" si="1"/>
        <v>32</v>
      </c>
      <c r="P35" t="e">
        <f ca="1"/>
        <v>#NAME?</v>
      </c>
      <c r="U35">
        <f t="shared" si="2"/>
        <v>32</v>
      </c>
      <c r="V35" t="e">
        <f ca="1"/>
        <v>#NAME?</v>
      </c>
      <c r="AA35">
        <f t="shared" si="3"/>
        <v>32</v>
      </c>
      <c r="AB35" t="e">
        <f ca="1"/>
        <v>#NAME?</v>
      </c>
      <c r="AG35">
        <f t="shared" si="4"/>
        <v>32</v>
      </c>
      <c r="AH35" t="e">
        <f ca="1"/>
        <v>#NAME?</v>
      </c>
      <c r="AM35">
        <f t="shared" si="5"/>
        <v>32</v>
      </c>
      <c r="AN35" t="e">
        <f ca="1"/>
        <v>#NAME?</v>
      </c>
    </row>
    <row r="36" spans="1:40" x14ac:dyDescent="0.35">
      <c r="A36">
        <v>1965</v>
      </c>
      <c r="B36">
        <v>394118</v>
      </c>
      <c r="C36">
        <v>5474</v>
      </c>
      <c r="I36">
        <f t="shared" si="0"/>
        <v>33</v>
      </c>
      <c r="J36" t="e">
        <f ca="1"/>
        <v>#NAME?</v>
      </c>
      <c r="O36">
        <f t="shared" si="1"/>
        <v>33</v>
      </c>
      <c r="P36" t="e">
        <f ca="1"/>
        <v>#NAME?</v>
      </c>
      <c r="U36">
        <f t="shared" si="2"/>
        <v>33</v>
      </c>
      <c r="V36" t="e">
        <f ca="1"/>
        <v>#NAME?</v>
      </c>
      <c r="AA36">
        <f t="shared" si="3"/>
        <v>33</v>
      </c>
      <c r="AB36" t="e">
        <f ca="1"/>
        <v>#NAME?</v>
      </c>
      <c r="AG36">
        <f t="shared" si="4"/>
        <v>33</v>
      </c>
      <c r="AH36" t="e">
        <f ca="1"/>
        <v>#NAME?</v>
      </c>
      <c r="AM36">
        <f t="shared" si="5"/>
        <v>33</v>
      </c>
      <c r="AN36" t="e">
        <f ca="1"/>
        <v>#NAME?</v>
      </c>
    </row>
    <row r="37" spans="1:40" x14ac:dyDescent="0.35">
      <c r="A37">
        <v>1966</v>
      </c>
      <c r="B37">
        <v>393019</v>
      </c>
      <c r="C37">
        <v>5540</v>
      </c>
      <c r="I37">
        <f t="shared" si="0"/>
        <v>34</v>
      </c>
      <c r="J37" t="e">
        <f ca="1"/>
        <v>#NAME?</v>
      </c>
      <c r="O37">
        <f t="shared" si="1"/>
        <v>34</v>
      </c>
      <c r="P37" t="e">
        <f ca="1"/>
        <v>#NAME?</v>
      </c>
      <c r="U37">
        <f t="shared" si="2"/>
        <v>34</v>
      </c>
      <c r="V37" t="e">
        <f ca="1"/>
        <v>#NAME?</v>
      </c>
      <c r="AA37">
        <f t="shared" si="3"/>
        <v>34</v>
      </c>
      <c r="AB37" t="e">
        <f ca="1"/>
        <v>#NAME?</v>
      </c>
      <c r="AG37">
        <f t="shared" si="4"/>
        <v>34</v>
      </c>
      <c r="AH37" t="e">
        <f ca="1"/>
        <v>#NAME?</v>
      </c>
      <c r="AM37">
        <f t="shared" si="5"/>
        <v>34</v>
      </c>
      <c r="AN37" t="e">
        <f ca="1"/>
        <v>#NAME?</v>
      </c>
    </row>
    <row r="38" spans="1:40" x14ac:dyDescent="0.35">
      <c r="A38">
        <v>1967</v>
      </c>
      <c r="B38">
        <v>428746</v>
      </c>
      <c r="C38">
        <v>5836</v>
      </c>
      <c r="I38">
        <f t="shared" si="0"/>
        <v>35</v>
      </c>
      <c r="J38" t="e">
        <f ca="1"/>
        <v>#NAME?</v>
      </c>
      <c r="O38">
        <f t="shared" si="1"/>
        <v>35</v>
      </c>
      <c r="P38" t="e">
        <f ca="1"/>
        <v>#NAME?</v>
      </c>
      <c r="U38">
        <f t="shared" si="2"/>
        <v>35</v>
      </c>
      <c r="V38" t="e">
        <f ca="1"/>
        <v>#NAME?</v>
      </c>
      <c r="AA38">
        <f t="shared" si="3"/>
        <v>35</v>
      </c>
      <c r="AB38" t="e">
        <f ca="1"/>
        <v>#NAME?</v>
      </c>
      <c r="AG38">
        <f t="shared" si="4"/>
        <v>35</v>
      </c>
      <c r="AH38" t="e">
        <f ca="1"/>
        <v>#NAME?</v>
      </c>
      <c r="AM38">
        <f t="shared" si="5"/>
        <v>35</v>
      </c>
      <c r="AN38" t="e">
        <f ca="1"/>
        <v>#NAME?</v>
      </c>
    </row>
    <row r="39" spans="1:40" x14ac:dyDescent="0.35">
      <c r="A39">
        <v>1968</v>
      </c>
      <c r="B39">
        <v>425158</v>
      </c>
      <c r="C39">
        <v>5777</v>
      </c>
      <c r="I39">
        <f t="shared" si="0"/>
        <v>36</v>
      </c>
      <c r="J39" t="e">
        <f ca="1"/>
        <v>#NAME?</v>
      </c>
      <c r="O39">
        <f t="shared" si="1"/>
        <v>36</v>
      </c>
      <c r="P39" t="e">
        <f ca="1"/>
        <v>#NAME?</v>
      </c>
      <c r="U39">
        <f t="shared" si="2"/>
        <v>36</v>
      </c>
      <c r="V39" t="e">
        <f ca="1"/>
        <v>#NAME?</v>
      </c>
      <c r="AA39">
        <f t="shared" si="3"/>
        <v>36</v>
      </c>
      <c r="AB39" t="e">
        <f ca="1"/>
        <v>#NAME?</v>
      </c>
      <c r="AG39">
        <f t="shared" si="4"/>
        <v>36</v>
      </c>
      <c r="AH39" t="e">
        <f ca="1"/>
        <v>#NAME?</v>
      </c>
      <c r="AM39">
        <f t="shared" si="5"/>
        <v>36</v>
      </c>
      <c r="AN39" t="e">
        <f ca="1"/>
        <v>#NAME?</v>
      </c>
    </row>
    <row r="40" spans="1:40" x14ac:dyDescent="0.35">
      <c r="A40">
        <v>1969</v>
      </c>
      <c r="B40">
        <v>422096</v>
      </c>
      <c r="C40">
        <v>5629</v>
      </c>
      <c r="I40">
        <f t="shared" si="0"/>
        <v>37</v>
      </c>
      <c r="J40" t="e">
        <f ca="1"/>
        <v>#NAME?</v>
      </c>
      <c r="O40">
        <f t="shared" si="1"/>
        <v>37</v>
      </c>
      <c r="P40" t="e">
        <f ca="1"/>
        <v>#NAME?</v>
      </c>
      <c r="U40">
        <f t="shared" si="2"/>
        <v>37</v>
      </c>
      <c r="V40" t="e">
        <f ca="1"/>
        <v>#NAME?</v>
      </c>
      <c r="AA40">
        <f t="shared" si="3"/>
        <v>37</v>
      </c>
      <c r="AB40" t="e">
        <f ca="1"/>
        <v>#NAME?</v>
      </c>
      <c r="AG40">
        <f t="shared" si="4"/>
        <v>37</v>
      </c>
      <c r="AH40" t="e">
        <f ca="1"/>
        <v>#NAME?</v>
      </c>
      <c r="AM40">
        <f t="shared" si="5"/>
        <v>37</v>
      </c>
      <c r="AN40" t="e">
        <f ca="1"/>
        <v>#NAME?</v>
      </c>
    </row>
    <row r="41" spans="1:40" x14ac:dyDescent="0.35">
      <c r="A41" s="4">
        <v>1970</v>
      </c>
      <c r="B41" s="4">
        <v>433280</v>
      </c>
      <c r="C41" s="4">
        <v>5704</v>
      </c>
      <c r="I41">
        <f t="shared" si="0"/>
        <v>38</v>
      </c>
      <c r="J41" t="e">
        <f ca="1"/>
        <v>#NAME?</v>
      </c>
      <c r="O41">
        <f t="shared" si="1"/>
        <v>38</v>
      </c>
      <c r="P41" t="e">
        <f ca="1"/>
        <v>#NAME?</v>
      </c>
      <c r="U41">
        <f t="shared" si="2"/>
        <v>38</v>
      </c>
      <c r="V41" t="e">
        <f ca="1"/>
        <v>#NAME?</v>
      </c>
      <c r="AA41">
        <f t="shared" si="3"/>
        <v>38</v>
      </c>
      <c r="AB41" t="e">
        <f ca="1"/>
        <v>#NAME?</v>
      </c>
      <c r="AG41">
        <f t="shared" si="4"/>
        <v>38</v>
      </c>
      <c r="AH41" t="e">
        <f ca="1"/>
        <v>#NAME?</v>
      </c>
      <c r="AM41">
        <f t="shared" si="5"/>
        <v>38</v>
      </c>
      <c r="AN41" t="e">
        <f ca="1"/>
        <v>#NAME?</v>
      </c>
    </row>
    <row r="42" spans="1:40" x14ac:dyDescent="0.35">
      <c r="I42">
        <f t="shared" si="0"/>
        <v>39</v>
      </c>
      <c r="J42" t="e">
        <f ca="1"/>
        <v>#NAME?</v>
      </c>
      <c r="O42">
        <f t="shared" si="1"/>
        <v>39</v>
      </c>
      <c r="P42" t="e">
        <f ca="1"/>
        <v>#NAME?</v>
      </c>
      <c r="U42">
        <f t="shared" si="2"/>
        <v>39</v>
      </c>
      <c r="V42" t="e">
        <f ca="1"/>
        <v>#NAME?</v>
      </c>
      <c r="AA42">
        <f t="shared" si="3"/>
        <v>39</v>
      </c>
      <c r="AB42" t="e">
        <f ca="1"/>
        <v>#NAME?</v>
      </c>
      <c r="AG42">
        <f t="shared" si="4"/>
        <v>39</v>
      </c>
      <c r="AH42" t="e">
        <f ca="1"/>
        <v>#NAME?</v>
      </c>
      <c r="AM42">
        <f t="shared" si="5"/>
        <v>39</v>
      </c>
      <c r="AN42" t="e">
        <f ca="1"/>
        <v>#NAME?</v>
      </c>
    </row>
    <row r="43" spans="1:40" x14ac:dyDescent="0.35">
      <c r="I43" s="4">
        <f t="shared" si="0"/>
        <v>40</v>
      </c>
      <c r="J43" s="4" t="e">
        <f ca="1"/>
        <v>#NAME?</v>
      </c>
      <c r="O43" s="4">
        <f t="shared" si="1"/>
        <v>40</v>
      </c>
      <c r="P43" s="4" t="e">
        <f ca="1"/>
        <v>#NAME?</v>
      </c>
      <c r="U43">
        <f t="shared" si="2"/>
        <v>40</v>
      </c>
      <c r="V43" t="e">
        <f ca="1"/>
        <v>#NAME?</v>
      </c>
      <c r="AA43">
        <f t="shared" si="3"/>
        <v>40</v>
      </c>
      <c r="AB43" t="e">
        <f ca="1"/>
        <v>#NAME?</v>
      </c>
      <c r="AG43">
        <f t="shared" si="4"/>
        <v>40</v>
      </c>
      <c r="AH43" t="e">
        <f ca="1"/>
        <v>#NAME?</v>
      </c>
      <c r="AM43">
        <f t="shared" si="5"/>
        <v>40</v>
      </c>
      <c r="AN43" t="e">
        <f ca="1"/>
        <v>#NAME?</v>
      </c>
    </row>
    <row r="44" spans="1:40" x14ac:dyDescent="0.35">
      <c r="U44">
        <f t="shared" si="2"/>
        <v>41</v>
      </c>
      <c r="V44" t="e">
        <f ca="1"/>
        <v>#NAME?</v>
      </c>
      <c r="AA44">
        <f t="shared" si="3"/>
        <v>41</v>
      </c>
      <c r="AB44" t="e">
        <f ca="1"/>
        <v>#NAME?</v>
      </c>
      <c r="AG44">
        <f t="shared" si="4"/>
        <v>41</v>
      </c>
      <c r="AH44" t="e">
        <f ca="1"/>
        <v>#NAME?</v>
      </c>
      <c r="AM44">
        <f t="shared" si="5"/>
        <v>41</v>
      </c>
      <c r="AN44" t="e">
        <f ca="1"/>
        <v>#NAME?</v>
      </c>
    </row>
    <row r="45" spans="1:40" x14ac:dyDescent="0.35">
      <c r="U45" s="4">
        <f t="shared" si="2"/>
        <v>42</v>
      </c>
      <c r="V45" s="4" t="e">
        <f ca="1"/>
        <v>#NAME?</v>
      </c>
      <c r="AA45" s="4">
        <f t="shared" si="3"/>
        <v>42</v>
      </c>
      <c r="AB45" s="4" t="e">
        <f ca="1"/>
        <v>#NAME?</v>
      </c>
      <c r="AG45" s="4">
        <f t="shared" si="4"/>
        <v>42</v>
      </c>
      <c r="AH45" s="4" t="e">
        <f ca="1"/>
        <v>#NAME?</v>
      </c>
      <c r="AM45" s="4">
        <f t="shared" si="5"/>
        <v>42</v>
      </c>
      <c r="AN45" s="4" t="e">
        <f ca="1"/>
        <v>#NAME?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8"/>
  <dimension ref="A1:AQ42"/>
  <sheetViews>
    <sheetView topLeftCell="L1" workbookViewId="0">
      <selection activeCell="AE23" sqref="AE23"/>
    </sheetView>
  </sheetViews>
  <sheetFormatPr defaultRowHeight="14.5" x14ac:dyDescent="0.35"/>
  <cols>
    <col min="14" max="16" width="0" hidden="1" customWidth="1"/>
    <col min="17" max="17" width="5.1796875" customWidth="1"/>
  </cols>
  <sheetData>
    <row r="1" spans="1:43" x14ac:dyDescent="0.35">
      <c r="A1" s="10" t="s">
        <v>540</v>
      </c>
      <c r="B1" s="10" t="s">
        <v>541</v>
      </c>
      <c r="C1" s="10" t="s">
        <v>542</v>
      </c>
      <c r="F1" s="11" t="s">
        <v>543</v>
      </c>
      <c r="G1" s="11" t="s">
        <v>544</v>
      </c>
      <c r="I1" t="s">
        <v>290</v>
      </c>
      <c r="J1">
        <v>0</v>
      </c>
      <c r="L1" t="s">
        <v>299</v>
      </c>
      <c r="M1" s="137" t="s">
        <v>541</v>
      </c>
      <c r="O1" t="s">
        <v>290</v>
      </c>
      <c r="P1">
        <v>0</v>
      </c>
      <c r="R1" t="s">
        <v>299</v>
      </c>
      <c r="S1" s="137" t="s">
        <v>542</v>
      </c>
      <c r="U1" t="s">
        <v>290</v>
      </c>
      <c r="V1">
        <v>0</v>
      </c>
      <c r="X1" t="s">
        <v>299</v>
      </c>
      <c r="Y1" s="1" t="s">
        <v>541</v>
      </c>
      <c r="AA1" t="s">
        <v>290</v>
      </c>
      <c r="AB1">
        <v>0</v>
      </c>
      <c r="AD1" t="s">
        <v>299</v>
      </c>
      <c r="AE1" s="1" t="s">
        <v>542</v>
      </c>
      <c r="AG1" t="s">
        <v>290</v>
      </c>
      <c r="AH1">
        <v>0</v>
      </c>
      <c r="AJ1" t="s">
        <v>299</v>
      </c>
      <c r="AM1" t="s">
        <v>290</v>
      </c>
      <c r="AN1">
        <v>0</v>
      </c>
      <c r="AP1" t="s">
        <v>299</v>
      </c>
    </row>
    <row r="2" spans="1:43" ht="15" thickBot="1" x14ac:dyDescent="0.4">
      <c r="A2">
        <v>1931</v>
      </c>
      <c r="E2">
        <v>1</v>
      </c>
      <c r="F2" t="e" cm="1">
        <f t="array" aca="1" ref="F2" ca="1">GRANGER_TEST($B$3:$B$41,$C$3:$C$41,$E2)</f>
        <v>#NAME?</v>
      </c>
      <c r="G2" t="e" cm="1">
        <f t="array" aca="1" ref="G2" ca="1">GRANGER_TEST($C$3:$C$41,$B$3:$B$41,$E2)</f>
        <v>#NAME?</v>
      </c>
    </row>
    <row r="3" spans="1:43" ht="15" thickTop="1" x14ac:dyDescent="0.35">
      <c r="A3">
        <v>1932</v>
      </c>
      <c r="B3">
        <f>'Granger 1'!B3-'Granger 1'!B2</f>
        <v>-12928</v>
      </c>
      <c r="C3">
        <f>'Granger 1'!C3-'Granger 1'!C2</f>
        <v>-205</v>
      </c>
      <c r="E3">
        <v>2</v>
      </c>
      <c r="F3" t="e" cm="1">
        <f t="array" aca="1" ref="F3" ca="1">GRANGER_TEST($B$3:$B$41,$C$3:$C$41,$E3)</f>
        <v>#NAME?</v>
      </c>
      <c r="G3" t="e" cm="1">
        <f t="array" aca="1" ref="G3" ca="1">GRANGER_TEST($C$3:$C$41,$B$3:$B$41,$E3)</f>
        <v>#NAME?</v>
      </c>
      <c r="I3" s="45" t="s">
        <v>291</v>
      </c>
      <c r="J3" s="45" t="s">
        <v>194</v>
      </c>
      <c r="L3" t="s">
        <v>300</v>
      </c>
      <c r="M3" s="189" t="s">
        <v>303</v>
      </c>
      <c r="O3" s="45" t="s">
        <v>291</v>
      </c>
      <c r="P3" s="45" t="s">
        <v>194</v>
      </c>
      <c r="R3" t="s">
        <v>300</v>
      </c>
      <c r="S3" s="189" t="s">
        <v>303</v>
      </c>
      <c r="U3" s="45" t="s">
        <v>291</v>
      </c>
      <c r="V3" s="45" t="s">
        <v>194</v>
      </c>
      <c r="X3" t="s">
        <v>300</v>
      </c>
      <c r="Y3" s="189" t="s">
        <v>303</v>
      </c>
      <c r="AA3" s="45" t="s">
        <v>291</v>
      </c>
      <c r="AB3" s="45" t="s">
        <v>194</v>
      </c>
      <c r="AD3" t="s">
        <v>300</v>
      </c>
      <c r="AE3" s="189" t="s">
        <v>303</v>
      </c>
      <c r="AG3" s="45" t="s">
        <v>291</v>
      </c>
      <c r="AH3" s="45" t="s">
        <v>194</v>
      </c>
      <c r="AJ3" t="s">
        <v>300</v>
      </c>
      <c r="AK3" s="189" t="s">
        <v>303</v>
      </c>
      <c r="AM3" s="45" t="s">
        <v>291</v>
      </c>
      <c r="AN3" s="45" t="s">
        <v>194</v>
      </c>
      <c r="AP3" t="s">
        <v>300</v>
      </c>
      <c r="AQ3" s="189" t="s">
        <v>303</v>
      </c>
    </row>
    <row r="4" spans="1:43" x14ac:dyDescent="0.35">
      <c r="A4">
        <v>1933</v>
      </c>
      <c r="B4">
        <f>'Granger 1'!B4-'Granger 1'!B3</f>
        <v>7708</v>
      </c>
      <c r="C4">
        <f>'Granger 1'!C4-'Granger 1'!C3</f>
        <v>-72</v>
      </c>
      <c r="E4">
        <v>3</v>
      </c>
      <c r="F4" t="e" cm="1">
        <f t="array" aca="1" ref="F4" ca="1">GRANGER_TEST($B$3:$B$41,$C$3:$C$41,$E4)</f>
        <v>#NAME?</v>
      </c>
      <c r="G4" t="e" cm="1">
        <f t="array" aca="1" ref="G4" ca="1">GRANGER_TEST($C$3:$C$41,$B$3:$B$41,$E4)</f>
        <v>#NAME?</v>
      </c>
      <c r="I4">
        <v>1</v>
      </c>
      <c r="J4" t="e">
        <f t="array" aca="1" ref="J4:J42" ca="1">ADIFF(B3:B41,J1)</f>
        <v>#NAME?</v>
      </c>
      <c r="L4" t="s">
        <v>301</v>
      </c>
      <c r="M4" s="106" t="s">
        <v>305</v>
      </c>
      <c r="O4">
        <v>1</v>
      </c>
      <c r="P4" t="e">
        <f t="array" aca="1" ref="P4:P42" ca="1">ADIFF(C3:C41,P1)</f>
        <v>#NAME?</v>
      </c>
      <c r="R4" t="s">
        <v>301</v>
      </c>
      <c r="S4" s="106" t="s">
        <v>305</v>
      </c>
      <c r="U4">
        <v>1</v>
      </c>
      <c r="V4" t="e">
        <f t="array" aca="1" ref="V4:V42" ca="1">ADIFF(B3:B41,V1)</f>
        <v>#NAME?</v>
      </c>
      <c r="X4" t="s">
        <v>301</v>
      </c>
      <c r="Y4" s="106" t="s">
        <v>304</v>
      </c>
      <c r="AA4">
        <v>1</v>
      </c>
      <c r="AB4" t="e">
        <f t="array" aca="1" ref="AB4:AB42" ca="1">ADIFF(C3:C41,AB1)</f>
        <v>#NAME?</v>
      </c>
      <c r="AD4" t="s">
        <v>301</v>
      </c>
      <c r="AE4" s="106" t="s">
        <v>304</v>
      </c>
      <c r="AG4">
        <v>1</v>
      </c>
      <c r="AH4" t="e">
        <f t="array" aca="1" ref="AH4:AH42" ca="1">ADIFF(B3:B41,AH1)</f>
        <v>#NAME?</v>
      </c>
      <c r="AJ4" t="s">
        <v>301</v>
      </c>
      <c r="AK4" s="106" t="s">
        <v>304</v>
      </c>
      <c r="AM4">
        <v>1</v>
      </c>
      <c r="AN4" t="e">
        <f t="array" aca="1" ref="AN4:AN42" ca="1">ADIFF(C3:C41,AN1)</f>
        <v>#NAME?</v>
      </c>
      <c r="AP4" t="s">
        <v>301</v>
      </c>
      <c r="AQ4" s="106" t="s">
        <v>304</v>
      </c>
    </row>
    <row r="5" spans="1:43" x14ac:dyDescent="0.35">
      <c r="A5">
        <v>1934</v>
      </c>
      <c r="B5">
        <f>'Granger 1'!B5-'Granger 1'!B4</f>
        <v>-10586</v>
      </c>
      <c r="C5">
        <f>'Granger 1'!C5-'Granger 1'!C4</f>
        <v>-99</v>
      </c>
      <c r="E5">
        <v>4</v>
      </c>
      <c r="F5" t="e" cm="1">
        <f t="array" aca="1" ref="F5" ca="1">GRANGER_TEST($B$3:$B$41,$C$3:$C$41,$E5)</f>
        <v>#NAME?</v>
      </c>
      <c r="G5" t="e" cm="1">
        <f t="array" aca="1" ref="G5" ca="1">GRANGER_TEST($C$3:$C$41,$B$3:$B$41,$E5)</f>
        <v>#NAME?</v>
      </c>
      <c r="I5">
        <f>I4+1</f>
        <v>2</v>
      </c>
      <c r="J5" t="e">
        <f ca="1"/>
        <v>#NAME?</v>
      </c>
      <c r="L5" t="s">
        <v>302</v>
      </c>
      <c r="M5" s="106" t="s">
        <v>305</v>
      </c>
      <c r="O5">
        <f>O4+1</f>
        <v>2</v>
      </c>
      <c r="P5" t="e">
        <f ca="1"/>
        <v>#NAME?</v>
      </c>
      <c r="R5" t="s">
        <v>302</v>
      </c>
      <c r="S5" s="106" t="s">
        <v>305</v>
      </c>
      <c r="U5">
        <f>U4+1</f>
        <v>2</v>
      </c>
      <c r="V5" t="e">
        <f ca="1"/>
        <v>#NAME?</v>
      </c>
      <c r="X5" t="s">
        <v>302</v>
      </c>
      <c r="Y5" s="106" t="s">
        <v>305</v>
      </c>
      <c r="AA5">
        <f>AA4+1</f>
        <v>2</v>
      </c>
      <c r="AB5" t="e">
        <f ca="1"/>
        <v>#NAME?</v>
      </c>
      <c r="AD5" t="s">
        <v>302</v>
      </c>
      <c r="AE5" s="106" t="s">
        <v>305</v>
      </c>
      <c r="AG5">
        <f>AG4+1</f>
        <v>2</v>
      </c>
      <c r="AH5" t="e">
        <f ca="1"/>
        <v>#NAME?</v>
      </c>
      <c r="AJ5" t="s">
        <v>302</v>
      </c>
      <c r="AK5" s="106" t="s">
        <v>304</v>
      </c>
      <c r="AM5">
        <f>AM4+1</f>
        <v>2</v>
      </c>
      <c r="AN5" t="e">
        <f ca="1"/>
        <v>#NAME?</v>
      </c>
      <c r="AP5" t="s">
        <v>302</v>
      </c>
      <c r="AQ5" s="106" t="s">
        <v>304</v>
      </c>
    </row>
    <row r="6" spans="1:43" x14ac:dyDescent="0.35">
      <c r="A6">
        <v>1935</v>
      </c>
      <c r="B6">
        <f>'Granger 1'!B6-'Granger 1'!B5</f>
        <v>-43979</v>
      </c>
      <c r="C6">
        <f>'Granger 1'!C6-'Granger 1'!C5</f>
        <v>-75</v>
      </c>
      <c r="I6">
        <f t="shared" ref="I6:I42" si="0">I5+1</f>
        <v>3</v>
      </c>
      <c r="J6" t="e">
        <f ca="1"/>
        <v>#NAME?</v>
      </c>
      <c r="L6" t="s">
        <v>293</v>
      </c>
      <c r="M6" s="107">
        <f ca="1">IF(M3&lt;&gt;"schwert",0,ROUND(12*(COUNT(J4:J43)/100)^(1/4),0))</f>
        <v>0</v>
      </c>
      <c r="O6">
        <f t="shared" ref="O6:O42" si="1">O5+1</f>
        <v>3</v>
      </c>
      <c r="P6" t="e">
        <f ca="1"/>
        <v>#NAME?</v>
      </c>
      <c r="R6" t="s">
        <v>293</v>
      </c>
      <c r="S6" s="107">
        <f ca="1">IF(S3&lt;&gt;"schwert",0,ROUND(12*(COUNT(P4:P43)/100)^(1/4),0))</f>
        <v>0</v>
      </c>
      <c r="U6">
        <f t="shared" ref="U6:U42" si="2">U5+1</f>
        <v>3</v>
      </c>
      <c r="V6" t="e">
        <f ca="1"/>
        <v>#NAME?</v>
      </c>
      <c r="X6" t="s">
        <v>293</v>
      </c>
      <c r="Y6" s="107">
        <f ca="1">IF(Y3&lt;&gt;"schwert",0,ROUND(12*(COUNT(V4:V45)/100)^(1/4),0))</f>
        <v>0</v>
      </c>
      <c r="AA6">
        <f t="shared" ref="AA6:AA42" si="3">AA5+1</f>
        <v>3</v>
      </c>
      <c r="AB6" t="e">
        <f ca="1"/>
        <v>#NAME?</v>
      </c>
      <c r="AD6" t="s">
        <v>293</v>
      </c>
      <c r="AE6" s="107">
        <f ca="1">IF(AE3&lt;&gt;"schwert",0,ROUND(12*(COUNT(AB4:AB45)/100)^(1/4),0))</f>
        <v>0</v>
      </c>
      <c r="AG6">
        <f t="shared" ref="AG6:AG42" si="4">AG5+1</f>
        <v>3</v>
      </c>
      <c r="AH6" t="e">
        <f ca="1"/>
        <v>#NAME?</v>
      </c>
      <c r="AJ6" t="s">
        <v>293</v>
      </c>
      <c r="AK6" s="107">
        <f ca="1">IF(AK3&lt;&gt;"schwert",0,ROUND(12*(COUNT(AH4:AH45)/100)^(1/4),0))</f>
        <v>0</v>
      </c>
      <c r="AM6">
        <f t="shared" ref="AM6:AM42" si="5">AM5+1</f>
        <v>3</v>
      </c>
      <c r="AN6" t="e">
        <f ca="1"/>
        <v>#NAME?</v>
      </c>
      <c r="AP6" t="s">
        <v>293</v>
      </c>
      <c r="AQ6" s="107">
        <f ca="1">IF(AQ3&lt;&gt;"schwert",0,ROUND(12*(COUNT(AN4:AN45)/100)^(1/4),0))</f>
        <v>0</v>
      </c>
    </row>
    <row r="7" spans="1:43" x14ac:dyDescent="0.35">
      <c r="A7">
        <v>1936</v>
      </c>
      <c r="B7">
        <f>'Granger 1'!B7-'Granger 1'!B6</f>
        <v>13488</v>
      </c>
      <c r="C7">
        <f>'Granger 1'!C7-'Granger 1'!C6</f>
        <v>85</v>
      </c>
      <c r="I7">
        <f t="shared" si="0"/>
        <v>4</v>
      </c>
      <c r="J7" t="e">
        <f ca="1"/>
        <v>#NAME?</v>
      </c>
      <c r="L7" t="s">
        <v>10</v>
      </c>
      <c r="M7" s="108">
        <v>0.05</v>
      </c>
      <c r="O7">
        <f t="shared" si="1"/>
        <v>4</v>
      </c>
      <c r="P7" t="e">
        <f ca="1"/>
        <v>#NAME?</v>
      </c>
      <c r="R7" t="s">
        <v>10</v>
      </c>
      <c r="S7" s="108">
        <v>0.05</v>
      </c>
      <c r="U7">
        <f t="shared" si="2"/>
        <v>4</v>
      </c>
      <c r="V7" t="e">
        <f ca="1"/>
        <v>#NAME?</v>
      </c>
      <c r="X7" t="s">
        <v>10</v>
      </c>
      <c r="Y7" s="108">
        <v>0.05</v>
      </c>
      <c r="AA7">
        <f t="shared" si="3"/>
        <v>4</v>
      </c>
      <c r="AB7" t="e">
        <f ca="1"/>
        <v>#NAME?</v>
      </c>
      <c r="AD7" t="s">
        <v>10</v>
      </c>
      <c r="AE7" s="108">
        <v>0.05</v>
      </c>
      <c r="AG7">
        <f t="shared" si="4"/>
        <v>4</v>
      </c>
      <c r="AH7" t="e">
        <f ca="1"/>
        <v>#NAME?</v>
      </c>
      <c r="AJ7" t="s">
        <v>10</v>
      </c>
      <c r="AK7" s="108">
        <v>0.05</v>
      </c>
      <c r="AM7">
        <f t="shared" si="5"/>
        <v>4</v>
      </c>
      <c r="AN7" t="e">
        <f ca="1"/>
        <v>#NAME?</v>
      </c>
      <c r="AP7" t="s">
        <v>10</v>
      </c>
      <c r="AQ7" s="108">
        <v>0.05</v>
      </c>
    </row>
    <row r="8" spans="1:43" x14ac:dyDescent="0.35">
      <c r="A8">
        <v>1937</v>
      </c>
      <c r="B8">
        <f>'Granger 1'!B8-'Granger 1'!B7</f>
        <v>20475</v>
      </c>
      <c r="C8">
        <f>'Granger 1'!C8-'Granger 1'!C7</f>
        <v>277</v>
      </c>
      <c r="I8">
        <f t="shared" si="0"/>
        <v>5</v>
      </c>
      <c r="J8" t="e">
        <f ca="1"/>
        <v>#NAME?</v>
      </c>
      <c r="O8">
        <f t="shared" si="1"/>
        <v>5</v>
      </c>
      <c r="P8" t="e">
        <f ca="1"/>
        <v>#NAME?</v>
      </c>
      <c r="U8">
        <f t="shared" si="2"/>
        <v>5</v>
      </c>
      <c r="V8" t="e">
        <f ca="1"/>
        <v>#NAME?</v>
      </c>
      <c r="AA8">
        <f t="shared" si="3"/>
        <v>5</v>
      </c>
      <c r="AB8" t="e">
        <f ca="1"/>
        <v>#NAME?</v>
      </c>
      <c r="AG8">
        <f t="shared" si="4"/>
        <v>5</v>
      </c>
      <c r="AH8" t="e">
        <f ca="1"/>
        <v>#NAME?</v>
      </c>
      <c r="AM8">
        <f t="shared" si="5"/>
        <v>5</v>
      </c>
      <c r="AN8" t="e">
        <f ca="1"/>
        <v>#NAME?</v>
      </c>
    </row>
    <row r="9" spans="1:43" x14ac:dyDescent="0.35">
      <c r="A9">
        <v>1938</v>
      </c>
      <c r="B9">
        <f>'Granger 1'!B9-'Granger 1'!B8</f>
        <v>-34297</v>
      </c>
      <c r="C9">
        <f>'Granger 1'!C9-'Granger 1'!C8</f>
        <v>-19</v>
      </c>
      <c r="I9">
        <f t="shared" si="0"/>
        <v>6</v>
      </c>
      <c r="J9" t="e">
        <f ca="1"/>
        <v>#NAME?</v>
      </c>
      <c r="L9" t="e">
        <f t="array" aca="1" ref="L9:M16" ca="1">ADFTEST(J4:J43,TRUE,M6,M3,0,M7)</f>
        <v>#NAME?</v>
      </c>
      <c r="M9" s="151" t="e">
        <f ca="1"/>
        <v>#NAME?</v>
      </c>
      <c r="O9">
        <f t="shared" si="1"/>
        <v>6</v>
      </c>
      <c r="P9" t="e">
        <f ca="1"/>
        <v>#NAME?</v>
      </c>
      <c r="R9" t="e">
        <f t="array" aca="1" ref="R9:S16" ca="1">ADFTEST(P4:P43,TRUE,S6,S3,0,S7)</f>
        <v>#NAME?</v>
      </c>
      <c r="S9" s="151" t="e">
        <f ca="1"/>
        <v>#NAME?</v>
      </c>
      <c r="U9">
        <f t="shared" si="2"/>
        <v>6</v>
      </c>
      <c r="V9" t="e">
        <f ca="1"/>
        <v>#NAME?</v>
      </c>
      <c r="X9" t="e">
        <f t="array" aca="1" ref="X9:Y16" ca="1">ADFTEST(V4:V45,TRUE,Y6,Y3,1,Y7)</f>
        <v>#NAME?</v>
      </c>
      <c r="Y9" s="151" t="e">
        <f ca="1"/>
        <v>#NAME?</v>
      </c>
      <c r="AA9">
        <f t="shared" si="3"/>
        <v>6</v>
      </c>
      <c r="AB9" t="e">
        <f ca="1"/>
        <v>#NAME?</v>
      </c>
      <c r="AD9" t="e">
        <f t="array" aca="1" ref="AD9:AE16" ca="1">ADFTEST(AB4:AB45,TRUE,AE6,AE3,1,AE7)</f>
        <v>#NAME?</v>
      </c>
      <c r="AE9" s="151" t="e">
        <f ca="1"/>
        <v>#NAME?</v>
      </c>
      <c r="AG9">
        <f t="shared" si="4"/>
        <v>6</v>
      </c>
      <c r="AH9" t="e">
        <f ca="1"/>
        <v>#NAME?</v>
      </c>
      <c r="AJ9" t="e">
        <f t="array" aca="1" ref="AJ9:AK16" ca="1">ADFTEST(AH4:AH45,TRUE,AK6,AK3,2,AK7)</f>
        <v>#NAME?</v>
      </c>
      <c r="AK9" s="151" t="e">
        <f ca="1"/>
        <v>#NAME?</v>
      </c>
      <c r="AM9">
        <f t="shared" si="5"/>
        <v>6</v>
      </c>
      <c r="AN9" t="e">
        <f ca="1"/>
        <v>#NAME?</v>
      </c>
      <c r="AP9" t="e">
        <f t="array" aca="1" ref="AP9:AQ16" ca="1">ADFTEST(AN4:AN45,TRUE,AQ6,AQ3,2,AQ7)</f>
        <v>#NAME?</v>
      </c>
      <c r="AQ9" s="151" t="e">
        <f ca="1"/>
        <v>#NAME?</v>
      </c>
    </row>
    <row r="10" spans="1:43" x14ac:dyDescent="0.35">
      <c r="A10">
        <v>1939</v>
      </c>
      <c r="B10">
        <f>'Granger 1'!B10-'Granger 1'!B9</f>
        <v>28967</v>
      </c>
      <c r="C10">
        <f>'Granger 1'!C10-'Granger 1'!C9</f>
        <v>137</v>
      </c>
      <c r="I10">
        <f t="shared" si="0"/>
        <v>7</v>
      </c>
      <c r="J10" t="e">
        <f ca="1"/>
        <v>#NAME?</v>
      </c>
      <c r="L10" t="e">
        <f ca="1"/>
        <v>#NAME?</v>
      </c>
      <c r="M10" s="107" t="e">
        <f ca="1"/>
        <v>#NAME?</v>
      </c>
      <c r="O10">
        <f t="shared" si="1"/>
        <v>7</v>
      </c>
      <c r="P10" t="e">
        <f ca="1"/>
        <v>#NAME?</v>
      </c>
      <c r="R10" t="e">
        <f ca="1"/>
        <v>#NAME?</v>
      </c>
      <c r="S10" s="107" t="e">
        <f ca="1"/>
        <v>#NAME?</v>
      </c>
      <c r="U10">
        <f t="shared" si="2"/>
        <v>7</v>
      </c>
      <c r="V10" t="e">
        <f ca="1"/>
        <v>#NAME?</v>
      </c>
      <c r="X10" t="e">
        <f ca="1"/>
        <v>#NAME?</v>
      </c>
      <c r="Y10" s="107" t="e">
        <f ca="1"/>
        <v>#NAME?</v>
      </c>
      <c r="AA10">
        <f t="shared" si="3"/>
        <v>7</v>
      </c>
      <c r="AB10" t="e">
        <f ca="1"/>
        <v>#NAME?</v>
      </c>
      <c r="AD10" t="e">
        <f ca="1"/>
        <v>#NAME?</v>
      </c>
      <c r="AE10" s="107" t="e">
        <f ca="1"/>
        <v>#NAME?</v>
      </c>
      <c r="AG10">
        <f t="shared" si="4"/>
        <v>7</v>
      </c>
      <c r="AH10" t="e">
        <f ca="1"/>
        <v>#NAME?</v>
      </c>
      <c r="AJ10" t="e">
        <f ca="1"/>
        <v>#NAME?</v>
      </c>
      <c r="AK10" s="107" t="e">
        <f ca="1"/>
        <v>#NAME?</v>
      </c>
      <c r="AM10">
        <f t="shared" si="5"/>
        <v>7</v>
      </c>
      <c r="AN10" t="e">
        <f ca="1"/>
        <v>#NAME?</v>
      </c>
      <c r="AP10" t="e">
        <f ca="1"/>
        <v>#NAME?</v>
      </c>
      <c r="AQ10" s="107" t="e">
        <f ca="1"/>
        <v>#NAME?</v>
      </c>
    </row>
    <row r="11" spans="1:43" x14ac:dyDescent="0.35">
      <c r="A11">
        <v>1940</v>
      </c>
      <c r="B11">
        <f>'Granger 1'!B11-'Granger 1'!B10</f>
        <v>19697</v>
      </c>
      <c r="C11">
        <f>'Granger 1'!C11-'Granger 1'!C10</f>
        <v>79</v>
      </c>
      <c r="I11">
        <f t="shared" si="0"/>
        <v>8</v>
      </c>
      <c r="J11" t="e">
        <f ca="1"/>
        <v>#NAME?</v>
      </c>
      <c r="L11" t="e">
        <f ca="1"/>
        <v>#NAME?</v>
      </c>
      <c r="M11" s="106" t="e">
        <f ca="1"/>
        <v>#NAME?</v>
      </c>
      <c r="O11">
        <f t="shared" si="1"/>
        <v>8</v>
      </c>
      <c r="P11" t="e">
        <f ca="1"/>
        <v>#NAME?</v>
      </c>
      <c r="R11" t="e">
        <f ca="1"/>
        <v>#NAME?</v>
      </c>
      <c r="S11" s="106" t="e">
        <f ca="1"/>
        <v>#NAME?</v>
      </c>
      <c r="U11">
        <f t="shared" si="2"/>
        <v>8</v>
      </c>
      <c r="V11" t="e">
        <f ca="1"/>
        <v>#NAME?</v>
      </c>
      <c r="X11" t="e">
        <f ca="1"/>
        <v>#NAME?</v>
      </c>
      <c r="Y11" s="106" t="e">
        <f ca="1"/>
        <v>#NAME?</v>
      </c>
      <c r="AA11">
        <f t="shared" si="3"/>
        <v>8</v>
      </c>
      <c r="AB11" t="e">
        <f ca="1"/>
        <v>#NAME?</v>
      </c>
      <c r="AD11" t="e">
        <f ca="1"/>
        <v>#NAME?</v>
      </c>
      <c r="AE11" s="106" t="e">
        <f ca="1"/>
        <v>#NAME?</v>
      </c>
      <c r="AG11">
        <f t="shared" si="4"/>
        <v>8</v>
      </c>
      <c r="AH11" t="e">
        <f ca="1"/>
        <v>#NAME?</v>
      </c>
      <c r="AJ11" t="e">
        <f ca="1"/>
        <v>#NAME?</v>
      </c>
      <c r="AK11" s="106" t="e">
        <f ca="1"/>
        <v>#NAME?</v>
      </c>
      <c r="AM11">
        <f t="shared" si="5"/>
        <v>8</v>
      </c>
      <c r="AN11" t="e">
        <f ca="1"/>
        <v>#NAME?</v>
      </c>
      <c r="AP11" t="e">
        <f ca="1"/>
        <v>#NAME?</v>
      </c>
      <c r="AQ11" s="106" t="e">
        <f ca="1"/>
        <v>#NAME?</v>
      </c>
    </row>
    <row r="12" spans="1:43" x14ac:dyDescent="0.35">
      <c r="A12">
        <v>1941</v>
      </c>
      <c r="B12">
        <f>'Granger 1'!B12-'Granger 1'!B11</f>
        <v>-15447</v>
      </c>
      <c r="C12">
        <f>'Granger 1'!C12-'Granger 1'!C11</f>
        <v>200</v>
      </c>
      <c r="I12">
        <f t="shared" si="0"/>
        <v>9</v>
      </c>
      <c r="J12" t="e">
        <f ca="1"/>
        <v>#NAME?</v>
      </c>
      <c r="L12" t="e">
        <f ca="1"/>
        <v>#NAME?</v>
      </c>
      <c r="M12" s="107" t="e">
        <f ca="1"/>
        <v>#NAME?</v>
      </c>
      <c r="O12">
        <f t="shared" si="1"/>
        <v>9</v>
      </c>
      <c r="P12" t="e">
        <f ca="1"/>
        <v>#NAME?</v>
      </c>
      <c r="R12" t="e">
        <f ca="1"/>
        <v>#NAME?</v>
      </c>
      <c r="S12" s="107" t="e">
        <f ca="1"/>
        <v>#NAME?</v>
      </c>
      <c r="U12">
        <f t="shared" si="2"/>
        <v>9</v>
      </c>
      <c r="V12" t="e">
        <f ca="1"/>
        <v>#NAME?</v>
      </c>
      <c r="X12" t="e">
        <f ca="1"/>
        <v>#NAME?</v>
      </c>
      <c r="Y12" s="107" t="e">
        <f ca="1"/>
        <v>#NAME?</v>
      </c>
      <c r="AA12">
        <f t="shared" si="3"/>
        <v>9</v>
      </c>
      <c r="AB12" t="e">
        <f ca="1"/>
        <v>#NAME?</v>
      </c>
      <c r="AD12" t="e">
        <f ca="1"/>
        <v>#NAME?</v>
      </c>
      <c r="AE12" s="107" t="e">
        <f ca="1"/>
        <v>#NAME?</v>
      </c>
      <c r="AG12">
        <f t="shared" si="4"/>
        <v>9</v>
      </c>
      <c r="AH12" t="e">
        <f ca="1"/>
        <v>#NAME?</v>
      </c>
      <c r="AJ12" t="e">
        <f ca="1"/>
        <v>#NAME?</v>
      </c>
      <c r="AK12" s="107" t="e">
        <f ca="1"/>
        <v>#NAME?</v>
      </c>
      <c r="AM12">
        <f t="shared" si="5"/>
        <v>9</v>
      </c>
      <c r="AN12" t="e">
        <f ca="1"/>
        <v>#NAME?</v>
      </c>
      <c r="AP12" t="e">
        <f ca="1"/>
        <v>#NAME?</v>
      </c>
      <c r="AQ12" s="107" t="e">
        <f ca="1"/>
        <v>#NAME?</v>
      </c>
    </row>
    <row r="13" spans="1:43" x14ac:dyDescent="0.35">
      <c r="A13">
        <v>1942</v>
      </c>
      <c r="B13">
        <f>'Granger 1'!B13-'Granger 1'!B12</f>
        <v>54094</v>
      </c>
      <c r="C13">
        <f>'Granger 1'!C13-'Granger 1'!C12</f>
        <v>616</v>
      </c>
      <c r="I13">
        <f t="shared" si="0"/>
        <v>10</v>
      </c>
      <c r="J13" t="e">
        <f ca="1"/>
        <v>#NAME?</v>
      </c>
      <c r="L13" t="e">
        <f ca="1"/>
        <v>#NAME?</v>
      </c>
      <c r="M13" s="107" t="e">
        <f ca="1"/>
        <v>#NAME?</v>
      </c>
      <c r="O13">
        <f t="shared" si="1"/>
        <v>10</v>
      </c>
      <c r="P13" t="e">
        <f ca="1"/>
        <v>#NAME?</v>
      </c>
      <c r="R13" t="e">
        <f ca="1"/>
        <v>#NAME?</v>
      </c>
      <c r="S13" s="107" t="e">
        <f ca="1"/>
        <v>#NAME?</v>
      </c>
      <c r="U13">
        <f t="shared" si="2"/>
        <v>10</v>
      </c>
      <c r="V13" t="e">
        <f ca="1"/>
        <v>#NAME?</v>
      </c>
      <c r="X13" t="e">
        <f ca="1"/>
        <v>#NAME?</v>
      </c>
      <c r="Y13" s="107" t="e">
        <f ca="1"/>
        <v>#NAME?</v>
      </c>
      <c r="AA13">
        <f t="shared" si="3"/>
        <v>10</v>
      </c>
      <c r="AB13" t="e">
        <f ca="1"/>
        <v>#NAME?</v>
      </c>
      <c r="AD13" t="e">
        <f ca="1"/>
        <v>#NAME?</v>
      </c>
      <c r="AE13" s="107" t="e">
        <f ca="1"/>
        <v>#NAME?</v>
      </c>
      <c r="AG13">
        <f t="shared" si="4"/>
        <v>10</v>
      </c>
      <c r="AH13" t="e">
        <f ca="1"/>
        <v>#NAME?</v>
      </c>
      <c r="AJ13" t="e">
        <f ca="1"/>
        <v>#NAME?</v>
      </c>
      <c r="AK13" s="107" t="e">
        <f ca="1"/>
        <v>#NAME?</v>
      </c>
      <c r="AM13">
        <f t="shared" si="5"/>
        <v>10</v>
      </c>
      <c r="AN13" t="e">
        <f ca="1"/>
        <v>#NAME?</v>
      </c>
      <c r="AP13" t="e">
        <f ca="1"/>
        <v>#NAME?</v>
      </c>
      <c r="AQ13" s="107" t="e">
        <f ca="1"/>
        <v>#NAME?</v>
      </c>
    </row>
    <row r="14" spans="1:43" x14ac:dyDescent="0.35">
      <c r="A14">
        <v>1943</v>
      </c>
      <c r="B14">
        <f>'Granger 1'!B14-'Granger 1'!B13</f>
        <v>65112</v>
      </c>
      <c r="C14">
        <f>'Granger 1'!C14-'Granger 1'!C13</f>
        <v>544</v>
      </c>
      <c r="I14">
        <f t="shared" si="0"/>
        <v>11</v>
      </c>
      <c r="J14" t="e">
        <f ca="1"/>
        <v>#NAME?</v>
      </c>
      <c r="L14" t="e">
        <f ca="1"/>
        <v>#NAME?</v>
      </c>
      <c r="M14" s="107" t="e">
        <f ca="1"/>
        <v>#NAME?</v>
      </c>
      <c r="O14">
        <f t="shared" si="1"/>
        <v>11</v>
      </c>
      <c r="P14" t="e">
        <f ca="1"/>
        <v>#NAME?</v>
      </c>
      <c r="R14" t="e">
        <f ca="1"/>
        <v>#NAME?</v>
      </c>
      <c r="S14" s="107" t="e">
        <f ca="1"/>
        <v>#NAME?</v>
      </c>
      <c r="U14">
        <f t="shared" si="2"/>
        <v>11</v>
      </c>
      <c r="V14" t="e">
        <f ca="1"/>
        <v>#NAME?</v>
      </c>
      <c r="X14" t="e">
        <f ca="1"/>
        <v>#NAME?</v>
      </c>
      <c r="Y14" s="107" t="e">
        <f ca="1"/>
        <v>#NAME?</v>
      </c>
      <c r="AA14">
        <f t="shared" si="3"/>
        <v>11</v>
      </c>
      <c r="AB14" t="e">
        <f ca="1"/>
        <v>#NAME?</v>
      </c>
      <c r="AD14" t="e">
        <f ca="1"/>
        <v>#NAME?</v>
      </c>
      <c r="AE14" s="107" t="e">
        <f ca="1"/>
        <v>#NAME?</v>
      </c>
      <c r="AG14">
        <f t="shared" si="4"/>
        <v>11</v>
      </c>
      <c r="AH14" t="e">
        <f ca="1"/>
        <v>#NAME?</v>
      </c>
      <c r="AJ14" t="e">
        <f ca="1"/>
        <v>#NAME?</v>
      </c>
      <c r="AK14" s="107" t="e">
        <f ca="1"/>
        <v>#NAME?</v>
      </c>
      <c r="AM14">
        <f t="shared" si="5"/>
        <v>11</v>
      </c>
      <c r="AN14" t="e">
        <f ca="1"/>
        <v>#NAME?</v>
      </c>
      <c r="AP14" t="e">
        <f ca="1"/>
        <v>#NAME?</v>
      </c>
      <c r="AQ14" s="107" t="e">
        <f ca="1"/>
        <v>#NAME?</v>
      </c>
    </row>
    <row r="15" spans="1:43" x14ac:dyDescent="0.35">
      <c r="A15">
        <v>1944</v>
      </c>
      <c r="B15">
        <f>'Granger 1'!B15-'Granger 1'!B14</f>
        <v>40150</v>
      </c>
      <c r="C15">
        <f>'Granger 1'!C15-'Granger 1'!C14</f>
        <v>366</v>
      </c>
      <c r="I15">
        <f t="shared" si="0"/>
        <v>12</v>
      </c>
      <c r="J15" t="e">
        <f ca="1"/>
        <v>#NAME?</v>
      </c>
      <c r="L15" t="e">
        <f ca="1"/>
        <v>#NAME?</v>
      </c>
      <c r="M15" s="107" t="e">
        <f ca="1"/>
        <v>#NAME?</v>
      </c>
      <c r="O15">
        <f t="shared" si="1"/>
        <v>12</v>
      </c>
      <c r="P15" t="e">
        <f ca="1"/>
        <v>#NAME?</v>
      </c>
      <c r="R15" t="e">
        <f ca="1"/>
        <v>#NAME?</v>
      </c>
      <c r="S15" s="107" t="e">
        <f ca="1"/>
        <v>#NAME?</v>
      </c>
      <c r="U15">
        <f t="shared" si="2"/>
        <v>12</v>
      </c>
      <c r="V15" t="e">
        <f ca="1"/>
        <v>#NAME?</v>
      </c>
      <c r="X15" t="e">
        <f ca="1"/>
        <v>#NAME?</v>
      </c>
      <c r="Y15" s="107" t="e">
        <f ca="1"/>
        <v>#NAME?</v>
      </c>
      <c r="AA15">
        <f t="shared" si="3"/>
        <v>12</v>
      </c>
      <c r="AB15" t="e">
        <f ca="1"/>
        <v>#NAME?</v>
      </c>
      <c r="AD15" t="e">
        <f ca="1"/>
        <v>#NAME?</v>
      </c>
      <c r="AE15" s="107" t="e">
        <f ca="1"/>
        <v>#NAME?</v>
      </c>
      <c r="AG15">
        <f t="shared" si="4"/>
        <v>12</v>
      </c>
      <c r="AH15" t="e">
        <f ca="1"/>
        <v>#NAME?</v>
      </c>
      <c r="AJ15" t="e">
        <f ca="1"/>
        <v>#NAME?</v>
      </c>
      <c r="AK15" s="107" t="e">
        <f ca="1"/>
        <v>#NAME?</v>
      </c>
      <c r="AM15">
        <f t="shared" si="5"/>
        <v>12</v>
      </c>
      <c r="AN15" t="e">
        <f ca="1"/>
        <v>#NAME?</v>
      </c>
      <c r="AP15" t="e">
        <f ca="1"/>
        <v>#NAME?</v>
      </c>
      <c r="AQ15" s="107" t="e">
        <f ca="1"/>
        <v>#NAME?</v>
      </c>
    </row>
    <row r="16" spans="1:43" x14ac:dyDescent="0.35">
      <c r="A16">
        <v>1945</v>
      </c>
      <c r="B16">
        <f>'Granger 1'!B16-'Granger 1'!B15</f>
        <v>-65700</v>
      </c>
      <c r="C16">
        <f>'Granger 1'!C16-'Granger 1'!C15</f>
        <v>-212</v>
      </c>
      <c r="I16">
        <f t="shared" si="0"/>
        <v>13</v>
      </c>
      <c r="J16" t="e">
        <f ca="1"/>
        <v>#NAME?</v>
      </c>
      <c r="L16" t="e">
        <f ca="1"/>
        <v>#NAME?</v>
      </c>
      <c r="M16" s="187" t="e">
        <f ca="1"/>
        <v>#NAME?</v>
      </c>
      <c r="O16">
        <f t="shared" si="1"/>
        <v>13</v>
      </c>
      <c r="P16" t="e">
        <f ca="1"/>
        <v>#NAME?</v>
      </c>
      <c r="R16" t="e">
        <f ca="1"/>
        <v>#NAME?</v>
      </c>
      <c r="S16" s="187" t="e">
        <f ca="1"/>
        <v>#NAME?</v>
      </c>
      <c r="U16">
        <f t="shared" si="2"/>
        <v>13</v>
      </c>
      <c r="V16" t="e">
        <f ca="1"/>
        <v>#NAME?</v>
      </c>
      <c r="X16" t="e">
        <f ca="1"/>
        <v>#NAME?</v>
      </c>
      <c r="Y16" s="187" t="e">
        <f ca="1"/>
        <v>#NAME?</v>
      </c>
      <c r="AA16">
        <f t="shared" si="3"/>
        <v>13</v>
      </c>
      <c r="AB16" t="e">
        <f ca="1"/>
        <v>#NAME?</v>
      </c>
      <c r="AD16" t="e">
        <f ca="1"/>
        <v>#NAME?</v>
      </c>
      <c r="AE16" s="187" t="e">
        <f ca="1"/>
        <v>#NAME?</v>
      </c>
      <c r="AG16">
        <f t="shared" si="4"/>
        <v>13</v>
      </c>
      <c r="AH16" t="e">
        <f ca="1"/>
        <v>#NAME?</v>
      </c>
      <c r="AJ16" t="e">
        <f ca="1"/>
        <v>#NAME?</v>
      </c>
      <c r="AK16" s="187" t="e">
        <f ca="1"/>
        <v>#NAME?</v>
      </c>
      <c r="AM16">
        <f t="shared" si="5"/>
        <v>13</v>
      </c>
      <c r="AN16" t="e">
        <f ca="1"/>
        <v>#NAME?</v>
      </c>
      <c r="AP16" t="e">
        <f ca="1"/>
        <v>#NAME?</v>
      </c>
      <c r="AQ16" s="187" t="e">
        <f ca="1"/>
        <v>#NAME?</v>
      </c>
    </row>
    <row r="17" spans="1:40" x14ac:dyDescent="0.35">
      <c r="A17">
        <v>1946</v>
      </c>
      <c r="B17">
        <f>'Granger 1'!B17-'Granger 1'!B16</f>
        <v>6730</v>
      </c>
      <c r="C17">
        <f>'Granger 1'!C17-'Granger 1'!C16</f>
        <v>-24</v>
      </c>
      <c r="I17">
        <f t="shared" si="0"/>
        <v>14</v>
      </c>
      <c r="J17" t="e">
        <f ca="1"/>
        <v>#NAME?</v>
      </c>
      <c r="O17">
        <f t="shared" si="1"/>
        <v>14</v>
      </c>
      <c r="P17" t="e">
        <f ca="1"/>
        <v>#NAME?</v>
      </c>
      <c r="U17">
        <f t="shared" si="2"/>
        <v>14</v>
      </c>
      <c r="V17" t="e">
        <f ca="1"/>
        <v>#NAME?</v>
      </c>
      <c r="AA17">
        <f t="shared" si="3"/>
        <v>14</v>
      </c>
      <c r="AB17" t="e">
        <f ca="1"/>
        <v>#NAME?</v>
      </c>
      <c r="AG17">
        <f t="shared" si="4"/>
        <v>14</v>
      </c>
      <c r="AH17" t="e">
        <f ca="1"/>
        <v>#NAME?</v>
      </c>
      <c r="AM17">
        <f t="shared" si="5"/>
        <v>14</v>
      </c>
      <c r="AN17" t="e">
        <f ca="1"/>
        <v>#NAME?</v>
      </c>
    </row>
    <row r="18" spans="1:40" x14ac:dyDescent="0.35">
      <c r="A18">
        <v>1947</v>
      </c>
      <c r="B18">
        <f>'Granger 1'!B18-'Granger 1'!B17</f>
        <v>-56010</v>
      </c>
      <c r="C18">
        <f>'Granger 1'!C18-'Granger 1'!C17</f>
        <v>-53</v>
      </c>
      <c r="I18">
        <f t="shared" si="0"/>
        <v>15</v>
      </c>
      <c r="J18" t="e">
        <f ca="1"/>
        <v>#NAME?</v>
      </c>
      <c r="O18">
        <f t="shared" si="1"/>
        <v>15</v>
      </c>
      <c r="P18" t="e">
        <f ca="1"/>
        <v>#NAME?</v>
      </c>
      <c r="U18">
        <f t="shared" si="2"/>
        <v>15</v>
      </c>
      <c r="V18" t="e">
        <f ca="1"/>
        <v>#NAME?</v>
      </c>
      <c r="AA18">
        <f t="shared" si="3"/>
        <v>15</v>
      </c>
      <c r="AB18" t="e">
        <f ca="1"/>
        <v>#NAME?</v>
      </c>
      <c r="AG18">
        <f t="shared" si="4"/>
        <v>15</v>
      </c>
      <c r="AH18" t="e">
        <f ca="1"/>
        <v>#NAME?</v>
      </c>
      <c r="AM18">
        <f t="shared" si="5"/>
        <v>15</v>
      </c>
      <c r="AN18" t="e">
        <f ca="1"/>
        <v>#NAME?</v>
      </c>
    </row>
    <row r="19" spans="1:40" x14ac:dyDescent="0.35">
      <c r="A19">
        <v>1948</v>
      </c>
      <c r="B19">
        <f>'Granger 1'!B19-'Granger 1'!B18</f>
        <v>32427</v>
      </c>
      <c r="C19">
        <f>'Granger 1'!C19-'Granger 1'!C18</f>
        <v>-45</v>
      </c>
      <c r="I19">
        <f t="shared" si="0"/>
        <v>16</v>
      </c>
      <c r="J19" t="e">
        <f ca="1"/>
        <v>#NAME?</v>
      </c>
      <c r="O19">
        <f t="shared" si="1"/>
        <v>16</v>
      </c>
      <c r="P19" t="e">
        <f ca="1"/>
        <v>#NAME?</v>
      </c>
      <c r="U19">
        <f t="shared" si="2"/>
        <v>16</v>
      </c>
      <c r="V19" t="e">
        <f ca="1"/>
        <v>#NAME?</v>
      </c>
      <c r="AA19">
        <f t="shared" si="3"/>
        <v>16</v>
      </c>
      <c r="AB19" t="e">
        <f ca="1"/>
        <v>#NAME?</v>
      </c>
      <c r="AG19">
        <f t="shared" si="4"/>
        <v>16</v>
      </c>
      <c r="AH19" t="e">
        <f ca="1"/>
        <v>#NAME?</v>
      </c>
      <c r="AM19">
        <f t="shared" si="5"/>
        <v>16</v>
      </c>
      <c r="AN19" t="e">
        <f ca="1"/>
        <v>#NAME?</v>
      </c>
    </row>
    <row r="20" spans="1:40" x14ac:dyDescent="0.35">
      <c r="A20">
        <v>1949</v>
      </c>
      <c r="B20">
        <f>'Granger 1'!B20-'Granger 1'!B19</f>
        <v>-68768</v>
      </c>
      <c r="C20">
        <f>'Granger 1'!C20-'Granger 1'!C19</f>
        <v>116</v>
      </c>
      <c r="I20">
        <f t="shared" si="0"/>
        <v>17</v>
      </c>
      <c r="J20" t="e">
        <f ca="1"/>
        <v>#NAME?</v>
      </c>
      <c r="O20">
        <f t="shared" si="1"/>
        <v>17</v>
      </c>
      <c r="P20" t="e">
        <f ca="1"/>
        <v>#NAME?</v>
      </c>
      <c r="U20">
        <f t="shared" si="2"/>
        <v>17</v>
      </c>
      <c r="V20" t="e">
        <f ca="1"/>
        <v>#NAME?</v>
      </c>
      <c r="AA20">
        <f t="shared" si="3"/>
        <v>17</v>
      </c>
      <c r="AB20" t="e">
        <f ca="1"/>
        <v>#NAME?</v>
      </c>
      <c r="AG20">
        <f t="shared" si="4"/>
        <v>17</v>
      </c>
      <c r="AH20" t="e">
        <f ca="1"/>
        <v>#NAME?</v>
      </c>
      <c r="AM20">
        <f t="shared" si="5"/>
        <v>17</v>
      </c>
      <c r="AN20" t="e">
        <f ca="1"/>
        <v>#NAME?</v>
      </c>
    </row>
    <row r="21" spans="1:40" x14ac:dyDescent="0.35">
      <c r="A21">
        <v>1950</v>
      </c>
      <c r="B21">
        <f>'Granger 1'!B21-'Granger 1'!B20</f>
        <v>25673</v>
      </c>
      <c r="C21">
        <f>'Granger 1'!C21-'Granger 1'!C20</f>
        <v>256</v>
      </c>
      <c r="I21">
        <f t="shared" si="0"/>
        <v>18</v>
      </c>
      <c r="J21" t="e">
        <f ca="1"/>
        <v>#NAME?</v>
      </c>
      <c r="O21">
        <f t="shared" si="1"/>
        <v>18</v>
      </c>
      <c r="P21" t="e">
        <f ca="1"/>
        <v>#NAME?</v>
      </c>
      <c r="U21">
        <f t="shared" si="2"/>
        <v>18</v>
      </c>
      <c r="V21" t="e">
        <f ca="1"/>
        <v>#NAME?</v>
      </c>
      <c r="AA21">
        <f t="shared" si="3"/>
        <v>18</v>
      </c>
      <c r="AB21" t="e">
        <f ca="1"/>
        <v>#NAME?</v>
      </c>
      <c r="AG21">
        <f t="shared" si="4"/>
        <v>18</v>
      </c>
      <c r="AH21" t="e">
        <f ca="1"/>
        <v>#NAME?</v>
      </c>
      <c r="AM21">
        <f t="shared" si="5"/>
        <v>18</v>
      </c>
      <c r="AN21" t="e">
        <f ca="1"/>
        <v>#NAME?</v>
      </c>
    </row>
    <row r="22" spans="1:40" x14ac:dyDescent="0.35">
      <c r="A22">
        <v>1951</v>
      </c>
      <c r="B22">
        <f>'Granger 1'!B22-'Granger 1'!B21</f>
        <v>-25561</v>
      </c>
      <c r="C22">
        <f>'Granger 1'!C22-'Granger 1'!C21</f>
        <v>-82</v>
      </c>
      <c r="I22">
        <f t="shared" si="0"/>
        <v>19</v>
      </c>
      <c r="J22" t="e">
        <f ca="1"/>
        <v>#NAME?</v>
      </c>
      <c r="O22">
        <f t="shared" si="1"/>
        <v>19</v>
      </c>
      <c r="P22" t="e">
        <f ca="1"/>
        <v>#NAME?</v>
      </c>
      <c r="U22">
        <f t="shared" si="2"/>
        <v>19</v>
      </c>
      <c r="V22" t="e">
        <f ca="1"/>
        <v>#NAME?</v>
      </c>
      <c r="AA22">
        <f t="shared" si="3"/>
        <v>19</v>
      </c>
      <c r="AB22" t="e">
        <f ca="1"/>
        <v>#NAME?</v>
      </c>
      <c r="AG22">
        <f t="shared" si="4"/>
        <v>19</v>
      </c>
      <c r="AH22" t="e">
        <f ca="1"/>
        <v>#NAME?</v>
      </c>
      <c r="AM22">
        <f t="shared" si="5"/>
        <v>19</v>
      </c>
      <c r="AN22" t="e">
        <f ca="1"/>
        <v>#NAME?</v>
      </c>
    </row>
    <row r="23" spans="1:40" x14ac:dyDescent="0.35">
      <c r="A23">
        <v>1952</v>
      </c>
      <c r="B23">
        <f>'Granger 1'!B23-'Granger 1'!B22</f>
        <v>-4433</v>
      </c>
      <c r="C23">
        <f>'Granger 1'!C23-'Granger 1'!C22</f>
        <v>1</v>
      </c>
      <c r="I23">
        <f t="shared" si="0"/>
        <v>20</v>
      </c>
      <c r="J23" t="e">
        <f ca="1"/>
        <v>#NAME?</v>
      </c>
      <c r="O23">
        <f t="shared" si="1"/>
        <v>20</v>
      </c>
      <c r="P23" t="e">
        <f ca="1"/>
        <v>#NAME?</v>
      </c>
      <c r="U23">
        <f t="shared" si="2"/>
        <v>20</v>
      </c>
      <c r="V23" t="e">
        <f ca="1"/>
        <v>#NAME?</v>
      </c>
      <c r="AA23">
        <f t="shared" si="3"/>
        <v>20</v>
      </c>
      <c r="AB23" t="e">
        <f ca="1"/>
        <v>#NAME?</v>
      </c>
      <c r="AG23">
        <f t="shared" si="4"/>
        <v>20</v>
      </c>
      <c r="AH23" t="e">
        <f ca="1"/>
        <v>#NAME?</v>
      </c>
      <c r="AM23">
        <f t="shared" si="5"/>
        <v>20</v>
      </c>
      <c r="AN23" t="e">
        <f ca="1"/>
        <v>#NAME?</v>
      </c>
    </row>
    <row r="24" spans="1:40" x14ac:dyDescent="0.35">
      <c r="A24">
        <v>1953</v>
      </c>
      <c r="B24">
        <f>'Granger 1'!B24-'Granger 1'!B23</f>
        <v>-28399</v>
      </c>
      <c r="C24">
        <f>'Granger 1'!C24-'Granger 1'!C23</f>
        <v>-16</v>
      </c>
      <c r="I24">
        <f t="shared" si="0"/>
        <v>21</v>
      </c>
      <c r="J24" t="e">
        <f ca="1"/>
        <v>#NAME?</v>
      </c>
      <c r="O24">
        <f t="shared" si="1"/>
        <v>21</v>
      </c>
      <c r="P24" t="e">
        <f ca="1"/>
        <v>#NAME?</v>
      </c>
      <c r="U24">
        <f t="shared" si="2"/>
        <v>21</v>
      </c>
      <c r="V24" t="e">
        <f ca="1"/>
        <v>#NAME?</v>
      </c>
      <c r="AA24">
        <f t="shared" si="3"/>
        <v>21</v>
      </c>
      <c r="AB24" t="e">
        <f ca="1"/>
        <v>#NAME?</v>
      </c>
      <c r="AG24">
        <f t="shared" si="4"/>
        <v>21</v>
      </c>
      <c r="AH24" t="e">
        <f ca="1"/>
        <v>#NAME?</v>
      </c>
      <c r="AM24">
        <f t="shared" si="5"/>
        <v>21</v>
      </c>
      <c r="AN24" t="e">
        <f ca="1"/>
        <v>#NAME?</v>
      </c>
    </row>
    <row r="25" spans="1:40" x14ac:dyDescent="0.35">
      <c r="A25">
        <v>1954</v>
      </c>
      <c r="B25">
        <f>'Granger 1'!B25-'Granger 1'!B24</f>
        <v>-1380</v>
      </c>
      <c r="C25">
        <f>'Granger 1'!C25-'Granger 1'!C24</f>
        <v>95</v>
      </c>
      <c r="I25">
        <f t="shared" si="0"/>
        <v>22</v>
      </c>
      <c r="J25" t="e">
        <f ca="1"/>
        <v>#NAME?</v>
      </c>
      <c r="O25">
        <f t="shared" si="1"/>
        <v>22</v>
      </c>
      <c r="P25" t="e">
        <f ca="1"/>
        <v>#NAME?</v>
      </c>
      <c r="U25">
        <f t="shared" si="2"/>
        <v>22</v>
      </c>
      <c r="V25" t="e">
        <f ca="1"/>
        <v>#NAME?</v>
      </c>
      <c r="AA25">
        <f t="shared" si="3"/>
        <v>22</v>
      </c>
      <c r="AB25" t="e">
        <f ca="1"/>
        <v>#NAME?</v>
      </c>
      <c r="AG25">
        <f t="shared" si="4"/>
        <v>22</v>
      </c>
      <c r="AH25" t="e">
        <f ca="1"/>
        <v>#NAME?</v>
      </c>
      <c r="AM25">
        <f t="shared" si="5"/>
        <v>22</v>
      </c>
      <c r="AN25" t="e">
        <f ca="1"/>
        <v>#NAME?</v>
      </c>
    </row>
    <row r="26" spans="1:40" x14ac:dyDescent="0.35">
      <c r="A26">
        <v>1955</v>
      </c>
      <c r="B26">
        <f>'Granger 1'!B26-'Granger 1'!B25</f>
        <v>-6068</v>
      </c>
      <c r="C26">
        <f>'Granger 1'!C26-'Granger 1'!C25</f>
        <v>5</v>
      </c>
      <c r="I26">
        <f t="shared" si="0"/>
        <v>23</v>
      </c>
      <c r="J26" t="e">
        <f ca="1"/>
        <v>#NAME?</v>
      </c>
      <c r="O26">
        <f t="shared" si="1"/>
        <v>23</v>
      </c>
      <c r="P26" t="e">
        <f ca="1"/>
        <v>#NAME?</v>
      </c>
      <c r="U26">
        <f t="shared" si="2"/>
        <v>23</v>
      </c>
      <c r="V26" t="e">
        <f ca="1"/>
        <v>#NAME?</v>
      </c>
      <c r="AA26">
        <f t="shared" si="3"/>
        <v>23</v>
      </c>
      <c r="AB26" t="e">
        <f ca="1"/>
        <v>#NAME?</v>
      </c>
      <c r="AG26">
        <f t="shared" si="4"/>
        <v>23</v>
      </c>
      <c r="AH26" t="e">
        <f ca="1"/>
        <v>#NAME?</v>
      </c>
      <c r="AM26">
        <f t="shared" si="5"/>
        <v>23</v>
      </c>
      <c r="AN26" t="e">
        <f ca="1"/>
        <v>#NAME?</v>
      </c>
    </row>
    <row r="27" spans="1:40" x14ac:dyDescent="0.35">
      <c r="A27">
        <v>1956</v>
      </c>
      <c r="B27">
        <f>'Granger 1'!B27-'Granger 1'!B26</f>
        <v>-7018</v>
      </c>
      <c r="C27">
        <f>'Granger 1'!C27-'Granger 1'!C26</f>
        <v>93</v>
      </c>
      <c r="I27">
        <f t="shared" si="0"/>
        <v>24</v>
      </c>
      <c r="J27" t="e">
        <f ca="1"/>
        <v>#NAME?</v>
      </c>
      <c r="O27">
        <f t="shared" si="1"/>
        <v>24</v>
      </c>
      <c r="P27" t="e">
        <f ca="1"/>
        <v>#NAME?</v>
      </c>
      <c r="U27">
        <f t="shared" si="2"/>
        <v>24</v>
      </c>
      <c r="V27" t="e">
        <f ca="1"/>
        <v>#NAME?</v>
      </c>
      <c r="AA27">
        <f t="shared" si="3"/>
        <v>24</v>
      </c>
      <c r="AB27" t="e">
        <f ca="1"/>
        <v>#NAME?</v>
      </c>
      <c r="AG27">
        <f t="shared" si="4"/>
        <v>24</v>
      </c>
      <c r="AH27" t="e">
        <f ca="1"/>
        <v>#NAME?</v>
      </c>
      <c r="AM27">
        <f t="shared" si="5"/>
        <v>24</v>
      </c>
      <c r="AN27" t="e">
        <f ca="1"/>
        <v>#NAME?</v>
      </c>
    </row>
    <row r="28" spans="1:40" x14ac:dyDescent="0.35">
      <c r="A28">
        <v>1957</v>
      </c>
      <c r="B28">
        <f>'Granger 1'!B28-'Granger 1'!B27</f>
        <v>7673</v>
      </c>
      <c r="C28">
        <f>'Granger 1'!C28-'Granger 1'!C27</f>
        <v>-58</v>
      </c>
      <c r="I28">
        <f t="shared" si="0"/>
        <v>25</v>
      </c>
      <c r="J28" t="e">
        <f ca="1"/>
        <v>#NAME?</v>
      </c>
      <c r="O28">
        <f t="shared" si="1"/>
        <v>25</v>
      </c>
      <c r="P28" t="e">
        <f ca="1"/>
        <v>#NAME?</v>
      </c>
      <c r="U28">
        <f t="shared" si="2"/>
        <v>25</v>
      </c>
      <c r="V28" t="e">
        <f ca="1"/>
        <v>#NAME?</v>
      </c>
      <c r="AA28">
        <f t="shared" si="3"/>
        <v>25</v>
      </c>
      <c r="AB28" t="e">
        <f ca="1"/>
        <v>#NAME?</v>
      </c>
      <c r="AG28">
        <f t="shared" si="4"/>
        <v>25</v>
      </c>
      <c r="AH28" t="e">
        <f ca="1"/>
        <v>#NAME?</v>
      </c>
      <c r="AM28">
        <f t="shared" si="5"/>
        <v>25</v>
      </c>
      <c r="AN28" t="e">
        <f ca="1"/>
        <v>#NAME?</v>
      </c>
    </row>
    <row r="29" spans="1:40" x14ac:dyDescent="0.35">
      <c r="A29">
        <v>1958</v>
      </c>
      <c r="B29">
        <f>'Granger 1'!B29-'Granger 1'!B28</f>
        <v>-17082</v>
      </c>
      <c r="C29">
        <f>'Granger 1'!C29-'Granger 1'!C28</f>
        <v>0</v>
      </c>
      <c r="I29">
        <f t="shared" si="0"/>
        <v>26</v>
      </c>
      <c r="J29" t="e">
        <f ca="1"/>
        <v>#NAME?</v>
      </c>
      <c r="O29">
        <f t="shared" si="1"/>
        <v>26</v>
      </c>
      <c r="P29" t="e">
        <f ca="1"/>
        <v>#NAME?</v>
      </c>
      <c r="U29">
        <f t="shared" si="2"/>
        <v>26</v>
      </c>
      <c r="V29" t="e">
        <f ca="1"/>
        <v>#NAME?</v>
      </c>
      <c r="AA29">
        <f t="shared" si="3"/>
        <v>26</v>
      </c>
      <c r="AB29" t="e">
        <f ca="1"/>
        <v>#NAME?</v>
      </c>
      <c r="AG29">
        <f t="shared" si="4"/>
        <v>26</v>
      </c>
      <c r="AH29" t="e">
        <f ca="1"/>
        <v>#NAME?</v>
      </c>
      <c r="AM29">
        <f t="shared" si="5"/>
        <v>26</v>
      </c>
      <c r="AN29" t="e">
        <f ca="1"/>
        <v>#NAME?</v>
      </c>
    </row>
    <row r="30" spans="1:40" x14ac:dyDescent="0.35">
      <c r="A30">
        <v>1959</v>
      </c>
      <c r="B30">
        <f>'Granger 1'!B30-'Granger 1'!B29</f>
        <v>12721</v>
      </c>
      <c r="C30">
        <f>'Granger 1'!C30-'Granger 1'!C29</f>
        <v>100</v>
      </c>
      <c r="I30">
        <f t="shared" si="0"/>
        <v>27</v>
      </c>
      <c r="J30" t="e">
        <f ca="1"/>
        <v>#NAME?</v>
      </c>
      <c r="O30">
        <f t="shared" si="1"/>
        <v>27</v>
      </c>
      <c r="P30" t="e">
        <f ca="1"/>
        <v>#NAME?</v>
      </c>
      <c r="U30">
        <f t="shared" si="2"/>
        <v>27</v>
      </c>
      <c r="V30" t="e">
        <f ca="1"/>
        <v>#NAME?</v>
      </c>
      <c r="AA30">
        <f t="shared" si="3"/>
        <v>27</v>
      </c>
      <c r="AB30" t="e">
        <f ca="1"/>
        <v>#NAME?</v>
      </c>
      <c r="AG30">
        <f t="shared" si="4"/>
        <v>27</v>
      </c>
      <c r="AH30" t="e">
        <f ca="1"/>
        <v>#NAME?</v>
      </c>
      <c r="AM30">
        <f t="shared" si="5"/>
        <v>27</v>
      </c>
      <c r="AN30" t="e">
        <f ca="1"/>
        <v>#NAME?</v>
      </c>
    </row>
    <row r="31" spans="1:40" x14ac:dyDescent="0.35">
      <c r="A31">
        <v>1960</v>
      </c>
      <c r="B31">
        <f>'Granger 1'!B31-'Granger 1'!B30</f>
        <v>-17518</v>
      </c>
      <c r="C31">
        <f>'Granger 1'!C31-'Granger 1'!C30</f>
        <v>-203</v>
      </c>
      <c r="I31">
        <f t="shared" si="0"/>
        <v>28</v>
      </c>
      <c r="J31" t="e">
        <f ca="1"/>
        <v>#NAME?</v>
      </c>
      <c r="O31">
        <f t="shared" si="1"/>
        <v>28</v>
      </c>
      <c r="P31" t="e">
        <f ca="1"/>
        <v>#NAME?</v>
      </c>
      <c r="U31">
        <f t="shared" si="2"/>
        <v>28</v>
      </c>
      <c r="V31" t="e">
        <f ca="1"/>
        <v>#NAME?</v>
      </c>
      <c r="AA31">
        <f t="shared" si="3"/>
        <v>28</v>
      </c>
      <c r="AB31" t="e">
        <f ca="1"/>
        <v>#NAME?</v>
      </c>
      <c r="AG31">
        <f t="shared" si="4"/>
        <v>28</v>
      </c>
      <c r="AH31" t="e">
        <f ca="1"/>
        <v>#NAME?</v>
      </c>
      <c r="AM31">
        <f t="shared" si="5"/>
        <v>28</v>
      </c>
      <c r="AN31" t="e">
        <f ca="1"/>
        <v>#NAME?</v>
      </c>
    </row>
    <row r="32" spans="1:40" x14ac:dyDescent="0.35">
      <c r="A32">
        <v>1961</v>
      </c>
      <c r="B32">
        <f>'Granger 1'!B32-'Granger 1'!B31</f>
        <v>-3402</v>
      </c>
      <c r="C32">
        <f>'Granger 1'!C32-'Granger 1'!C31</f>
        <v>19</v>
      </c>
      <c r="I32">
        <f t="shared" si="0"/>
        <v>29</v>
      </c>
      <c r="J32" t="e">
        <f ca="1"/>
        <v>#NAME?</v>
      </c>
      <c r="O32">
        <f t="shared" si="1"/>
        <v>29</v>
      </c>
      <c r="P32" t="e">
        <f ca="1"/>
        <v>#NAME?</v>
      </c>
      <c r="U32">
        <f t="shared" si="2"/>
        <v>29</v>
      </c>
      <c r="V32" t="e">
        <f ca="1"/>
        <v>#NAME?</v>
      </c>
      <c r="AA32">
        <f t="shared" si="3"/>
        <v>29</v>
      </c>
      <c r="AB32" t="e">
        <f ca="1"/>
        <v>#NAME?</v>
      </c>
      <c r="AG32">
        <f t="shared" si="4"/>
        <v>29</v>
      </c>
      <c r="AH32" t="e">
        <f ca="1"/>
        <v>#NAME?</v>
      </c>
      <c r="AM32">
        <f t="shared" si="5"/>
        <v>29</v>
      </c>
      <c r="AN32" t="e">
        <f ca="1"/>
        <v>#NAME?</v>
      </c>
    </row>
    <row r="33" spans="1:40" x14ac:dyDescent="0.35">
      <c r="A33">
        <v>1962</v>
      </c>
      <c r="B33">
        <f>'Granger 1'!B33-'Granger 1'!B32</f>
        <v>11310</v>
      </c>
      <c r="C33">
        <f>'Granger 1'!C33-'Granger 1'!C32</f>
        <v>45</v>
      </c>
      <c r="I33">
        <f t="shared" si="0"/>
        <v>30</v>
      </c>
      <c r="J33" t="e">
        <f ca="1"/>
        <v>#NAME?</v>
      </c>
      <c r="O33">
        <f t="shared" si="1"/>
        <v>30</v>
      </c>
      <c r="P33" t="e">
        <f ca="1"/>
        <v>#NAME?</v>
      </c>
      <c r="U33">
        <f t="shared" si="2"/>
        <v>30</v>
      </c>
      <c r="V33" t="e">
        <f ca="1"/>
        <v>#NAME?</v>
      </c>
      <c r="AA33">
        <f t="shared" si="3"/>
        <v>30</v>
      </c>
      <c r="AB33" t="e">
        <f ca="1"/>
        <v>#NAME?</v>
      </c>
      <c r="AG33">
        <f t="shared" si="4"/>
        <v>30</v>
      </c>
      <c r="AH33" t="e">
        <f ca="1"/>
        <v>#NAME?</v>
      </c>
      <c r="AM33">
        <f t="shared" si="5"/>
        <v>30</v>
      </c>
      <c r="AN33" t="e">
        <f ca="1"/>
        <v>#NAME?</v>
      </c>
    </row>
    <row r="34" spans="1:40" x14ac:dyDescent="0.35">
      <c r="A34">
        <v>1963</v>
      </c>
      <c r="B34">
        <f>'Granger 1'!B34-'Granger 1'!B33</f>
        <v>-1817</v>
      </c>
      <c r="C34">
        <f>'Granger 1'!C34-'Granger 1'!C33</f>
        <v>-58</v>
      </c>
      <c r="I34">
        <f t="shared" si="0"/>
        <v>31</v>
      </c>
      <c r="J34" t="e">
        <f ca="1"/>
        <v>#NAME?</v>
      </c>
      <c r="O34">
        <f t="shared" si="1"/>
        <v>31</v>
      </c>
      <c r="P34" t="e">
        <f ca="1"/>
        <v>#NAME?</v>
      </c>
      <c r="U34">
        <f t="shared" si="2"/>
        <v>31</v>
      </c>
      <c r="V34" t="e">
        <f ca="1"/>
        <v>#NAME?</v>
      </c>
      <c r="AA34">
        <f t="shared" si="3"/>
        <v>31</v>
      </c>
      <c r="AB34" t="e">
        <f ca="1"/>
        <v>#NAME?</v>
      </c>
      <c r="AG34">
        <f t="shared" si="4"/>
        <v>31</v>
      </c>
      <c r="AH34" t="e">
        <f ca="1"/>
        <v>#NAME?</v>
      </c>
      <c r="AM34">
        <f t="shared" si="5"/>
        <v>31</v>
      </c>
      <c r="AN34" t="e">
        <f ca="1"/>
        <v>#NAME?</v>
      </c>
    </row>
    <row r="35" spans="1:40" x14ac:dyDescent="0.35">
      <c r="A35">
        <v>1964</v>
      </c>
      <c r="B35">
        <f>'Granger 1'!B35-'Granger 1'!B34</f>
        <v>6687</v>
      </c>
      <c r="C35">
        <f>'Granger 1'!C35-'Granger 1'!C34</f>
        <v>90</v>
      </c>
      <c r="I35">
        <f t="shared" si="0"/>
        <v>32</v>
      </c>
      <c r="J35" t="e">
        <f ca="1"/>
        <v>#NAME?</v>
      </c>
      <c r="O35">
        <f t="shared" si="1"/>
        <v>32</v>
      </c>
      <c r="P35" t="e">
        <f ca="1"/>
        <v>#NAME?</v>
      </c>
      <c r="U35">
        <f t="shared" si="2"/>
        <v>32</v>
      </c>
      <c r="V35" t="e">
        <f ca="1"/>
        <v>#NAME?</v>
      </c>
      <c r="AA35">
        <f t="shared" si="3"/>
        <v>32</v>
      </c>
      <c r="AB35" t="e">
        <f ca="1"/>
        <v>#NAME?</v>
      </c>
      <c r="AG35">
        <f t="shared" si="4"/>
        <v>32</v>
      </c>
      <c r="AH35" t="e">
        <f ca="1"/>
        <v>#NAME?</v>
      </c>
      <c r="AM35">
        <f t="shared" si="5"/>
        <v>32</v>
      </c>
      <c r="AN35" t="e">
        <f ca="1"/>
        <v>#NAME?</v>
      </c>
    </row>
    <row r="36" spans="1:40" x14ac:dyDescent="0.35">
      <c r="A36">
        <v>1965</v>
      </c>
      <c r="B36">
        <f>'Granger 1'!B36-'Granger 1'!B35</f>
        <v>11856</v>
      </c>
      <c r="C36">
        <f>'Granger 1'!C36-'Granger 1'!C35</f>
        <v>39</v>
      </c>
      <c r="I36">
        <f t="shared" si="0"/>
        <v>33</v>
      </c>
      <c r="J36" t="e">
        <f ca="1"/>
        <v>#NAME?</v>
      </c>
      <c r="O36">
        <f t="shared" si="1"/>
        <v>33</v>
      </c>
      <c r="P36" t="e">
        <f ca="1"/>
        <v>#NAME?</v>
      </c>
      <c r="U36">
        <f t="shared" si="2"/>
        <v>33</v>
      </c>
      <c r="V36" t="e">
        <f ca="1"/>
        <v>#NAME?</v>
      </c>
      <c r="AA36">
        <f t="shared" si="3"/>
        <v>33</v>
      </c>
      <c r="AB36" t="e">
        <f ca="1"/>
        <v>#NAME?</v>
      </c>
      <c r="AG36">
        <f t="shared" si="4"/>
        <v>33</v>
      </c>
      <c r="AH36" t="e">
        <f ca="1"/>
        <v>#NAME?</v>
      </c>
      <c r="AM36">
        <f t="shared" si="5"/>
        <v>33</v>
      </c>
      <c r="AN36" t="e">
        <f ca="1"/>
        <v>#NAME?</v>
      </c>
    </row>
    <row r="37" spans="1:40" x14ac:dyDescent="0.35">
      <c r="A37">
        <v>1966</v>
      </c>
      <c r="B37">
        <f>'Granger 1'!B37-'Granger 1'!B36</f>
        <v>-1099</v>
      </c>
      <c r="C37">
        <f>'Granger 1'!C37-'Granger 1'!C36</f>
        <v>66</v>
      </c>
      <c r="I37">
        <f t="shared" si="0"/>
        <v>34</v>
      </c>
      <c r="J37" t="e">
        <f ca="1"/>
        <v>#NAME?</v>
      </c>
      <c r="O37">
        <f t="shared" si="1"/>
        <v>34</v>
      </c>
      <c r="P37" t="e">
        <f ca="1"/>
        <v>#NAME?</v>
      </c>
      <c r="U37">
        <f t="shared" si="2"/>
        <v>34</v>
      </c>
      <c r="V37" t="e">
        <f ca="1"/>
        <v>#NAME?</v>
      </c>
      <c r="AA37">
        <f t="shared" si="3"/>
        <v>34</v>
      </c>
      <c r="AB37" t="e">
        <f ca="1"/>
        <v>#NAME?</v>
      </c>
      <c r="AG37">
        <f t="shared" si="4"/>
        <v>34</v>
      </c>
      <c r="AH37" t="e">
        <f ca="1"/>
        <v>#NAME?</v>
      </c>
      <c r="AM37">
        <f t="shared" si="5"/>
        <v>34</v>
      </c>
      <c r="AN37" t="e">
        <f ca="1"/>
        <v>#NAME?</v>
      </c>
    </row>
    <row r="38" spans="1:40" x14ac:dyDescent="0.35">
      <c r="A38">
        <v>1967</v>
      </c>
      <c r="B38">
        <f>'Granger 1'!B38-'Granger 1'!B37</f>
        <v>35727</v>
      </c>
      <c r="C38">
        <f>'Granger 1'!C38-'Granger 1'!C37</f>
        <v>296</v>
      </c>
      <c r="I38">
        <f t="shared" si="0"/>
        <v>35</v>
      </c>
      <c r="J38" t="e">
        <f ca="1"/>
        <v>#NAME?</v>
      </c>
      <c r="O38">
        <f t="shared" si="1"/>
        <v>35</v>
      </c>
      <c r="P38" t="e">
        <f ca="1"/>
        <v>#NAME?</v>
      </c>
      <c r="U38">
        <f t="shared" si="2"/>
        <v>35</v>
      </c>
      <c r="V38" t="e">
        <f ca="1"/>
        <v>#NAME?</v>
      </c>
      <c r="AA38">
        <f t="shared" si="3"/>
        <v>35</v>
      </c>
      <c r="AB38" t="e">
        <f ca="1"/>
        <v>#NAME?</v>
      </c>
      <c r="AG38">
        <f t="shared" si="4"/>
        <v>35</v>
      </c>
      <c r="AH38" t="e">
        <f ca="1"/>
        <v>#NAME?</v>
      </c>
      <c r="AM38">
        <f t="shared" si="5"/>
        <v>35</v>
      </c>
      <c r="AN38" t="e">
        <f ca="1"/>
        <v>#NAME?</v>
      </c>
    </row>
    <row r="39" spans="1:40" x14ac:dyDescent="0.35">
      <c r="A39">
        <v>1968</v>
      </c>
      <c r="B39">
        <f>'Granger 1'!B39-'Granger 1'!B38</f>
        <v>-3588</v>
      </c>
      <c r="C39">
        <f>'Granger 1'!C39-'Granger 1'!C38</f>
        <v>-59</v>
      </c>
      <c r="I39">
        <f t="shared" si="0"/>
        <v>36</v>
      </c>
      <c r="J39" t="e">
        <f ca="1"/>
        <v>#NAME?</v>
      </c>
      <c r="O39">
        <f t="shared" si="1"/>
        <v>36</v>
      </c>
      <c r="P39" t="e">
        <f ca="1"/>
        <v>#NAME?</v>
      </c>
      <c r="U39">
        <f t="shared" si="2"/>
        <v>36</v>
      </c>
      <c r="V39" t="e">
        <f ca="1"/>
        <v>#NAME?</v>
      </c>
      <c r="AA39">
        <f t="shared" si="3"/>
        <v>36</v>
      </c>
      <c r="AB39" t="e">
        <f ca="1"/>
        <v>#NAME?</v>
      </c>
      <c r="AG39">
        <f t="shared" si="4"/>
        <v>36</v>
      </c>
      <c r="AH39" t="e">
        <f ca="1"/>
        <v>#NAME?</v>
      </c>
      <c r="AM39">
        <f t="shared" si="5"/>
        <v>36</v>
      </c>
      <c r="AN39" t="e">
        <f ca="1"/>
        <v>#NAME?</v>
      </c>
    </row>
    <row r="40" spans="1:40" x14ac:dyDescent="0.35">
      <c r="A40">
        <v>1969</v>
      </c>
      <c r="B40">
        <f>'Granger 1'!B40-'Granger 1'!B39</f>
        <v>-3062</v>
      </c>
      <c r="C40">
        <f>'Granger 1'!C40-'Granger 1'!C39</f>
        <v>-148</v>
      </c>
      <c r="I40">
        <f t="shared" si="0"/>
        <v>37</v>
      </c>
      <c r="J40" t="e">
        <f ca="1"/>
        <v>#NAME?</v>
      </c>
      <c r="O40">
        <f t="shared" si="1"/>
        <v>37</v>
      </c>
      <c r="P40" t="e">
        <f ca="1"/>
        <v>#NAME?</v>
      </c>
      <c r="U40">
        <f t="shared" si="2"/>
        <v>37</v>
      </c>
      <c r="V40" t="e">
        <f ca="1"/>
        <v>#NAME?</v>
      </c>
      <c r="AA40">
        <f t="shared" si="3"/>
        <v>37</v>
      </c>
      <c r="AB40" t="e">
        <f ca="1"/>
        <v>#NAME?</v>
      </c>
      <c r="AG40">
        <f t="shared" si="4"/>
        <v>37</v>
      </c>
      <c r="AH40" t="e">
        <f ca="1"/>
        <v>#NAME?</v>
      </c>
      <c r="AM40">
        <f t="shared" si="5"/>
        <v>37</v>
      </c>
      <c r="AN40" t="e">
        <f ca="1"/>
        <v>#NAME?</v>
      </c>
    </row>
    <row r="41" spans="1:40" x14ac:dyDescent="0.35">
      <c r="A41" s="4">
        <v>1970</v>
      </c>
      <c r="B41" s="4">
        <f>'Granger 1'!B41-'Granger 1'!B40</f>
        <v>11184</v>
      </c>
      <c r="C41" s="4">
        <f>'Granger 1'!C41-'Granger 1'!C40</f>
        <v>75</v>
      </c>
      <c r="I41">
        <f t="shared" si="0"/>
        <v>38</v>
      </c>
      <c r="J41" t="e">
        <f ca="1"/>
        <v>#NAME?</v>
      </c>
      <c r="O41">
        <f t="shared" si="1"/>
        <v>38</v>
      </c>
      <c r="P41" t="e">
        <f ca="1"/>
        <v>#NAME?</v>
      </c>
      <c r="U41">
        <f t="shared" si="2"/>
        <v>38</v>
      </c>
      <c r="V41" t="e">
        <f ca="1"/>
        <v>#NAME?</v>
      </c>
      <c r="AA41">
        <f t="shared" si="3"/>
        <v>38</v>
      </c>
      <c r="AB41" t="e">
        <f ca="1"/>
        <v>#NAME?</v>
      </c>
      <c r="AG41">
        <f t="shared" si="4"/>
        <v>38</v>
      </c>
      <c r="AH41" t="e">
        <f ca="1"/>
        <v>#NAME?</v>
      </c>
      <c r="AM41">
        <f t="shared" si="5"/>
        <v>38</v>
      </c>
      <c r="AN41" t="e">
        <f ca="1"/>
        <v>#NAME?</v>
      </c>
    </row>
    <row r="42" spans="1:40" x14ac:dyDescent="0.35">
      <c r="I42" s="4">
        <f t="shared" si="0"/>
        <v>39</v>
      </c>
      <c r="J42" s="4" t="e">
        <f ca="1"/>
        <v>#NAME?</v>
      </c>
      <c r="O42" s="4">
        <f t="shared" si="1"/>
        <v>39</v>
      </c>
      <c r="P42" s="4" t="e">
        <f ca="1"/>
        <v>#NAME?</v>
      </c>
      <c r="U42" s="4">
        <f t="shared" si="2"/>
        <v>39</v>
      </c>
      <c r="V42" s="4" t="e">
        <f ca="1"/>
        <v>#NAME?</v>
      </c>
      <c r="AA42" s="4">
        <f t="shared" si="3"/>
        <v>39</v>
      </c>
      <c r="AB42" s="4" t="e">
        <f ca="1"/>
        <v>#NAME?</v>
      </c>
      <c r="AG42" s="4">
        <f t="shared" si="4"/>
        <v>39</v>
      </c>
      <c r="AH42" s="4" t="e">
        <f ca="1"/>
        <v>#NAME?</v>
      </c>
      <c r="AM42" s="4">
        <f t="shared" si="5"/>
        <v>39</v>
      </c>
      <c r="AN42" s="4" t="e">
        <f ca="1"/>
        <v>#NAME?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83"/>
  <dimension ref="A1:AV41"/>
  <sheetViews>
    <sheetView zoomScaleNormal="100" workbookViewId="0">
      <selection activeCell="BD24" sqref="BD24"/>
    </sheetView>
  </sheetViews>
  <sheetFormatPr defaultRowHeight="14.5" x14ac:dyDescent="0.35"/>
  <cols>
    <col min="5" max="13" width="7.453125" customWidth="1"/>
    <col min="15" max="15" width="16.7265625" customWidth="1"/>
    <col min="17" max="17" width="9.1796875" customWidth="1"/>
    <col min="24" max="24" width="17" customWidth="1"/>
    <col min="26" max="26" width="9.1796875" customWidth="1"/>
    <col min="36" max="36" width="3" customWidth="1"/>
    <col min="43" max="43" width="2.7265625" customWidth="1"/>
    <col min="44" max="44" width="27.453125" customWidth="1"/>
    <col min="46" max="46" width="6.81640625" customWidth="1"/>
    <col min="47" max="48" width="10.7265625" customWidth="1"/>
  </cols>
  <sheetData>
    <row r="1" spans="1:48" x14ac:dyDescent="0.35">
      <c r="A1" s="10" t="s">
        <v>540</v>
      </c>
      <c r="B1" s="10" t="s">
        <v>541</v>
      </c>
      <c r="C1" s="10" t="s">
        <v>542</v>
      </c>
    </row>
    <row r="2" spans="1:48" x14ac:dyDescent="0.35">
      <c r="A2">
        <v>1931</v>
      </c>
      <c r="E2" s="228" t="s">
        <v>583</v>
      </c>
      <c r="F2" s="228" t="s">
        <v>584</v>
      </c>
      <c r="G2" s="228" t="s">
        <v>585</v>
      </c>
      <c r="H2" s="228" t="s">
        <v>586</v>
      </c>
      <c r="I2" s="228" t="s">
        <v>587</v>
      </c>
      <c r="J2" s="228" t="s">
        <v>588</v>
      </c>
      <c r="K2" s="228" t="s">
        <v>589</v>
      </c>
      <c r="L2" s="228" t="s">
        <v>590</v>
      </c>
      <c r="M2" s="228" t="s">
        <v>591</v>
      </c>
      <c r="O2" t="s">
        <v>141</v>
      </c>
      <c r="Q2" s="137" t="s">
        <v>592</v>
      </c>
      <c r="X2" t="s">
        <v>141</v>
      </c>
      <c r="Z2" s="137" t="s">
        <v>594</v>
      </c>
      <c r="AH2" s="137" t="s">
        <v>592</v>
      </c>
      <c r="AI2" s="137" t="s">
        <v>594</v>
      </c>
      <c r="AP2" s="137"/>
    </row>
    <row r="3" spans="1:48" x14ac:dyDescent="0.35">
      <c r="A3">
        <v>1932</v>
      </c>
      <c r="B3">
        <f>'Granger 1'!B3-'Granger 1'!B2</f>
        <v>-12928</v>
      </c>
      <c r="C3">
        <f>'Granger 1'!C3-'Granger 1'!C2</f>
        <v>-205</v>
      </c>
      <c r="E3">
        <f>B6</f>
        <v>-43979</v>
      </c>
      <c r="F3">
        <f>B5</f>
        <v>-10586</v>
      </c>
      <c r="G3">
        <f>B4</f>
        <v>7708</v>
      </c>
      <c r="H3">
        <f>B3</f>
        <v>-12928</v>
      </c>
      <c r="I3">
        <f>C6</f>
        <v>-75</v>
      </c>
      <c r="J3">
        <f>C5</f>
        <v>-99</v>
      </c>
      <c r="K3">
        <f>C4</f>
        <v>-72</v>
      </c>
      <c r="L3">
        <f>C3</f>
        <v>-205</v>
      </c>
      <c r="M3">
        <f>B7</f>
        <v>13488</v>
      </c>
      <c r="AG3" t="s">
        <v>593</v>
      </c>
      <c r="AH3" s="219" t="e">
        <f ca="1">P6</f>
        <v>#NAME?</v>
      </c>
      <c r="AI3" s="220" t="e">
        <f ca="1">Y6</f>
        <v>#NAME?</v>
      </c>
      <c r="AK3" t="e" cm="1">
        <f t="array" aca="1" ref="AK3" ca="1">FTEXT(AH3)</f>
        <v>#NAME?</v>
      </c>
      <c r="AL3" t="e" cm="1">
        <f t="array" aca="1" ref="AL3" ca="1">FTEXT(AI3)</f>
        <v>#NAME?</v>
      </c>
      <c r="AO3" t="s">
        <v>598</v>
      </c>
      <c r="AP3" s="221" t="e" cm="1">
        <f t="array" aca="1" ref="AP3" ca="1">RSquare(E3:L37,M3:M37)</f>
        <v>#NAME?</v>
      </c>
      <c r="AR3" t="e" cm="1">
        <f t="array" aca="1" ref="AR3" ca="1">FTEXT(AP3)</f>
        <v>#NAME?</v>
      </c>
      <c r="AT3" s="137" t="s">
        <v>522</v>
      </c>
      <c r="AU3" t="s">
        <v>599</v>
      </c>
      <c r="AV3" t="s">
        <v>600</v>
      </c>
    </row>
    <row r="4" spans="1:48" ht="15" thickBot="1" x14ac:dyDescent="0.4">
      <c r="A4">
        <v>1933</v>
      </c>
      <c r="B4">
        <f>'Granger 1'!B4-'Granger 1'!B3</f>
        <v>7708</v>
      </c>
      <c r="C4">
        <f>'Granger 1'!C4-'Granger 1'!C3</f>
        <v>-72</v>
      </c>
      <c r="E4">
        <f t="shared" ref="E4:E23" si="0">B7</f>
        <v>13488</v>
      </c>
      <c r="F4">
        <f t="shared" ref="F4:F23" si="1">B6</f>
        <v>-43979</v>
      </c>
      <c r="G4">
        <f t="shared" ref="G4:G23" si="2">B5</f>
        <v>-10586</v>
      </c>
      <c r="H4">
        <f t="shared" ref="H4:H23" si="3">B4</f>
        <v>7708</v>
      </c>
      <c r="I4">
        <f t="shared" ref="I4:I23" si="4">C7</f>
        <v>85</v>
      </c>
      <c r="J4">
        <f t="shared" ref="J4:J23" si="5">C6</f>
        <v>-75</v>
      </c>
      <c r="K4">
        <f t="shared" ref="K4:K23" si="6">C5</f>
        <v>-99</v>
      </c>
      <c r="L4">
        <f t="shared" ref="L4:L23" si="7">C4</f>
        <v>-72</v>
      </c>
      <c r="M4">
        <f t="shared" ref="M4:M37" si="8">B8</f>
        <v>20475</v>
      </c>
      <c r="O4" s="44" t="s">
        <v>142</v>
      </c>
      <c r="P4" s="44"/>
      <c r="R4" s="44"/>
      <c r="S4" s="44"/>
      <c r="X4" s="44" t="s">
        <v>142</v>
      </c>
      <c r="Y4" s="44"/>
      <c r="AA4" s="44"/>
      <c r="AB4" s="44"/>
      <c r="AG4" t="s">
        <v>596</v>
      </c>
      <c r="AH4" s="29">
        <f>P14</f>
        <v>26</v>
      </c>
      <c r="AI4" s="30"/>
      <c r="AK4" t="e" cm="1">
        <f t="array" aca="1" ref="AK4" ca="1">FTEXT(AH4)</f>
        <v>#NAME?</v>
      </c>
      <c r="AL4" t="e" cm="1">
        <f t="array" aca="1" ref="AL4" ca="1">FTEXT(AI4)</f>
        <v>#NAME?</v>
      </c>
      <c r="AO4" t="s">
        <v>597</v>
      </c>
      <c r="AP4" s="24" t="e" cm="1">
        <f t="array" aca="1" ref="AP4" ca="1">RSquare(E3:H37,M3:M37)</f>
        <v>#NAME?</v>
      </c>
      <c r="AR4" t="e" cm="1">
        <f t="array" aca="1" ref="AR4" ca="1">FTEXT(AP4)</f>
        <v>#NAME?</v>
      </c>
      <c r="AT4" s="137">
        <v>1</v>
      </c>
      <c r="AU4" s="219" t="e" cm="1">
        <f t="array" aca="1" ref="AU4" ca="1">GRANGER_TEST($B$3:$B$41,$C$3:$C$41,AT4)</f>
        <v>#NAME?</v>
      </c>
      <c r="AV4" s="220" t="e" cm="1">
        <f t="array" aca="1" ref="AV4" ca="1">GRANGER_TEST($C$3:$C$41,$B$3:$B$41,AT4)</f>
        <v>#NAME?</v>
      </c>
    </row>
    <row r="5" spans="1:48" ht="15" thickTop="1" x14ac:dyDescent="0.35">
      <c r="A5">
        <v>1934</v>
      </c>
      <c r="B5">
        <f>'Granger 1'!B5-'Granger 1'!B4</f>
        <v>-10586</v>
      </c>
      <c r="C5">
        <f>'Granger 1'!C5-'Granger 1'!C4</f>
        <v>-99</v>
      </c>
      <c r="E5">
        <f t="shared" si="0"/>
        <v>20475</v>
      </c>
      <c r="F5">
        <f t="shared" si="1"/>
        <v>13488</v>
      </c>
      <c r="G5">
        <f t="shared" si="2"/>
        <v>-43979</v>
      </c>
      <c r="H5">
        <f t="shared" si="3"/>
        <v>-10586</v>
      </c>
      <c r="I5">
        <f t="shared" si="4"/>
        <v>277</v>
      </c>
      <c r="J5">
        <f t="shared" si="5"/>
        <v>85</v>
      </c>
      <c r="K5">
        <f t="shared" si="6"/>
        <v>-75</v>
      </c>
      <c r="L5">
        <f t="shared" si="7"/>
        <v>-99</v>
      </c>
      <c r="M5">
        <f t="shared" si="8"/>
        <v>-34297</v>
      </c>
      <c r="O5" t="s">
        <v>144</v>
      </c>
      <c r="P5" t="e">
        <f ca="1">SQRT(P6)</f>
        <v>#NAME?</v>
      </c>
      <c r="R5" t="s">
        <v>145</v>
      </c>
      <c r="S5" t="e">
        <f ca="1">P9*LN(Q14/P9)+2*(P13+1)</f>
        <v>#NAME?</v>
      </c>
      <c r="X5" t="s">
        <v>144</v>
      </c>
      <c r="Y5" t="e">
        <f ca="1">SQRT(Y6)</f>
        <v>#NAME?</v>
      </c>
      <c r="AA5" t="s">
        <v>145</v>
      </c>
      <c r="AB5" t="e">
        <f ca="1">Y9*LN(Z14/Y9)+2*(Y13+1)</f>
        <v>#NAME?</v>
      </c>
      <c r="AG5" t="s">
        <v>595</v>
      </c>
      <c r="AH5" s="31"/>
      <c r="AI5" s="32">
        <f>Y13</f>
        <v>4</v>
      </c>
      <c r="AK5" t="e" cm="1">
        <f t="array" aca="1" ref="AK5" ca="1">FTEXT(AH5)</f>
        <v>#NAME?</v>
      </c>
      <c r="AL5" t="e" cm="1">
        <f t="array" aca="1" ref="AL5" ca="1">FTEXT(AI5)</f>
        <v>#NAME?</v>
      </c>
      <c r="AO5" t="s">
        <v>596</v>
      </c>
      <c r="AP5" s="24">
        <f>COUNT(M3:M37)-AP6*2-1</f>
        <v>26</v>
      </c>
      <c r="AR5" t="e" cm="1">
        <f t="array" aca="1" ref="AR5" ca="1">FTEXT(AP5)</f>
        <v>#NAME?</v>
      </c>
      <c r="AT5" s="137">
        <v>2</v>
      </c>
      <c r="AU5" s="29" t="e" cm="1">
        <f t="array" aca="1" ref="AU5" ca="1">GRANGER_TEST($B$3:$B$41,$C$3:$C$41,AT5)</f>
        <v>#NAME?</v>
      </c>
      <c r="AV5" s="30" t="e" cm="1">
        <f t="array" aca="1" ref="AV5" ca="1">GRANGER_TEST($C$3:$C$41,$B$3:$B$41,AT5)</f>
        <v>#NAME?</v>
      </c>
    </row>
    <row r="6" spans="1:48" x14ac:dyDescent="0.35">
      <c r="A6">
        <v>1935</v>
      </c>
      <c r="B6">
        <f>'Granger 1'!B6-'Granger 1'!B5</f>
        <v>-43979</v>
      </c>
      <c r="C6">
        <f>'Granger 1'!C6-'Granger 1'!C5</f>
        <v>-75</v>
      </c>
      <c r="E6">
        <f t="shared" si="0"/>
        <v>-34297</v>
      </c>
      <c r="F6">
        <f t="shared" si="1"/>
        <v>20475</v>
      </c>
      <c r="G6">
        <f t="shared" si="2"/>
        <v>13488</v>
      </c>
      <c r="H6">
        <f t="shared" si="3"/>
        <v>-43979</v>
      </c>
      <c r="I6">
        <f t="shared" si="4"/>
        <v>-19</v>
      </c>
      <c r="J6">
        <f t="shared" si="5"/>
        <v>277</v>
      </c>
      <c r="K6">
        <f t="shared" si="6"/>
        <v>85</v>
      </c>
      <c r="L6">
        <f t="shared" si="7"/>
        <v>-75</v>
      </c>
      <c r="M6">
        <f t="shared" si="8"/>
        <v>28967</v>
      </c>
      <c r="O6" t="s">
        <v>148</v>
      </c>
      <c r="P6" t="e">
        <f ca="1">Q13/Q15</f>
        <v>#NAME?</v>
      </c>
      <c r="R6" t="s">
        <v>149</v>
      </c>
      <c r="S6" t="e">
        <f ca="1">S5+2*(P13+2)*(P13+3)/(P9-P13-3)</f>
        <v>#NAME?</v>
      </c>
      <c r="X6" t="s">
        <v>148</v>
      </c>
      <c r="Y6" t="e">
        <f ca="1">Z13/Z15</f>
        <v>#NAME?</v>
      </c>
      <c r="AA6" t="s">
        <v>149</v>
      </c>
      <c r="AB6" t="e">
        <f ca="1">AB5+2*(Y13+2)*(Y13+3)/(Y9-Y13-3)</f>
        <v>#NAME?</v>
      </c>
      <c r="AO6" t="s">
        <v>595</v>
      </c>
      <c r="AP6" s="34">
        <f>COUNT(E3:H3)</f>
        <v>4</v>
      </c>
      <c r="AR6" t="e" cm="1">
        <f t="array" aca="1" ref="AR6" ca="1">FTEXT(AP6)</f>
        <v>#NAME?</v>
      </c>
      <c r="AT6" s="137">
        <v>3</v>
      </c>
      <c r="AU6" s="29" t="e" cm="1">
        <f t="array" aca="1" ref="AU6" ca="1">GRANGER_TEST($B$3:$B$41,$C$3:$C$41,AT6)</f>
        <v>#NAME?</v>
      </c>
      <c r="AV6" s="30" t="e" cm="1">
        <f t="array" aca="1" ref="AV6" ca="1">GRANGER_TEST($C$3:$C$41,$B$3:$B$41,AT6)</f>
        <v>#NAME?</v>
      </c>
    </row>
    <row r="7" spans="1:48" x14ac:dyDescent="0.35">
      <c r="A7">
        <v>1936</v>
      </c>
      <c r="B7">
        <f>'Granger 1'!B7-'Granger 1'!B6</f>
        <v>13488</v>
      </c>
      <c r="C7">
        <f>'Granger 1'!C7-'Granger 1'!C6</f>
        <v>85</v>
      </c>
      <c r="E7">
        <f t="shared" si="0"/>
        <v>28967</v>
      </c>
      <c r="F7">
        <f t="shared" si="1"/>
        <v>-34297</v>
      </c>
      <c r="G7">
        <f t="shared" si="2"/>
        <v>20475</v>
      </c>
      <c r="H7">
        <f t="shared" si="3"/>
        <v>13488</v>
      </c>
      <c r="I7">
        <f t="shared" si="4"/>
        <v>137</v>
      </c>
      <c r="J7">
        <f t="shared" si="5"/>
        <v>-19</v>
      </c>
      <c r="K7">
        <f t="shared" si="6"/>
        <v>277</v>
      </c>
      <c r="L7">
        <f t="shared" si="7"/>
        <v>85</v>
      </c>
      <c r="M7">
        <f t="shared" si="8"/>
        <v>19697</v>
      </c>
      <c r="O7" t="s">
        <v>150</v>
      </c>
      <c r="P7" t="e">
        <f ca="1">1-(1-P6)*(P9-1)/(P9-P13-1)</f>
        <v>#NAME?</v>
      </c>
      <c r="R7" s="4" t="s">
        <v>151</v>
      </c>
      <c r="S7" s="4" t="e">
        <f ca="1">P9*LN(Q14/P9)+(P13+1)*LN(P9)</f>
        <v>#NAME?</v>
      </c>
      <c r="X7" t="s">
        <v>150</v>
      </c>
      <c r="Y7" t="e">
        <f ca="1">1-(1-Y6)*(Y9-1)/(Y9-Y13-1)</f>
        <v>#NAME?</v>
      </c>
      <c r="AA7" s="4" t="s">
        <v>151</v>
      </c>
      <c r="AB7" s="4" t="e">
        <f ca="1">Y9*LN(Z14/Y9)+(Y13+1)*LN(Y9)</f>
        <v>#NAME?</v>
      </c>
      <c r="AG7" t="s">
        <v>159</v>
      </c>
      <c r="AH7" s="221" t="e">
        <f ca="1">(AH3-AI3)*AH4/(1-AH3)/AI5</f>
        <v>#NAME?</v>
      </c>
      <c r="AK7" t="e" cm="1">
        <f t="array" aca="1" ref="AK7" ca="1">FTEXT(AH7)</f>
        <v>#NAME?</v>
      </c>
      <c r="AT7" s="137">
        <v>4</v>
      </c>
      <c r="AU7" s="31" t="e" cm="1">
        <f t="array" aca="1" ref="AU7" ca="1">GRANGER_TEST($B$3:$B$41,$C$3:$C$41,AT7)</f>
        <v>#NAME?</v>
      </c>
      <c r="AV7" s="32" t="e" cm="1">
        <f t="array" aca="1" ref="AV7" ca="1">GRANGER_TEST($C$3:$C$41,$B$3:$B$41,AT7)</f>
        <v>#NAME?</v>
      </c>
    </row>
    <row r="8" spans="1:48" x14ac:dyDescent="0.35">
      <c r="A8">
        <v>1937</v>
      </c>
      <c r="B8">
        <f>'Granger 1'!B8-'Granger 1'!B7</f>
        <v>20475</v>
      </c>
      <c r="C8">
        <f>'Granger 1'!C8-'Granger 1'!C7</f>
        <v>277</v>
      </c>
      <c r="E8">
        <f t="shared" si="0"/>
        <v>19697</v>
      </c>
      <c r="F8">
        <f t="shared" si="1"/>
        <v>28967</v>
      </c>
      <c r="G8">
        <f t="shared" si="2"/>
        <v>-34297</v>
      </c>
      <c r="H8">
        <f t="shared" si="3"/>
        <v>20475</v>
      </c>
      <c r="I8">
        <f t="shared" si="4"/>
        <v>79</v>
      </c>
      <c r="J8">
        <f t="shared" si="5"/>
        <v>137</v>
      </c>
      <c r="K8">
        <f t="shared" si="6"/>
        <v>-19</v>
      </c>
      <c r="L8">
        <f t="shared" si="7"/>
        <v>277</v>
      </c>
      <c r="M8">
        <f t="shared" si="8"/>
        <v>-15447</v>
      </c>
      <c r="O8" t="s">
        <v>146</v>
      </c>
      <c r="P8" t="e">
        <f ca="1">SQRT(R14)</f>
        <v>#NAME?</v>
      </c>
      <c r="X8" t="s">
        <v>146</v>
      </c>
      <c r="Y8" t="e">
        <f ca="1">SQRT(AA14)</f>
        <v>#NAME?</v>
      </c>
      <c r="AG8" t="s">
        <v>92</v>
      </c>
      <c r="AH8" s="34" t="e">
        <f ca="1">FDIST(AH7,AI5,AH4)</f>
        <v>#NAME?</v>
      </c>
      <c r="AK8" t="e" cm="1">
        <f t="array" aca="1" ref="AK8" ca="1">FTEXT(AH8)</f>
        <v>#NAME?</v>
      </c>
      <c r="AO8" t="s">
        <v>159</v>
      </c>
      <c r="AP8" s="221" t="e">
        <f ca="1">(AP3-AP4)*AP5/(1-AP3)/AP6</f>
        <v>#NAME?</v>
      </c>
      <c r="AR8" t="e" cm="1">
        <f t="array" aca="1" ref="AR8" ca="1">FTEXT(AP8)</f>
        <v>#NAME?</v>
      </c>
    </row>
    <row r="9" spans="1:48" x14ac:dyDescent="0.35">
      <c r="A9">
        <v>1938</v>
      </c>
      <c r="B9">
        <f>'Granger 1'!B9-'Granger 1'!B8</f>
        <v>-34297</v>
      </c>
      <c r="C9">
        <f>'Granger 1'!C9-'Granger 1'!C8</f>
        <v>-19</v>
      </c>
      <c r="E9">
        <f t="shared" si="0"/>
        <v>-15447</v>
      </c>
      <c r="F9">
        <f t="shared" si="1"/>
        <v>19697</v>
      </c>
      <c r="G9">
        <f t="shared" si="2"/>
        <v>28967</v>
      </c>
      <c r="H9">
        <f t="shared" si="3"/>
        <v>-34297</v>
      </c>
      <c r="I9">
        <f t="shared" si="4"/>
        <v>200</v>
      </c>
      <c r="J9">
        <f t="shared" si="5"/>
        <v>79</v>
      </c>
      <c r="K9">
        <f t="shared" si="6"/>
        <v>137</v>
      </c>
      <c r="L9">
        <f t="shared" si="7"/>
        <v>-19</v>
      </c>
      <c r="M9">
        <f t="shared" si="8"/>
        <v>54094</v>
      </c>
      <c r="O9" s="4" t="s">
        <v>153</v>
      </c>
      <c r="P9" s="4">
        <f>COUNT(M3:M37)</f>
        <v>35</v>
      </c>
      <c r="X9" s="4" t="s">
        <v>153</v>
      </c>
      <c r="Y9" s="4">
        <f>COUNT(M3:M37)</f>
        <v>35</v>
      </c>
      <c r="AO9" t="s">
        <v>92</v>
      </c>
      <c r="AP9" s="34" t="e">
        <f ca="1">FDIST(AP8,AP6,AP5)</f>
        <v>#NAME?</v>
      </c>
      <c r="AR9" t="e" cm="1">
        <f t="array" aca="1" ref="AR9" ca="1">FTEXT(AP9)</f>
        <v>#NAME?</v>
      </c>
    </row>
    <row r="10" spans="1:48" x14ac:dyDescent="0.35">
      <c r="A10">
        <v>1939</v>
      </c>
      <c r="B10">
        <f>'Granger 1'!B10-'Granger 1'!B9</f>
        <v>28967</v>
      </c>
      <c r="C10">
        <f>'Granger 1'!C10-'Granger 1'!C9</f>
        <v>137</v>
      </c>
      <c r="E10">
        <f t="shared" si="0"/>
        <v>54094</v>
      </c>
      <c r="F10">
        <f t="shared" si="1"/>
        <v>-15447</v>
      </c>
      <c r="G10">
        <f t="shared" si="2"/>
        <v>19697</v>
      </c>
      <c r="H10">
        <f t="shared" si="3"/>
        <v>28967</v>
      </c>
      <c r="I10">
        <f t="shared" si="4"/>
        <v>616</v>
      </c>
      <c r="J10">
        <f t="shared" si="5"/>
        <v>200</v>
      </c>
      <c r="K10">
        <f t="shared" si="6"/>
        <v>79</v>
      </c>
      <c r="L10">
        <f t="shared" si="7"/>
        <v>137</v>
      </c>
      <c r="M10">
        <f t="shared" si="8"/>
        <v>65112</v>
      </c>
      <c r="AG10" t="s">
        <v>92</v>
      </c>
      <c r="AH10" s="19" t="e" cm="1">
        <f t="array" aca="1" ref="AH10" ca="1">RSquareTest(E3:L37,E3:H37,M3:M37)</f>
        <v>#NAME?</v>
      </c>
      <c r="AK10" t="e" cm="1">
        <f t="array" aca="1" ref="AK10" ca="1">FTEXT(AH10)</f>
        <v>#NAME?</v>
      </c>
    </row>
    <row r="11" spans="1:48" ht="15" thickBot="1" x14ac:dyDescent="0.4">
      <c r="A11">
        <v>1940</v>
      </c>
      <c r="B11">
        <f>'Granger 1'!B11-'Granger 1'!B10</f>
        <v>19697</v>
      </c>
      <c r="C11">
        <f>'Granger 1'!C11-'Granger 1'!C10</f>
        <v>79</v>
      </c>
      <c r="E11">
        <f t="shared" si="0"/>
        <v>65112</v>
      </c>
      <c r="F11">
        <f t="shared" si="1"/>
        <v>54094</v>
      </c>
      <c r="G11">
        <f t="shared" si="2"/>
        <v>-15447</v>
      </c>
      <c r="H11">
        <f t="shared" si="3"/>
        <v>19697</v>
      </c>
      <c r="I11">
        <f t="shared" si="4"/>
        <v>544</v>
      </c>
      <c r="J11">
        <f t="shared" si="5"/>
        <v>616</v>
      </c>
      <c r="K11">
        <f t="shared" si="6"/>
        <v>200</v>
      </c>
      <c r="L11">
        <f t="shared" si="7"/>
        <v>79</v>
      </c>
      <c r="M11">
        <f t="shared" si="8"/>
        <v>40150</v>
      </c>
      <c r="O11" t="s">
        <v>155</v>
      </c>
      <c r="S11" s="137" t="s">
        <v>156</v>
      </c>
      <c r="T11" s="137">
        <v>0.05</v>
      </c>
      <c r="X11" t="s">
        <v>155</v>
      </c>
      <c r="AB11" s="137" t="s">
        <v>156</v>
      </c>
      <c r="AC11" s="137">
        <v>0.05</v>
      </c>
    </row>
    <row r="12" spans="1:48" ht="15" thickTop="1" x14ac:dyDescent="0.35">
      <c r="A12">
        <v>1941</v>
      </c>
      <c r="B12">
        <f>'Granger 1'!B12-'Granger 1'!B11</f>
        <v>-15447</v>
      </c>
      <c r="C12">
        <f>'Granger 1'!C12-'Granger 1'!C11</f>
        <v>200</v>
      </c>
      <c r="E12">
        <f t="shared" si="0"/>
        <v>40150</v>
      </c>
      <c r="F12">
        <f t="shared" si="1"/>
        <v>65112</v>
      </c>
      <c r="G12">
        <f t="shared" si="2"/>
        <v>54094</v>
      </c>
      <c r="H12">
        <f t="shared" si="3"/>
        <v>-15447</v>
      </c>
      <c r="I12">
        <f t="shared" si="4"/>
        <v>366</v>
      </c>
      <c r="J12">
        <f t="shared" si="5"/>
        <v>544</v>
      </c>
      <c r="K12">
        <f t="shared" si="6"/>
        <v>616</v>
      </c>
      <c r="L12">
        <f t="shared" si="7"/>
        <v>200</v>
      </c>
      <c r="M12">
        <f t="shared" si="8"/>
        <v>-65700</v>
      </c>
      <c r="O12" s="45"/>
      <c r="P12" s="45" t="s">
        <v>88</v>
      </c>
      <c r="Q12" s="45" t="s">
        <v>157</v>
      </c>
      <c r="R12" s="45" t="s">
        <v>158</v>
      </c>
      <c r="S12" s="45" t="s">
        <v>159</v>
      </c>
      <c r="T12" s="45" t="s">
        <v>92</v>
      </c>
      <c r="U12" s="45" t="s">
        <v>84</v>
      </c>
      <c r="X12" s="45"/>
      <c r="Y12" s="45" t="s">
        <v>88</v>
      </c>
      <c r="Z12" s="45" t="s">
        <v>157</v>
      </c>
      <c r="AA12" s="45" t="s">
        <v>158</v>
      </c>
      <c r="AB12" s="45" t="s">
        <v>159</v>
      </c>
      <c r="AC12" s="45" t="s">
        <v>92</v>
      </c>
      <c r="AD12" s="45" t="s">
        <v>84</v>
      </c>
      <c r="AG12" t="s">
        <v>159</v>
      </c>
      <c r="AH12" s="221" t="e" cm="1">
        <f t="array" aca="1" ref="AH12" ca="1">GRANGER(C3:C41,B3:B41,4)</f>
        <v>#NAME?</v>
      </c>
      <c r="AK12" t="e" cm="1">
        <f t="array" aca="1" ref="AK12" ca="1">FTEXT(AH12)</f>
        <v>#NAME?</v>
      </c>
    </row>
    <row r="13" spans="1:48" x14ac:dyDescent="0.35">
      <c r="A13">
        <v>1942</v>
      </c>
      <c r="B13">
        <f>'Granger 1'!B13-'Granger 1'!B12</f>
        <v>54094</v>
      </c>
      <c r="C13">
        <f>'Granger 1'!C13-'Granger 1'!C12</f>
        <v>616</v>
      </c>
      <c r="E13">
        <f t="shared" si="0"/>
        <v>-65700</v>
      </c>
      <c r="F13">
        <f t="shared" si="1"/>
        <v>40150</v>
      </c>
      <c r="G13">
        <f t="shared" si="2"/>
        <v>65112</v>
      </c>
      <c r="H13">
        <f t="shared" si="3"/>
        <v>54094</v>
      </c>
      <c r="I13">
        <f t="shared" si="4"/>
        <v>-212</v>
      </c>
      <c r="J13">
        <f t="shared" si="5"/>
        <v>366</v>
      </c>
      <c r="K13">
        <f t="shared" si="6"/>
        <v>544</v>
      </c>
      <c r="L13">
        <f t="shared" si="7"/>
        <v>616</v>
      </c>
      <c r="M13">
        <f t="shared" si="8"/>
        <v>6730</v>
      </c>
      <c r="O13" t="s">
        <v>160</v>
      </c>
      <c r="P13">
        <f>COUNT(E3:L3)</f>
        <v>8</v>
      </c>
      <c r="Q13" t="e">
        <f ca="1">DEVSQ(MMULT(DEsign(E3:L37),P18:P26))</f>
        <v>#NAME?</v>
      </c>
      <c r="R13" t="e">
        <f ca="1">Q13/P13</f>
        <v>#NAME?</v>
      </c>
      <c r="S13" t="e">
        <f ca="1">R13/R14</f>
        <v>#NAME?</v>
      </c>
      <c r="T13" t="e">
        <f ca="1">_xlfn.F.DIST.RT(S13,P13,P14)</f>
        <v>#NAME?</v>
      </c>
      <c r="U13" s="137" t="e">
        <f ca="1">IF(T13&lt;T11,"yes","no")</f>
        <v>#NAME?</v>
      </c>
      <c r="X13" t="s">
        <v>160</v>
      </c>
      <c r="Y13">
        <f>COUNT(E3:H3)</f>
        <v>4</v>
      </c>
      <c r="Z13" t="e">
        <f ca="1">DEVSQ(MMULT(DEsign(E3:H37),Y18:Y22))</f>
        <v>#NAME?</v>
      </c>
      <c r="AA13" t="e">
        <f ca="1">Z13/Y13</f>
        <v>#NAME?</v>
      </c>
      <c r="AB13" t="e">
        <f ca="1">AA13/AA14</f>
        <v>#NAME?</v>
      </c>
      <c r="AC13" t="e">
        <f ca="1">_xlfn.F.DIST.RT(AB13,Y13,Y14)</f>
        <v>#NAME?</v>
      </c>
      <c r="AD13" s="137" t="e">
        <f ca="1">IF(AC13&lt;AC11,"yes","no")</f>
        <v>#NAME?</v>
      </c>
      <c r="AG13" t="s">
        <v>92</v>
      </c>
      <c r="AH13" s="34" t="e" cm="1">
        <f t="array" aca="1" ref="AH13" ca="1">GRANGER_TEST(C3:C41,B3:B41,4)</f>
        <v>#NAME?</v>
      </c>
      <c r="AK13" t="e" cm="1">
        <f t="array" aca="1" ref="AK13" ca="1">FTEXT(AH13)</f>
        <v>#NAME?</v>
      </c>
    </row>
    <row r="14" spans="1:48" x14ac:dyDescent="0.35">
      <c r="A14">
        <v>1943</v>
      </c>
      <c r="B14">
        <f>'Granger 1'!B14-'Granger 1'!B13</f>
        <v>65112</v>
      </c>
      <c r="C14">
        <f>'Granger 1'!C14-'Granger 1'!C13</f>
        <v>544</v>
      </c>
      <c r="E14">
        <f t="shared" si="0"/>
        <v>6730</v>
      </c>
      <c r="F14">
        <f t="shared" si="1"/>
        <v>-65700</v>
      </c>
      <c r="G14">
        <f t="shared" si="2"/>
        <v>40150</v>
      </c>
      <c r="H14">
        <f t="shared" si="3"/>
        <v>65112</v>
      </c>
      <c r="I14">
        <f t="shared" si="4"/>
        <v>-24</v>
      </c>
      <c r="J14">
        <f t="shared" si="5"/>
        <v>-212</v>
      </c>
      <c r="K14">
        <f t="shared" si="6"/>
        <v>366</v>
      </c>
      <c r="L14">
        <f t="shared" si="7"/>
        <v>544</v>
      </c>
      <c r="M14">
        <f t="shared" si="8"/>
        <v>-56010</v>
      </c>
      <c r="O14" t="s">
        <v>107</v>
      </c>
      <c r="P14">
        <f>P15-P13</f>
        <v>26</v>
      </c>
      <c r="Q14" t="e">
        <f ca="1">Q15-Q13</f>
        <v>#NAME?</v>
      </c>
      <c r="R14" t="e">
        <f ca="1">Q14/P14</f>
        <v>#NAME?</v>
      </c>
      <c r="X14" t="s">
        <v>107</v>
      </c>
      <c r="Y14">
        <f>Y15-Y13</f>
        <v>30</v>
      </c>
      <c r="Z14" t="e">
        <f ca="1">Z15-Z13</f>
        <v>#NAME?</v>
      </c>
      <c r="AA14" t="e">
        <f ca="1">Z14/Y14</f>
        <v>#NAME?</v>
      </c>
    </row>
    <row r="15" spans="1:48" x14ac:dyDescent="0.35">
      <c r="A15">
        <v>1944</v>
      </c>
      <c r="B15">
        <f>'Granger 1'!B15-'Granger 1'!B14</f>
        <v>40150</v>
      </c>
      <c r="C15">
        <f>'Granger 1'!C15-'Granger 1'!C14</f>
        <v>366</v>
      </c>
      <c r="E15">
        <f t="shared" si="0"/>
        <v>-56010</v>
      </c>
      <c r="F15">
        <f t="shared" si="1"/>
        <v>6730</v>
      </c>
      <c r="G15">
        <f t="shared" si="2"/>
        <v>-65700</v>
      </c>
      <c r="H15">
        <f t="shared" si="3"/>
        <v>40150</v>
      </c>
      <c r="I15">
        <f t="shared" si="4"/>
        <v>-53</v>
      </c>
      <c r="J15">
        <f t="shared" si="5"/>
        <v>-24</v>
      </c>
      <c r="K15">
        <f t="shared" si="6"/>
        <v>-212</v>
      </c>
      <c r="L15">
        <f t="shared" si="7"/>
        <v>366</v>
      </c>
      <c r="M15">
        <f t="shared" si="8"/>
        <v>32427</v>
      </c>
      <c r="O15" s="4" t="s">
        <v>161</v>
      </c>
      <c r="P15" s="4">
        <f>P9-1</f>
        <v>34</v>
      </c>
      <c r="Q15" s="4">
        <f>DEVSQ(M3:M37)</f>
        <v>30045692162.171429</v>
      </c>
      <c r="R15" s="4"/>
      <c r="S15" s="4"/>
      <c r="T15" s="4"/>
      <c r="U15" s="4"/>
      <c r="X15" s="4" t="s">
        <v>161</v>
      </c>
      <c r="Y15" s="4">
        <f>Y9-1</f>
        <v>34</v>
      </c>
      <c r="Z15" s="4">
        <f>DEVSQ(M3:M37)</f>
        <v>30045692162.171429</v>
      </c>
      <c r="AA15" s="4"/>
      <c r="AB15" s="4"/>
      <c r="AC15" s="4"/>
      <c r="AD15" s="4"/>
    </row>
    <row r="16" spans="1:48" ht="15" thickBot="1" x14ac:dyDescent="0.4">
      <c r="A16">
        <v>1945</v>
      </c>
      <c r="B16">
        <f>'Granger 1'!B16-'Granger 1'!B15</f>
        <v>-65700</v>
      </c>
      <c r="C16">
        <f>'Granger 1'!C16-'Granger 1'!C15</f>
        <v>-212</v>
      </c>
      <c r="E16">
        <f t="shared" si="0"/>
        <v>32427</v>
      </c>
      <c r="F16">
        <f t="shared" si="1"/>
        <v>-56010</v>
      </c>
      <c r="G16">
        <f t="shared" si="2"/>
        <v>6730</v>
      </c>
      <c r="H16">
        <f t="shared" si="3"/>
        <v>-65700</v>
      </c>
      <c r="I16">
        <f t="shared" si="4"/>
        <v>-45</v>
      </c>
      <c r="J16">
        <f t="shared" si="5"/>
        <v>-53</v>
      </c>
      <c r="K16">
        <f t="shared" si="6"/>
        <v>-24</v>
      </c>
      <c r="L16">
        <f t="shared" si="7"/>
        <v>-212</v>
      </c>
      <c r="M16">
        <f t="shared" si="8"/>
        <v>-68768</v>
      </c>
    </row>
    <row r="17" spans="1:31" ht="15" thickTop="1" x14ac:dyDescent="0.35">
      <c r="A17">
        <v>1946</v>
      </c>
      <c r="B17">
        <f>'Granger 1'!B17-'Granger 1'!B16</f>
        <v>6730</v>
      </c>
      <c r="C17">
        <f>'Granger 1'!C17-'Granger 1'!C16</f>
        <v>-24</v>
      </c>
      <c r="E17">
        <f t="shared" si="0"/>
        <v>-68768</v>
      </c>
      <c r="F17">
        <f t="shared" si="1"/>
        <v>32427</v>
      </c>
      <c r="G17">
        <f t="shared" si="2"/>
        <v>-56010</v>
      </c>
      <c r="H17">
        <f t="shared" si="3"/>
        <v>6730</v>
      </c>
      <c r="I17">
        <f t="shared" si="4"/>
        <v>116</v>
      </c>
      <c r="J17">
        <f t="shared" si="5"/>
        <v>-45</v>
      </c>
      <c r="K17">
        <f t="shared" si="6"/>
        <v>-53</v>
      </c>
      <c r="L17">
        <f t="shared" si="7"/>
        <v>-24</v>
      </c>
      <c r="M17">
        <f t="shared" si="8"/>
        <v>25673</v>
      </c>
      <c r="O17" s="45"/>
      <c r="P17" s="45" t="s">
        <v>162</v>
      </c>
      <c r="Q17" s="45" t="s">
        <v>163</v>
      </c>
      <c r="R17" s="45" t="s">
        <v>164</v>
      </c>
      <c r="S17" s="45" t="s">
        <v>92</v>
      </c>
      <c r="T17" s="45" t="s">
        <v>127</v>
      </c>
      <c r="U17" s="45" t="s">
        <v>128</v>
      </c>
      <c r="V17" s="45" t="s">
        <v>165</v>
      </c>
      <c r="X17" s="45"/>
      <c r="Y17" s="45" t="s">
        <v>162</v>
      </c>
      <c r="Z17" s="45" t="s">
        <v>163</v>
      </c>
      <c r="AA17" s="45" t="s">
        <v>164</v>
      </c>
      <c r="AB17" s="45" t="s">
        <v>92</v>
      </c>
      <c r="AC17" s="45" t="s">
        <v>127</v>
      </c>
      <c r="AD17" s="45" t="s">
        <v>128</v>
      </c>
      <c r="AE17" s="45" t="s">
        <v>165</v>
      </c>
    </row>
    <row r="18" spans="1:31" x14ac:dyDescent="0.35">
      <c r="A18">
        <v>1947</v>
      </c>
      <c r="B18">
        <f>'Granger 1'!B18-'Granger 1'!B17</f>
        <v>-56010</v>
      </c>
      <c r="C18">
        <f>'Granger 1'!C18-'Granger 1'!C17</f>
        <v>-53</v>
      </c>
      <c r="E18">
        <f t="shared" si="0"/>
        <v>25673</v>
      </c>
      <c r="F18">
        <f t="shared" si="1"/>
        <v>-68768</v>
      </c>
      <c r="G18">
        <f t="shared" si="2"/>
        <v>32427</v>
      </c>
      <c r="H18">
        <f t="shared" si="3"/>
        <v>-56010</v>
      </c>
      <c r="I18">
        <f t="shared" si="4"/>
        <v>256</v>
      </c>
      <c r="J18">
        <f t="shared" si="5"/>
        <v>116</v>
      </c>
      <c r="K18">
        <f t="shared" si="6"/>
        <v>-45</v>
      </c>
      <c r="L18">
        <f t="shared" si="7"/>
        <v>-53</v>
      </c>
      <c r="M18">
        <f t="shared" si="8"/>
        <v>-25561</v>
      </c>
      <c r="O18" t="s">
        <v>166</v>
      </c>
      <c r="P18" t="e">
        <f t="array" aca="1" ref="P18:Q26" ca="1">RegCoeff(E3:L37,M3:M37)</f>
        <v>#NAME?</v>
      </c>
      <c r="Q18" t="e">
        <f ca="1"/>
        <v>#NAME?</v>
      </c>
      <c r="R18" t="e">
        <f ca="1">P18/Q18</f>
        <v>#NAME?</v>
      </c>
      <c r="S18" t="e">
        <f ca="1">_xlfn.T.DIST.2T(ABS(R18),$P$14)</f>
        <v>#NAME?</v>
      </c>
      <c r="T18" t="e">
        <f ca="1">P18-_xlfn.T.INV.2T(T$11,$P$14)*Q18</f>
        <v>#NAME?</v>
      </c>
      <c r="U18" t="e">
        <f ca="1">P18+_xlfn.T.INV.2T(T$11,$P$14)*Q18</f>
        <v>#NAME?</v>
      </c>
      <c r="X18" t="s">
        <v>166</v>
      </c>
      <c r="Y18" t="e">
        <f t="array" aca="1" ref="Y18:Z22" ca="1">RegCoeff(E3:H37,M3:M37)</f>
        <v>#NAME?</v>
      </c>
      <c r="Z18" t="e">
        <f ca="1"/>
        <v>#NAME?</v>
      </c>
      <c r="AA18" t="e">
        <f ca="1">Y18/Z18</f>
        <v>#NAME?</v>
      </c>
      <c r="AB18" t="e">
        <f ca="1">_xlfn.T.DIST.2T(ABS(AA18),$Y$14)</f>
        <v>#NAME?</v>
      </c>
      <c r="AC18" t="e">
        <f ca="1">Y18-_xlfn.T.INV.2T(AC$11,$Y$14)*Z18</f>
        <v>#NAME?</v>
      </c>
      <c r="AD18" t="e">
        <f ca="1">Y18+_xlfn.T.INV.2T(AC$11,$Y$14)*Z18</f>
        <v>#NAME?</v>
      </c>
    </row>
    <row r="19" spans="1:31" x14ac:dyDescent="0.35">
      <c r="A19">
        <v>1948</v>
      </c>
      <c r="B19">
        <f>'Granger 1'!B19-'Granger 1'!B18</f>
        <v>32427</v>
      </c>
      <c r="C19">
        <f>'Granger 1'!C19-'Granger 1'!C18</f>
        <v>-45</v>
      </c>
      <c r="E19">
        <f t="shared" si="0"/>
        <v>-25561</v>
      </c>
      <c r="F19">
        <f t="shared" si="1"/>
        <v>25673</v>
      </c>
      <c r="G19">
        <f t="shared" si="2"/>
        <v>-68768</v>
      </c>
      <c r="H19">
        <f t="shared" si="3"/>
        <v>32427</v>
      </c>
      <c r="I19">
        <f t="shared" si="4"/>
        <v>-82</v>
      </c>
      <c r="J19">
        <f t="shared" si="5"/>
        <v>256</v>
      </c>
      <c r="K19">
        <f t="shared" si="6"/>
        <v>116</v>
      </c>
      <c r="L19">
        <f t="shared" si="7"/>
        <v>-45</v>
      </c>
      <c r="M19">
        <f t="shared" si="8"/>
        <v>-4433</v>
      </c>
      <c r="O19" t="str">
        <f t="array" ref="O19:O26">TRANSPOSE(E2:L2)</f>
        <v>chick-1</v>
      </c>
      <c r="P19" t="e">
        <f ca="1"/>
        <v>#NAME?</v>
      </c>
      <c r="Q19" t="e">
        <f ca="1"/>
        <v>#NAME?</v>
      </c>
      <c r="R19" t="e">
        <f t="shared" ref="R19:R26" ca="1" si="9">P19/Q19</f>
        <v>#NAME?</v>
      </c>
      <c r="S19" t="e">
        <f t="shared" ref="S19:S26" ca="1" si="10">_xlfn.T.DIST.2T(ABS(R19),$P$14)</f>
        <v>#NAME?</v>
      </c>
      <c r="T19" t="e">
        <f t="shared" ref="T19:T26" ca="1" si="11">P19-_xlfn.T.INV.2T(T$11,$P$14)*Q19</f>
        <v>#NAME?</v>
      </c>
      <c r="U19" t="e">
        <f t="shared" ref="U19:U26" ca="1" si="12">P19+_xlfn.T.INV.2T(T$11,$P$14)*Q19</f>
        <v>#NAME?</v>
      </c>
      <c r="V19" t="e" cm="1">
        <f t="array" aca="1" ref="V19" ca="1">VIF(E3:L37,1)</f>
        <v>#NAME?</v>
      </c>
      <c r="X19" t="str">
        <f t="array" ref="X19:X22">TRANSPOSE(E2:H2)</f>
        <v>chick-1</v>
      </c>
      <c r="Y19" t="e">
        <f ca="1"/>
        <v>#NAME?</v>
      </c>
      <c r="Z19" t="e">
        <f ca="1"/>
        <v>#NAME?</v>
      </c>
      <c r="AA19" t="e">
        <f t="shared" ref="AA19:AA22" ca="1" si="13">Y19/Z19</f>
        <v>#NAME?</v>
      </c>
      <c r="AB19" t="e">
        <f t="shared" ref="AB19:AB22" ca="1" si="14">_xlfn.T.DIST.2T(ABS(AA19),$Y$14)</f>
        <v>#NAME?</v>
      </c>
      <c r="AC19" t="e">
        <f t="shared" ref="AC19:AC22" ca="1" si="15">Y19-_xlfn.T.INV.2T(AC$11,$Y$14)*Z19</f>
        <v>#NAME?</v>
      </c>
      <c r="AD19" t="e">
        <f t="shared" ref="AD19:AD22" ca="1" si="16">Y19+_xlfn.T.INV.2T(AC$11,$Y$14)*Z19</f>
        <v>#NAME?</v>
      </c>
      <c r="AE19" t="e" cm="1">
        <f t="array" aca="1" ref="AE19" ca="1">VIF(E3:H37,1)</f>
        <v>#NAME?</v>
      </c>
    </row>
    <row r="20" spans="1:31" x14ac:dyDescent="0.35">
      <c r="A20">
        <v>1949</v>
      </c>
      <c r="B20">
        <f>'Granger 1'!B20-'Granger 1'!B19</f>
        <v>-68768</v>
      </c>
      <c r="C20">
        <f>'Granger 1'!C20-'Granger 1'!C19</f>
        <v>116</v>
      </c>
      <c r="E20">
        <f t="shared" si="0"/>
        <v>-4433</v>
      </c>
      <c r="F20">
        <f t="shared" si="1"/>
        <v>-25561</v>
      </c>
      <c r="G20">
        <f t="shared" si="2"/>
        <v>25673</v>
      </c>
      <c r="H20">
        <f t="shared" si="3"/>
        <v>-68768</v>
      </c>
      <c r="I20">
        <f t="shared" si="4"/>
        <v>1</v>
      </c>
      <c r="J20">
        <f t="shared" si="5"/>
        <v>-82</v>
      </c>
      <c r="K20">
        <f t="shared" si="6"/>
        <v>256</v>
      </c>
      <c r="L20">
        <f t="shared" si="7"/>
        <v>116</v>
      </c>
      <c r="M20">
        <f t="shared" si="8"/>
        <v>-28399</v>
      </c>
      <c r="O20" t="str">
        <v>chick-2</v>
      </c>
      <c r="P20" t="e">
        <f ca="1"/>
        <v>#NAME?</v>
      </c>
      <c r="Q20" t="e">
        <f ca="1"/>
        <v>#NAME?</v>
      </c>
      <c r="R20" t="e">
        <f t="shared" ca="1" si="9"/>
        <v>#NAME?</v>
      </c>
      <c r="S20" t="e">
        <f t="shared" ca="1" si="10"/>
        <v>#NAME?</v>
      </c>
      <c r="T20" t="e">
        <f t="shared" ca="1" si="11"/>
        <v>#NAME?</v>
      </c>
      <c r="U20" t="e">
        <f t="shared" ca="1" si="12"/>
        <v>#NAME?</v>
      </c>
      <c r="V20" t="e" cm="1">
        <f t="array" aca="1" ref="V20" ca="1">VIF(E3:L37,2)</f>
        <v>#NAME?</v>
      </c>
      <c r="X20" t="str">
        <v>chick-2</v>
      </c>
      <c r="Y20" t="e">
        <f ca="1"/>
        <v>#NAME?</v>
      </c>
      <c r="Z20" t="e">
        <f ca="1"/>
        <v>#NAME?</v>
      </c>
      <c r="AA20" t="e">
        <f t="shared" ca="1" si="13"/>
        <v>#NAME?</v>
      </c>
      <c r="AB20" t="e">
        <f t="shared" ca="1" si="14"/>
        <v>#NAME?</v>
      </c>
      <c r="AC20" t="e">
        <f t="shared" ca="1" si="15"/>
        <v>#NAME?</v>
      </c>
      <c r="AD20" t="e">
        <f t="shared" ca="1" si="16"/>
        <v>#NAME?</v>
      </c>
      <c r="AE20" t="e" cm="1">
        <f t="array" aca="1" ref="AE20" ca="1">VIF(E3:H37,2)</f>
        <v>#NAME?</v>
      </c>
    </row>
    <row r="21" spans="1:31" x14ac:dyDescent="0.35">
      <c r="A21">
        <v>1950</v>
      </c>
      <c r="B21">
        <f>'Granger 1'!B21-'Granger 1'!B20</f>
        <v>25673</v>
      </c>
      <c r="C21">
        <f>'Granger 1'!C21-'Granger 1'!C20</f>
        <v>256</v>
      </c>
      <c r="E21">
        <f t="shared" si="0"/>
        <v>-28399</v>
      </c>
      <c r="F21">
        <f t="shared" si="1"/>
        <v>-4433</v>
      </c>
      <c r="G21">
        <f t="shared" si="2"/>
        <v>-25561</v>
      </c>
      <c r="H21">
        <f t="shared" si="3"/>
        <v>25673</v>
      </c>
      <c r="I21">
        <f t="shared" si="4"/>
        <v>-16</v>
      </c>
      <c r="J21">
        <f t="shared" si="5"/>
        <v>1</v>
      </c>
      <c r="K21">
        <f t="shared" si="6"/>
        <v>-82</v>
      </c>
      <c r="L21">
        <f t="shared" si="7"/>
        <v>256</v>
      </c>
      <c r="M21">
        <f t="shared" si="8"/>
        <v>-1380</v>
      </c>
      <c r="O21" t="str">
        <v>chick-3</v>
      </c>
      <c r="P21" t="e">
        <f ca="1"/>
        <v>#NAME?</v>
      </c>
      <c r="Q21" t="e">
        <f ca="1"/>
        <v>#NAME?</v>
      </c>
      <c r="R21" t="e">
        <f t="shared" ca="1" si="9"/>
        <v>#NAME?</v>
      </c>
      <c r="S21" t="e">
        <f t="shared" ca="1" si="10"/>
        <v>#NAME?</v>
      </c>
      <c r="T21" t="e">
        <f t="shared" ca="1" si="11"/>
        <v>#NAME?</v>
      </c>
      <c r="U21" t="e">
        <f t="shared" ca="1" si="12"/>
        <v>#NAME?</v>
      </c>
      <c r="V21" t="e" cm="1">
        <f t="array" aca="1" ref="V21" ca="1">VIF(E3:L37,3)</f>
        <v>#NAME?</v>
      </c>
      <c r="X21" t="str">
        <v>chick-3</v>
      </c>
      <c r="Y21" t="e">
        <f ca="1"/>
        <v>#NAME?</v>
      </c>
      <c r="Z21" t="e">
        <f ca="1"/>
        <v>#NAME?</v>
      </c>
      <c r="AA21" t="e">
        <f t="shared" ca="1" si="13"/>
        <v>#NAME?</v>
      </c>
      <c r="AB21" t="e">
        <f t="shared" ca="1" si="14"/>
        <v>#NAME?</v>
      </c>
      <c r="AC21" t="e">
        <f t="shared" ca="1" si="15"/>
        <v>#NAME?</v>
      </c>
      <c r="AD21" t="e">
        <f t="shared" ca="1" si="16"/>
        <v>#NAME?</v>
      </c>
      <c r="AE21" t="e" cm="1">
        <f t="array" aca="1" ref="AE21" ca="1">VIF(E3:H37,3)</f>
        <v>#NAME?</v>
      </c>
    </row>
    <row r="22" spans="1:31" x14ac:dyDescent="0.35">
      <c r="A22">
        <v>1951</v>
      </c>
      <c r="B22">
        <f>'Granger 1'!B22-'Granger 1'!B21</f>
        <v>-25561</v>
      </c>
      <c r="C22">
        <f>'Granger 1'!C22-'Granger 1'!C21</f>
        <v>-82</v>
      </c>
      <c r="E22">
        <f t="shared" si="0"/>
        <v>-1380</v>
      </c>
      <c r="F22">
        <f t="shared" si="1"/>
        <v>-28399</v>
      </c>
      <c r="G22">
        <f t="shared" si="2"/>
        <v>-4433</v>
      </c>
      <c r="H22">
        <f t="shared" si="3"/>
        <v>-25561</v>
      </c>
      <c r="I22">
        <f t="shared" si="4"/>
        <v>95</v>
      </c>
      <c r="J22">
        <f t="shared" si="5"/>
        <v>-16</v>
      </c>
      <c r="K22">
        <f t="shared" si="6"/>
        <v>1</v>
      </c>
      <c r="L22">
        <f t="shared" si="7"/>
        <v>-82</v>
      </c>
      <c r="M22">
        <f t="shared" si="8"/>
        <v>-6068</v>
      </c>
      <c r="O22" t="str">
        <v>chick-4</v>
      </c>
      <c r="P22" t="e">
        <f ca="1"/>
        <v>#NAME?</v>
      </c>
      <c r="Q22" t="e">
        <f ca="1"/>
        <v>#NAME?</v>
      </c>
      <c r="R22" t="e">
        <f t="shared" ca="1" si="9"/>
        <v>#NAME?</v>
      </c>
      <c r="S22" t="e">
        <f t="shared" ca="1" si="10"/>
        <v>#NAME?</v>
      </c>
      <c r="T22" t="e">
        <f t="shared" ca="1" si="11"/>
        <v>#NAME?</v>
      </c>
      <c r="U22" t="e">
        <f t="shared" ca="1" si="12"/>
        <v>#NAME?</v>
      </c>
      <c r="V22" t="e" cm="1">
        <f t="array" aca="1" ref="V22" ca="1">VIF(E3:L37,4)</f>
        <v>#NAME?</v>
      </c>
      <c r="X22" s="4" t="str">
        <v>chick-4</v>
      </c>
      <c r="Y22" s="4" t="e">
        <f ca="1"/>
        <v>#NAME?</v>
      </c>
      <c r="Z22" s="4" t="e">
        <f ca="1"/>
        <v>#NAME?</v>
      </c>
      <c r="AA22" s="4" t="e">
        <f t="shared" ca="1" si="13"/>
        <v>#NAME?</v>
      </c>
      <c r="AB22" s="4" t="e">
        <f t="shared" ca="1" si="14"/>
        <v>#NAME?</v>
      </c>
      <c r="AC22" s="4" t="e">
        <f t="shared" ca="1" si="15"/>
        <v>#NAME?</v>
      </c>
      <c r="AD22" s="4" t="e">
        <f t="shared" ca="1" si="16"/>
        <v>#NAME?</v>
      </c>
      <c r="AE22" s="4" t="e" cm="1">
        <f t="array" aca="1" ref="AE22" ca="1">VIF(E3:H37,4)</f>
        <v>#NAME?</v>
      </c>
    </row>
    <row r="23" spans="1:31" x14ac:dyDescent="0.35">
      <c r="A23">
        <v>1952</v>
      </c>
      <c r="B23">
        <f>'Granger 1'!B23-'Granger 1'!B22</f>
        <v>-4433</v>
      </c>
      <c r="C23">
        <f>'Granger 1'!C23-'Granger 1'!C22</f>
        <v>1</v>
      </c>
      <c r="E23">
        <f t="shared" si="0"/>
        <v>-6068</v>
      </c>
      <c r="F23">
        <f t="shared" si="1"/>
        <v>-1380</v>
      </c>
      <c r="G23">
        <f t="shared" si="2"/>
        <v>-28399</v>
      </c>
      <c r="H23">
        <f t="shared" si="3"/>
        <v>-4433</v>
      </c>
      <c r="I23">
        <f t="shared" si="4"/>
        <v>5</v>
      </c>
      <c r="J23">
        <f t="shared" si="5"/>
        <v>95</v>
      </c>
      <c r="K23">
        <f t="shared" si="6"/>
        <v>-16</v>
      </c>
      <c r="L23">
        <f t="shared" si="7"/>
        <v>1</v>
      </c>
      <c r="M23">
        <f t="shared" si="8"/>
        <v>-7018</v>
      </c>
      <c r="O23" t="str">
        <v>egg-1</v>
      </c>
      <c r="P23" t="e">
        <f ca="1"/>
        <v>#NAME?</v>
      </c>
      <c r="Q23" t="e">
        <f ca="1"/>
        <v>#NAME?</v>
      </c>
      <c r="R23" t="e">
        <f t="shared" ca="1" si="9"/>
        <v>#NAME?</v>
      </c>
      <c r="S23" t="e">
        <f t="shared" ca="1" si="10"/>
        <v>#NAME?</v>
      </c>
      <c r="T23" t="e">
        <f t="shared" ca="1" si="11"/>
        <v>#NAME?</v>
      </c>
      <c r="U23" t="e">
        <f t="shared" ca="1" si="12"/>
        <v>#NAME?</v>
      </c>
      <c r="V23" t="e" cm="1">
        <f t="array" aca="1" ref="V23" ca="1">VIF(E3:L37,5)</f>
        <v>#NAME?</v>
      </c>
    </row>
    <row r="24" spans="1:31" x14ac:dyDescent="0.35">
      <c r="A24">
        <v>1953</v>
      </c>
      <c r="B24">
        <f>'Granger 1'!B24-'Granger 1'!B23</f>
        <v>-28399</v>
      </c>
      <c r="C24">
        <f>'Granger 1'!C24-'Granger 1'!C23</f>
        <v>-16</v>
      </c>
      <c r="E24">
        <f t="shared" ref="E24:E37" si="17">B27</f>
        <v>-7018</v>
      </c>
      <c r="F24">
        <f t="shared" ref="F24:F37" si="18">B26</f>
        <v>-6068</v>
      </c>
      <c r="G24">
        <f t="shared" ref="G24:G37" si="19">B25</f>
        <v>-1380</v>
      </c>
      <c r="H24">
        <f t="shared" ref="H24:H37" si="20">B24</f>
        <v>-28399</v>
      </c>
      <c r="I24">
        <f t="shared" ref="I24:I37" si="21">C27</f>
        <v>93</v>
      </c>
      <c r="J24">
        <f t="shared" ref="J24:J37" si="22">C26</f>
        <v>5</v>
      </c>
      <c r="K24">
        <f t="shared" ref="K24:K37" si="23">C25</f>
        <v>95</v>
      </c>
      <c r="L24">
        <f t="shared" ref="L24:L37" si="24">C24</f>
        <v>-16</v>
      </c>
      <c r="M24">
        <f t="shared" si="8"/>
        <v>7673</v>
      </c>
      <c r="O24" t="str">
        <v>egg-2</v>
      </c>
      <c r="P24" t="e">
        <f ca="1"/>
        <v>#NAME?</v>
      </c>
      <c r="Q24" t="e">
        <f ca="1"/>
        <v>#NAME?</v>
      </c>
      <c r="R24" t="e">
        <f t="shared" ca="1" si="9"/>
        <v>#NAME?</v>
      </c>
      <c r="S24" t="e">
        <f t="shared" ca="1" si="10"/>
        <v>#NAME?</v>
      </c>
      <c r="T24" t="e">
        <f t="shared" ca="1" si="11"/>
        <v>#NAME?</v>
      </c>
      <c r="U24" t="e">
        <f t="shared" ca="1" si="12"/>
        <v>#NAME?</v>
      </c>
      <c r="V24" t="e" cm="1">
        <f t="array" aca="1" ref="V24" ca="1">VIF(E3:L37,6)</f>
        <v>#NAME?</v>
      </c>
    </row>
    <row r="25" spans="1:31" x14ac:dyDescent="0.35">
      <c r="A25">
        <v>1954</v>
      </c>
      <c r="B25">
        <f>'Granger 1'!B25-'Granger 1'!B24</f>
        <v>-1380</v>
      </c>
      <c r="C25">
        <f>'Granger 1'!C25-'Granger 1'!C24</f>
        <v>95</v>
      </c>
      <c r="E25">
        <f t="shared" si="17"/>
        <v>7673</v>
      </c>
      <c r="F25">
        <f t="shared" si="18"/>
        <v>-7018</v>
      </c>
      <c r="G25">
        <f t="shared" si="19"/>
        <v>-6068</v>
      </c>
      <c r="H25">
        <f t="shared" si="20"/>
        <v>-1380</v>
      </c>
      <c r="I25">
        <f t="shared" si="21"/>
        <v>-58</v>
      </c>
      <c r="J25">
        <f t="shared" si="22"/>
        <v>93</v>
      </c>
      <c r="K25">
        <f t="shared" si="23"/>
        <v>5</v>
      </c>
      <c r="L25">
        <f t="shared" si="24"/>
        <v>95</v>
      </c>
      <c r="M25">
        <f t="shared" si="8"/>
        <v>-17082</v>
      </c>
      <c r="O25" t="str">
        <v>egg-3</v>
      </c>
      <c r="P25" t="e">
        <f ca="1"/>
        <v>#NAME?</v>
      </c>
      <c r="Q25" t="e">
        <f ca="1"/>
        <v>#NAME?</v>
      </c>
      <c r="R25" t="e">
        <f t="shared" ca="1" si="9"/>
        <v>#NAME?</v>
      </c>
      <c r="S25" t="e">
        <f t="shared" ca="1" si="10"/>
        <v>#NAME?</v>
      </c>
      <c r="T25" t="e">
        <f t="shared" ca="1" si="11"/>
        <v>#NAME?</v>
      </c>
      <c r="U25" t="e">
        <f t="shared" ca="1" si="12"/>
        <v>#NAME?</v>
      </c>
      <c r="V25" t="e" cm="1">
        <f t="array" aca="1" ref="V25" ca="1">VIF(E3:L37,7)</f>
        <v>#NAME?</v>
      </c>
    </row>
    <row r="26" spans="1:31" x14ac:dyDescent="0.35">
      <c r="A26">
        <v>1955</v>
      </c>
      <c r="B26">
        <f>'Granger 1'!B26-'Granger 1'!B25</f>
        <v>-6068</v>
      </c>
      <c r="C26">
        <f>'Granger 1'!C26-'Granger 1'!C25</f>
        <v>5</v>
      </c>
      <c r="E26">
        <f t="shared" si="17"/>
        <v>-17082</v>
      </c>
      <c r="F26">
        <f t="shared" si="18"/>
        <v>7673</v>
      </c>
      <c r="G26">
        <f t="shared" si="19"/>
        <v>-7018</v>
      </c>
      <c r="H26">
        <f t="shared" si="20"/>
        <v>-6068</v>
      </c>
      <c r="I26">
        <f t="shared" si="21"/>
        <v>0</v>
      </c>
      <c r="J26">
        <f t="shared" si="22"/>
        <v>-58</v>
      </c>
      <c r="K26">
        <f t="shared" si="23"/>
        <v>93</v>
      </c>
      <c r="L26">
        <f t="shared" si="24"/>
        <v>5</v>
      </c>
      <c r="M26">
        <f t="shared" si="8"/>
        <v>12721</v>
      </c>
      <c r="O26" s="4" t="str">
        <v>egg-4</v>
      </c>
      <c r="P26" s="4" t="e">
        <f ca="1"/>
        <v>#NAME?</v>
      </c>
      <c r="Q26" s="4" t="e">
        <f ca="1"/>
        <v>#NAME?</v>
      </c>
      <c r="R26" s="4" t="e">
        <f t="shared" ca="1" si="9"/>
        <v>#NAME?</v>
      </c>
      <c r="S26" s="4" t="e">
        <f t="shared" ca="1" si="10"/>
        <v>#NAME?</v>
      </c>
      <c r="T26" s="4" t="e">
        <f t="shared" ca="1" si="11"/>
        <v>#NAME?</v>
      </c>
      <c r="U26" s="4" t="e">
        <f t="shared" ca="1" si="12"/>
        <v>#NAME?</v>
      </c>
      <c r="V26" s="4" t="e" cm="1">
        <f t="array" aca="1" ref="V26" ca="1">VIF(E3:L37,8)</f>
        <v>#NAME?</v>
      </c>
    </row>
    <row r="27" spans="1:31" x14ac:dyDescent="0.35">
      <c r="A27">
        <v>1956</v>
      </c>
      <c r="B27">
        <f>'Granger 1'!B27-'Granger 1'!B26</f>
        <v>-7018</v>
      </c>
      <c r="C27">
        <f>'Granger 1'!C27-'Granger 1'!C26</f>
        <v>93</v>
      </c>
      <c r="E27">
        <f t="shared" si="17"/>
        <v>12721</v>
      </c>
      <c r="F27">
        <f t="shared" si="18"/>
        <v>-17082</v>
      </c>
      <c r="G27">
        <f t="shared" si="19"/>
        <v>7673</v>
      </c>
      <c r="H27">
        <f t="shared" si="20"/>
        <v>-7018</v>
      </c>
      <c r="I27">
        <f t="shared" si="21"/>
        <v>100</v>
      </c>
      <c r="J27">
        <f t="shared" si="22"/>
        <v>0</v>
      </c>
      <c r="K27">
        <f t="shared" si="23"/>
        <v>-58</v>
      </c>
      <c r="L27">
        <f t="shared" si="24"/>
        <v>93</v>
      </c>
      <c r="M27">
        <f t="shared" si="8"/>
        <v>-17518</v>
      </c>
    </row>
    <row r="28" spans="1:31" x14ac:dyDescent="0.35">
      <c r="A28">
        <v>1957</v>
      </c>
      <c r="B28">
        <f>'Granger 1'!B28-'Granger 1'!B27</f>
        <v>7673</v>
      </c>
      <c r="C28">
        <f>'Granger 1'!C28-'Granger 1'!C27</f>
        <v>-58</v>
      </c>
      <c r="E28">
        <f t="shared" si="17"/>
        <v>-17518</v>
      </c>
      <c r="F28">
        <f t="shared" si="18"/>
        <v>12721</v>
      </c>
      <c r="G28">
        <f t="shared" si="19"/>
        <v>-17082</v>
      </c>
      <c r="H28">
        <f t="shared" si="20"/>
        <v>7673</v>
      </c>
      <c r="I28">
        <f t="shared" si="21"/>
        <v>-203</v>
      </c>
      <c r="J28">
        <f t="shared" si="22"/>
        <v>100</v>
      </c>
      <c r="K28">
        <f t="shared" si="23"/>
        <v>0</v>
      </c>
      <c r="L28">
        <f t="shared" si="24"/>
        <v>-58</v>
      </c>
      <c r="M28">
        <f t="shared" si="8"/>
        <v>-3402</v>
      </c>
    </row>
    <row r="29" spans="1:31" x14ac:dyDescent="0.35">
      <c r="A29">
        <v>1958</v>
      </c>
      <c r="B29">
        <f>'Granger 1'!B29-'Granger 1'!B28</f>
        <v>-17082</v>
      </c>
      <c r="C29">
        <f>'Granger 1'!C29-'Granger 1'!C28</f>
        <v>0</v>
      </c>
      <c r="E29">
        <f t="shared" si="17"/>
        <v>-3402</v>
      </c>
      <c r="F29">
        <f t="shared" si="18"/>
        <v>-17518</v>
      </c>
      <c r="G29">
        <f t="shared" si="19"/>
        <v>12721</v>
      </c>
      <c r="H29">
        <f t="shared" si="20"/>
        <v>-17082</v>
      </c>
      <c r="I29">
        <f t="shared" si="21"/>
        <v>19</v>
      </c>
      <c r="J29">
        <f t="shared" si="22"/>
        <v>-203</v>
      </c>
      <c r="K29">
        <f t="shared" si="23"/>
        <v>100</v>
      </c>
      <c r="L29">
        <f t="shared" si="24"/>
        <v>0</v>
      </c>
      <c r="M29">
        <f t="shared" si="8"/>
        <v>11310</v>
      </c>
    </row>
    <row r="30" spans="1:31" x14ac:dyDescent="0.35">
      <c r="A30">
        <v>1959</v>
      </c>
      <c r="B30">
        <f>'Granger 1'!B30-'Granger 1'!B29</f>
        <v>12721</v>
      </c>
      <c r="C30">
        <f>'Granger 1'!C30-'Granger 1'!C29</f>
        <v>100</v>
      </c>
      <c r="E30">
        <f t="shared" si="17"/>
        <v>11310</v>
      </c>
      <c r="F30">
        <f t="shared" si="18"/>
        <v>-3402</v>
      </c>
      <c r="G30">
        <f t="shared" si="19"/>
        <v>-17518</v>
      </c>
      <c r="H30">
        <f t="shared" si="20"/>
        <v>12721</v>
      </c>
      <c r="I30">
        <f t="shared" si="21"/>
        <v>45</v>
      </c>
      <c r="J30">
        <f t="shared" si="22"/>
        <v>19</v>
      </c>
      <c r="K30">
        <f t="shared" si="23"/>
        <v>-203</v>
      </c>
      <c r="L30">
        <f t="shared" si="24"/>
        <v>100</v>
      </c>
      <c r="M30">
        <f t="shared" si="8"/>
        <v>-1817</v>
      </c>
    </row>
    <row r="31" spans="1:31" x14ac:dyDescent="0.35">
      <c r="A31">
        <v>1960</v>
      </c>
      <c r="B31">
        <f>'Granger 1'!B31-'Granger 1'!B30</f>
        <v>-17518</v>
      </c>
      <c r="C31">
        <f>'Granger 1'!C31-'Granger 1'!C30</f>
        <v>-203</v>
      </c>
      <c r="E31">
        <f t="shared" si="17"/>
        <v>-1817</v>
      </c>
      <c r="F31">
        <f t="shared" si="18"/>
        <v>11310</v>
      </c>
      <c r="G31">
        <f t="shared" si="19"/>
        <v>-3402</v>
      </c>
      <c r="H31">
        <f t="shared" si="20"/>
        <v>-17518</v>
      </c>
      <c r="I31">
        <f t="shared" si="21"/>
        <v>-58</v>
      </c>
      <c r="J31">
        <f t="shared" si="22"/>
        <v>45</v>
      </c>
      <c r="K31">
        <f t="shared" si="23"/>
        <v>19</v>
      </c>
      <c r="L31">
        <f t="shared" si="24"/>
        <v>-203</v>
      </c>
      <c r="M31">
        <f t="shared" si="8"/>
        <v>6687</v>
      </c>
    </row>
    <row r="32" spans="1:31" x14ac:dyDescent="0.35">
      <c r="A32">
        <v>1961</v>
      </c>
      <c r="B32">
        <f>'Granger 1'!B32-'Granger 1'!B31</f>
        <v>-3402</v>
      </c>
      <c r="C32">
        <f>'Granger 1'!C32-'Granger 1'!C31</f>
        <v>19</v>
      </c>
      <c r="E32">
        <f t="shared" si="17"/>
        <v>6687</v>
      </c>
      <c r="F32">
        <f t="shared" si="18"/>
        <v>-1817</v>
      </c>
      <c r="G32">
        <f t="shared" si="19"/>
        <v>11310</v>
      </c>
      <c r="H32">
        <f t="shared" si="20"/>
        <v>-3402</v>
      </c>
      <c r="I32">
        <f t="shared" si="21"/>
        <v>90</v>
      </c>
      <c r="J32">
        <f t="shared" si="22"/>
        <v>-58</v>
      </c>
      <c r="K32">
        <f t="shared" si="23"/>
        <v>45</v>
      </c>
      <c r="L32">
        <f t="shared" si="24"/>
        <v>19</v>
      </c>
      <c r="M32">
        <f t="shared" si="8"/>
        <v>11856</v>
      </c>
    </row>
    <row r="33" spans="1:13" x14ac:dyDescent="0.35">
      <c r="A33">
        <v>1962</v>
      </c>
      <c r="B33">
        <f>'Granger 1'!B33-'Granger 1'!B32</f>
        <v>11310</v>
      </c>
      <c r="C33">
        <f>'Granger 1'!C33-'Granger 1'!C32</f>
        <v>45</v>
      </c>
      <c r="E33">
        <f t="shared" si="17"/>
        <v>11856</v>
      </c>
      <c r="F33">
        <f t="shared" si="18"/>
        <v>6687</v>
      </c>
      <c r="G33">
        <f t="shared" si="19"/>
        <v>-1817</v>
      </c>
      <c r="H33">
        <f t="shared" si="20"/>
        <v>11310</v>
      </c>
      <c r="I33">
        <f t="shared" si="21"/>
        <v>39</v>
      </c>
      <c r="J33">
        <f t="shared" si="22"/>
        <v>90</v>
      </c>
      <c r="K33">
        <f t="shared" si="23"/>
        <v>-58</v>
      </c>
      <c r="L33">
        <f t="shared" si="24"/>
        <v>45</v>
      </c>
      <c r="M33">
        <f t="shared" si="8"/>
        <v>-1099</v>
      </c>
    </row>
    <row r="34" spans="1:13" x14ac:dyDescent="0.35">
      <c r="A34">
        <v>1963</v>
      </c>
      <c r="B34">
        <f>'Granger 1'!B34-'Granger 1'!B33</f>
        <v>-1817</v>
      </c>
      <c r="C34">
        <f>'Granger 1'!C34-'Granger 1'!C33</f>
        <v>-58</v>
      </c>
      <c r="E34">
        <f t="shared" si="17"/>
        <v>-1099</v>
      </c>
      <c r="F34">
        <f t="shared" si="18"/>
        <v>11856</v>
      </c>
      <c r="G34">
        <f t="shared" si="19"/>
        <v>6687</v>
      </c>
      <c r="H34">
        <f t="shared" si="20"/>
        <v>-1817</v>
      </c>
      <c r="I34">
        <f t="shared" si="21"/>
        <v>66</v>
      </c>
      <c r="J34">
        <f t="shared" si="22"/>
        <v>39</v>
      </c>
      <c r="K34">
        <f t="shared" si="23"/>
        <v>90</v>
      </c>
      <c r="L34">
        <f t="shared" si="24"/>
        <v>-58</v>
      </c>
      <c r="M34">
        <f t="shared" si="8"/>
        <v>35727</v>
      </c>
    </row>
    <row r="35" spans="1:13" x14ac:dyDescent="0.35">
      <c r="A35">
        <v>1964</v>
      </c>
      <c r="B35">
        <f>'Granger 1'!B35-'Granger 1'!B34</f>
        <v>6687</v>
      </c>
      <c r="C35">
        <f>'Granger 1'!C35-'Granger 1'!C34</f>
        <v>90</v>
      </c>
      <c r="E35">
        <f t="shared" si="17"/>
        <v>35727</v>
      </c>
      <c r="F35">
        <f t="shared" si="18"/>
        <v>-1099</v>
      </c>
      <c r="G35">
        <f t="shared" si="19"/>
        <v>11856</v>
      </c>
      <c r="H35">
        <f t="shared" si="20"/>
        <v>6687</v>
      </c>
      <c r="I35">
        <f t="shared" si="21"/>
        <v>296</v>
      </c>
      <c r="J35">
        <f t="shared" si="22"/>
        <v>66</v>
      </c>
      <c r="K35">
        <f t="shared" si="23"/>
        <v>39</v>
      </c>
      <c r="L35">
        <f t="shared" si="24"/>
        <v>90</v>
      </c>
      <c r="M35">
        <f t="shared" si="8"/>
        <v>-3588</v>
      </c>
    </row>
    <row r="36" spans="1:13" x14ac:dyDescent="0.35">
      <c r="A36">
        <v>1965</v>
      </c>
      <c r="B36">
        <f>'Granger 1'!B36-'Granger 1'!B35</f>
        <v>11856</v>
      </c>
      <c r="C36">
        <f>'Granger 1'!C36-'Granger 1'!C35</f>
        <v>39</v>
      </c>
      <c r="E36">
        <f t="shared" si="17"/>
        <v>-3588</v>
      </c>
      <c r="F36">
        <f t="shared" si="18"/>
        <v>35727</v>
      </c>
      <c r="G36">
        <f t="shared" si="19"/>
        <v>-1099</v>
      </c>
      <c r="H36">
        <f t="shared" si="20"/>
        <v>11856</v>
      </c>
      <c r="I36">
        <f t="shared" si="21"/>
        <v>-59</v>
      </c>
      <c r="J36">
        <f t="shared" si="22"/>
        <v>296</v>
      </c>
      <c r="K36">
        <f t="shared" si="23"/>
        <v>66</v>
      </c>
      <c r="L36">
        <f t="shared" si="24"/>
        <v>39</v>
      </c>
      <c r="M36">
        <f t="shared" si="8"/>
        <v>-3062</v>
      </c>
    </row>
    <row r="37" spans="1:13" x14ac:dyDescent="0.35">
      <c r="A37">
        <v>1966</v>
      </c>
      <c r="B37">
        <f>'Granger 1'!B37-'Granger 1'!B36</f>
        <v>-1099</v>
      </c>
      <c r="C37">
        <f>'Granger 1'!C37-'Granger 1'!C36</f>
        <v>66</v>
      </c>
      <c r="E37" s="4">
        <f t="shared" si="17"/>
        <v>-3062</v>
      </c>
      <c r="F37" s="4">
        <f t="shared" si="18"/>
        <v>-3588</v>
      </c>
      <c r="G37" s="4">
        <f t="shared" si="19"/>
        <v>35727</v>
      </c>
      <c r="H37" s="4">
        <f t="shared" si="20"/>
        <v>-1099</v>
      </c>
      <c r="I37" s="4">
        <f t="shared" si="21"/>
        <v>-148</v>
      </c>
      <c r="J37" s="4">
        <f t="shared" si="22"/>
        <v>-59</v>
      </c>
      <c r="K37" s="4">
        <f t="shared" si="23"/>
        <v>296</v>
      </c>
      <c r="L37" s="4">
        <f t="shared" si="24"/>
        <v>66</v>
      </c>
      <c r="M37" s="4">
        <f t="shared" si="8"/>
        <v>11184</v>
      </c>
    </row>
    <row r="38" spans="1:13" x14ac:dyDescent="0.35">
      <c r="A38">
        <v>1967</v>
      </c>
      <c r="B38">
        <f>'Granger 1'!B38-'Granger 1'!B37</f>
        <v>35727</v>
      </c>
      <c r="C38">
        <f>'Granger 1'!C38-'Granger 1'!C37</f>
        <v>296</v>
      </c>
    </row>
    <row r="39" spans="1:13" x14ac:dyDescent="0.35">
      <c r="A39">
        <v>1968</v>
      </c>
      <c r="B39">
        <f>'Granger 1'!B39-'Granger 1'!B38</f>
        <v>-3588</v>
      </c>
      <c r="C39">
        <f>'Granger 1'!C39-'Granger 1'!C38</f>
        <v>-59</v>
      </c>
    </row>
    <row r="40" spans="1:13" x14ac:dyDescent="0.35">
      <c r="A40">
        <v>1969</v>
      </c>
      <c r="B40">
        <f>'Granger 1'!B40-'Granger 1'!B39</f>
        <v>-3062</v>
      </c>
      <c r="C40">
        <f>'Granger 1'!C40-'Granger 1'!C39</f>
        <v>-148</v>
      </c>
    </row>
    <row r="41" spans="1:13" x14ac:dyDescent="0.35">
      <c r="A41">
        <v>1970</v>
      </c>
      <c r="B41">
        <f>'Granger 1'!B41-'Granger 1'!B40</f>
        <v>11184</v>
      </c>
      <c r="C41">
        <f>'Granger 1'!C41-'Granger 1'!C40</f>
        <v>75</v>
      </c>
    </row>
  </sheetData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87"/>
  <dimension ref="A1:AI41"/>
  <sheetViews>
    <sheetView topLeftCell="Q1" workbookViewId="0">
      <selection activeCell="AG19" sqref="AG19"/>
    </sheetView>
  </sheetViews>
  <sheetFormatPr defaultRowHeight="14.5" x14ac:dyDescent="0.35"/>
  <cols>
    <col min="5" max="13" width="7.453125" customWidth="1"/>
    <col min="15" max="15" width="16.7265625" customWidth="1"/>
    <col min="24" max="24" width="17" customWidth="1"/>
  </cols>
  <sheetData>
    <row r="1" spans="1:35" x14ac:dyDescent="0.35">
      <c r="A1" s="10" t="s">
        <v>540</v>
      </c>
      <c r="B1" s="10" t="s">
        <v>541</v>
      </c>
      <c r="C1" s="10" t="s">
        <v>542</v>
      </c>
    </row>
    <row r="2" spans="1:35" x14ac:dyDescent="0.35">
      <c r="A2">
        <v>1931</v>
      </c>
      <c r="E2" s="228" t="s">
        <v>583</v>
      </c>
      <c r="F2" s="228" t="s">
        <v>584</v>
      </c>
      <c r="G2" s="228" t="s">
        <v>585</v>
      </c>
      <c r="H2" s="228" t="s">
        <v>586</v>
      </c>
      <c r="I2" s="228" t="s">
        <v>587</v>
      </c>
      <c r="J2" s="228" t="s">
        <v>588</v>
      </c>
      <c r="K2" s="228" t="s">
        <v>589</v>
      </c>
      <c r="L2" s="228" t="s">
        <v>590</v>
      </c>
      <c r="M2" s="228" t="s">
        <v>542</v>
      </c>
      <c r="O2" t="s">
        <v>141</v>
      </c>
      <c r="Q2" s="137" t="s">
        <v>592</v>
      </c>
      <c r="X2" t="s">
        <v>141</v>
      </c>
      <c r="Z2" s="137" t="s">
        <v>594</v>
      </c>
      <c r="AH2" s="137" t="s">
        <v>592</v>
      </c>
      <c r="AI2" s="137" t="s">
        <v>594</v>
      </c>
    </row>
    <row r="3" spans="1:35" x14ac:dyDescent="0.35">
      <c r="A3">
        <v>1932</v>
      </c>
      <c r="B3">
        <f>'Granger 1'!B3-'Granger 1'!B2</f>
        <v>-12928</v>
      </c>
      <c r="C3">
        <f>'Granger 1'!C3-'Granger 1'!C2</f>
        <v>-205</v>
      </c>
      <c r="E3">
        <f>B6</f>
        <v>-43979</v>
      </c>
      <c r="F3">
        <f>B5</f>
        <v>-10586</v>
      </c>
      <c r="G3">
        <f>B4</f>
        <v>7708</v>
      </c>
      <c r="H3">
        <f>B3</f>
        <v>-12928</v>
      </c>
      <c r="I3">
        <f>C6</f>
        <v>-75</v>
      </c>
      <c r="J3">
        <f>C5</f>
        <v>-99</v>
      </c>
      <c r="K3">
        <f>C4</f>
        <v>-72</v>
      </c>
      <c r="L3">
        <f>C3</f>
        <v>-205</v>
      </c>
      <c r="M3">
        <f>C7</f>
        <v>85</v>
      </c>
      <c r="AG3" t="s">
        <v>593</v>
      </c>
      <c r="AH3" s="219" t="e">
        <f ca="1">P6</f>
        <v>#NAME?</v>
      </c>
      <c r="AI3" s="220" t="e">
        <f ca="1">Y6</f>
        <v>#NAME?</v>
      </c>
    </row>
    <row r="4" spans="1:35" ht="15" thickBot="1" x14ac:dyDescent="0.4">
      <c r="A4">
        <v>1933</v>
      </c>
      <c r="B4">
        <f>'Granger 1'!B4-'Granger 1'!B3</f>
        <v>7708</v>
      </c>
      <c r="C4">
        <f>'Granger 1'!C4-'Granger 1'!C3</f>
        <v>-72</v>
      </c>
      <c r="E4">
        <f t="shared" ref="E4:E37" si="0">B7</f>
        <v>13488</v>
      </c>
      <c r="F4">
        <f t="shared" ref="F4:F37" si="1">B6</f>
        <v>-43979</v>
      </c>
      <c r="G4">
        <f t="shared" ref="G4:G37" si="2">B5</f>
        <v>-10586</v>
      </c>
      <c r="H4">
        <f t="shared" ref="H4:H37" si="3">B4</f>
        <v>7708</v>
      </c>
      <c r="I4">
        <f t="shared" ref="I4:I37" si="4">C7</f>
        <v>85</v>
      </c>
      <c r="J4">
        <f t="shared" ref="J4:J37" si="5">C6</f>
        <v>-75</v>
      </c>
      <c r="K4">
        <f t="shared" ref="K4:K37" si="6">C5</f>
        <v>-99</v>
      </c>
      <c r="L4">
        <f t="shared" ref="L4:L37" si="7">C4</f>
        <v>-72</v>
      </c>
      <c r="M4">
        <f t="shared" ref="M4:M37" si="8">C8</f>
        <v>277</v>
      </c>
      <c r="O4" s="44" t="s">
        <v>142</v>
      </c>
      <c r="P4" s="44"/>
      <c r="R4" s="44"/>
      <c r="S4" s="44"/>
      <c r="X4" s="44" t="s">
        <v>142</v>
      </c>
      <c r="Y4" s="44"/>
      <c r="AA4" s="44"/>
      <c r="AB4" s="44"/>
      <c r="AG4" t="s">
        <v>596</v>
      </c>
      <c r="AH4" s="29">
        <f>P14</f>
        <v>26</v>
      </c>
      <c r="AI4" s="30"/>
    </row>
    <row r="5" spans="1:35" ht="15" thickTop="1" x14ac:dyDescent="0.35">
      <c r="A5">
        <v>1934</v>
      </c>
      <c r="B5">
        <f>'Granger 1'!B5-'Granger 1'!B4</f>
        <v>-10586</v>
      </c>
      <c r="C5">
        <f>'Granger 1'!C5-'Granger 1'!C4</f>
        <v>-99</v>
      </c>
      <c r="E5">
        <f t="shared" si="0"/>
        <v>20475</v>
      </c>
      <c r="F5">
        <f t="shared" si="1"/>
        <v>13488</v>
      </c>
      <c r="G5">
        <f t="shared" si="2"/>
        <v>-43979</v>
      </c>
      <c r="H5">
        <f t="shared" si="3"/>
        <v>-10586</v>
      </c>
      <c r="I5">
        <f t="shared" si="4"/>
        <v>277</v>
      </c>
      <c r="J5">
        <f t="shared" si="5"/>
        <v>85</v>
      </c>
      <c r="K5">
        <f t="shared" si="6"/>
        <v>-75</v>
      </c>
      <c r="L5">
        <f t="shared" si="7"/>
        <v>-99</v>
      </c>
      <c r="M5">
        <f t="shared" si="8"/>
        <v>-19</v>
      </c>
      <c r="O5" t="s">
        <v>144</v>
      </c>
      <c r="P5" t="e">
        <f ca="1">SQRT(P6)</f>
        <v>#NAME?</v>
      </c>
      <c r="R5" t="s">
        <v>145</v>
      </c>
      <c r="S5" t="e">
        <f ca="1">P9*LN(Q14/P9)+2*(P13+1)</f>
        <v>#NAME?</v>
      </c>
      <c r="X5" t="s">
        <v>144</v>
      </c>
      <c r="Y5" t="e">
        <f ca="1">SQRT(Y6)</f>
        <v>#NAME?</v>
      </c>
      <c r="AA5" t="s">
        <v>145</v>
      </c>
      <c r="AB5" t="e">
        <f ca="1">Y9*LN(Z14/Y9)+2*(Y13+1)</f>
        <v>#NAME?</v>
      </c>
      <c r="AG5" t="s">
        <v>595</v>
      </c>
      <c r="AH5" s="31"/>
      <c r="AI5" s="32">
        <f>Y13</f>
        <v>4</v>
      </c>
    </row>
    <row r="6" spans="1:35" x14ac:dyDescent="0.35">
      <c r="A6">
        <v>1935</v>
      </c>
      <c r="B6">
        <f>'Granger 1'!B6-'Granger 1'!B5</f>
        <v>-43979</v>
      </c>
      <c r="C6">
        <f>'Granger 1'!C6-'Granger 1'!C5</f>
        <v>-75</v>
      </c>
      <c r="E6">
        <f t="shared" si="0"/>
        <v>-34297</v>
      </c>
      <c r="F6">
        <f t="shared" si="1"/>
        <v>20475</v>
      </c>
      <c r="G6">
        <f t="shared" si="2"/>
        <v>13488</v>
      </c>
      <c r="H6">
        <f t="shared" si="3"/>
        <v>-43979</v>
      </c>
      <c r="I6">
        <f t="shared" si="4"/>
        <v>-19</v>
      </c>
      <c r="J6">
        <f t="shared" si="5"/>
        <v>277</v>
      </c>
      <c r="K6">
        <f t="shared" si="6"/>
        <v>85</v>
      </c>
      <c r="L6">
        <f t="shared" si="7"/>
        <v>-75</v>
      </c>
      <c r="M6">
        <f t="shared" si="8"/>
        <v>137</v>
      </c>
      <c r="O6" t="s">
        <v>148</v>
      </c>
      <c r="P6" t="e">
        <f ca="1">Q13/Q15</f>
        <v>#NAME?</v>
      </c>
      <c r="R6" t="s">
        <v>149</v>
      </c>
      <c r="S6" t="e">
        <f ca="1">S5+2*(P13+2)*(P13+3)/(P9-P13-3)</f>
        <v>#NAME?</v>
      </c>
      <c r="X6" t="s">
        <v>148</v>
      </c>
      <c r="Y6" t="e">
        <f ca="1">Z13/Z15</f>
        <v>#NAME?</v>
      </c>
      <c r="AA6" t="s">
        <v>149</v>
      </c>
      <c r="AB6" t="e">
        <f ca="1">AB5+2*(Y13+2)*(Y13+3)/(Y9-Y13-3)</f>
        <v>#NAME?</v>
      </c>
    </row>
    <row r="7" spans="1:35" x14ac:dyDescent="0.35">
      <c r="A7">
        <v>1936</v>
      </c>
      <c r="B7">
        <f>'Granger 1'!B7-'Granger 1'!B6</f>
        <v>13488</v>
      </c>
      <c r="C7">
        <f>'Granger 1'!C7-'Granger 1'!C6</f>
        <v>85</v>
      </c>
      <c r="E7">
        <f t="shared" si="0"/>
        <v>28967</v>
      </c>
      <c r="F7">
        <f t="shared" si="1"/>
        <v>-34297</v>
      </c>
      <c r="G7">
        <f t="shared" si="2"/>
        <v>20475</v>
      </c>
      <c r="H7">
        <f t="shared" si="3"/>
        <v>13488</v>
      </c>
      <c r="I7">
        <f t="shared" si="4"/>
        <v>137</v>
      </c>
      <c r="J7">
        <f t="shared" si="5"/>
        <v>-19</v>
      </c>
      <c r="K7">
        <f t="shared" si="6"/>
        <v>277</v>
      </c>
      <c r="L7">
        <f t="shared" si="7"/>
        <v>85</v>
      </c>
      <c r="M7">
        <f t="shared" si="8"/>
        <v>79</v>
      </c>
      <c r="O7" t="s">
        <v>150</v>
      </c>
      <c r="P7" t="e">
        <f ca="1">1-(1-P6)*(P9-1)/(P9-P13-1)</f>
        <v>#NAME?</v>
      </c>
      <c r="R7" s="4" t="s">
        <v>151</v>
      </c>
      <c r="S7" s="4" t="e">
        <f ca="1">P9*LN(Q14/P9)+(P13+1)*LN(P9)</f>
        <v>#NAME?</v>
      </c>
      <c r="X7" t="s">
        <v>150</v>
      </c>
      <c r="Y7" t="e">
        <f ca="1">1-(1-Y6)*(Y9-1)/(Y9-Y13-1)</f>
        <v>#NAME?</v>
      </c>
      <c r="AA7" s="4" t="s">
        <v>151</v>
      </c>
      <c r="AB7" s="4" t="e">
        <f ca="1">Y9*LN(Z14/Y9)+(Y13+1)*LN(Y9)</f>
        <v>#NAME?</v>
      </c>
      <c r="AG7" t="s">
        <v>159</v>
      </c>
      <c r="AH7" s="221" t="e">
        <f ca="1">(AH3-AI3)*AH4/(1-AH3)/AI5</f>
        <v>#NAME?</v>
      </c>
    </row>
    <row r="8" spans="1:35" x14ac:dyDescent="0.35">
      <c r="A8">
        <v>1937</v>
      </c>
      <c r="B8">
        <f>'Granger 1'!B8-'Granger 1'!B7</f>
        <v>20475</v>
      </c>
      <c r="C8">
        <f>'Granger 1'!C8-'Granger 1'!C7</f>
        <v>277</v>
      </c>
      <c r="E8">
        <f t="shared" si="0"/>
        <v>19697</v>
      </c>
      <c r="F8">
        <f t="shared" si="1"/>
        <v>28967</v>
      </c>
      <c r="G8">
        <f t="shared" si="2"/>
        <v>-34297</v>
      </c>
      <c r="H8">
        <f t="shared" si="3"/>
        <v>20475</v>
      </c>
      <c r="I8">
        <f t="shared" si="4"/>
        <v>79</v>
      </c>
      <c r="J8">
        <f t="shared" si="5"/>
        <v>137</v>
      </c>
      <c r="K8">
        <f t="shared" si="6"/>
        <v>-19</v>
      </c>
      <c r="L8">
        <f t="shared" si="7"/>
        <v>277</v>
      </c>
      <c r="M8">
        <f t="shared" si="8"/>
        <v>200</v>
      </c>
      <c r="O8" t="s">
        <v>146</v>
      </c>
      <c r="P8" t="e">
        <f ca="1">SQRT(R14)</f>
        <v>#NAME?</v>
      </c>
      <c r="X8" t="s">
        <v>146</v>
      </c>
      <c r="Y8" t="e">
        <f ca="1">SQRT(AA14)</f>
        <v>#NAME?</v>
      </c>
      <c r="AG8" t="s">
        <v>92</v>
      </c>
      <c r="AH8" s="34" t="e">
        <f ca="1">FDIST(AH7,AI5,AH4)</f>
        <v>#NAME?</v>
      </c>
    </row>
    <row r="9" spans="1:35" x14ac:dyDescent="0.35">
      <c r="A9">
        <v>1938</v>
      </c>
      <c r="B9">
        <f>'Granger 1'!B9-'Granger 1'!B8</f>
        <v>-34297</v>
      </c>
      <c r="C9">
        <f>'Granger 1'!C9-'Granger 1'!C8</f>
        <v>-19</v>
      </c>
      <c r="E9">
        <f t="shared" si="0"/>
        <v>-15447</v>
      </c>
      <c r="F9">
        <f t="shared" si="1"/>
        <v>19697</v>
      </c>
      <c r="G9">
        <f t="shared" si="2"/>
        <v>28967</v>
      </c>
      <c r="H9">
        <f t="shared" si="3"/>
        <v>-34297</v>
      </c>
      <c r="I9">
        <f t="shared" si="4"/>
        <v>200</v>
      </c>
      <c r="J9">
        <f t="shared" si="5"/>
        <v>79</v>
      </c>
      <c r="K9">
        <f t="shared" si="6"/>
        <v>137</v>
      </c>
      <c r="L9">
        <f t="shared" si="7"/>
        <v>-19</v>
      </c>
      <c r="M9">
        <f t="shared" si="8"/>
        <v>616</v>
      </c>
      <c r="O9" s="4" t="s">
        <v>153</v>
      </c>
      <c r="P9" s="4">
        <f>COUNT(M3:M37)</f>
        <v>35</v>
      </c>
      <c r="X9" s="4" t="s">
        <v>153</v>
      </c>
      <c r="Y9" s="4">
        <f>COUNT(M3:M37)</f>
        <v>35</v>
      </c>
    </row>
    <row r="10" spans="1:35" x14ac:dyDescent="0.35">
      <c r="A10">
        <v>1939</v>
      </c>
      <c r="B10">
        <f>'Granger 1'!B10-'Granger 1'!B9</f>
        <v>28967</v>
      </c>
      <c r="C10">
        <f>'Granger 1'!C10-'Granger 1'!C9</f>
        <v>137</v>
      </c>
      <c r="E10">
        <f t="shared" si="0"/>
        <v>54094</v>
      </c>
      <c r="F10">
        <f t="shared" si="1"/>
        <v>-15447</v>
      </c>
      <c r="G10">
        <f t="shared" si="2"/>
        <v>19697</v>
      </c>
      <c r="H10">
        <f t="shared" si="3"/>
        <v>28967</v>
      </c>
      <c r="I10">
        <f t="shared" si="4"/>
        <v>616</v>
      </c>
      <c r="J10">
        <f t="shared" si="5"/>
        <v>200</v>
      </c>
      <c r="K10">
        <f t="shared" si="6"/>
        <v>79</v>
      </c>
      <c r="L10">
        <f t="shared" si="7"/>
        <v>137</v>
      </c>
      <c r="M10">
        <f t="shared" si="8"/>
        <v>544</v>
      </c>
      <c r="AG10" t="s">
        <v>92</v>
      </c>
      <c r="AH10" s="19" t="e" cm="1">
        <f t="array" aca="1" ref="AH10" ca="1">RSquareTest(E3:L37,I3:L37,M3:M37)</f>
        <v>#NAME?</v>
      </c>
    </row>
    <row r="11" spans="1:35" ht="15" thickBot="1" x14ac:dyDescent="0.4">
      <c r="A11">
        <v>1940</v>
      </c>
      <c r="B11">
        <f>'Granger 1'!B11-'Granger 1'!B10</f>
        <v>19697</v>
      </c>
      <c r="C11">
        <f>'Granger 1'!C11-'Granger 1'!C10</f>
        <v>79</v>
      </c>
      <c r="E11">
        <f t="shared" si="0"/>
        <v>65112</v>
      </c>
      <c r="F11">
        <f t="shared" si="1"/>
        <v>54094</v>
      </c>
      <c r="G11">
        <f t="shared" si="2"/>
        <v>-15447</v>
      </c>
      <c r="H11">
        <f t="shared" si="3"/>
        <v>19697</v>
      </c>
      <c r="I11">
        <f t="shared" si="4"/>
        <v>544</v>
      </c>
      <c r="J11">
        <f t="shared" si="5"/>
        <v>616</v>
      </c>
      <c r="K11">
        <f t="shared" si="6"/>
        <v>200</v>
      </c>
      <c r="L11">
        <f t="shared" si="7"/>
        <v>79</v>
      </c>
      <c r="M11">
        <f t="shared" si="8"/>
        <v>366</v>
      </c>
      <c r="O11" t="s">
        <v>155</v>
      </c>
      <c r="S11" s="137" t="s">
        <v>156</v>
      </c>
      <c r="T11" s="137">
        <v>0.05</v>
      </c>
      <c r="X11" t="s">
        <v>155</v>
      </c>
      <c r="AB11" s="137" t="s">
        <v>156</v>
      </c>
      <c r="AC11" s="137">
        <v>0.05</v>
      </c>
    </row>
    <row r="12" spans="1:35" ht="15" thickTop="1" x14ac:dyDescent="0.35">
      <c r="A12">
        <v>1941</v>
      </c>
      <c r="B12">
        <f>'Granger 1'!B12-'Granger 1'!B11</f>
        <v>-15447</v>
      </c>
      <c r="C12">
        <f>'Granger 1'!C12-'Granger 1'!C11</f>
        <v>200</v>
      </c>
      <c r="E12">
        <f t="shared" si="0"/>
        <v>40150</v>
      </c>
      <c r="F12">
        <f t="shared" si="1"/>
        <v>65112</v>
      </c>
      <c r="G12">
        <f t="shared" si="2"/>
        <v>54094</v>
      </c>
      <c r="H12">
        <f t="shared" si="3"/>
        <v>-15447</v>
      </c>
      <c r="I12">
        <f t="shared" si="4"/>
        <v>366</v>
      </c>
      <c r="J12">
        <f t="shared" si="5"/>
        <v>544</v>
      </c>
      <c r="K12">
        <f t="shared" si="6"/>
        <v>616</v>
      </c>
      <c r="L12">
        <f t="shared" si="7"/>
        <v>200</v>
      </c>
      <c r="M12">
        <f t="shared" si="8"/>
        <v>-212</v>
      </c>
      <c r="O12" s="45"/>
      <c r="P12" s="45" t="s">
        <v>88</v>
      </c>
      <c r="Q12" s="45" t="s">
        <v>157</v>
      </c>
      <c r="R12" s="45" t="s">
        <v>158</v>
      </c>
      <c r="S12" s="45" t="s">
        <v>159</v>
      </c>
      <c r="T12" s="45" t="s">
        <v>92</v>
      </c>
      <c r="U12" s="45" t="s">
        <v>84</v>
      </c>
      <c r="X12" s="45"/>
      <c r="Y12" s="45" t="s">
        <v>88</v>
      </c>
      <c r="Z12" s="45" t="s">
        <v>157</v>
      </c>
      <c r="AA12" s="45" t="s">
        <v>158</v>
      </c>
      <c r="AB12" s="45" t="s">
        <v>159</v>
      </c>
      <c r="AC12" s="45" t="s">
        <v>92</v>
      </c>
      <c r="AD12" s="45" t="s">
        <v>84</v>
      </c>
      <c r="AG12" t="s">
        <v>159</v>
      </c>
      <c r="AH12" s="221" t="e" cm="1">
        <f t="array" aca="1" ref="AH12" ca="1">GRANGER(B3:B41,C3:C41,4)</f>
        <v>#NAME?</v>
      </c>
    </row>
    <row r="13" spans="1:35" x14ac:dyDescent="0.35">
      <c r="A13">
        <v>1942</v>
      </c>
      <c r="B13">
        <f>'Granger 1'!B13-'Granger 1'!B12</f>
        <v>54094</v>
      </c>
      <c r="C13">
        <f>'Granger 1'!C13-'Granger 1'!C12</f>
        <v>616</v>
      </c>
      <c r="E13">
        <f t="shared" si="0"/>
        <v>-65700</v>
      </c>
      <c r="F13">
        <f t="shared" si="1"/>
        <v>40150</v>
      </c>
      <c r="G13">
        <f t="shared" si="2"/>
        <v>65112</v>
      </c>
      <c r="H13">
        <f t="shared" si="3"/>
        <v>54094</v>
      </c>
      <c r="I13">
        <f t="shared" si="4"/>
        <v>-212</v>
      </c>
      <c r="J13">
        <f t="shared" si="5"/>
        <v>366</v>
      </c>
      <c r="K13">
        <f t="shared" si="6"/>
        <v>544</v>
      </c>
      <c r="L13">
        <f t="shared" si="7"/>
        <v>616</v>
      </c>
      <c r="M13">
        <f t="shared" si="8"/>
        <v>-24</v>
      </c>
      <c r="O13" t="s">
        <v>160</v>
      </c>
      <c r="P13">
        <f>COUNT(E3:L3)</f>
        <v>8</v>
      </c>
      <c r="Q13" t="e">
        <f ca="1">DEVSQ(MMULT(DEsign(E3:L37),P18:P26))</f>
        <v>#NAME?</v>
      </c>
      <c r="R13" t="e">
        <f ca="1">Q13/P13</f>
        <v>#NAME?</v>
      </c>
      <c r="S13" t="e">
        <f ca="1">R13/R14</f>
        <v>#NAME?</v>
      </c>
      <c r="T13" t="e">
        <f ca="1">_xlfn.F.DIST.RT(S13,P13,P14)</f>
        <v>#NAME?</v>
      </c>
      <c r="U13" s="137" t="e">
        <f ca="1">IF(T13&lt;T11,"yes","no")</f>
        <v>#NAME?</v>
      </c>
      <c r="X13" t="s">
        <v>160</v>
      </c>
      <c r="Y13">
        <f>COUNT(I3:L3)</f>
        <v>4</v>
      </c>
      <c r="Z13" t="e">
        <f ca="1">DEVSQ(MMULT(DEsign(I3:L37),Y18:Y22))</f>
        <v>#NAME?</v>
      </c>
      <c r="AA13" t="e">
        <f ca="1">Z13/Y13</f>
        <v>#NAME?</v>
      </c>
      <c r="AB13" t="e">
        <f ca="1">AA13/AA14</f>
        <v>#NAME?</v>
      </c>
      <c r="AC13" t="e">
        <f ca="1">_xlfn.F.DIST.RT(AB13,Y13,Y14)</f>
        <v>#NAME?</v>
      </c>
      <c r="AD13" s="137" t="e">
        <f ca="1">IF(AC13&lt;AC11,"yes","no")</f>
        <v>#NAME?</v>
      </c>
      <c r="AG13" t="s">
        <v>92</v>
      </c>
      <c r="AH13" s="34" t="e" cm="1">
        <f t="array" aca="1" ref="AH13" ca="1">GRANGER_TEST(B3:B41,C3:C41,4)</f>
        <v>#NAME?</v>
      </c>
    </row>
    <row r="14" spans="1:35" x14ac:dyDescent="0.35">
      <c r="A14">
        <v>1943</v>
      </c>
      <c r="B14">
        <f>'Granger 1'!B14-'Granger 1'!B13</f>
        <v>65112</v>
      </c>
      <c r="C14">
        <f>'Granger 1'!C14-'Granger 1'!C13</f>
        <v>544</v>
      </c>
      <c r="E14">
        <f t="shared" si="0"/>
        <v>6730</v>
      </c>
      <c r="F14">
        <f t="shared" si="1"/>
        <v>-65700</v>
      </c>
      <c r="G14">
        <f t="shared" si="2"/>
        <v>40150</v>
      </c>
      <c r="H14">
        <f t="shared" si="3"/>
        <v>65112</v>
      </c>
      <c r="I14">
        <f t="shared" si="4"/>
        <v>-24</v>
      </c>
      <c r="J14">
        <f t="shared" si="5"/>
        <v>-212</v>
      </c>
      <c r="K14">
        <f t="shared" si="6"/>
        <v>366</v>
      </c>
      <c r="L14">
        <f t="shared" si="7"/>
        <v>544</v>
      </c>
      <c r="M14">
        <f t="shared" si="8"/>
        <v>-53</v>
      </c>
      <c r="O14" t="s">
        <v>107</v>
      </c>
      <c r="P14">
        <f>P15-P13</f>
        <v>26</v>
      </c>
      <c r="Q14" t="e">
        <f ca="1">Q15-Q13</f>
        <v>#NAME?</v>
      </c>
      <c r="R14" t="e">
        <f ca="1">Q14/P14</f>
        <v>#NAME?</v>
      </c>
      <c r="X14" t="s">
        <v>107</v>
      </c>
      <c r="Y14">
        <f>Y15-Y13</f>
        <v>30</v>
      </c>
      <c r="Z14" t="e">
        <f ca="1">Z15-Z13</f>
        <v>#NAME?</v>
      </c>
      <c r="AA14" t="e">
        <f ca="1">Z14/Y14</f>
        <v>#NAME?</v>
      </c>
    </row>
    <row r="15" spans="1:35" x14ac:dyDescent="0.35">
      <c r="A15">
        <v>1944</v>
      </c>
      <c r="B15">
        <f>'Granger 1'!B15-'Granger 1'!B14</f>
        <v>40150</v>
      </c>
      <c r="C15">
        <f>'Granger 1'!C15-'Granger 1'!C14</f>
        <v>366</v>
      </c>
      <c r="E15">
        <f t="shared" si="0"/>
        <v>-56010</v>
      </c>
      <c r="F15">
        <f t="shared" si="1"/>
        <v>6730</v>
      </c>
      <c r="G15">
        <f t="shared" si="2"/>
        <v>-65700</v>
      </c>
      <c r="H15">
        <f t="shared" si="3"/>
        <v>40150</v>
      </c>
      <c r="I15">
        <f t="shared" si="4"/>
        <v>-53</v>
      </c>
      <c r="J15">
        <f t="shared" si="5"/>
        <v>-24</v>
      </c>
      <c r="K15">
        <f t="shared" si="6"/>
        <v>-212</v>
      </c>
      <c r="L15">
        <f t="shared" si="7"/>
        <v>366</v>
      </c>
      <c r="M15">
        <f t="shared" si="8"/>
        <v>-45</v>
      </c>
      <c r="O15" s="4" t="s">
        <v>161</v>
      </c>
      <c r="P15" s="4">
        <f>P9-1</f>
        <v>34</v>
      </c>
      <c r="Q15" s="4">
        <f>DEVSQ(M3:M37)</f>
        <v>1109049.8857142855</v>
      </c>
      <c r="R15" s="4"/>
      <c r="S15" s="4"/>
      <c r="T15" s="4"/>
      <c r="U15" s="4"/>
      <c r="X15" s="4" t="s">
        <v>161</v>
      </c>
      <c r="Y15" s="4">
        <f>Y9-1</f>
        <v>34</v>
      </c>
      <c r="Z15" s="4">
        <f>DEVSQ(M3:M37)</f>
        <v>1109049.8857142855</v>
      </c>
      <c r="AA15" s="4"/>
      <c r="AB15" s="4"/>
      <c r="AC15" s="4"/>
      <c r="AD15" s="4"/>
    </row>
    <row r="16" spans="1:35" ht="15" thickBot="1" x14ac:dyDescent="0.4">
      <c r="A16">
        <v>1945</v>
      </c>
      <c r="B16">
        <f>'Granger 1'!B16-'Granger 1'!B15</f>
        <v>-65700</v>
      </c>
      <c r="C16">
        <f>'Granger 1'!C16-'Granger 1'!C15</f>
        <v>-212</v>
      </c>
      <c r="E16">
        <f t="shared" si="0"/>
        <v>32427</v>
      </c>
      <c r="F16">
        <f t="shared" si="1"/>
        <v>-56010</v>
      </c>
      <c r="G16">
        <f t="shared" si="2"/>
        <v>6730</v>
      </c>
      <c r="H16">
        <f t="shared" si="3"/>
        <v>-65700</v>
      </c>
      <c r="I16">
        <f t="shared" si="4"/>
        <v>-45</v>
      </c>
      <c r="J16">
        <f t="shared" si="5"/>
        <v>-53</v>
      </c>
      <c r="K16">
        <f t="shared" si="6"/>
        <v>-24</v>
      </c>
      <c r="L16">
        <f t="shared" si="7"/>
        <v>-212</v>
      </c>
      <c r="M16">
        <f t="shared" si="8"/>
        <v>116</v>
      </c>
    </row>
    <row r="17" spans="1:31" ht="15" thickTop="1" x14ac:dyDescent="0.35">
      <c r="A17">
        <v>1946</v>
      </c>
      <c r="B17">
        <f>'Granger 1'!B17-'Granger 1'!B16</f>
        <v>6730</v>
      </c>
      <c r="C17">
        <f>'Granger 1'!C17-'Granger 1'!C16</f>
        <v>-24</v>
      </c>
      <c r="E17">
        <f t="shared" si="0"/>
        <v>-68768</v>
      </c>
      <c r="F17">
        <f t="shared" si="1"/>
        <v>32427</v>
      </c>
      <c r="G17">
        <f t="shared" si="2"/>
        <v>-56010</v>
      </c>
      <c r="H17">
        <f t="shared" si="3"/>
        <v>6730</v>
      </c>
      <c r="I17">
        <f t="shared" si="4"/>
        <v>116</v>
      </c>
      <c r="J17">
        <f t="shared" si="5"/>
        <v>-45</v>
      </c>
      <c r="K17">
        <f t="shared" si="6"/>
        <v>-53</v>
      </c>
      <c r="L17">
        <f t="shared" si="7"/>
        <v>-24</v>
      </c>
      <c r="M17">
        <f t="shared" si="8"/>
        <v>256</v>
      </c>
      <c r="O17" s="45"/>
      <c r="P17" s="45" t="s">
        <v>162</v>
      </c>
      <c r="Q17" s="45" t="s">
        <v>163</v>
      </c>
      <c r="R17" s="45" t="s">
        <v>164</v>
      </c>
      <c r="S17" s="45" t="s">
        <v>92</v>
      </c>
      <c r="T17" s="45" t="s">
        <v>127</v>
      </c>
      <c r="U17" s="45" t="s">
        <v>128</v>
      </c>
      <c r="V17" s="45" t="s">
        <v>165</v>
      </c>
      <c r="X17" s="45"/>
      <c r="Y17" s="45" t="s">
        <v>162</v>
      </c>
      <c r="Z17" s="45" t="s">
        <v>163</v>
      </c>
      <c r="AA17" s="45" t="s">
        <v>164</v>
      </c>
      <c r="AB17" s="45" t="s">
        <v>92</v>
      </c>
      <c r="AC17" s="45" t="s">
        <v>127</v>
      </c>
      <c r="AD17" s="45" t="s">
        <v>128</v>
      </c>
      <c r="AE17" s="45" t="s">
        <v>165</v>
      </c>
    </row>
    <row r="18" spans="1:31" x14ac:dyDescent="0.35">
      <c r="A18">
        <v>1947</v>
      </c>
      <c r="B18">
        <f>'Granger 1'!B18-'Granger 1'!B17</f>
        <v>-56010</v>
      </c>
      <c r="C18">
        <f>'Granger 1'!C18-'Granger 1'!C17</f>
        <v>-53</v>
      </c>
      <c r="E18">
        <f t="shared" si="0"/>
        <v>25673</v>
      </c>
      <c r="F18">
        <f t="shared" si="1"/>
        <v>-68768</v>
      </c>
      <c r="G18">
        <f t="shared" si="2"/>
        <v>32427</v>
      </c>
      <c r="H18">
        <f t="shared" si="3"/>
        <v>-56010</v>
      </c>
      <c r="I18">
        <f t="shared" si="4"/>
        <v>256</v>
      </c>
      <c r="J18">
        <f t="shared" si="5"/>
        <v>116</v>
      </c>
      <c r="K18">
        <f t="shared" si="6"/>
        <v>-45</v>
      </c>
      <c r="L18">
        <f t="shared" si="7"/>
        <v>-53</v>
      </c>
      <c r="M18">
        <f t="shared" si="8"/>
        <v>-82</v>
      </c>
      <c r="O18" t="s">
        <v>166</v>
      </c>
      <c r="P18" t="e">
        <f t="array" aca="1" ref="P18:Q26" ca="1">RegCoeff(E3:L37,M3:M37)</f>
        <v>#NAME?</v>
      </c>
      <c r="Q18" t="e">
        <f ca="1"/>
        <v>#NAME?</v>
      </c>
      <c r="R18" t="e">
        <f ca="1">P18/Q18</f>
        <v>#NAME?</v>
      </c>
      <c r="S18" t="e">
        <f ca="1">_xlfn.T.DIST.2T(ABS(R18),$P$14)</f>
        <v>#NAME?</v>
      </c>
      <c r="T18" t="e">
        <f ca="1">P18-_xlfn.T.INV.2T(T$11,$P$14)*Q18</f>
        <v>#NAME?</v>
      </c>
      <c r="U18" t="e">
        <f ca="1">P18+_xlfn.T.INV.2T(T$11,$P$14)*Q18</f>
        <v>#NAME?</v>
      </c>
      <c r="X18" t="s">
        <v>166</v>
      </c>
      <c r="Y18" t="e">
        <f t="array" aca="1" ref="Y18:Z22" ca="1">RegCoeff(I3:L37,M3:M37)</f>
        <v>#NAME?</v>
      </c>
      <c r="Z18" t="e">
        <f ca="1"/>
        <v>#NAME?</v>
      </c>
      <c r="AA18" t="e">
        <f ca="1">Y18/Z18</f>
        <v>#NAME?</v>
      </c>
      <c r="AB18" t="e">
        <f ca="1">_xlfn.T.DIST.2T(ABS(AA18),$Y$14)</f>
        <v>#NAME?</v>
      </c>
      <c r="AC18" t="e">
        <f ca="1">Y18-_xlfn.T.INV.2T(AC$11,$Y$14)*Z18</f>
        <v>#NAME?</v>
      </c>
      <c r="AD18" t="e">
        <f ca="1">Y18+_xlfn.T.INV.2T(AC$11,$Y$14)*Z18</f>
        <v>#NAME?</v>
      </c>
    </row>
    <row r="19" spans="1:31" x14ac:dyDescent="0.35">
      <c r="A19">
        <v>1948</v>
      </c>
      <c r="B19">
        <f>'Granger 1'!B19-'Granger 1'!B18</f>
        <v>32427</v>
      </c>
      <c r="C19">
        <f>'Granger 1'!C19-'Granger 1'!C18</f>
        <v>-45</v>
      </c>
      <c r="E19">
        <f t="shared" si="0"/>
        <v>-25561</v>
      </c>
      <c r="F19">
        <f t="shared" si="1"/>
        <v>25673</v>
      </c>
      <c r="G19">
        <f t="shared" si="2"/>
        <v>-68768</v>
      </c>
      <c r="H19">
        <f t="shared" si="3"/>
        <v>32427</v>
      </c>
      <c r="I19">
        <f t="shared" si="4"/>
        <v>-82</v>
      </c>
      <c r="J19">
        <f t="shared" si="5"/>
        <v>256</v>
      </c>
      <c r="K19">
        <f t="shared" si="6"/>
        <v>116</v>
      </c>
      <c r="L19">
        <f t="shared" si="7"/>
        <v>-45</v>
      </c>
      <c r="M19">
        <f t="shared" si="8"/>
        <v>1</v>
      </c>
      <c r="O19" t="str">
        <f t="array" ref="O19:O26">TRANSPOSE(E2:L2)</f>
        <v>chick-1</v>
      </c>
      <c r="P19" t="e">
        <f ca="1"/>
        <v>#NAME?</v>
      </c>
      <c r="Q19" t="e">
        <f ca="1"/>
        <v>#NAME?</v>
      </c>
      <c r="R19" t="e">
        <f t="shared" ref="R19:R26" ca="1" si="9">P19/Q19</f>
        <v>#NAME?</v>
      </c>
      <c r="S19" t="e">
        <f t="shared" ref="S19:S26" ca="1" si="10">_xlfn.T.DIST.2T(ABS(R19),$P$14)</f>
        <v>#NAME?</v>
      </c>
      <c r="T19" t="e">
        <f t="shared" ref="T19:T26" ca="1" si="11">P19-_xlfn.T.INV.2T(T$11,$P$14)*Q19</f>
        <v>#NAME?</v>
      </c>
      <c r="U19" t="e">
        <f t="shared" ref="U19:U26" ca="1" si="12">P19+_xlfn.T.INV.2T(T$11,$P$14)*Q19</f>
        <v>#NAME?</v>
      </c>
      <c r="V19" t="e" cm="1">
        <f t="array" aca="1" ref="V19" ca="1">VIF(E3:L37,1)</f>
        <v>#NAME?</v>
      </c>
      <c r="X19" t="str">
        <f t="array" ref="X19:X22">TRANSPOSE(I2:L2)</f>
        <v>egg-1</v>
      </c>
      <c r="Y19" t="e">
        <f ca="1"/>
        <v>#NAME?</v>
      </c>
      <c r="Z19" t="e">
        <f ca="1"/>
        <v>#NAME?</v>
      </c>
      <c r="AA19" t="e">
        <f t="shared" ref="AA19:AA22" ca="1" si="13">Y19/Z19</f>
        <v>#NAME?</v>
      </c>
      <c r="AB19" t="e">
        <f t="shared" ref="AB19:AB22" ca="1" si="14">_xlfn.T.DIST.2T(ABS(AA19),$Y$14)</f>
        <v>#NAME?</v>
      </c>
      <c r="AC19" t="e">
        <f t="shared" ref="AC19:AC22" ca="1" si="15">Y19-_xlfn.T.INV.2T(AC$11,$Y$14)*Z19</f>
        <v>#NAME?</v>
      </c>
      <c r="AD19" t="e">
        <f t="shared" ref="AD19:AD22" ca="1" si="16">Y19+_xlfn.T.INV.2T(AC$11,$Y$14)*Z19</f>
        <v>#NAME?</v>
      </c>
      <c r="AE19" t="e" cm="1">
        <f t="array" aca="1" ref="AE19" ca="1">VIF(E3:H37,1)</f>
        <v>#NAME?</v>
      </c>
    </row>
    <row r="20" spans="1:31" x14ac:dyDescent="0.35">
      <c r="A20">
        <v>1949</v>
      </c>
      <c r="B20">
        <f>'Granger 1'!B20-'Granger 1'!B19</f>
        <v>-68768</v>
      </c>
      <c r="C20">
        <f>'Granger 1'!C20-'Granger 1'!C19</f>
        <v>116</v>
      </c>
      <c r="E20">
        <f t="shared" si="0"/>
        <v>-4433</v>
      </c>
      <c r="F20">
        <f t="shared" si="1"/>
        <v>-25561</v>
      </c>
      <c r="G20">
        <f t="shared" si="2"/>
        <v>25673</v>
      </c>
      <c r="H20">
        <f t="shared" si="3"/>
        <v>-68768</v>
      </c>
      <c r="I20">
        <f t="shared" si="4"/>
        <v>1</v>
      </c>
      <c r="J20">
        <f t="shared" si="5"/>
        <v>-82</v>
      </c>
      <c r="K20">
        <f t="shared" si="6"/>
        <v>256</v>
      </c>
      <c r="L20">
        <f t="shared" si="7"/>
        <v>116</v>
      </c>
      <c r="M20">
        <f t="shared" si="8"/>
        <v>-16</v>
      </c>
      <c r="O20" t="str">
        <v>chick-2</v>
      </c>
      <c r="P20" t="e">
        <f ca="1"/>
        <v>#NAME?</v>
      </c>
      <c r="Q20" t="e">
        <f ca="1"/>
        <v>#NAME?</v>
      </c>
      <c r="R20" t="e">
        <f t="shared" ca="1" si="9"/>
        <v>#NAME?</v>
      </c>
      <c r="S20" t="e">
        <f t="shared" ca="1" si="10"/>
        <v>#NAME?</v>
      </c>
      <c r="T20" t="e">
        <f t="shared" ca="1" si="11"/>
        <v>#NAME?</v>
      </c>
      <c r="U20" t="e">
        <f t="shared" ca="1" si="12"/>
        <v>#NAME?</v>
      </c>
      <c r="V20" t="e" cm="1">
        <f t="array" aca="1" ref="V20" ca="1">VIF(E3:L37,2)</f>
        <v>#NAME?</v>
      </c>
      <c r="X20" t="str">
        <v>egg-2</v>
      </c>
      <c r="Y20" t="e">
        <f ca="1"/>
        <v>#NAME?</v>
      </c>
      <c r="Z20" t="e">
        <f ca="1"/>
        <v>#NAME?</v>
      </c>
      <c r="AA20" t="e">
        <f t="shared" ca="1" si="13"/>
        <v>#NAME?</v>
      </c>
      <c r="AB20" t="e">
        <f t="shared" ca="1" si="14"/>
        <v>#NAME?</v>
      </c>
      <c r="AC20" t="e">
        <f t="shared" ca="1" si="15"/>
        <v>#NAME?</v>
      </c>
      <c r="AD20" t="e">
        <f t="shared" ca="1" si="16"/>
        <v>#NAME?</v>
      </c>
      <c r="AE20" t="e" cm="1">
        <f t="array" aca="1" ref="AE20" ca="1">VIF(E3:H37,2)</f>
        <v>#NAME?</v>
      </c>
    </row>
    <row r="21" spans="1:31" x14ac:dyDescent="0.35">
      <c r="A21">
        <v>1950</v>
      </c>
      <c r="B21">
        <f>'Granger 1'!B21-'Granger 1'!B20</f>
        <v>25673</v>
      </c>
      <c r="C21">
        <f>'Granger 1'!C21-'Granger 1'!C20</f>
        <v>256</v>
      </c>
      <c r="E21">
        <f t="shared" si="0"/>
        <v>-28399</v>
      </c>
      <c r="F21">
        <f t="shared" si="1"/>
        <v>-4433</v>
      </c>
      <c r="G21">
        <f t="shared" si="2"/>
        <v>-25561</v>
      </c>
      <c r="H21">
        <f t="shared" si="3"/>
        <v>25673</v>
      </c>
      <c r="I21">
        <f t="shared" si="4"/>
        <v>-16</v>
      </c>
      <c r="J21">
        <f t="shared" si="5"/>
        <v>1</v>
      </c>
      <c r="K21">
        <f t="shared" si="6"/>
        <v>-82</v>
      </c>
      <c r="L21">
        <f t="shared" si="7"/>
        <v>256</v>
      </c>
      <c r="M21">
        <f t="shared" si="8"/>
        <v>95</v>
      </c>
      <c r="O21" t="str">
        <v>chick-3</v>
      </c>
      <c r="P21" t="e">
        <f ca="1"/>
        <v>#NAME?</v>
      </c>
      <c r="Q21" t="e">
        <f ca="1"/>
        <v>#NAME?</v>
      </c>
      <c r="R21" t="e">
        <f t="shared" ca="1" si="9"/>
        <v>#NAME?</v>
      </c>
      <c r="S21" t="e">
        <f t="shared" ca="1" si="10"/>
        <v>#NAME?</v>
      </c>
      <c r="T21" t="e">
        <f t="shared" ca="1" si="11"/>
        <v>#NAME?</v>
      </c>
      <c r="U21" t="e">
        <f t="shared" ca="1" si="12"/>
        <v>#NAME?</v>
      </c>
      <c r="V21" t="e" cm="1">
        <f t="array" aca="1" ref="V21" ca="1">VIF(E3:L37,3)</f>
        <v>#NAME?</v>
      </c>
      <c r="X21" t="str">
        <v>egg-3</v>
      </c>
      <c r="Y21" t="e">
        <f ca="1"/>
        <v>#NAME?</v>
      </c>
      <c r="Z21" t="e">
        <f ca="1"/>
        <v>#NAME?</v>
      </c>
      <c r="AA21" t="e">
        <f t="shared" ca="1" si="13"/>
        <v>#NAME?</v>
      </c>
      <c r="AB21" t="e">
        <f t="shared" ca="1" si="14"/>
        <v>#NAME?</v>
      </c>
      <c r="AC21" t="e">
        <f t="shared" ca="1" si="15"/>
        <v>#NAME?</v>
      </c>
      <c r="AD21" t="e">
        <f t="shared" ca="1" si="16"/>
        <v>#NAME?</v>
      </c>
      <c r="AE21" t="e" cm="1">
        <f t="array" aca="1" ref="AE21" ca="1">VIF(E3:H37,3)</f>
        <v>#NAME?</v>
      </c>
    </row>
    <row r="22" spans="1:31" x14ac:dyDescent="0.35">
      <c r="A22">
        <v>1951</v>
      </c>
      <c r="B22">
        <f>'Granger 1'!B22-'Granger 1'!B21</f>
        <v>-25561</v>
      </c>
      <c r="C22">
        <f>'Granger 1'!C22-'Granger 1'!C21</f>
        <v>-82</v>
      </c>
      <c r="E22">
        <f t="shared" si="0"/>
        <v>-1380</v>
      </c>
      <c r="F22">
        <f t="shared" si="1"/>
        <v>-28399</v>
      </c>
      <c r="G22">
        <f t="shared" si="2"/>
        <v>-4433</v>
      </c>
      <c r="H22">
        <f t="shared" si="3"/>
        <v>-25561</v>
      </c>
      <c r="I22">
        <f t="shared" si="4"/>
        <v>95</v>
      </c>
      <c r="J22">
        <f t="shared" si="5"/>
        <v>-16</v>
      </c>
      <c r="K22">
        <f t="shared" si="6"/>
        <v>1</v>
      </c>
      <c r="L22">
        <f t="shared" si="7"/>
        <v>-82</v>
      </c>
      <c r="M22">
        <f t="shared" si="8"/>
        <v>5</v>
      </c>
      <c r="O22" t="str">
        <v>chick-4</v>
      </c>
      <c r="P22" t="e">
        <f ca="1"/>
        <v>#NAME?</v>
      </c>
      <c r="Q22" t="e">
        <f ca="1"/>
        <v>#NAME?</v>
      </c>
      <c r="R22" t="e">
        <f t="shared" ca="1" si="9"/>
        <v>#NAME?</v>
      </c>
      <c r="S22" t="e">
        <f t="shared" ca="1" si="10"/>
        <v>#NAME?</v>
      </c>
      <c r="T22" t="e">
        <f t="shared" ca="1" si="11"/>
        <v>#NAME?</v>
      </c>
      <c r="U22" t="e">
        <f t="shared" ca="1" si="12"/>
        <v>#NAME?</v>
      </c>
      <c r="V22" t="e" cm="1">
        <f t="array" aca="1" ref="V22" ca="1">VIF(E3:L37,4)</f>
        <v>#NAME?</v>
      </c>
      <c r="X22" s="4" t="str">
        <v>egg-4</v>
      </c>
      <c r="Y22" s="4" t="e">
        <f ca="1"/>
        <v>#NAME?</v>
      </c>
      <c r="Z22" s="4" t="e">
        <f ca="1"/>
        <v>#NAME?</v>
      </c>
      <c r="AA22" s="4" t="e">
        <f t="shared" ca="1" si="13"/>
        <v>#NAME?</v>
      </c>
      <c r="AB22" s="4" t="e">
        <f t="shared" ca="1" si="14"/>
        <v>#NAME?</v>
      </c>
      <c r="AC22" s="4" t="e">
        <f t="shared" ca="1" si="15"/>
        <v>#NAME?</v>
      </c>
      <c r="AD22" s="4" t="e">
        <f t="shared" ca="1" si="16"/>
        <v>#NAME?</v>
      </c>
      <c r="AE22" s="4" t="e" cm="1">
        <f t="array" aca="1" ref="AE22" ca="1">VIF(E3:H37,4)</f>
        <v>#NAME?</v>
      </c>
    </row>
    <row r="23" spans="1:31" x14ac:dyDescent="0.35">
      <c r="A23">
        <v>1952</v>
      </c>
      <c r="B23">
        <f>'Granger 1'!B23-'Granger 1'!B22</f>
        <v>-4433</v>
      </c>
      <c r="C23">
        <f>'Granger 1'!C23-'Granger 1'!C22</f>
        <v>1</v>
      </c>
      <c r="E23">
        <f t="shared" si="0"/>
        <v>-6068</v>
      </c>
      <c r="F23">
        <f t="shared" si="1"/>
        <v>-1380</v>
      </c>
      <c r="G23">
        <f t="shared" si="2"/>
        <v>-28399</v>
      </c>
      <c r="H23">
        <f t="shared" si="3"/>
        <v>-4433</v>
      </c>
      <c r="I23">
        <f t="shared" si="4"/>
        <v>5</v>
      </c>
      <c r="J23">
        <f t="shared" si="5"/>
        <v>95</v>
      </c>
      <c r="K23">
        <f t="shared" si="6"/>
        <v>-16</v>
      </c>
      <c r="L23">
        <f t="shared" si="7"/>
        <v>1</v>
      </c>
      <c r="M23">
        <f t="shared" si="8"/>
        <v>93</v>
      </c>
      <c r="O23" t="str">
        <v>egg-1</v>
      </c>
      <c r="P23" t="e">
        <f ca="1"/>
        <v>#NAME?</v>
      </c>
      <c r="Q23" t="e">
        <f ca="1"/>
        <v>#NAME?</v>
      </c>
      <c r="R23" t="e">
        <f t="shared" ca="1" si="9"/>
        <v>#NAME?</v>
      </c>
      <c r="S23" t="e">
        <f t="shared" ca="1" si="10"/>
        <v>#NAME?</v>
      </c>
      <c r="T23" t="e">
        <f t="shared" ca="1" si="11"/>
        <v>#NAME?</v>
      </c>
      <c r="U23" t="e">
        <f t="shared" ca="1" si="12"/>
        <v>#NAME?</v>
      </c>
      <c r="V23" t="e" cm="1">
        <f t="array" aca="1" ref="V23" ca="1">VIF(E3:L37,5)</f>
        <v>#NAME?</v>
      </c>
    </row>
    <row r="24" spans="1:31" x14ac:dyDescent="0.35">
      <c r="A24">
        <v>1953</v>
      </c>
      <c r="B24">
        <f>'Granger 1'!B24-'Granger 1'!B23</f>
        <v>-28399</v>
      </c>
      <c r="C24">
        <f>'Granger 1'!C24-'Granger 1'!C23</f>
        <v>-16</v>
      </c>
      <c r="E24">
        <f t="shared" si="0"/>
        <v>-7018</v>
      </c>
      <c r="F24">
        <f t="shared" si="1"/>
        <v>-6068</v>
      </c>
      <c r="G24">
        <f t="shared" si="2"/>
        <v>-1380</v>
      </c>
      <c r="H24">
        <f t="shared" si="3"/>
        <v>-28399</v>
      </c>
      <c r="I24">
        <f t="shared" si="4"/>
        <v>93</v>
      </c>
      <c r="J24">
        <f t="shared" si="5"/>
        <v>5</v>
      </c>
      <c r="K24">
        <f t="shared" si="6"/>
        <v>95</v>
      </c>
      <c r="L24">
        <f t="shared" si="7"/>
        <v>-16</v>
      </c>
      <c r="M24">
        <f t="shared" si="8"/>
        <v>-58</v>
      </c>
      <c r="O24" t="str">
        <v>egg-2</v>
      </c>
      <c r="P24" t="e">
        <f ca="1"/>
        <v>#NAME?</v>
      </c>
      <c r="Q24" t="e">
        <f ca="1"/>
        <v>#NAME?</v>
      </c>
      <c r="R24" t="e">
        <f t="shared" ca="1" si="9"/>
        <v>#NAME?</v>
      </c>
      <c r="S24" t="e">
        <f t="shared" ca="1" si="10"/>
        <v>#NAME?</v>
      </c>
      <c r="T24" t="e">
        <f t="shared" ca="1" si="11"/>
        <v>#NAME?</v>
      </c>
      <c r="U24" t="e">
        <f t="shared" ca="1" si="12"/>
        <v>#NAME?</v>
      </c>
      <c r="V24" t="e" cm="1">
        <f t="array" aca="1" ref="V24" ca="1">VIF(E3:L37,6)</f>
        <v>#NAME?</v>
      </c>
    </row>
    <row r="25" spans="1:31" x14ac:dyDescent="0.35">
      <c r="A25">
        <v>1954</v>
      </c>
      <c r="B25">
        <f>'Granger 1'!B25-'Granger 1'!B24</f>
        <v>-1380</v>
      </c>
      <c r="C25">
        <f>'Granger 1'!C25-'Granger 1'!C24</f>
        <v>95</v>
      </c>
      <c r="E25">
        <f t="shared" si="0"/>
        <v>7673</v>
      </c>
      <c r="F25">
        <f t="shared" si="1"/>
        <v>-7018</v>
      </c>
      <c r="G25">
        <f t="shared" si="2"/>
        <v>-6068</v>
      </c>
      <c r="H25">
        <f t="shared" si="3"/>
        <v>-1380</v>
      </c>
      <c r="I25">
        <f t="shared" si="4"/>
        <v>-58</v>
      </c>
      <c r="J25">
        <f t="shared" si="5"/>
        <v>93</v>
      </c>
      <c r="K25">
        <f t="shared" si="6"/>
        <v>5</v>
      </c>
      <c r="L25">
        <f t="shared" si="7"/>
        <v>95</v>
      </c>
      <c r="M25">
        <f t="shared" si="8"/>
        <v>0</v>
      </c>
      <c r="O25" t="str">
        <v>egg-3</v>
      </c>
      <c r="P25" t="e">
        <f ca="1"/>
        <v>#NAME?</v>
      </c>
      <c r="Q25" t="e">
        <f ca="1"/>
        <v>#NAME?</v>
      </c>
      <c r="R25" t="e">
        <f t="shared" ca="1" si="9"/>
        <v>#NAME?</v>
      </c>
      <c r="S25" t="e">
        <f t="shared" ca="1" si="10"/>
        <v>#NAME?</v>
      </c>
      <c r="T25" t="e">
        <f t="shared" ca="1" si="11"/>
        <v>#NAME?</v>
      </c>
      <c r="U25" t="e">
        <f t="shared" ca="1" si="12"/>
        <v>#NAME?</v>
      </c>
      <c r="V25" t="e" cm="1">
        <f t="array" aca="1" ref="V25" ca="1">VIF(E3:L37,7)</f>
        <v>#NAME?</v>
      </c>
    </row>
    <row r="26" spans="1:31" x14ac:dyDescent="0.35">
      <c r="A26">
        <v>1955</v>
      </c>
      <c r="B26">
        <f>'Granger 1'!B26-'Granger 1'!B25</f>
        <v>-6068</v>
      </c>
      <c r="C26">
        <f>'Granger 1'!C26-'Granger 1'!C25</f>
        <v>5</v>
      </c>
      <c r="E26">
        <f t="shared" si="0"/>
        <v>-17082</v>
      </c>
      <c r="F26">
        <f t="shared" si="1"/>
        <v>7673</v>
      </c>
      <c r="G26">
        <f t="shared" si="2"/>
        <v>-7018</v>
      </c>
      <c r="H26">
        <f t="shared" si="3"/>
        <v>-6068</v>
      </c>
      <c r="I26">
        <f t="shared" si="4"/>
        <v>0</v>
      </c>
      <c r="J26">
        <f t="shared" si="5"/>
        <v>-58</v>
      </c>
      <c r="K26">
        <f t="shared" si="6"/>
        <v>93</v>
      </c>
      <c r="L26">
        <f t="shared" si="7"/>
        <v>5</v>
      </c>
      <c r="M26">
        <f t="shared" si="8"/>
        <v>100</v>
      </c>
      <c r="O26" s="4" t="str">
        <v>egg-4</v>
      </c>
      <c r="P26" s="4" t="e">
        <f ca="1"/>
        <v>#NAME?</v>
      </c>
      <c r="Q26" s="4" t="e">
        <f ca="1"/>
        <v>#NAME?</v>
      </c>
      <c r="R26" s="4" t="e">
        <f t="shared" ca="1" si="9"/>
        <v>#NAME?</v>
      </c>
      <c r="S26" s="4" t="e">
        <f t="shared" ca="1" si="10"/>
        <v>#NAME?</v>
      </c>
      <c r="T26" s="4" t="e">
        <f t="shared" ca="1" si="11"/>
        <v>#NAME?</v>
      </c>
      <c r="U26" s="4" t="e">
        <f t="shared" ca="1" si="12"/>
        <v>#NAME?</v>
      </c>
      <c r="V26" s="4" t="e" cm="1">
        <f t="array" aca="1" ref="V26" ca="1">VIF(E3:L37,8)</f>
        <v>#NAME?</v>
      </c>
    </row>
    <row r="27" spans="1:31" x14ac:dyDescent="0.35">
      <c r="A27">
        <v>1956</v>
      </c>
      <c r="B27">
        <f>'Granger 1'!B27-'Granger 1'!B26</f>
        <v>-7018</v>
      </c>
      <c r="C27">
        <f>'Granger 1'!C27-'Granger 1'!C26</f>
        <v>93</v>
      </c>
      <c r="E27">
        <f t="shared" si="0"/>
        <v>12721</v>
      </c>
      <c r="F27">
        <f t="shared" si="1"/>
        <v>-17082</v>
      </c>
      <c r="G27">
        <f t="shared" si="2"/>
        <v>7673</v>
      </c>
      <c r="H27">
        <f t="shared" si="3"/>
        <v>-7018</v>
      </c>
      <c r="I27">
        <f t="shared" si="4"/>
        <v>100</v>
      </c>
      <c r="J27">
        <f t="shared" si="5"/>
        <v>0</v>
      </c>
      <c r="K27">
        <f t="shared" si="6"/>
        <v>-58</v>
      </c>
      <c r="L27">
        <f t="shared" si="7"/>
        <v>93</v>
      </c>
      <c r="M27">
        <f t="shared" si="8"/>
        <v>-203</v>
      </c>
    </row>
    <row r="28" spans="1:31" x14ac:dyDescent="0.35">
      <c r="A28">
        <v>1957</v>
      </c>
      <c r="B28">
        <f>'Granger 1'!B28-'Granger 1'!B27</f>
        <v>7673</v>
      </c>
      <c r="C28">
        <f>'Granger 1'!C28-'Granger 1'!C27</f>
        <v>-58</v>
      </c>
      <c r="E28">
        <f t="shared" si="0"/>
        <v>-17518</v>
      </c>
      <c r="F28">
        <f t="shared" si="1"/>
        <v>12721</v>
      </c>
      <c r="G28">
        <f t="shared" si="2"/>
        <v>-17082</v>
      </c>
      <c r="H28">
        <f t="shared" si="3"/>
        <v>7673</v>
      </c>
      <c r="I28">
        <f t="shared" si="4"/>
        <v>-203</v>
      </c>
      <c r="J28">
        <f t="shared" si="5"/>
        <v>100</v>
      </c>
      <c r="K28">
        <f t="shared" si="6"/>
        <v>0</v>
      </c>
      <c r="L28">
        <f t="shared" si="7"/>
        <v>-58</v>
      </c>
      <c r="M28">
        <f t="shared" si="8"/>
        <v>19</v>
      </c>
    </row>
    <row r="29" spans="1:31" x14ac:dyDescent="0.35">
      <c r="A29">
        <v>1958</v>
      </c>
      <c r="B29">
        <f>'Granger 1'!B29-'Granger 1'!B28</f>
        <v>-17082</v>
      </c>
      <c r="C29">
        <f>'Granger 1'!C29-'Granger 1'!C28</f>
        <v>0</v>
      </c>
      <c r="E29">
        <f t="shared" si="0"/>
        <v>-3402</v>
      </c>
      <c r="F29">
        <f t="shared" si="1"/>
        <v>-17518</v>
      </c>
      <c r="G29">
        <f t="shared" si="2"/>
        <v>12721</v>
      </c>
      <c r="H29">
        <f t="shared" si="3"/>
        <v>-17082</v>
      </c>
      <c r="I29">
        <f t="shared" si="4"/>
        <v>19</v>
      </c>
      <c r="J29">
        <f t="shared" si="5"/>
        <v>-203</v>
      </c>
      <c r="K29">
        <f t="shared" si="6"/>
        <v>100</v>
      </c>
      <c r="L29">
        <f t="shared" si="7"/>
        <v>0</v>
      </c>
      <c r="M29">
        <f t="shared" si="8"/>
        <v>45</v>
      </c>
    </row>
    <row r="30" spans="1:31" x14ac:dyDescent="0.35">
      <c r="A30">
        <v>1959</v>
      </c>
      <c r="B30">
        <f>'Granger 1'!B30-'Granger 1'!B29</f>
        <v>12721</v>
      </c>
      <c r="C30">
        <f>'Granger 1'!C30-'Granger 1'!C29</f>
        <v>100</v>
      </c>
      <c r="E30">
        <f t="shared" si="0"/>
        <v>11310</v>
      </c>
      <c r="F30">
        <f t="shared" si="1"/>
        <v>-3402</v>
      </c>
      <c r="G30">
        <f t="shared" si="2"/>
        <v>-17518</v>
      </c>
      <c r="H30">
        <f t="shared" si="3"/>
        <v>12721</v>
      </c>
      <c r="I30">
        <f t="shared" si="4"/>
        <v>45</v>
      </c>
      <c r="J30">
        <f t="shared" si="5"/>
        <v>19</v>
      </c>
      <c r="K30">
        <f t="shared" si="6"/>
        <v>-203</v>
      </c>
      <c r="L30">
        <f t="shared" si="7"/>
        <v>100</v>
      </c>
      <c r="M30">
        <f t="shared" si="8"/>
        <v>-58</v>
      </c>
    </row>
    <row r="31" spans="1:31" x14ac:dyDescent="0.35">
      <c r="A31">
        <v>1960</v>
      </c>
      <c r="B31">
        <f>'Granger 1'!B31-'Granger 1'!B30</f>
        <v>-17518</v>
      </c>
      <c r="C31">
        <f>'Granger 1'!C31-'Granger 1'!C30</f>
        <v>-203</v>
      </c>
      <c r="E31">
        <f t="shared" si="0"/>
        <v>-1817</v>
      </c>
      <c r="F31">
        <f t="shared" si="1"/>
        <v>11310</v>
      </c>
      <c r="G31">
        <f t="shared" si="2"/>
        <v>-3402</v>
      </c>
      <c r="H31">
        <f t="shared" si="3"/>
        <v>-17518</v>
      </c>
      <c r="I31">
        <f t="shared" si="4"/>
        <v>-58</v>
      </c>
      <c r="J31">
        <f t="shared" si="5"/>
        <v>45</v>
      </c>
      <c r="K31">
        <f t="shared" si="6"/>
        <v>19</v>
      </c>
      <c r="L31">
        <f t="shared" si="7"/>
        <v>-203</v>
      </c>
      <c r="M31">
        <f t="shared" si="8"/>
        <v>90</v>
      </c>
    </row>
    <row r="32" spans="1:31" x14ac:dyDescent="0.35">
      <c r="A32">
        <v>1961</v>
      </c>
      <c r="B32">
        <f>'Granger 1'!B32-'Granger 1'!B31</f>
        <v>-3402</v>
      </c>
      <c r="C32">
        <f>'Granger 1'!C32-'Granger 1'!C31</f>
        <v>19</v>
      </c>
      <c r="E32">
        <f t="shared" si="0"/>
        <v>6687</v>
      </c>
      <c r="F32">
        <f t="shared" si="1"/>
        <v>-1817</v>
      </c>
      <c r="G32">
        <f t="shared" si="2"/>
        <v>11310</v>
      </c>
      <c r="H32">
        <f t="shared" si="3"/>
        <v>-3402</v>
      </c>
      <c r="I32">
        <f t="shared" si="4"/>
        <v>90</v>
      </c>
      <c r="J32">
        <f t="shared" si="5"/>
        <v>-58</v>
      </c>
      <c r="K32">
        <f t="shared" si="6"/>
        <v>45</v>
      </c>
      <c r="L32">
        <f t="shared" si="7"/>
        <v>19</v>
      </c>
      <c r="M32">
        <f t="shared" si="8"/>
        <v>39</v>
      </c>
    </row>
    <row r="33" spans="1:13" x14ac:dyDescent="0.35">
      <c r="A33">
        <v>1962</v>
      </c>
      <c r="B33">
        <f>'Granger 1'!B33-'Granger 1'!B32</f>
        <v>11310</v>
      </c>
      <c r="C33">
        <f>'Granger 1'!C33-'Granger 1'!C32</f>
        <v>45</v>
      </c>
      <c r="E33">
        <f t="shared" si="0"/>
        <v>11856</v>
      </c>
      <c r="F33">
        <f t="shared" si="1"/>
        <v>6687</v>
      </c>
      <c r="G33">
        <f t="shared" si="2"/>
        <v>-1817</v>
      </c>
      <c r="H33">
        <f t="shared" si="3"/>
        <v>11310</v>
      </c>
      <c r="I33">
        <f t="shared" si="4"/>
        <v>39</v>
      </c>
      <c r="J33">
        <f t="shared" si="5"/>
        <v>90</v>
      </c>
      <c r="K33">
        <f t="shared" si="6"/>
        <v>-58</v>
      </c>
      <c r="L33">
        <f t="shared" si="7"/>
        <v>45</v>
      </c>
      <c r="M33">
        <f t="shared" si="8"/>
        <v>66</v>
      </c>
    </row>
    <row r="34" spans="1:13" x14ac:dyDescent="0.35">
      <c r="A34">
        <v>1963</v>
      </c>
      <c r="B34">
        <f>'Granger 1'!B34-'Granger 1'!B33</f>
        <v>-1817</v>
      </c>
      <c r="C34">
        <f>'Granger 1'!C34-'Granger 1'!C33</f>
        <v>-58</v>
      </c>
      <c r="E34">
        <f t="shared" si="0"/>
        <v>-1099</v>
      </c>
      <c r="F34">
        <f t="shared" si="1"/>
        <v>11856</v>
      </c>
      <c r="G34">
        <f t="shared" si="2"/>
        <v>6687</v>
      </c>
      <c r="H34">
        <f t="shared" si="3"/>
        <v>-1817</v>
      </c>
      <c r="I34">
        <f t="shared" si="4"/>
        <v>66</v>
      </c>
      <c r="J34">
        <f t="shared" si="5"/>
        <v>39</v>
      </c>
      <c r="K34">
        <f t="shared" si="6"/>
        <v>90</v>
      </c>
      <c r="L34">
        <f t="shared" si="7"/>
        <v>-58</v>
      </c>
      <c r="M34">
        <f t="shared" si="8"/>
        <v>296</v>
      </c>
    </row>
    <row r="35" spans="1:13" x14ac:dyDescent="0.35">
      <c r="A35">
        <v>1964</v>
      </c>
      <c r="B35">
        <f>'Granger 1'!B35-'Granger 1'!B34</f>
        <v>6687</v>
      </c>
      <c r="C35">
        <f>'Granger 1'!C35-'Granger 1'!C34</f>
        <v>90</v>
      </c>
      <c r="E35">
        <f t="shared" si="0"/>
        <v>35727</v>
      </c>
      <c r="F35">
        <f t="shared" si="1"/>
        <v>-1099</v>
      </c>
      <c r="G35">
        <f t="shared" si="2"/>
        <v>11856</v>
      </c>
      <c r="H35">
        <f t="shared" si="3"/>
        <v>6687</v>
      </c>
      <c r="I35">
        <f t="shared" si="4"/>
        <v>296</v>
      </c>
      <c r="J35">
        <f t="shared" si="5"/>
        <v>66</v>
      </c>
      <c r="K35">
        <f t="shared" si="6"/>
        <v>39</v>
      </c>
      <c r="L35">
        <f t="shared" si="7"/>
        <v>90</v>
      </c>
      <c r="M35">
        <f t="shared" si="8"/>
        <v>-59</v>
      </c>
    </row>
    <row r="36" spans="1:13" x14ac:dyDescent="0.35">
      <c r="A36">
        <v>1965</v>
      </c>
      <c r="B36">
        <f>'Granger 1'!B36-'Granger 1'!B35</f>
        <v>11856</v>
      </c>
      <c r="C36">
        <f>'Granger 1'!C36-'Granger 1'!C35</f>
        <v>39</v>
      </c>
      <c r="E36">
        <f t="shared" si="0"/>
        <v>-3588</v>
      </c>
      <c r="F36">
        <f t="shared" si="1"/>
        <v>35727</v>
      </c>
      <c r="G36">
        <f t="shared" si="2"/>
        <v>-1099</v>
      </c>
      <c r="H36">
        <f t="shared" si="3"/>
        <v>11856</v>
      </c>
      <c r="I36">
        <f t="shared" si="4"/>
        <v>-59</v>
      </c>
      <c r="J36">
        <f t="shared" si="5"/>
        <v>296</v>
      </c>
      <c r="K36">
        <f t="shared" si="6"/>
        <v>66</v>
      </c>
      <c r="L36">
        <f t="shared" si="7"/>
        <v>39</v>
      </c>
      <c r="M36">
        <f t="shared" si="8"/>
        <v>-148</v>
      </c>
    </row>
    <row r="37" spans="1:13" x14ac:dyDescent="0.35">
      <c r="A37">
        <v>1966</v>
      </c>
      <c r="B37">
        <f>'Granger 1'!B37-'Granger 1'!B36</f>
        <v>-1099</v>
      </c>
      <c r="C37">
        <f>'Granger 1'!C37-'Granger 1'!C36</f>
        <v>66</v>
      </c>
      <c r="E37" s="4">
        <f t="shared" si="0"/>
        <v>-3062</v>
      </c>
      <c r="F37" s="4">
        <f t="shared" si="1"/>
        <v>-3588</v>
      </c>
      <c r="G37" s="4">
        <f t="shared" si="2"/>
        <v>35727</v>
      </c>
      <c r="H37" s="4">
        <f t="shared" si="3"/>
        <v>-1099</v>
      </c>
      <c r="I37" s="4">
        <f t="shared" si="4"/>
        <v>-148</v>
      </c>
      <c r="J37" s="4">
        <f t="shared" si="5"/>
        <v>-59</v>
      </c>
      <c r="K37" s="4">
        <f t="shared" si="6"/>
        <v>296</v>
      </c>
      <c r="L37" s="4">
        <f t="shared" si="7"/>
        <v>66</v>
      </c>
      <c r="M37" s="4">
        <f t="shared" si="8"/>
        <v>75</v>
      </c>
    </row>
    <row r="38" spans="1:13" x14ac:dyDescent="0.35">
      <c r="A38">
        <v>1967</v>
      </c>
      <c r="B38">
        <f>'Granger 1'!B38-'Granger 1'!B37</f>
        <v>35727</v>
      </c>
      <c r="C38">
        <f>'Granger 1'!C38-'Granger 1'!C37</f>
        <v>296</v>
      </c>
    </row>
    <row r="39" spans="1:13" x14ac:dyDescent="0.35">
      <c r="A39">
        <v>1968</v>
      </c>
      <c r="B39">
        <f>'Granger 1'!B39-'Granger 1'!B38</f>
        <v>-3588</v>
      </c>
      <c r="C39">
        <f>'Granger 1'!C39-'Granger 1'!C38</f>
        <v>-59</v>
      </c>
    </row>
    <row r="40" spans="1:13" x14ac:dyDescent="0.35">
      <c r="A40">
        <v>1969</v>
      </c>
      <c r="B40">
        <f>'Granger 1'!B40-'Granger 1'!B39</f>
        <v>-3062</v>
      </c>
      <c r="C40">
        <f>'Granger 1'!C40-'Granger 1'!C39</f>
        <v>-148</v>
      </c>
    </row>
    <row r="41" spans="1:13" x14ac:dyDescent="0.35">
      <c r="A41" s="4">
        <v>1970</v>
      </c>
      <c r="B41" s="4">
        <f>'Granger 1'!B41-'Granger 1'!B40</f>
        <v>11184</v>
      </c>
      <c r="C41" s="4">
        <f>'Granger 1'!C41-'Granger 1'!C40</f>
        <v>75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0"/>
  <dimension ref="A1:T505"/>
  <sheetViews>
    <sheetView workbookViewId="0"/>
  </sheetViews>
  <sheetFormatPr defaultRowHeight="14.5" x14ac:dyDescent="0.35"/>
  <cols>
    <col min="1" max="1" width="11.1796875" customWidth="1"/>
    <col min="2" max="3" width="7.453125" style="21" customWidth="1"/>
    <col min="5" max="5" width="10.26953125" customWidth="1"/>
    <col min="10" max="10" width="4.26953125" customWidth="1"/>
    <col min="11" max="11" width="12" customWidth="1"/>
    <col min="15" max="15" width="6.26953125" customWidth="1"/>
    <col min="16" max="16" width="9.7265625" customWidth="1"/>
    <col min="19" max="19" width="3.1796875" customWidth="1"/>
    <col min="20" max="20" width="33.54296875" customWidth="1"/>
  </cols>
  <sheetData>
    <row r="1" spans="1:20" x14ac:dyDescent="0.35">
      <c r="A1" s="10" t="s">
        <v>75</v>
      </c>
      <c r="B1" s="177" t="s">
        <v>532</v>
      </c>
      <c r="C1" s="177" t="s">
        <v>533</v>
      </c>
      <c r="E1" t="s">
        <v>534</v>
      </c>
      <c r="K1" t="s">
        <v>531</v>
      </c>
      <c r="N1" s="10" t="s">
        <v>580</v>
      </c>
      <c r="Q1" s="137" t="s">
        <v>581</v>
      </c>
      <c r="R1" s="137" t="s">
        <v>582</v>
      </c>
    </row>
    <row r="2" spans="1:20" x14ac:dyDescent="0.35">
      <c r="A2" s="178">
        <v>39815</v>
      </c>
      <c r="B2" s="21">
        <v>46.17</v>
      </c>
      <c r="C2" s="21">
        <v>42.94</v>
      </c>
      <c r="N2">
        <f t="array" ref="N2:N505">C2:C505-TREND(C2:C505,B2:B505)</f>
        <v>-4.0552017370373221</v>
      </c>
      <c r="P2" t="e">
        <f t="array" aca="1" ref="P2:Q9" ca="1">ADFTEST(N2:N505,TRUE,8,,2)</f>
        <v>#NAME?</v>
      </c>
      <c r="Q2" s="219" t="e">
        <f ca="1"/>
        <v>#NAME?</v>
      </c>
      <c r="R2" s="220" t="e">
        <f ca="1">Q2</f>
        <v>#NAME?</v>
      </c>
      <c r="T2" t="e" cm="1">
        <f t="array" aca="1" ref="T2" ca="1">FTEXT(R2)</f>
        <v>#NAME?</v>
      </c>
    </row>
    <row r="3" spans="1:20" x14ac:dyDescent="0.35">
      <c r="A3" s="178">
        <v>39818</v>
      </c>
      <c r="B3" s="21">
        <v>48.61</v>
      </c>
      <c r="C3" s="21">
        <v>45.84</v>
      </c>
      <c r="F3" s="1" t="s">
        <v>535</v>
      </c>
      <c r="G3" s="1" t="s">
        <v>536</v>
      </c>
      <c r="H3" s="1" t="s">
        <v>537</v>
      </c>
      <c r="I3" s="1" t="s">
        <v>538</v>
      </c>
      <c r="K3" t="s">
        <v>10</v>
      </c>
      <c r="L3" s="151">
        <v>0.05</v>
      </c>
      <c r="N3">
        <v>-3.5092885112511709</v>
      </c>
      <c r="P3" t="e">
        <f ca="1"/>
        <v>#NAME?</v>
      </c>
      <c r="Q3" s="29" t="e">
        <f ca="1"/>
        <v>#NAME?</v>
      </c>
      <c r="R3" s="30" t="e" cm="1">
        <f t="array" aca="1" ref="R3" ca="1">EGCRIT(COUNT(N2:N505),L3,TRUE)</f>
        <v>#NAME?</v>
      </c>
      <c r="T3" t="e" cm="1">
        <f t="array" aca="1" ref="T3" ca="1">FTEXT(R3)</f>
        <v>#NAME?</v>
      </c>
    </row>
    <row r="4" spans="1:20" x14ac:dyDescent="0.35">
      <c r="A4" s="178">
        <v>39819</v>
      </c>
      <c r="B4" s="21">
        <v>48.56</v>
      </c>
      <c r="C4" s="21">
        <v>48.89</v>
      </c>
      <c r="E4" t="e">
        <f t="array" aca="1" ref="E4:F11" ca="1">ADFTEST(B2:B505,TRUE,L5,L6,L4,L3)</f>
        <v>#NAME?</v>
      </c>
      <c r="F4" s="179" t="e">
        <f ca="1"/>
        <v>#NAME?</v>
      </c>
      <c r="G4" s="182" t="e">
        <f t="array" aca="1" ref="G4:G11" ca="1">ADFTEST(C2:C505,,L5,L6,L4,L3)</f>
        <v>#NAME?</v>
      </c>
      <c r="H4" s="182" t="e">
        <f t="array" aca="1" ref="H4:H11" ca="1">ADFTEST(ADIFF(B2:B505),,L5,L6,L4,L3)</f>
        <v>#NAME?</v>
      </c>
      <c r="I4" s="184" t="e">
        <f t="array" aca="1" ref="I4:I11" ca="1">ADFTEST(ADIFF(C2:C505),,L5,L6,L4,L3)</f>
        <v>#NAME?</v>
      </c>
      <c r="K4" t="s">
        <v>539</v>
      </c>
      <c r="L4" s="107">
        <v>2</v>
      </c>
      <c r="N4">
        <v>-0.41104902817302502</v>
      </c>
      <c r="P4" t="e">
        <f ca="1"/>
        <v>#NAME?</v>
      </c>
      <c r="Q4" s="225" t="e">
        <f ca="1"/>
        <v>#NAME?</v>
      </c>
      <c r="R4" s="227" t="e">
        <f ca="1">IF(R2&lt;R3,"yes","no")</f>
        <v>#NAME?</v>
      </c>
      <c r="T4" t="e" cm="1">
        <f t="array" aca="1" ref="T4" ca="1">FTEXT(R4)</f>
        <v>#NAME?</v>
      </c>
    </row>
    <row r="5" spans="1:20" x14ac:dyDescent="0.35">
      <c r="A5" s="178">
        <v>39820</v>
      </c>
      <c r="B5" s="21">
        <v>42.75</v>
      </c>
      <c r="C5" s="21">
        <v>46.23</v>
      </c>
      <c r="E5" t="e">
        <f ca="1"/>
        <v>#NAME?</v>
      </c>
      <c r="F5" s="165" t="e">
        <f ca="1"/>
        <v>#NAME?</v>
      </c>
      <c r="G5" s="13" t="e">
        <f ca="1"/>
        <v>#NAME?</v>
      </c>
      <c r="H5" s="13" t="e">
        <f ca="1"/>
        <v>#NAME?</v>
      </c>
      <c r="I5" s="168" t="e">
        <f ca="1"/>
        <v>#NAME?</v>
      </c>
      <c r="K5" t="s">
        <v>472</v>
      </c>
      <c r="L5" s="107">
        <v>8</v>
      </c>
      <c r="N5">
        <v>2.5343789055083406</v>
      </c>
      <c r="P5" t="e">
        <f ca="1"/>
        <v>#NAME?</v>
      </c>
      <c r="Q5" s="29" t="e">
        <f ca="1"/>
        <v>#NAME?</v>
      </c>
      <c r="R5" s="30"/>
      <c r="T5" t="e" cm="1">
        <f t="array" aca="1" ref="T5" ca="1">FTEXT(R5)</f>
        <v>#NAME?</v>
      </c>
    </row>
    <row r="6" spans="1:20" x14ac:dyDescent="0.35">
      <c r="A6" s="178">
        <v>39821</v>
      </c>
      <c r="B6" s="21">
        <v>41.68</v>
      </c>
      <c r="C6" s="21">
        <v>42.94</v>
      </c>
      <c r="E6" t="e">
        <f ca="1"/>
        <v>#NAME?</v>
      </c>
      <c r="F6" s="180" t="e">
        <f ca="1"/>
        <v>#NAME?</v>
      </c>
      <c r="G6" s="129" t="e">
        <f ca="1"/>
        <v>#NAME?</v>
      </c>
      <c r="H6" s="129" t="e">
        <f ca="1"/>
        <v>#NAME?</v>
      </c>
      <c r="I6" s="185" t="e">
        <f ca="1"/>
        <v>#NAME?</v>
      </c>
      <c r="K6" s="37" t="s">
        <v>300</v>
      </c>
      <c r="L6" s="187" t="s">
        <v>419</v>
      </c>
      <c r="N6">
        <v>0.27670384338081533</v>
      </c>
      <c r="P6" t="e">
        <f ca="1"/>
        <v>#NAME?</v>
      </c>
      <c r="Q6" s="29" t="e">
        <f ca="1"/>
        <v>#NAME?</v>
      </c>
      <c r="R6" s="30"/>
      <c r="T6" t="e" cm="1">
        <f t="array" aca="1" ref="T6" ca="1">FTEXT(R6)</f>
        <v>#NAME?</v>
      </c>
    </row>
    <row r="7" spans="1:20" x14ac:dyDescent="0.35">
      <c r="A7" s="178">
        <v>39822</v>
      </c>
      <c r="B7" s="21">
        <v>40.69</v>
      </c>
      <c r="C7" s="21">
        <v>42.34</v>
      </c>
      <c r="E7" t="e">
        <f ca="1"/>
        <v>#NAME?</v>
      </c>
      <c r="F7" s="165" t="e">
        <f ca="1"/>
        <v>#NAME?</v>
      </c>
      <c r="G7" s="13" t="e">
        <f ca="1"/>
        <v>#NAME?</v>
      </c>
      <c r="H7" s="13" t="e">
        <f ca="1"/>
        <v>#NAME?</v>
      </c>
      <c r="I7" s="168" t="e">
        <f ca="1"/>
        <v>#NAME?</v>
      </c>
      <c r="N7">
        <v>0.63184560832825554</v>
      </c>
      <c r="P7" t="e">
        <f ca="1"/>
        <v>#NAME?</v>
      </c>
      <c r="Q7" s="29" t="e">
        <f ca="1"/>
        <v>#NAME?</v>
      </c>
      <c r="R7" s="30" t="e">
        <f ca="1">Q7</f>
        <v>#NAME?</v>
      </c>
      <c r="T7" t="e" cm="1">
        <f t="array" aca="1" ref="T7" ca="1">FTEXT(R7)</f>
        <v>#NAME?</v>
      </c>
    </row>
    <row r="8" spans="1:20" x14ac:dyDescent="0.35">
      <c r="A8" s="178">
        <v>39825</v>
      </c>
      <c r="B8" s="21">
        <v>37.65</v>
      </c>
      <c r="C8" s="21">
        <v>40.86</v>
      </c>
      <c r="E8" t="e">
        <f ca="1"/>
        <v>#NAME?</v>
      </c>
      <c r="F8" s="165" t="e">
        <f ca="1"/>
        <v>#NAME?</v>
      </c>
      <c r="G8" s="13" t="e">
        <f ca="1"/>
        <v>#NAME?</v>
      </c>
      <c r="H8" s="13" t="e">
        <f ca="1"/>
        <v>#NAME?</v>
      </c>
      <c r="I8" s="168" t="e">
        <f ca="1"/>
        <v>#NAME?</v>
      </c>
      <c r="K8" t="e">
        <f t="array" aca="1" ref="K8:L12" ca="1">EGTEST(B2:B505,C2:C505,TRUE,L5,L6,L4,L3)</f>
        <v>#NAME?</v>
      </c>
      <c r="L8" s="151" t="e">
        <f ca="1"/>
        <v>#NAME?</v>
      </c>
      <c r="N8">
        <v>2.0848061794799477</v>
      </c>
      <c r="P8" t="e">
        <f ca="1"/>
        <v>#NAME?</v>
      </c>
      <c r="Q8" s="29" t="e">
        <f ca="1"/>
        <v>#NAME?</v>
      </c>
      <c r="R8" s="30"/>
      <c r="T8" t="e" cm="1">
        <f t="array" aca="1" ref="T8" ca="1">FTEXT(R8)</f>
        <v>#NAME?</v>
      </c>
    </row>
    <row r="9" spans="1:20" x14ac:dyDescent="0.35">
      <c r="A9" s="178">
        <v>39826</v>
      </c>
      <c r="B9" s="21">
        <v>37.770000000000003</v>
      </c>
      <c r="C9" s="21">
        <v>43.05</v>
      </c>
      <c r="E9" t="e">
        <f ca="1"/>
        <v>#NAME?</v>
      </c>
      <c r="F9" s="165" t="e">
        <f ca="1"/>
        <v>#NAME?</v>
      </c>
      <c r="G9" s="13" t="e">
        <f ca="1"/>
        <v>#NAME?</v>
      </c>
      <c r="H9" s="13" t="e">
        <f ca="1"/>
        <v>#NAME?</v>
      </c>
      <c r="I9" s="168" t="e">
        <f ca="1"/>
        <v>#NAME?</v>
      </c>
      <c r="K9" t="e">
        <f ca="1"/>
        <v>#NAME?</v>
      </c>
      <c r="L9" s="107" t="e">
        <f ca="1"/>
        <v>#NAME?</v>
      </c>
      <c r="N9">
        <v>4.1590314200923757</v>
      </c>
      <c r="P9" t="e">
        <f ca="1"/>
        <v>#NAME?</v>
      </c>
      <c r="Q9" s="226" t="e">
        <f ca="1"/>
        <v>#NAME?</v>
      </c>
      <c r="R9" s="32" t="e" cm="1">
        <f t="array" aca="1" ref="R9" ca="1">EGPROB(R2,COUNT(N2:N505),TRUE)</f>
        <v>#NAME?</v>
      </c>
      <c r="T9" t="e" cm="1">
        <f t="array" aca="1" ref="T9" ca="1">FTEXT(R9)</f>
        <v>#NAME?</v>
      </c>
    </row>
    <row r="10" spans="1:20" x14ac:dyDescent="0.35">
      <c r="A10" s="178">
        <v>39827</v>
      </c>
      <c r="B10" s="21">
        <v>37.43</v>
      </c>
      <c r="C10" s="21">
        <v>42.27</v>
      </c>
      <c r="E10" t="e">
        <f ca="1"/>
        <v>#NAME?</v>
      </c>
      <c r="F10" s="165" t="e">
        <f ca="1"/>
        <v>#NAME?</v>
      </c>
      <c r="G10" s="13" t="e">
        <f ca="1"/>
        <v>#NAME?</v>
      </c>
      <c r="H10" s="13" t="e">
        <f ca="1"/>
        <v>#NAME?</v>
      </c>
      <c r="I10" s="168" t="e">
        <f ca="1"/>
        <v>#NAME?</v>
      </c>
      <c r="K10" t="e">
        <f ca="1"/>
        <v>#NAME?</v>
      </c>
      <c r="L10" s="106" t="e">
        <f ca="1"/>
        <v>#NAME?</v>
      </c>
      <c r="N10">
        <v>3.7070599050238258</v>
      </c>
    </row>
    <row r="11" spans="1:20" x14ac:dyDescent="0.35">
      <c r="A11" s="178">
        <v>39828</v>
      </c>
      <c r="B11" s="21">
        <v>35.409999999999997</v>
      </c>
      <c r="C11" s="21">
        <v>42.32</v>
      </c>
      <c r="E11" t="e">
        <f ca="1"/>
        <v>#NAME?</v>
      </c>
      <c r="F11" s="181" t="e">
        <f ca="1"/>
        <v>#NAME?</v>
      </c>
      <c r="G11" s="183" t="e">
        <f ca="1"/>
        <v>#NAME?</v>
      </c>
      <c r="H11" s="183" t="e">
        <f ca="1"/>
        <v>#NAME?</v>
      </c>
      <c r="I11" s="186" t="e">
        <f ca="1"/>
        <v>#NAME?</v>
      </c>
      <c r="K11" t="e">
        <f ca="1"/>
        <v>#NAME?</v>
      </c>
      <c r="L11" s="107" t="e">
        <f ca="1"/>
        <v>#NAME?</v>
      </c>
      <c r="N11">
        <v>5.705935021381201</v>
      </c>
    </row>
    <row r="12" spans="1:20" x14ac:dyDescent="0.35">
      <c r="A12" s="178">
        <v>39829</v>
      </c>
      <c r="B12" s="21">
        <v>35.380000000000003</v>
      </c>
      <c r="C12" s="21">
        <v>43.42</v>
      </c>
      <c r="K12" t="e">
        <f ca="1"/>
        <v>#NAME?</v>
      </c>
      <c r="L12" s="187" t="e">
        <f ca="1"/>
        <v>#NAME?</v>
      </c>
      <c r="N12">
        <v>6.834878711228086</v>
      </c>
    </row>
    <row r="13" spans="1:20" x14ac:dyDescent="0.35">
      <c r="A13" s="178">
        <v>39833</v>
      </c>
      <c r="B13" s="21">
        <v>38.57</v>
      </c>
      <c r="C13" s="21">
        <v>41.22</v>
      </c>
      <c r="N13">
        <v>1.5571996908419337</v>
      </c>
    </row>
    <row r="14" spans="1:20" x14ac:dyDescent="0.35">
      <c r="A14" s="178">
        <v>39834</v>
      </c>
      <c r="B14" s="21">
        <v>42.56</v>
      </c>
      <c r="C14" s="21">
        <v>39.9</v>
      </c>
      <c r="N14">
        <v>-3.6123110587946741</v>
      </c>
    </row>
    <row r="15" spans="1:20" x14ac:dyDescent="0.35">
      <c r="A15" s="178">
        <v>39835</v>
      </c>
      <c r="B15" s="21">
        <v>42.33</v>
      </c>
      <c r="C15" s="21">
        <v>42.42</v>
      </c>
      <c r="N15">
        <v>-0.87040943663516401</v>
      </c>
    </row>
    <row r="16" spans="1:20" x14ac:dyDescent="0.35">
      <c r="A16" s="178">
        <v>39836</v>
      </c>
      <c r="B16" s="21">
        <v>45.12</v>
      </c>
      <c r="C16" s="21">
        <v>43.13</v>
      </c>
      <c r="N16">
        <v>-2.8521725923961014</v>
      </c>
    </row>
    <row r="17" spans="1:14" x14ac:dyDescent="0.35">
      <c r="A17" s="178">
        <v>39839</v>
      </c>
      <c r="B17" s="21">
        <v>46.5</v>
      </c>
      <c r="C17" s="21">
        <v>48</v>
      </c>
      <c r="N17">
        <v>0.68641767464687575</v>
      </c>
    </row>
    <row r="18" spans="1:14" x14ac:dyDescent="0.35">
      <c r="A18" s="178">
        <v>39840</v>
      </c>
      <c r="B18" s="21">
        <v>41.67</v>
      </c>
      <c r="C18" s="21">
        <v>42.86</v>
      </c>
      <c r="N18">
        <v>0.20635173999644962</v>
      </c>
    </row>
    <row r="19" spans="1:14" x14ac:dyDescent="0.35">
      <c r="A19" s="178">
        <v>39841</v>
      </c>
      <c r="B19" s="21">
        <v>42.04</v>
      </c>
      <c r="C19" s="21">
        <v>42.86</v>
      </c>
      <c r="N19">
        <v>-0.15062043478188514</v>
      </c>
    </row>
    <row r="20" spans="1:14" x14ac:dyDescent="0.35">
      <c r="A20" s="178">
        <v>39842</v>
      </c>
      <c r="B20" s="21">
        <v>41.58</v>
      </c>
      <c r="C20" s="21">
        <v>43.13</v>
      </c>
      <c r="N20">
        <v>0.56318280953713185</v>
      </c>
    </row>
    <row r="21" spans="1:14" x14ac:dyDescent="0.35">
      <c r="A21" s="178">
        <v>39843</v>
      </c>
      <c r="B21" s="21">
        <v>41.73</v>
      </c>
      <c r="C21" s="21">
        <v>44.17</v>
      </c>
      <c r="N21">
        <v>1.4584643603026706</v>
      </c>
    </row>
    <row r="22" spans="1:14" x14ac:dyDescent="0.35">
      <c r="A22" s="178">
        <v>39846</v>
      </c>
      <c r="B22" s="21">
        <v>41.35</v>
      </c>
      <c r="C22" s="21">
        <v>42.96</v>
      </c>
      <c r="N22">
        <v>0.61508443169662996</v>
      </c>
    </row>
    <row r="23" spans="1:14" x14ac:dyDescent="0.35">
      <c r="A23" s="178">
        <v>39847</v>
      </c>
      <c r="B23" s="21">
        <v>40.869999999999997</v>
      </c>
      <c r="C23" s="21">
        <v>43.15</v>
      </c>
      <c r="N23">
        <v>1.2681834692468996</v>
      </c>
    </row>
    <row r="24" spans="1:14" x14ac:dyDescent="0.35">
      <c r="A24" s="178">
        <v>39848</v>
      </c>
      <c r="B24" s="21">
        <v>40.270000000000003</v>
      </c>
      <c r="C24" s="21">
        <v>43.68</v>
      </c>
      <c r="N24">
        <v>2.3770572661847282</v>
      </c>
    </row>
    <row r="25" spans="1:14" x14ac:dyDescent="0.35">
      <c r="A25" s="178">
        <v>39849</v>
      </c>
      <c r="B25" s="21">
        <v>41.15</v>
      </c>
      <c r="C25" s="21">
        <v>43.92</v>
      </c>
      <c r="N25">
        <v>1.76804236400924</v>
      </c>
    </row>
    <row r="26" spans="1:14" x14ac:dyDescent="0.35">
      <c r="A26" s="178">
        <v>39850</v>
      </c>
      <c r="B26" s="21">
        <v>40.24</v>
      </c>
      <c r="C26" s="21">
        <v>44.49</v>
      </c>
      <c r="N26">
        <v>3.2160009560316212</v>
      </c>
    </row>
    <row r="27" spans="1:14" x14ac:dyDescent="0.35">
      <c r="A27" s="178">
        <v>39853</v>
      </c>
      <c r="B27" s="21">
        <v>39.58</v>
      </c>
      <c r="C27" s="21">
        <v>47.23</v>
      </c>
      <c r="N27">
        <v>6.5927621326632391</v>
      </c>
    </row>
    <row r="28" spans="1:14" x14ac:dyDescent="0.35">
      <c r="A28" s="178">
        <v>39854</v>
      </c>
      <c r="B28" s="21">
        <v>37.54</v>
      </c>
      <c r="C28" s="21">
        <v>45.88</v>
      </c>
      <c r="N28">
        <v>7.210933042251888</v>
      </c>
    </row>
    <row r="29" spans="1:14" x14ac:dyDescent="0.35">
      <c r="A29" s="178">
        <v>39855</v>
      </c>
      <c r="B29" s="21">
        <v>35.93</v>
      </c>
      <c r="C29" s="21">
        <v>44.24</v>
      </c>
      <c r="N29">
        <v>7.1242443973684075</v>
      </c>
    </row>
    <row r="30" spans="1:14" x14ac:dyDescent="0.35">
      <c r="A30" s="178">
        <v>39856</v>
      </c>
      <c r="B30" s="21">
        <v>34.03</v>
      </c>
      <c r="C30" s="21">
        <v>47.23</v>
      </c>
      <c r="N30">
        <v>11.947344754338218</v>
      </c>
    </row>
    <row r="31" spans="1:14" x14ac:dyDescent="0.35">
      <c r="A31" s="178">
        <v>39857</v>
      </c>
      <c r="B31" s="21">
        <v>37.630000000000003</v>
      </c>
      <c r="C31" s="21">
        <v>43.36</v>
      </c>
      <c r="N31">
        <v>4.6041019727112058</v>
      </c>
    </row>
    <row r="32" spans="1:14" x14ac:dyDescent="0.35">
      <c r="A32" s="178">
        <v>39861</v>
      </c>
      <c r="B32" s="21">
        <v>34.96</v>
      </c>
      <c r="C32" s="21">
        <v>39.69</v>
      </c>
      <c r="N32">
        <v>3.5100903690845726</v>
      </c>
    </row>
    <row r="33" spans="1:14" x14ac:dyDescent="0.35">
      <c r="A33" s="178">
        <v>39862</v>
      </c>
      <c r="B33" s="21">
        <v>34.67</v>
      </c>
      <c r="C33" s="21">
        <v>39.409999999999997</v>
      </c>
      <c r="N33">
        <v>3.5098793709378526</v>
      </c>
    </row>
    <row r="34" spans="1:14" x14ac:dyDescent="0.35">
      <c r="A34" s="178">
        <v>39863</v>
      </c>
      <c r="B34" s="21">
        <v>39.6</v>
      </c>
      <c r="C34" s="21">
        <v>42.36</v>
      </c>
      <c r="N34">
        <v>1.7034663394319765</v>
      </c>
    </row>
    <row r="35" spans="1:14" x14ac:dyDescent="0.35">
      <c r="A35" s="178">
        <v>39864</v>
      </c>
      <c r="B35" s="21">
        <v>39.35</v>
      </c>
      <c r="C35" s="21">
        <v>42.19</v>
      </c>
      <c r="N35">
        <v>1.7746637548227397</v>
      </c>
    </row>
    <row r="36" spans="1:14" x14ac:dyDescent="0.35">
      <c r="A36" s="178">
        <v>39867</v>
      </c>
      <c r="B36" s="21">
        <v>37.659999999999997</v>
      </c>
      <c r="C36" s="21">
        <v>41.27</v>
      </c>
      <c r="N36">
        <v>2.4851582828643188</v>
      </c>
    </row>
    <row r="37" spans="1:14" x14ac:dyDescent="0.35">
      <c r="A37" s="178">
        <v>39868</v>
      </c>
      <c r="B37" s="21">
        <v>38.86</v>
      </c>
      <c r="C37" s="21">
        <v>40.18</v>
      </c>
      <c r="N37">
        <v>0.23741068898864626</v>
      </c>
    </row>
    <row r="38" spans="1:14" x14ac:dyDescent="0.35">
      <c r="A38" s="178">
        <v>39869</v>
      </c>
      <c r="B38" s="21">
        <v>41.64</v>
      </c>
      <c r="C38" s="21">
        <v>42.37</v>
      </c>
      <c r="N38">
        <v>-0.2547045701566617</v>
      </c>
    </row>
    <row r="39" spans="1:14" x14ac:dyDescent="0.35">
      <c r="A39" s="178">
        <v>39870</v>
      </c>
      <c r="B39" s="21">
        <v>43.18</v>
      </c>
      <c r="C39" s="21">
        <v>45.15</v>
      </c>
      <c r="N39">
        <v>1.0395193510362262</v>
      </c>
    </row>
    <row r="40" spans="1:14" x14ac:dyDescent="0.35">
      <c r="A40" s="178">
        <v>39871</v>
      </c>
      <c r="B40" s="21">
        <v>44.15</v>
      </c>
      <c r="C40" s="21">
        <v>44.41</v>
      </c>
      <c r="N40">
        <v>-0.63632662067993806</v>
      </c>
    </row>
    <row r="41" spans="1:14" x14ac:dyDescent="0.35">
      <c r="A41" s="178">
        <v>39874</v>
      </c>
      <c r="B41" s="21">
        <v>40.07</v>
      </c>
      <c r="C41" s="21">
        <v>42.6</v>
      </c>
      <c r="N41">
        <v>1.4900151984973462</v>
      </c>
    </row>
    <row r="42" spans="1:14" x14ac:dyDescent="0.35">
      <c r="A42" s="178">
        <v>39875</v>
      </c>
      <c r="B42" s="21">
        <v>41.57</v>
      </c>
      <c r="C42" s="21">
        <v>42.72</v>
      </c>
      <c r="N42">
        <v>0.16283070615275363</v>
      </c>
    </row>
    <row r="43" spans="1:14" x14ac:dyDescent="0.35">
      <c r="A43" s="178">
        <v>39876</v>
      </c>
      <c r="B43" s="21">
        <v>45.28</v>
      </c>
      <c r="C43" s="21">
        <v>46.07</v>
      </c>
      <c r="N43">
        <v>-6.6538938246196722E-2</v>
      </c>
    </row>
    <row r="44" spans="1:14" x14ac:dyDescent="0.35">
      <c r="A44" s="178">
        <v>39877</v>
      </c>
      <c r="B44" s="21">
        <v>43.54</v>
      </c>
      <c r="C44" s="21">
        <v>44.45</v>
      </c>
      <c r="N44">
        <v>-7.8049271264646336E-3</v>
      </c>
    </row>
    <row r="45" spans="1:14" x14ac:dyDescent="0.35">
      <c r="A45" s="178">
        <v>39878</v>
      </c>
      <c r="B45" s="21">
        <v>45.43</v>
      </c>
      <c r="C45" s="21">
        <v>43.48</v>
      </c>
      <c r="N45">
        <v>-2.8012573874806534</v>
      </c>
    </row>
    <row r="46" spans="1:14" x14ac:dyDescent="0.35">
      <c r="A46" s="178">
        <v>39881</v>
      </c>
      <c r="B46" s="21">
        <v>47.01</v>
      </c>
      <c r="C46" s="21">
        <v>44.55</v>
      </c>
      <c r="N46">
        <v>-3.2556250527502826</v>
      </c>
    </row>
    <row r="47" spans="1:14" x14ac:dyDescent="0.35">
      <c r="A47" s="178">
        <v>39882</v>
      </c>
      <c r="B47" s="21">
        <v>45.68</v>
      </c>
      <c r="C47" s="21">
        <v>44.99</v>
      </c>
      <c r="N47">
        <v>-1.5324548028714133</v>
      </c>
    </row>
    <row r="48" spans="1:14" x14ac:dyDescent="0.35">
      <c r="A48" s="178">
        <v>39883</v>
      </c>
      <c r="B48" s="21">
        <v>42.46</v>
      </c>
      <c r="C48" s="21">
        <v>43.2</v>
      </c>
      <c r="N48">
        <v>-0.21583209263836522</v>
      </c>
    </row>
    <row r="49" spans="1:14" x14ac:dyDescent="0.35">
      <c r="A49" s="178">
        <v>39884</v>
      </c>
      <c r="B49" s="21">
        <v>46.91</v>
      </c>
      <c r="C49" s="21">
        <v>42.19</v>
      </c>
      <c r="N49">
        <v>-5.5191460865939774</v>
      </c>
    </row>
    <row r="50" spans="1:14" x14ac:dyDescent="0.35">
      <c r="A50" s="178">
        <v>39885</v>
      </c>
      <c r="B50" s="21">
        <v>46.22</v>
      </c>
      <c r="C50" s="21">
        <v>44.97</v>
      </c>
      <c r="N50">
        <v>-2.0734412201154697</v>
      </c>
    </row>
    <row r="51" spans="1:14" x14ac:dyDescent="0.35">
      <c r="A51" s="178">
        <v>39888</v>
      </c>
      <c r="B51" s="21">
        <v>47.33</v>
      </c>
      <c r="C51" s="21">
        <v>44.12</v>
      </c>
      <c r="N51">
        <v>-3.9943577444504612</v>
      </c>
    </row>
    <row r="52" spans="1:14" x14ac:dyDescent="0.35">
      <c r="A52" s="178">
        <v>39889</v>
      </c>
      <c r="B52" s="21">
        <v>48.97</v>
      </c>
      <c r="C52" s="21">
        <v>45.53</v>
      </c>
      <c r="N52">
        <v>-4.1666127894138754</v>
      </c>
    </row>
    <row r="53" spans="1:14" x14ac:dyDescent="0.35">
      <c r="A53" s="178">
        <v>39890</v>
      </c>
      <c r="B53" s="21">
        <v>48.12</v>
      </c>
      <c r="C53" s="21">
        <v>45.22</v>
      </c>
      <c r="N53">
        <v>-3.656541577085278</v>
      </c>
    </row>
    <row r="54" spans="1:14" x14ac:dyDescent="0.35">
      <c r="A54" s="178">
        <v>39891</v>
      </c>
      <c r="B54" s="21">
        <v>51.46</v>
      </c>
      <c r="C54" s="21">
        <v>48.03</v>
      </c>
      <c r="N54">
        <v>-4.0689390467058928</v>
      </c>
    </row>
    <row r="55" spans="1:14" x14ac:dyDescent="0.35">
      <c r="A55" s="178">
        <v>39892</v>
      </c>
      <c r="B55" s="21">
        <v>51.55</v>
      </c>
      <c r="C55" s="21">
        <v>49.27</v>
      </c>
      <c r="N55">
        <v>-2.9157701162465628</v>
      </c>
    </row>
    <row r="56" spans="1:14" x14ac:dyDescent="0.35">
      <c r="A56" s="178">
        <v>39895</v>
      </c>
      <c r="B56" s="21">
        <v>53.05</v>
      </c>
      <c r="C56" s="21">
        <v>51.84</v>
      </c>
      <c r="N56">
        <v>-1.7929546085911525</v>
      </c>
    </row>
    <row r="57" spans="1:14" x14ac:dyDescent="0.35">
      <c r="A57" s="178">
        <v>39896</v>
      </c>
      <c r="B57" s="21">
        <v>53.36</v>
      </c>
      <c r="C57" s="21">
        <v>51.32</v>
      </c>
      <c r="N57">
        <v>-2.6120394036757091</v>
      </c>
    </row>
    <row r="58" spans="1:14" x14ac:dyDescent="0.35">
      <c r="A58" s="178">
        <v>39897</v>
      </c>
      <c r="B58" s="21">
        <v>52.24</v>
      </c>
      <c r="C58" s="21">
        <v>51.46</v>
      </c>
      <c r="N58">
        <v>-1.3914749827250859</v>
      </c>
    </row>
    <row r="59" spans="1:14" x14ac:dyDescent="0.35">
      <c r="A59" s="178">
        <v>39898</v>
      </c>
      <c r="B59" s="21">
        <v>53.87</v>
      </c>
      <c r="C59" s="21">
        <v>51.89</v>
      </c>
      <c r="N59">
        <v>-2.5340821310728643</v>
      </c>
    </row>
    <row r="60" spans="1:14" x14ac:dyDescent="0.35">
      <c r="A60" s="178">
        <v>39899</v>
      </c>
      <c r="B60" s="21">
        <v>52.41</v>
      </c>
      <c r="C60" s="21">
        <v>50.81</v>
      </c>
      <c r="N60">
        <v>-2.2054892251907958</v>
      </c>
    </row>
    <row r="61" spans="1:14" x14ac:dyDescent="0.35">
      <c r="A61" s="178">
        <v>39902</v>
      </c>
      <c r="B61" s="21">
        <v>48.49</v>
      </c>
      <c r="C61" s="21">
        <v>49.05</v>
      </c>
      <c r="N61">
        <v>-0.18351375186361452</v>
      </c>
    </row>
    <row r="62" spans="1:14" x14ac:dyDescent="0.35">
      <c r="A62" s="178">
        <v>39903</v>
      </c>
      <c r="B62" s="21">
        <v>49.64</v>
      </c>
      <c r="C62" s="21">
        <v>46.13</v>
      </c>
      <c r="N62">
        <v>-4.2130218626611295</v>
      </c>
    </row>
    <row r="63" spans="1:14" x14ac:dyDescent="0.35">
      <c r="A63" s="178">
        <v>39904</v>
      </c>
      <c r="B63" s="21">
        <v>48.46</v>
      </c>
      <c r="C63" s="21">
        <v>45.92</v>
      </c>
      <c r="N63">
        <v>-3.2845700620167193</v>
      </c>
    </row>
    <row r="64" spans="1:14" x14ac:dyDescent="0.35">
      <c r="A64" s="178">
        <v>39905</v>
      </c>
      <c r="B64" s="21">
        <v>52.61</v>
      </c>
      <c r="C64" s="21">
        <v>50.89</v>
      </c>
      <c r="N64">
        <v>-2.3184471575034138</v>
      </c>
    </row>
    <row r="65" spans="1:14" x14ac:dyDescent="0.35">
      <c r="A65" s="178">
        <v>39906</v>
      </c>
      <c r="B65" s="21">
        <v>52.52</v>
      </c>
      <c r="C65" s="21">
        <v>50.48</v>
      </c>
      <c r="N65">
        <v>-2.6416160879627455</v>
      </c>
    </row>
    <row r="66" spans="1:14" x14ac:dyDescent="0.35">
      <c r="A66" s="178">
        <v>39909</v>
      </c>
      <c r="B66" s="21">
        <v>51.1</v>
      </c>
      <c r="C66" s="21">
        <v>50.91</v>
      </c>
      <c r="N66">
        <v>-0.84161476854320227</v>
      </c>
    </row>
    <row r="67" spans="1:14" x14ac:dyDescent="0.35">
      <c r="A67" s="178">
        <v>39910</v>
      </c>
      <c r="B67" s="21">
        <v>49.13</v>
      </c>
      <c r="C67" s="21">
        <v>50.62</v>
      </c>
      <c r="N67">
        <v>0.76902086473602793</v>
      </c>
    </row>
    <row r="68" spans="1:14" x14ac:dyDescent="0.35">
      <c r="A68" s="178">
        <v>39911</v>
      </c>
      <c r="B68" s="21">
        <v>49.37</v>
      </c>
      <c r="C68" s="21">
        <v>52.06</v>
      </c>
      <c r="N68">
        <v>1.9774713459609004</v>
      </c>
    </row>
    <row r="69" spans="1:14" x14ac:dyDescent="0.35">
      <c r="A69" s="178">
        <v>39912</v>
      </c>
      <c r="B69" s="21">
        <v>52.24</v>
      </c>
      <c r="C69" s="21">
        <v>52.33</v>
      </c>
      <c r="N69">
        <v>-0.52147498272508841</v>
      </c>
    </row>
    <row r="70" spans="1:14" x14ac:dyDescent="0.35">
      <c r="A70" s="178">
        <v>39916</v>
      </c>
      <c r="B70" s="21">
        <v>50.22</v>
      </c>
      <c r="C70" s="21">
        <v>50.73</v>
      </c>
      <c r="N70">
        <v>-0.17259986636770464</v>
      </c>
    </row>
    <row r="71" spans="1:14" x14ac:dyDescent="0.35">
      <c r="A71" s="178">
        <v>39917</v>
      </c>
      <c r="B71" s="21">
        <v>49.51</v>
      </c>
      <c r="C71" s="21">
        <v>52.06</v>
      </c>
      <c r="N71">
        <v>1.8424007933420725</v>
      </c>
    </row>
    <row r="72" spans="1:14" x14ac:dyDescent="0.35">
      <c r="A72" s="178">
        <v>39918</v>
      </c>
      <c r="B72" s="21">
        <v>49.26</v>
      </c>
      <c r="C72" s="21">
        <v>51.31</v>
      </c>
      <c r="N72">
        <v>1.3335982087328375</v>
      </c>
    </row>
    <row r="73" spans="1:14" x14ac:dyDescent="0.35">
      <c r="A73" s="178">
        <v>39919</v>
      </c>
      <c r="B73" s="21">
        <v>49.97</v>
      </c>
      <c r="C73" s="21">
        <v>51.83</v>
      </c>
      <c r="N73">
        <v>1.1685975490230618</v>
      </c>
    </row>
    <row r="74" spans="1:14" x14ac:dyDescent="0.35">
      <c r="A74" s="178">
        <v>39920</v>
      </c>
      <c r="B74" s="21">
        <v>50.36</v>
      </c>
      <c r="C74" s="21">
        <v>52.02</v>
      </c>
      <c r="N74">
        <v>0.98232958101347378</v>
      </c>
    </row>
    <row r="75" spans="1:14" x14ac:dyDescent="0.35">
      <c r="A75" s="178">
        <v>39923</v>
      </c>
      <c r="B75" s="21">
        <v>45.82</v>
      </c>
      <c r="C75" s="21">
        <v>49.06</v>
      </c>
      <c r="N75">
        <v>2.4024746445097591</v>
      </c>
    </row>
    <row r="76" spans="1:14" x14ac:dyDescent="0.35">
      <c r="A76" s="178">
        <v>39924</v>
      </c>
      <c r="B76" s="21">
        <v>46.65</v>
      </c>
      <c r="C76" s="21">
        <v>48.69</v>
      </c>
      <c r="N76">
        <v>1.2316992254124131</v>
      </c>
    </row>
    <row r="77" spans="1:14" x14ac:dyDescent="0.35">
      <c r="A77" s="178">
        <v>39925</v>
      </c>
      <c r="B77" s="21">
        <v>47.41</v>
      </c>
      <c r="C77" s="21">
        <v>48.5</v>
      </c>
      <c r="N77">
        <v>0.30845908262449484</v>
      </c>
    </row>
    <row r="78" spans="1:14" x14ac:dyDescent="0.35">
      <c r="A78" s="178">
        <v>39926</v>
      </c>
      <c r="B78" s="21">
        <v>48.46</v>
      </c>
      <c r="C78" s="21">
        <v>48.29</v>
      </c>
      <c r="N78">
        <v>-0.91457006201672186</v>
      </c>
    </row>
    <row r="79" spans="1:14" x14ac:dyDescent="0.35">
      <c r="A79" s="178">
        <v>39927</v>
      </c>
      <c r="B79" s="21">
        <v>50.65</v>
      </c>
      <c r="C79" s="21">
        <v>50.29</v>
      </c>
      <c r="N79">
        <v>-1.0274594208398184</v>
      </c>
    </row>
    <row r="80" spans="1:14" x14ac:dyDescent="0.35">
      <c r="A80" s="178">
        <v>39930</v>
      </c>
      <c r="B80" s="21">
        <v>49.29</v>
      </c>
      <c r="C80" s="21">
        <v>48.67</v>
      </c>
      <c r="N80">
        <v>-1.3353454811140537</v>
      </c>
    </row>
    <row r="81" spans="1:14" x14ac:dyDescent="0.35">
      <c r="A81" s="178">
        <v>39931</v>
      </c>
      <c r="B81" s="21">
        <v>49.01</v>
      </c>
      <c r="C81" s="21">
        <v>48.64</v>
      </c>
      <c r="N81">
        <v>-1.0952043758763992</v>
      </c>
    </row>
    <row r="82" spans="1:14" x14ac:dyDescent="0.35">
      <c r="A82" s="178">
        <v>39932</v>
      </c>
      <c r="B82" s="21">
        <v>50.19</v>
      </c>
      <c r="C82" s="21">
        <v>50.22</v>
      </c>
      <c r="N82">
        <v>-0.65365617652081198</v>
      </c>
    </row>
    <row r="83" spans="1:14" x14ac:dyDescent="0.35">
      <c r="A83" s="178">
        <v>39933</v>
      </c>
      <c r="B83" s="21">
        <v>50.35</v>
      </c>
      <c r="C83" s="21">
        <v>50.3</v>
      </c>
      <c r="N83">
        <v>-0.7280225223709067</v>
      </c>
    </row>
    <row r="84" spans="1:14" x14ac:dyDescent="0.35">
      <c r="A84" s="178">
        <v>39934</v>
      </c>
      <c r="B84" s="21">
        <v>52.18</v>
      </c>
      <c r="C84" s="21">
        <v>51.75</v>
      </c>
      <c r="N84">
        <v>-1.0435876030312983</v>
      </c>
    </row>
    <row r="85" spans="1:14" x14ac:dyDescent="0.35">
      <c r="A85" s="178">
        <v>39937</v>
      </c>
      <c r="B85" s="21">
        <v>54.45</v>
      </c>
      <c r="C85" s="21">
        <v>53.26</v>
      </c>
      <c r="N85">
        <v>-1.7236601347794434</v>
      </c>
    </row>
    <row r="86" spans="1:14" x14ac:dyDescent="0.35">
      <c r="A86" s="178">
        <v>39938</v>
      </c>
      <c r="B86" s="21">
        <v>53.81</v>
      </c>
      <c r="C86" s="21">
        <v>53.16</v>
      </c>
      <c r="N86">
        <v>-1.2061947513790869</v>
      </c>
    </row>
    <row r="87" spans="1:14" x14ac:dyDescent="0.35">
      <c r="A87" s="178">
        <v>39939</v>
      </c>
      <c r="B87" s="21">
        <v>56.29</v>
      </c>
      <c r="C87" s="21">
        <v>55.07</v>
      </c>
      <c r="N87">
        <v>-1.6888731120554681</v>
      </c>
    </row>
    <row r="88" spans="1:14" x14ac:dyDescent="0.35">
      <c r="A88" s="178">
        <v>39940</v>
      </c>
      <c r="B88" s="21">
        <v>56.67</v>
      </c>
      <c r="C88" s="21">
        <v>56.63</v>
      </c>
      <c r="N88">
        <v>-0.49549318344943316</v>
      </c>
    </row>
    <row r="89" spans="1:14" x14ac:dyDescent="0.35">
      <c r="A89" s="178">
        <v>39941</v>
      </c>
      <c r="B89" s="21">
        <v>58.58</v>
      </c>
      <c r="C89" s="21">
        <v>56.02</v>
      </c>
      <c r="N89">
        <v>-2.9482414370348664</v>
      </c>
    </row>
    <row r="90" spans="1:14" x14ac:dyDescent="0.35">
      <c r="A90" s="178">
        <v>39944</v>
      </c>
      <c r="B90" s="21">
        <v>57.79</v>
      </c>
      <c r="C90" s="21">
        <v>55.99</v>
      </c>
      <c r="N90">
        <v>-2.2160576044000564</v>
      </c>
    </row>
    <row r="91" spans="1:14" x14ac:dyDescent="0.35">
      <c r="A91" s="178">
        <v>39945</v>
      </c>
      <c r="B91" s="21">
        <v>58.81</v>
      </c>
      <c r="C91" s="21">
        <v>56.52</v>
      </c>
      <c r="N91">
        <v>-2.6701430591943804</v>
      </c>
    </row>
    <row r="92" spans="1:14" x14ac:dyDescent="0.35">
      <c r="A92" s="178">
        <v>39946</v>
      </c>
      <c r="B92" s="21">
        <v>58</v>
      </c>
      <c r="C92" s="21">
        <v>56.84</v>
      </c>
      <c r="N92">
        <v>-1.5686634333282967</v>
      </c>
    </row>
    <row r="93" spans="1:14" x14ac:dyDescent="0.35">
      <c r="A93" s="178">
        <v>39947</v>
      </c>
      <c r="B93" s="21">
        <v>58.58</v>
      </c>
      <c r="C93" s="21">
        <v>56.25</v>
      </c>
      <c r="N93">
        <v>-2.7182414370348695</v>
      </c>
    </row>
    <row r="94" spans="1:14" x14ac:dyDescent="0.35">
      <c r="A94" s="178">
        <v>39948</v>
      </c>
      <c r="B94" s="21">
        <v>56.52</v>
      </c>
      <c r="C94" s="21">
        <v>56.33</v>
      </c>
      <c r="N94">
        <v>-0.650774734214977</v>
      </c>
    </row>
    <row r="95" spans="1:14" x14ac:dyDescent="0.35">
      <c r="A95" s="178">
        <v>39951</v>
      </c>
      <c r="B95" s="21">
        <v>58.99</v>
      </c>
      <c r="C95" s="21">
        <v>56.51</v>
      </c>
      <c r="N95">
        <v>-2.8538051982757295</v>
      </c>
    </row>
    <row r="96" spans="1:14" x14ac:dyDescent="0.35">
      <c r="A96" s="178">
        <v>39952</v>
      </c>
      <c r="B96" s="21">
        <v>59.52</v>
      </c>
      <c r="C96" s="21">
        <v>57.12</v>
      </c>
      <c r="N96">
        <v>-2.7551437189041579</v>
      </c>
    </row>
    <row r="97" spans="1:14" x14ac:dyDescent="0.35">
      <c r="A97" s="178">
        <v>39953</v>
      </c>
      <c r="B97" s="21">
        <v>61.45</v>
      </c>
      <c r="C97" s="21">
        <v>59.1</v>
      </c>
      <c r="N97">
        <v>-2.6371877657208529</v>
      </c>
    </row>
    <row r="98" spans="1:14" x14ac:dyDescent="0.35">
      <c r="A98" s="178">
        <v>39954</v>
      </c>
      <c r="B98" s="21">
        <v>60.49</v>
      </c>
      <c r="C98" s="21">
        <v>58.02</v>
      </c>
      <c r="N98">
        <v>-2.7909896906203144</v>
      </c>
    </row>
    <row r="99" spans="1:14" x14ac:dyDescent="0.35">
      <c r="A99" s="178">
        <v>39955</v>
      </c>
      <c r="B99" s="21">
        <v>61.15</v>
      </c>
      <c r="C99" s="21">
        <v>58.7</v>
      </c>
      <c r="N99">
        <v>-2.7477508672519306</v>
      </c>
    </row>
    <row r="100" spans="1:14" x14ac:dyDescent="0.35">
      <c r="A100" s="178">
        <v>39959</v>
      </c>
      <c r="B100" s="21">
        <v>62.48</v>
      </c>
      <c r="C100" s="21">
        <v>59.05</v>
      </c>
      <c r="N100">
        <v>-3.6809211171308007</v>
      </c>
    </row>
    <row r="101" spans="1:14" x14ac:dyDescent="0.35">
      <c r="A101" s="178">
        <v>39960</v>
      </c>
      <c r="B101" s="21">
        <v>63.41</v>
      </c>
      <c r="C101" s="21">
        <v>61.28</v>
      </c>
      <c r="N101">
        <v>-2.3481755023844428</v>
      </c>
    </row>
    <row r="102" spans="1:14" x14ac:dyDescent="0.35">
      <c r="A102" s="178">
        <v>39961</v>
      </c>
      <c r="B102" s="21">
        <v>65.09</v>
      </c>
      <c r="C102" s="21">
        <v>63.47</v>
      </c>
      <c r="N102">
        <v>-1.7790221338104004</v>
      </c>
    </row>
    <row r="103" spans="1:14" x14ac:dyDescent="0.35">
      <c r="A103" s="178">
        <v>39962</v>
      </c>
      <c r="B103" s="21">
        <v>66.31</v>
      </c>
      <c r="C103" s="21">
        <v>64.98</v>
      </c>
      <c r="N103">
        <v>-1.4460655209173154</v>
      </c>
    </row>
    <row r="104" spans="1:14" x14ac:dyDescent="0.35">
      <c r="A104" s="178">
        <v>39965</v>
      </c>
      <c r="B104" s="21">
        <v>68.59</v>
      </c>
      <c r="C104" s="21">
        <v>66.599999999999994</v>
      </c>
      <c r="N104">
        <v>-2.0257859492811008</v>
      </c>
    </row>
    <row r="105" spans="1:14" x14ac:dyDescent="0.35">
      <c r="A105" s="178">
        <v>39966</v>
      </c>
      <c r="B105" s="21">
        <v>68.58</v>
      </c>
      <c r="C105" s="21">
        <v>67.67</v>
      </c>
      <c r="N105">
        <v>-0.9461380526654608</v>
      </c>
    </row>
    <row r="106" spans="1:14" x14ac:dyDescent="0.35">
      <c r="A106" s="178">
        <v>39967</v>
      </c>
      <c r="B106" s="21">
        <v>66.14</v>
      </c>
      <c r="C106" s="21">
        <v>66.150000000000006</v>
      </c>
      <c r="N106">
        <v>-0.11205127845158813</v>
      </c>
    </row>
    <row r="107" spans="1:14" x14ac:dyDescent="0.35">
      <c r="A107" s="178">
        <v>39968</v>
      </c>
      <c r="B107" s="21">
        <v>68.8</v>
      </c>
      <c r="C107" s="21">
        <v>67.680000000000007</v>
      </c>
      <c r="N107">
        <v>-1.14839177820933</v>
      </c>
    </row>
    <row r="108" spans="1:14" x14ac:dyDescent="0.35">
      <c r="A108" s="178">
        <v>39969</v>
      </c>
      <c r="B108" s="21">
        <v>68.430000000000007</v>
      </c>
      <c r="C108" s="21">
        <v>67.77</v>
      </c>
      <c r="N108">
        <v>-0.70141960343102028</v>
      </c>
    </row>
    <row r="109" spans="1:14" x14ac:dyDescent="0.35">
      <c r="A109" s="178">
        <v>39972</v>
      </c>
      <c r="B109" s="21">
        <v>68.05</v>
      </c>
      <c r="C109" s="21">
        <v>67.61</v>
      </c>
      <c r="N109">
        <v>-0.49479953203703531</v>
      </c>
    </row>
    <row r="110" spans="1:14" x14ac:dyDescent="0.35">
      <c r="A110" s="178">
        <v>39973</v>
      </c>
      <c r="B110" s="21">
        <v>70.02</v>
      </c>
      <c r="C110" s="21">
        <v>68.94</v>
      </c>
      <c r="N110">
        <v>-1.0654351653162593</v>
      </c>
    </row>
    <row r="111" spans="1:14" x14ac:dyDescent="0.35">
      <c r="A111" s="178">
        <v>39974</v>
      </c>
      <c r="B111" s="21">
        <v>71.38</v>
      </c>
      <c r="C111" s="21">
        <v>70.52</v>
      </c>
      <c r="N111">
        <v>-0.79754910504202314</v>
      </c>
    </row>
    <row r="112" spans="1:14" x14ac:dyDescent="0.35">
      <c r="A112" s="178">
        <v>39975</v>
      </c>
      <c r="B112" s="21">
        <v>72.69</v>
      </c>
      <c r="C112" s="21">
        <v>71.709999999999994</v>
      </c>
      <c r="N112">
        <v>-0.87142356168963886</v>
      </c>
    </row>
    <row r="113" spans="1:14" x14ac:dyDescent="0.35">
      <c r="A113" s="178">
        <v>39976</v>
      </c>
      <c r="B113" s="21">
        <v>72.13</v>
      </c>
      <c r="C113" s="21">
        <v>70.62</v>
      </c>
      <c r="N113">
        <v>-1.4211413512143167</v>
      </c>
    </row>
    <row r="114" spans="1:14" x14ac:dyDescent="0.35">
      <c r="A114" s="178">
        <v>39979</v>
      </c>
      <c r="B114" s="21">
        <v>70.540000000000006</v>
      </c>
      <c r="C114" s="21">
        <v>68.489999999999995</v>
      </c>
      <c r="N114">
        <v>-2.0171257893290715</v>
      </c>
    </row>
    <row r="115" spans="1:14" x14ac:dyDescent="0.35">
      <c r="A115" s="178">
        <v>39980</v>
      </c>
      <c r="B115" s="21">
        <v>70.47</v>
      </c>
      <c r="C115" s="21">
        <v>70.52</v>
      </c>
      <c r="N115">
        <v>8.0409486980357769E-2</v>
      </c>
    </row>
    <row r="116" spans="1:14" x14ac:dyDescent="0.35">
      <c r="A116" s="178">
        <v>39981</v>
      </c>
      <c r="B116" s="21">
        <v>71.069999999999993</v>
      </c>
      <c r="C116" s="21">
        <v>68.95</v>
      </c>
      <c r="N116">
        <v>-2.0684643099574629</v>
      </c>
    </row>
    <row r="117" spans="1:14" x14ac:dyDescent="0.35">
      <c r="A117" s="178">
        <v>39982</v>
      </c>
      <c r="B117" s="21">
        <v>71.42</v>
      </c>
      <c r="C117" s="21">
        <v>69.959999999999994</v>
      </c>
      <c r="N117">
        <v>-1.3961406915045558</v>
      </c>
    </row>
    <row r="118" spans="1:14" x14ac:dyDescent="0.35">
      <c r="A118" s="178">
        <v>39983</v>
      </c>
      <c r="B118" s="21">
        <v>69.599999999999994</v>
      </c>
      <c r="C118" s="21">
        <v>70.48</v>
      </c>
      <c r="N118">
        <v>0.87977649254023049</v>
      </c>
    </row>
    <row r="119" spans="1:14" x14ac:dyDescent="0.35">
      <c r="A119" s="178">
        <v>39986</v>
      </c>
      <c r="B119" s="21">
        <v>67.09</v>
      </c>
      <c r="C119" s="21">
        <v>66.13</v>
      </c>
      <c r="N119">
        <v>-1.0486014569365096</v>
      </c>
    </row>
    <row r="120" spans="1:14" x14ac:dyDescent="0.35">
      <c r="A120" s="178">
        <v>39987</v>
      </c>
      <c r="B120" s="21">
        <v>68.81</v>
      </c>
      <c r="C120" s="21">
        <v>66.36</v>
      </c>
      <c r="N120">
        <v>-2.47803967482497</v>
      </c>
    </row>
    <row r="121" spans="1:14" x14ac:dyDescent="0.35">
      <c r="A121" s="178">
        <v>39988</v>
      </c>
      <c r="B121" s="21">
        <v>68.14</v>
      </c>
      <c r="C121" s="21">
        <v>68.47</v>
      </c>
      <c r="N121">
        <v>0.27836939842228503</v>
      </c>
    </row>
    <row r="122" spans="1:14" x14ac:dyDescent="0.35">
      <c r="A122" s="178">
        <v>39989</v>
      </c>
      <c r="B122" s="21">
        <v>69.7</v>
      </c>
      <c r="C122" s="21">
        <v>68.819999999999993</v>
      </c>
      <c r="N122">
        <v>-0.87670247361609199</v>
      </c>
    </row>
    <row r="123" spans="1:14" x14ac:dyDescent="0.35">
      <c r="A123" s="178">
        <v>39990</v>
      </c>
      <c r="B123" s="21">
        <v>69.16</v>
      </c>
      <c r="C123" s="21">
        <v>68.099999999999994</v>
      </c>
      <c r="N123">
        <v>-1.0757160563720447</v>
      </c>
    </row>
    <row r="124" spans="1:14" x14ac:dyDescent="0.35">
      <c r="A124" s="178">
        <v>39993</v>
      </c>
      <c r="B124" s="21">
        <v>71.47</v>
      </c>
      <c r="C124" s="21">
        <v>69.75</v>
      </c>
      <c r="N124">
        <v>-1.6543801745826983</v>
      </c>
    </row>
    <row r="125" spans="1:14" x14ac:dyDescent="0.35">
      <c r="A125" s="178">
        <v>39994</v>
      </c>
      <c r="B125" s="21">
        <v>69.819999999999993</v>
      </c>
      <c r="C125" s="21">
        <v>68.11</v>
      </c>
      <c r="N125">
        <v>-1.7024772330036484</v>
      </c>
    </row>
    <row r="126" spans="1:14" x14ac:dyDescent="0.35">
      <c r="A126" s="178">
        <v>39995</v>
      </c>
      <c r="B126" s="21">
        <v>69.319999999999993</v>
      </c>
      <c r="C126" s="21">
        <v>68.52</v>
      </c>
      <c r="N126">
        <v>-0.8100824022221218</v>
      </c>
    </row>
    <row r="127" spans="1:14" x14ac:dyDescent="0.35">
      <c r="A127" s="178">
        <v>39996</v>
      </c>
      <c r="B127" s="21">
        <v>66.680000000000007</v>
      </c>
      <c r="C127" s="21">
        <v>65.739999999999995</v>
      </c>
      <c r="N127">
        <v>-1.0430376956956593</v>
      </c>
    </row>
    <row r="128" spans="1:14" x14ac:dyDescent="0.35">
      <c r="A128" s="178">
        <v>40000</v>
      </c>
      <c r="B128" s="21">
        <v>64.06</v>
      </c>
      <c r="C128" s="21">
        <v>63.12</v>
      </c>
      <c r="N128">
        <v>-1.1352887824004441</v>
      </c>
    </row>
    <row r="129" spans="1:14" x14ac:dyDescent="0.35">
      <c r="A129" s="178">
        <v>40001</v>
      </c>
      <c r="B129" s="21">
        <v>62.88</v>
      </c>
      <c r="C129" s="21">
        <v>61.54</v>
      </c>
      <c r="N129">
        <v>-1.5768369817560313</v>
      </c>
    </row>
    <row r="130" spans="1:14" x14ac:dyDescent="0.35">
      <c r="A130" s="178">
        <v>40002</v>
      </c>
      <c r="B130" s="21">
        <v>60.15</v>
      </c>
      <c r="C130" s="21">
        <v>59.71</v>
      </c>
      <c r="N130">
        <v>-0.77296120568887261</v>
      </c>
    </row>
    <row r="131" spans="1:14" x14ac:dyDescent="0.35">
      <c r="A131" s="178">
        <v>40003</v>
      </c>
      <c r="B131" s="21">
        <v>60.36</v>
      </c>
      <c r="C131" s="21">
        <v>59.17</v>
      </c>
      <c r="N131">
        <v>-1.5155670346171135</v>
      </c>
    </row>
    <row r="132" spans="1:14" x14ac:dyDescent="0.35">
      <c r="A132" s="178">
        <v>40004</v>
      </c>
      <c r="B132" s="21">
        <v>59.93</v>
      </c>
      <c r="C132" s="21">
        <v>58.43</v>
      </c>
      <c r="N132">
        <v>-1.8407074801450065</v>
      </c>
    </row>
    <row r="133" spans="1:14" x14ac:dyDescent="0.35">
      <c r="A133" s="178">
        <v>40007</v>
      </c>
      <c r="B133" s="21">
        <v>59.69</v>
      </c>
      <c r="C133" s="21">
        <v>58.25</v>
      </c>
      <c r="N133">
        <v>-1.7891579613698667</v>
      </c>
    </row>
    <row r="134" spans="1:14" x14ac:dyDescent="0.35">
      <c r="A134" s="178">
        <v>40008</v>
      </c>
      <c r="B134" s="21">
        <v>59.62</v>
      </c>
      <c r="C134" s="21">
        <v>60.48</v>
      </c>
      <c r="N134">
        <v>0.50837731493954408</v>
      </c>
    </row>
    <row r="135" spans="1:14" x14ac:dyDescent="0.35">
      <c r="A135" s="178">
        <v>40009</v>
      </c>
      <c r="B135" s="21">
        <v>61.49</v>
      </c>
      <c r="C135" s="21">
        <v>61.25</v>
      </c>
      <c r="N135">
        <v>-0.52577935218337757</v>
      </c>
    </row>
    <row r="136" spans="1:14" x14ac:dyDescent="0.35">
      <c r="A136" s="178">
        <v>40010</v>
      </c>
      <c r="B136" s="21">
        <v>62.07</v>
      </c>
      <c r="C136" s="21">
        <v>62.02</v>
      </c>
      <c r="N136">
        <v>-0.31535735588994385</v>
      </c>
    </row>
    <row r="137" spans="1:14" x14ac:dyDescent="0.35">
      <c r="A137" s="178">
        <v>40011</v>
      </c>
      <c r="B137" s="21">
        <v>63.56</v>
      </c>
      <c r="C137" s="21">
        <v>63.54</v>
      </c>
      <c r="N137">
        <v>-0.23289395161891235</v>
      </c>
    </row>
    <row r="138" spans="1:14" x14ac:dyDescent="0.35">
      <c r="A138" s="178">
        <v>40014</v>
      </c>
      <c r="B138" s="21">
        <v>63.93</v>
      </c>
      <c r="C138" s="21">
        <v>64.64</v>
      </c>
      <c r="N138">
        <v>0.51013387360275431</v>
      </c>
    </row>
    <row r="139" spans="1:14" x14ac:dyDescent="0.35">
      <c r="A139" s="178">
        <v>40015</v>
      </c>
      <c r="B139" s="21">
        <v>64.81</v>
      </c>
      <c r="C139" s="21">
        <v>65.930000000000007</v>
      </c>
      <c r="N139">
        <v>0.95111897142727742</v>
      </c>
    </row>
    <row r="140" spans="1:14" x14ac:dyDescent="0.35">
      <c r="A140" s="178">
        <v>40016</v>
      </c>
      <c r="B140" s="21">
        <v>64.58</v>
      </c>
      <c r="C140" s="21">
        <v>65.36</v>
      </c>
      <c r="N140">
        <v>0.60302059358677695</v>
      </c>
    </row>
    <row r="141" spans="1:14" x14ac:dyDescent="0.35">
      <c r="A141" s="178">
        <v>40017</v>
      </c>
      <c r="B141" s="21">
        <v>66.099999999999994</v>
      </c>
      <c r="C141" s="21">
        <v>68.06</v>
      </c>
      <c r="N141">
        <v>1.8365403080109388</v>
      </c>
    </row>
    <row r="142" spans="1:14" x14ac:dyDescent="0.35">
      <c r="A142" s="178">
        <v>40018</v>
      </c>
      <c r="B142" s="21">
        <v>66.959999999999994</v>
      </c>
      <c r="C142" s="21">
        <v>68.819999999999993</v>
      </c>
      <c r="N142">
        <v>1.7668211990666975</v>
      </c>
    </row>
    <row r="143" spans="1:14" x14ac:dyDescent="0.35">
      <c r="A143" s="178">
        <v>40021</v>
      </c>
      <c r="B143" s="21">
        <v>68.34</v>
      </c>
      <c r="C143" s="21">
        <v>69.78</v>
      </c>
      <c r="N143">
        <v>1.3954114661096639</v>
      </c>
    </row>
    <row r="144" spans="1:14" x14ac:dyDescent="0.35">
      <c r="A144" s="178">
        <v>40022</v>
      </c>
      <c r="B144" s="21">
        <v>67.239999999999995</v>
      </c>
      <c r="C144" s="21">
        <v>68.53</v>
      </c>
      <c r="N144">
        <v>1.2066800938290356</v>
      </c>
    </row>
    <row r="145" spans="1:14" x14ac:dyDescent="0.35">
      <c r="A145" s="178">
        <v>40023</v>
      </c>
      <c r="B145" s="21">
        <v>63.42</v>
      </c>
      <c r="C145" s="21">
        <v>65.790000000000006</v>
      </c>
      <c r="N145">
        <v>2.1521766009999226</v>
      </c>
    </row>
    <row r="146" spans="1:14" x14ac:dyDescent="0.35">
      <c r="A146" s="178">
        <v>40024</v>
      </c>
      <c r="B146" s="21">
        <v>66.900000000000006</v>
      </c>
      <c r="C146" s="21">
        <v>68.819999999999993</v>
      </c>
      <c r="N146">
        <v>1.8247085787604647</v>
      </c>
    </row>
    <row r="147" spans="1:14" x14ac:dyDescent="0.35">
      <c r="A147" s="178">
        <v>40025</v>
      </c>
      <c r="B147" s="21">
        <v>69.260000000000005</v>
      </c>
      <c r="C147" s="21">
        <v>70.08</v>
      </c>
      <c r="N147">
        <v>0.80780497747164759</v>
      </c>
    </row>
    <row r="148" spans="1:14" x14ac:dyDescent="0.35">
      <c r="A148" s="178">
        <v>40028</v>
      </c>
      <c r="B148" s="21">
        <v>71.59</v>
      </c>
      <c r="C148" s="21">
        <v>72.900000000000006</v>
      </c>
      <c r="N148">
        <v>1.3798450660297306</v>
      </c>
    </row>
    <row r="149" spans="1:14" x14ac:dyDescent="0.35">
      <c r="A149" s="178">
        <v>40029</v>
      </c>
      <c r="B149" s="21">
        <v>71.400000000000006</v>
      </c>
      <c r="C149" s="21">
        <v>73.819999999999993</v>
      </c>
      <c r="N149">
        <v>2.4831551017266946</v>
      </c>
    </row>
    <row r="150" spans="1:14" x14ac:dyDescent="0.35">
      <c r="A150" s="178">
        <v>40030</v>
      </c>
      <c r="B150" s="21">
        <v>71.97</v>
      </c>
      <c r="C150" s="21">
        <v>74.39</v>
      </c>
      <c r="N150">
        <v>2.5032249946357723</v>
      </c>
    </row>
    <row r="151" spans="1:14" x14ac:dyDescent="0.35">
      <c r="A151" s="178">
        <v>40031</v>
      </c>
      <c r="B151" s="21">
        <v>71.959999999999994</v>
      </c>
      <c r="C151" s="21">
        <v>74.61</v>
      </c>
      <c r="N151">
        <v>2.7328728912514038</v>
      </c>
    </row>
    <row r="152" spans="1:14" x14ac:dyDescent="0.35">
      <c r="A152" s="178">
        <v>40032</v>
      </c>
      <c r="B152" s="21">
        <v>70.97</v>
      </c>
      <c r="C152" s="21">
        <v>74.209999999999994</v>
      </c>
      <c r="N152">
        <v>3.2880146561988255</v>
      </c>
    </row>
    <row r="153" spans="1:14" x14ac:dyDescent="0.35">
      <c r="A153" s="178">
        <v>40035</v>
      </c>
      <c r="B153" s="21">
        <v>70.59</v>
      </c>
      <c r="C153" s="21">
        <v>73.790000000000006</v>
      </c>
      <c r="N153">
        <v>3.2346347275927911</v>
      </c>
    </row>
    <row r="154" spans="1:14" x14ac:dyDescent="0.35">
      <c r="A154" s="178">
        <v>40036</v>
      </c>
      <c r="B154" s="21">
        <v>69.459999999999994</v>
      </c>
      <c r="C154" s="21">
        <v>71.58</v>
      </c>
      <c r="N154">
        <v>2.1148470451590526</v>
      </c>
    </row>
    <row r="155" spans="1:14" x14ac:dyDescent="0.35">
      <c r="A155" s="178">
        <v>40037</v>
      </c>
      <c r="B155" s="21">
        <v>70.08</v>
      </c>
      <c r="C155" s="21">
        <v>74.03</v>
      </c>
      <c r="N155">
        <v>3.9666774549899486</v>
      </c>
    </row>
    <row r="156" spans="1:14" x14ac:dyDescent="0.35">
      <c r="A156" s="178">
        <v>40038</v>
      </c>
      <c r="B156" s="21">
        <v>70.569999999999993</v>
      </c>
      <c r="C156" s="21">
        <v>73.760000000000005</v>
      </c>
      <c r="N156">
        <v>3.2239305208240694</v>
      </c>
    </row>
    <row r="157" spans="1:14" x14ac:dyDescent="0.35">
      <c r="A157" s="178">
        <v>40039</v>
      </c>
      <c r="B157" s="21">
        <v>67.510000000000005</v>
      </c>
      <c r="C157" s="21">
        <v>71.33</v>
      </c>
      <c r="N157">
        <v>3.7461868852070097</v>
      </c>
    </row>
    <row r="158" spans="1:14" x14ac:dyDescent="0.35">
      <c r="A158" s="178">
        <v>40042</v>
      </c>
      <c r="B158" s="21">
        <v>66.72</v>
      </c>
      <c r="C158" s="21">
        <v>68.650000000000006</v>
      </c>
      <c r="N158">
        <v>1.8283707178418354</v>
      </c>
    </row>
    <row r="159" spans="1:14" x14ac:dyDescent="0.35">
      <c r="A159" s="178">
        <v>40043</v>
      </c>
      <c r="B159" s="21">
        <v>69.22</v>
      </c>
      <c r="C159" s="21">
        <v>68.66</v>
      </c>
      <c r="N159">
        <v>-0.57360343606582376</v>
      </c>
    </row>
    <row r="160" spans="1:14" x14ac:dyDescent="0.35">
      <c r="A160" s="178">
        <v>40044</v>
      </c>
      <c r="B160" s="21">
        <v>72.540000000000006</v>
      </c>
      <c r="C160" s="21">
        <v>72.81</v>
      </c>
      <c r="N160">
        <v>0.37329488754481588</v>
      </c>
    </row>
    <row r="161" spans="1:14" x14ac:dyDescent="0.35">
      <c r="A161" s="178">
        <v>40045</v>
      </c>
      <c r="B161" s="21">
        <v>72.400000000000006</v>
      </c>
      <c r="C161" s="21">
        <v>73.75</v>
      </c>
      <c r="N161">
        <v>1.4483654401636414</v>
      </c>
    </row>
    <row r="162" spans="1:14" x14ac:dyDescent="0.35">
      <c r="A162" s="178">
        <v>40046</v>
      </c>
      <c r="B162" s="21">
        <v>73.12</v>
      </c>
      <c r="C162" s="21">
        <v>73.709999999999994</v>
      </c>
      <c r="N162">
        <v>0.71371688383824505</v>
      </c>
    </row>
    <row r="163" spans="1:14" x14ac:dyDescent="0.35">
      <c r="A163" s="178">
        <v>40049</v>
      </c>
      <c r="B163" s="21">
        <v>73.680000000000007</v>
      </c>
      <c r="C163" s="21">
        <v>74.34</v>
      </c>
      <c r="N163">
        <v>0.80343467336292917</v>
      </c>
    </row>
    <row r="164" spans="1:14" x14ac:dyDescent="0.35">
      <c r="A164" s="178">
        <v>40050</v>
      </c>
      <c r="B164" s="21">
        <v>71.599999999999994</v>
      </c>
      <c r="C164" s="21">
        <v>73.099999999999994</v>
      </c>
      <c r="N164">
        <v>1.5701971694141008</v>
      </c>
    </row>
    <row r="165" spans="1:14" x14ac:dyDescent="0.35">
      <c r="A165" s="178">
        <v>40051</v>
      </c>
      <c r="B165" s="21">
        <v>71.38</v>
      </c>
      <c r="C165" s="21">
        <v>70.739999999999995</v>
      </c>
      <c r="N165">
        <v>-0.57754910504202428</v>
      </c>
    </row>
    <row r="166" spans="1:14" x14ac:dyDescent="0.35">
      <c r="A166" s="178">
        <v>40052</v>
      </c>
      <c r="B166" s="21">
        <v>72.489999999999995</v>
      </c>
      <c r="C166" s="21">
        <v>70.680000000000007</v>
      </c>
      <c r="N166">
        <v>-1.7084656293770166</v>
      </c>
    </row>
    <row r="167" spans="1:14" x14ac:dyDescent="0.35">
      <c r="A167" s="178">
        <v>40053</v>
      </c>
      <c r="B167" s="21">
        <v>72.72</v>
      </c>
      <c r="C167" s="21">
        <v>72.8</v>
      </c>
      <c r="N167">
        <v>0.18963274846346678</v>
      </c>
    </row>
    <row r="168" spans="1:14" x14ac:dyDescent="0.35">
      <c r="A168" s="178">
        <v>40056</v>
      </c>
      <c r="B168" s="21">
        <v>69.97</v>
      </c>
      <c r="C168" s="21">
        <v>69.02</v>
      </c>
      <c r="N168">
        <v>-0.93719568223811223</v>
      </c>
    </row>
    <row r="169" spans="1:14" x14ac:dyDescent="0.35">
      <c r="A169" s="178">
        <v>40057</v>
      </c>
      <c r="B169" s="21">
        <v>68.11</v>
      </c>
      <c r="C169" s="21">
        <v>68.78</v>
      </c>
      <c r="N169">
        <v>0.61731308826917086</v>
      </c>
    </row>
    <row r="170" spans="1:14" x14ac:dyDescent="0.35">
      <c r="A170" s="178">
        <v>40058</v>
      </c>
      <c r="B170" s="21">
        <v>68.03</v>
      </c>
      <c r="C170" s="21">
        <v>67.599999999999994</v>
      </c>
      <c r="N170">
        <v>-0.48550373880578945</v>
      </c>
    </row>
    <row r="171" spans="1:14" x14ac:dyDescent="0.35">
      <c r="A171" s="178">
        <v>40059</v>
      </c>
      <c r="B171" s="21">
        <v>67.900000000000006</v>
      </c>
      <c r="C171" s="21">
        <v>66.78</v>
      </c>
      <c r="N171">
        <v>-1.1800810828025874</v>
      </c>
    </row>
    <row r="172" spans="1:14" x14ac:dyDescent="0.35">
      <c r="A172" s="178">
        <v>40060</v>
      </c>
      <c r="B172" s="21">
        <v>67.95</v>
      </c>
      <c r="C172" s="21">
        <v>65.84</v>
      </c>
      <c r="N172">
        <v>-2.1683205658807339</v>
      </c>
    </row>
    <row r="173" spans="1:14" x14ac:dyDescent="0.35">
      <c r="A173" s="178">
        <v>40064</v>
      </c>
      <c r="B173" s="21">
        <v>71.08</v>
      </c>
      <c r="C173" s="21">
        <v>69.2</v>
      </c>
      <c r="N173">
        <v>-1.8281122065731097</v>
      </c>
    </row>
    <row r="174" spans="1:14" x14ac:dyDescent="0.35">
      <c r="A174" s="178">
        <v>40065</v>
      </c>
      <c r="B174" s="21">
        <v>71.27</v>
      </c>
      <c r="C174" s="21">
        <v>69.760000000000005</v>
      </c>
      <c r="N174">
        <v>-1.451422242270084</v>
      </c>
    </row>
    <row r="175" spans="1:14" x14ac:dyDescent="0.35">
      <c r="A175" s="178">
        <v>40066</v>
      </c>
      <c r="B175" s="21">
        <v>71.95</v>
      </c>
      <c r="C175" s="21">
        <v>68.959999999999994</v>
      </c>
      <c r="N175">
        <v>-2.9074792121329835</v>
      </c>
    </row>
    <row r="176" spans="1:14" x14ac:dyDescent="0.35">
      <c r="A176" s="178">
        <v>40067</v>
      </c>
      <c r="B176" s="21">
        <v>69.34</v>
      </c>
      <c r="C176" s="21">
        <v>68.760000000000005</v>
      </c>
      <c r="N176">
        <v>-0.5893781954533921</v>
      </c>
    </row>
    <row r="177" spans="1:14" x14ac:dyDescent="0.35">
      <c r="A177" s="178">
        <v>40070</v>
      </c>
      <c r="B177" s="21">
        <v>68.86</v>
      </c>
      <c r="C177" s="21">
        <v>66.91</v>
      </c>
      <c r="N177">
        <v>-1.9762791579031216</v>
      </c>
    </row>
    <row r="178" spans="1:14" x14ac:dyDescent="0.35">
      <c r="A178" s="178">
        <v>40071</v>
      </c>
      <c r="B178" s="21">
        <v>70.81</v>
      </c>
      <c r="C178" s="21">
        <v>66.53</v>
      </c>
      <c r="N178">
        <v>-4.2376189979510883</v>
      </c>
    </row>
    <row r="179" spans="1:14" x14ac:dyDescent="0.35">
      <c r="A179" s="178">
        <v>40072</v>
      </c>
      <c r="B179" s="21">
        <v>72.5</v>
      </c>
      <c r="C179" s="21">
        <v>68.510000000000005</v>
      </c>
      <c r="N179">
        <v>-3.8881135259926509</v>
      </c>
    </row>
    <row r="180" spans="1:14" x14ac:dyDescent="0.35">
      <c r="A180" s="178">
        <v>40073</v>
      </c>
      <c r="B180" s="21">
        <v>72.48</v>
      </c>
      <c r="C180" s="21">
        <v>71.56</v>
      </c>
      <c r="N180">
        <v>-0.81881773276138858</v>
      </c>
    </row>
    <row r="181" spans="1:14" x14ac:dyDescent="0.35">
      <c r="A181" s="178">
        <v>40074</v>
      </c>
      <c r="B181" s="21">
        <v>71.95</v>
      </c>
      <c r="C181" s="21">
        <v>70.72</v>
      </c>
      <c r="N181">
        <v>-1.1474792121329784</v>
      </c>
    </row>
    <row r="182" spans="1:14" x14ac:dyDescent="0.35">
      <c r="A182" s="178">
        <v>40077</v>
      </c>
      <c r="B182" s="21">
        <v>69.739999999999995</v>
      </c>
      <c r="C182" s="21">
        <v>68.11</v>
      </c>
      <c r="N182">
        <v>-1.6252940600786019</v>
      </c>
    </row>
    <row r="183" spans="1:14" x14ac:dyDescent="0.35">
      <c r="A183" s="178">
        <v>40078</v>
      </c>
      <c r="B183" s="21">
        <v>71.5</v>
      </c>
      <c r="C183" s="21">
        <v>69.650000000000006</v>
      </c>
      <c r="N183">
        <v>-1.7833238644295903</v>
      </c>
    </row>
    <row r="184" spans="1:14" x14ac:dyDescent="0.35">
      <c r="A184" s="178">
        <v>40079</v>
      </c>
      <c r="B184" s="21">
        <v>68.739999999999995</v>
      </c>
      <c r="C184" s="21">
        <v>67.430000000000007</v>
      </c>
      <c r="N184">
        <v>-1.3405043985155345</v>
      </c>
    </row>
    <row r="185" spans="1:14" x14ac:dyDescent="0.35">
      <c r="A185" s="178">
        <v>40080</v>
      </c>
      <c r="B185" s="21">
        <v>65.739999999999995</v>
      </c>
      <c r="C185" s="21">
        <v>64.989999999999995</v>
      </c>
      <c r="N185">
        <v>-0.88613541382638061</v>
      </c>
    </row>
    <row r="186" spans="1:14" x14ac:dyDescent="0.35">
      <c r="A186" s="178">
        <v>40081</v>
      </c>
      <c r="B186" s="21">
        <v>65.91</v>
      </c>
      <c r="C186" s="21">
        <v>64.599999999999994</v>
      </c>
      <c r="N186">
        <v>-1.4401496562921068</v>
      </c>
    </row>
    <row r="187" spans="1:14" x14ac:dyDescent="0.35">
      <c r="A187" s="178">
        <v>40084</v>
      </c>
      <c r="B187" s="21">
        <v>66.69</v>
      </c>
      <c r="C187" s="21">
        <v>65.430000000000007</v>
      </c>
      <c r="N187">
        <v>-1.3626855923112657</v>
      </c>
    </row>
    <row r="188" spans="1:14" x14ac:dyDescent="0.35">
      <c r="A188" s="178">
        <v>40085</v>
      </c>
      <c r="B188" s="21">
        <v>66.56</v>
      </c>
      <c r="C188" s="21">
        <v>64.63</v>
      </c>
      <c r="N188">
        <v>-2.0372629363080961</v>
      </c>
    </row>
    <row r="189" spans="1:14" x14ac:dyDescent="0.35">
      <c r="A189" s="178">
        <v>40086</v>
      </c>
      <c r="B189" s="21">
        <v>70.459999999999994</v>
      </c>
      <c r="C189" s="21">
        <v>65.819999999999993</v>
      </c>
      <c r="N189">
        <v>-4.6099426164040125</v>
      </c>
    </row>
    <row r="190" spans="1:14" x14ac:dyDescent="0.35">
      <c r="A190" s="178">
        <v>40087</v>
      </c>
      <c r="B190" s="21">
        <v>70.67</v>
      </c>
      <c r="C190" s="21">
        <v>67.12</v>
      </c>
      <c r="N190">
        <v>-3.5125484453322571</v>
      </c>
    </row>
    <row r="191" spans="1:14" x14ac:dyDescent="0.35">
      <c r="A191" s="178">
        <v>40088</v>
      </c>
      <c r="B191" s="21">
        <v>69.8</v>
      </c>
      <c r="C191" s="21">
        <v>66.5</v>
      </c>
      <c r="N191">
        <v>-3.2931814397723969</v>
      </c>
    </row>
    <row r="192" spans="1:14" x14ac:dyDescent="0.35">
      <c r="A192" s="178">
        <v>40091</v>
      </c>
      <c r="B192" s="21">
        <v>70.260000000000005</v>
      </c>
      <c r="C192" s="21">
        <v>65.260000000000005</v>
      </c>
      <c r="N192">
        <v>-4.9769846840914056</v>
      </c>
    </row>
    <row r="193" spans="1:14" x14ac:dyDescent="0.35">
      <c r="A193" s="178">
        <v>40092</v>
      </c>
      <c r="B193" s="21">
        <v>70.709999999999994</v>
      </c>
      <c r="C193" s="21">
        <v>68.510000000000005</v>
      </c>
      <c r="N193">
        <v>-2.1611400317947727</v>
      </c>
    </row>
    <row r="194" spans="1:14" x14ac:dyDescent="0.35">
      <c r="A194" s="178">
        <v>40093</v>
      </c>
      <c r="B194" s="21">
        <v>69.599999999999994</v>
      </c>
      <c r="C194" s="21">
        <v>67.650000000000006</v>
      </c>
      <c r="N194">
        <v>-1.9502235074597678</v>
      </c>
    </row>
    <row r="195" spans="1:14" x14ac:dyDescent="0.35">
      <c r="A195" s="178">
        <v>40094</v>
      </c>
      <c r="B195" s="21">
        <v>71.69</v>
      </c>
      <c r="C195" s="21">
        <v>68.47</v>
      </c>
      <c r="N195">
        <v>-3.1466339001265737</v>
      </c>
    </row>
    <row r="196" spans="1:14" x14ac:dyDescent="0.35">
      <c r="A196" s="178">
        <v>40095</v>
      </c>
      <c r="B196" s="21">
        <v>71.75</v>
      </c>
      <c r="C196" s="21">
        <v>69.45</v>
      </c>
      <c r="N196">
        <v>-2.2245212798203511</v>
      </c>
    </row>
    <row r="197" spans="1:14" x14ac:dyDescent="0.35">
      <c r="A197" s="178">
        <v>40098</v>
      </c>
      <c r="B197" s="21">
        <v>73.239999999999995</v>
      </c>
      <c r="C197" s="21">
        <v>70.75</v>
      </c>
      <c r="N197">
        <v>-2.3620578755493113</v>
      </c>
    </row>
    <row r="198" spans="1:14" x14ac:dyDescent="0.35">
      <c r="A198" s="178">
        <v>40099</v>
      </c>
      <c r="B198" s="21">
        <v>74.099999999999994</v>
      </c>
      <c r="C198" s="21">
        <v>70.81</v>
      </c>
      <c r="N198">
        <v>-3.1317769844935412</v>
      </c>
    </row>
    <row r="199" spans="1:14" x14ac:dyDescent="0.35">
      <c r="A199" s="178">
        <v>40100</v>
      </c>
      <c r="B199" s="21">
        <v>75.2</v>
      </c>
      <c r="C199" s="21">
        <v>72.16</v>
      </c>
      <c r="N199">
        <v>-2.8430456122129186</v>
      </c>
    </row>
    <row r="200" spans="1:14" x14ac:dyDescent="0.35">
      <c r="A200" s="178">
        <v>40101</v>
      </c>
      <c r="B200" s="21">
        <v>77.55</v>
      </c>
      <c r="C200" s="21">
        <v>73.14</v>
      </c>
      <c r="N200">
        <v>-4.13030131688609</v>
      </c>
    </row>
    <row r="201" spans="1:14" x14ac:dyDescent="0.35">
      <c r="A201" s="178">
        <v>40102</v>
      </c>
      <c r="B201" s="21">
        <v>78.540000000000006</v>
      </c>
      <c r="C201" s="21">
        <v>74.58</v>
      </c>
      <c r="N201">
        <v>-3.6454430818335339</v>
      </c>
    </row>
    <row r="202" spans="1:14" x14ac:dyDescent="0.35">
      <c r="A202" s="178">
        <v>40105</v>
      </c>
      <c r="B202" s="21">
        <v>79.47</v>
      </c>
      <c r="C202" s="21">
        <v>75.86</v>
      </c>
      <c r="N202">
        <v>-3.2626974670871789</v>
      </c>
    </row>
    <row r="203" spans="1:14" x14ac:dyDescent="0.35">
      <c r="A203" s="178">
        <v>40106</v>
      </c>
      <c r="B203" s="21">
        <v>78.87</v>
      </c>
      <c r="C203" s="21">
        <v>76.510000000000005</v>
      </c>
      <c r="N203">
        <v>-2.0338236701493315</v>
      </c>
    </row>
    <row r="204" spans="1:14" x14ac:dyDescent="0.35">
      <c r="A204" s="178">
        <v>40107</v>
      </c>
      <c r="B204" s="21">
        <v>81.03</v>
      </c>
      <c r="C204" s="21">
        <v>77.739999999999995</v>
      </c>
      <c r="N204">
        <v>-2.8877693391255548</v>
      </c>
    </row>
    <row r="205" spans="1:14" x14ac:dyDescent="0.35">
      <c r="A205" s="178">
        <v>40108</v>
      </c>
      <c r="B205" s="21">
        <v>80.819999999999993</v>
      </c>
      <c r="C205" s="21">
        <v>78.36</v>
      </c>
      <c r="N205">
        <v>-2.0651635101972943</v>
      </c>
    </row>
    <row r="206" spans="1:14" x14ac:dyDescent="0.35">
      <c r="A206" s="178">
        <v>40109</v>
      </c>
      <c r="B206" s="21">
        <v>80.11</v>
      </c>
      <c r="C206" s="21">
        <v>77.72</v>
      </c>
      <c r="N206">
        <v>-2.0201628504875373</v>
      </c>
    </row>
    <row r="207" spans="1:14" x14ac:dyDescent="0.35">
      <c r="A207" s="178">
        <v>40112</v>
      </c>
      <c r="B207" s="21">
        <v>78.61</v>
      </c>
      <c r="C207" s="21">
        <v>76.45</v>
      </c>
      <c r="N207">
        <v>-1.8429783581429433</v>
      </c>
    </row>
    <row r="208" spans="1:14" x14ac:dyDescent="0.35">
      <c r="A208" s="178">
        <v>40113</v>
      </c>
      <c r="B208" s="21">
        <v>79.45</v>
      </c>
      <c r="C208" s="21">
        <v>76.69</v>
      </c>
      <c r="N208">
        <v>-2.4134016738559154</v>
      </c>
    </row>
    <row r="209" spans="1:14" x14ac:dyDescent="0.35">
      <c r="A209" s="178">
        <v>40114</v>
      </c>
      <c r="B209" s="21">
        <v>77.39</v>
      </c>
      <c r="C209" s="21">
        <v>75.11</v>
      </c>
      <c r="N209">
        <v>-2.0059349710360124</v>
      </c>
    </row>
    <row r="210" spans="1:14" x14ac:dyDescent="0.35">
      <c r="A210" s="178">
        <v>40115</v>
      </c>
      <c r="B210" s="21">
        <v>79.84</v>
      </c>
      <c r="C210" s="21">
        <v>77.180000000000007</v>
      </c>
      <c r="N210">
        <v>-2.2996696418655063</v>
      </c>
    </row>
    <row r="211" spans="1:14" x14ac:dyDescent="0.35">
      <c r="A211" s="178">
        <v>40116</v>
      </c>
      <c r="B211" s="21">
        <v>77.040000000000006</v>
      </c>
      <c r="C211" s="21">
        <v>74.91</v>
      </c>
      <c r="N211">
        <v>-1.8682585894889456</v>
      </c>
    </row>
    <row r="212" spans="1:14" x14ac:dyDescent="0.35">
      <c r="A212" s="178">
        <v>40119</v>
      </c>
      <c r="B212" s="21">
        <v>78.08</v>
      </c>
      <c r="C212" s="21">
        <v>75.56</v>
      </c>
      <c r="N212">
        <v>-2.2216398375145161</v>
      </c>
    </row>
    <row r="213" spans="1:14" x14ac:dyDescent="0.35">
      <c r="A213" s="178">
        <v>40120</v>
      </c>
      <c r="B213" s="21">
        <v>79.58</v>
      </c>
      <c r="C213" s="21">
        <v>75.680000000000007</v>
      </c>
      <c r="N213">
        <v>-3.5488243298591016</v>
      </c>
    </row>
    <row r="214" spans="1:14" x14ac:dyDescent="0.35">
      <c r="A214" s="178">
        <v>40121</v>
      </c>
      <c r="B214" s="21">
        <v>80.3</v>
      </c>
      <c r="C214" s="21">
        <v>78.209999999999994</v>
      </c>
      <c r="N214">
        <v>-1.713472886184519</v>
      </c>
    </row>
    <row r="215" spans="1:14" x14ac:dyDescent="0.35">
      <c r="A215" s="178">
        <v>40122</v>
      </c>
      <c r="B215" s="21">
        <v>79.64</v>
      </c>
      <c r="C215" s="21">
        <v>78.02</v>
      </c>
      <c r="N215">
        <v>-1.2667117095528937</v>
      </c>
    </row>
    <row r="216" spans="1:14" x14ac:dyDescent="0.35">
      <c r="A216" s="178">
        <v>40123</v>
      </c>
      <c r="B216" s="21">
        <v>77.400000000000006</v>
      </c>
      <c r="C216" s="21">
        <v>75.510000000000005</v>
      </c>
      <c r="N216">
        <v>-1.6155828676516393</v>
      </c>
    </row>
    <row r="217" spans="1:14" x14ac:dyDescent="0.35">
      <c r="A217" s="178">
        <v>40126</v>
      </c>
      <c r="B217" s="21">
        <v>79.44</v>
      </c>
      <c r="C217" s="21">
        <v>77.180000000000007</v>
      </c>
      <c r="N217">
        <v>-1.9137537772402737</v>
      </c>
    </row>
    <row r="218" spans="1:14" x14ac:dyDescent="0.35">
      <c r="A218" s="178">
        <v>40127</v>
      </c>
      <c r="B218" s="21">
        <v>79.010000000000005</v>
      </c>
      <c r="C218" s="21">
        <v>77.069999999999993</v>
      </c>
      <c r="N218">
        <v>-1.6088942227681713</v>
      </c>
    </row>
    <row r="219" spans="1:14" x14ac:dyDescent="0.35">
      <c r="A219" s="178">
        <v>40128</v>
      </c>
      <c r="B219" s="21">
        <v>79.16</v>
      </c>
      <c r="C219" s="21">
        <v>76.989999999999995</v>
      </c>
      <c r="N219">
        <v>-1.83361267200263</v>
      </c>
    </row>
    <row r="220" spans="1:14" x14ac:dyDescent="0.35">
      <c r="A220" s="178">
        <v>40129</v>
      </c>
      <c r="B220" s="21">
        <v>77.25</v>
      </c>
      <c r="C220" s="21">
        <v>75.180000000000007</v>
      </c>
      <c r="N220">
        <v>-1.8008644184171771</v>
      </c>
    </row>
    <row r="221" spans="1:14" x14ac:dyDescent="0.35">
      <c r="A221" s="178">
        <v>40130</v>
      </c>
      <c r="B221" s="21">
        <v>76.34</v>
      </c>
      <c r="C221" s="21">
        <v>74.81</v>
      </c>
      <c r="N221">
        <v>-1.2929058263948008</v>
      </c>
    </row>
    <row r="222" spans="1:14" x14ac:dyDescent="0.35">
      <c r="A222" s="178">
        <v>40133</v>
      </c>
      <c r="B222" s="21">
        <v>78.91</v>
      </c>
      <c r="C222" s="21">
        <v>77.14</v>
      </c>
      <c r="N222">
        <v>-1.4424152566118522</v>
      </c>
    </row>
    <row r="223" spans="1:14" x14ac:dyDescent="0.35">
      <c r="A223" s="178">
        <v>40134</v>
      </c>
      <c r="B223" s="21">
        <v>79.08</v>
      </c>
      <c r="C223" s="21">
        <v>77.36</v>
      </c>
      <c r="N223">
        <v>-1.386429499077579</v>
      </c>
    </row>
    <row r="224" spans="1:14" x14ac:dyDescent="0.35">
      <c r="A224" s="178">
        <v>40135</v>
      </c>
      <c r="B224" s="21">
        <v>79.55</v>
      </c>
      <c r="C224" s="21">
        <v>78.64</v>
      </c>
      <c r="N224">
        <v>-0.55988064001221005</v>
      </c>
    </row>
    <row r="225" spans="1:14" x14ac:dyDescent="0.35">
      <c r="A225" s="178">
        <v>40136</v>
      </c>
      <c r="B225" s="21">
        <v>77.47</v>
      </c>
      <c r="C225" s="21">
        <v>76.45</v>
      </c>
      <c r="N225">
        <v>-0.74311814396105547</v>
      </c>
    </row>
    <row r="226" spans="1:14" x14ac:dyDescent="0.35">
      <c r="A226" s="178">
        <v>40137</v>
      </c>
      <c r="B226" s="21">
        <v>76.83</v>
      </c>
      <c r="C226" s="21">
        <v>75.61</v>
      </c>
      <c r="N226">
        <v>-0.96565276056070104</v>
      </c>
    </row>
    <row r="227" spans="1:14" x14ac:dyDescent="0.35">
      <c r="A227" s="178">
        <v>40140</v>
      </c>
      <c r="B227" s="21">
        <v>76.489999999999995</v>
      </c>
      <c r="C227" s="21">
        <v>78.14</v>
      </c>
      <c r="N227">
        <v>1.8923757243707513</v>
      </c>
    </row>
    <row r="228" spans="1:14" x14ac:dyDescent="0.35">
      <c r="A228" s="178">
        <v>40141</v>
      </c>
      <c r="B228" s="21">
        <v>74.88</v>
      </c>
      <c r="C228" s="21">
        <v>75.349999999999994</v>
      </c>
      <c r="N228">
        <v>0.65568707948726512</v>
      </c>
    </row>
    <row r="229" spans="1:14" x14ac:dyDescent="0.35">
      <c r="A229" s="178">
        <v>40142</v>
      </c>
      <c r="B229" s="21">
        <v>77.25</v>
      </c>
      <c r="C229" s="21">
        <v>76.569999999999993</v>
      </c>
      <c r="N229">
        <v>-0.41086441841719079</v>
      </c>
    </row>
    <row r="230" spans="1:14" x14ac:dyDescent="0.35">
      <c r="A230" s="178">
        <v>40144</v>
      </c>
      <c r="B230" s="21">
        <v>75.95</v>
      </c>
      <c r="C230" s="21">
        <v>76</v>
      </c>
      <c r="N230">
        <v>0.27336214161479688</v>
      </c>
    </row>
    <row r="231" spans="1:14" x14ac:dyDescent="0.35">
      <c r="A231" s="178">
        <v>40147</v>
      </c>
      <c r="B231" s="21">
        <v>77.19</v>
      </c>
      <c r="C231" s="21">
        <v>77.77</v>
      </c>
      <c r="N231">
        <v>0.84702296127659338</v>
      </c>
    </row>
    <row r="232" spans="1:14" x14ac:dyDescent="0.35">
      <c r="A232" s="178">
        <v>40148</v>
      </c>
      <c r="B232" s="21">
        <v>78.39</v>
      </c>
      <c r="C232" s="21">
        <v>78.680000000000007</v>
      </c>
      <c r="N232">
        <v>0.59927536740093501</v>
      </c>
    </row>
    <row r="233" spans="1:14" x14ac:dyDescent="0.35">
      <c r="A233" s="178">
        <v>40149</v>
      </c>
      <c r="B233" s="21">
        <v>76.62</v>
      </c>
      <c r="C233" s="21">
        <v>76.959999999999994</v>
      </c>
      <c r="N233">
        <v>0.58695306836753502</v>
      </c>
    </row>
    <row r="234" spans="1:14" x14ac:dyDescent="0.35">
      <c r="A234" s="178">
        <v>40150</v>
      </c>
      <c r="B234" s="21">
        <v>76.42</v>
      </c>
      <c r="C234" s="21">
        <v>77.760000000000005</v>
      </c>
      <c r="N234">
        <v>1.5799110006801556</v>
      </c>
    </row>
    <row r="235" spans="1:14" x14ac:dyDescent="0.35">
      <c r="A235" s="178">
        <v>40151</v>
      </c>
      <c r="B235" s="21">
        <v>75.41</v>
      </c>
      <c r="C235" s="21">
        <v>77.739999999999995</v>
      </c>
      <c r="N235">
        <v>2.5343485588588379</v>
      </c>
    </row>
    <row r="236" spans="1:14" x14ac:dyDescent="0.35">
      <c r="A236" s="178">
        <v>40154</v>
      </c>
      <c r="B236" s="21">
        <v>73.89</v>
      </c>
      <c r="C236" s="21">
        <v>76.180000000000007</v>
      </c>
      <c r="N236">
        <v>2.440828844434705</v>
      </c>
    </row>
    <row r="237" spans="1:14" x14ac:dyDescent="0.35">
      <c r="A237" s="178">
        <v>40155</v>
      </c>
      <c r="B237" s="21">
        <v>72.59</v>
      </c>
      <c r="C237" s="21">
        <v>74.930000000000007</v>
      </c>
      <c r="N237">
        <v>2.4450554044666717</v>
      </c>
    </row>
    <row r="238" spans="1:14" x14ac:dyDescent="0.35">
      <c r="A238" s="178">
        <v>40156</v>
      </c>
      <c r="B238" s="21">
        <v>70.67</v>
      </c>
      <c r="C238" s="21">
        <v>73.63</v>
      </c>
      <c r="N238">
        <v>2.9974515546677338</v>
      </c>
    </row>
    <row r="239" spans="1:14" x14ac:dyDescent="0.35">
      <c r="A239" s="178">
        <v>40157</v>
      </c>
      <c r="B239" s="21">
        <v>70.540000000000006</v>
      </c>
      <c r="C239" s="21">
        <v>70.91</v>
      </c>
      <c r="N239">
        <v>0.40287421067093021</v>
      </c>
    </row>
    <row r="240" spans="1:14" x14ac:dyDescent="0.35">
      <c r="A240" s="178">
        <v>40158</v>
      </c>
      <c r="B240" s="21">
        <v>69.86</v>
      </c>
      <c r="C240" s="21">
        <v>70.069999999999993</v>
      </c>
      <c r="N240">
        <v>0.218931180533815</v>
      </c>
    </row>
    <row r="241" spans="1:14" x14ac:dyDescent="0.35">
      <c r="A241" s="178">
        <v>40161</v>
      </c>
      <c r="B241" s="21">
        <v>69.48</v>
      </c>
      <c r="C241" s="21">
        <v>71.19</v>
      </c>
      <c r="N241">
        <v>1.7055512519277727</v>
      </c>
    </row>
    <row r="242" spans="1:14" x14ac:dyDescent="0.35">
      <c r="A242" s="178">
        <v>40162</v>
      </c>
      <c r="B242" s="21">
        <v>70.62</v>
      </c>
      <c r="C242" s="21">
        <v>71.33</v>
      </c>
      <c r="N242">
        <v>0.74569103774588541</v>
      </c>
    </row>
    <row r="243" spans="1:14" x14ac:dyDescent="0.35">
      <c r="A243" s="178">
        <v>40163</v>
      </c>
      <c r="B243" s="21">
        <v>72.64</v>
      </c>
      <c r="C243" s="21">
        <v>73.34</v>
      </c>
      <c r="N243">
        <v>0.80681592138851954</v>
      </c>
    </row>
    <row r="244" spans="1:14" x14ac:dyDescent="0.35">
      <c r="A244" s="178">
        <v>40164</v>
      </c>
      <c r="B244" s="21">
        <v>72.58</v>
      </c>
      <c r="C244" s="21">
        <v>71.28</v>
      </c>
      <c r="N244">
        <v>-1.1952966989177014</v>
      </c>
    </row>
    <row r="245" spans="1:14" x14ac:dyDescent="0.35">
      <c r="A245" s="178">
        <v>40165</v>
      </c>
      <c r="B245" s="21">
        <v>73.3</v>
      </c>
      <c r="C245" s="21">
        <v>71.87</v>
      </c>
      <c r="N245">
        <v>-1.2999452552430881</v>
      </c>
    </row>
    <row r="246" spans="1:14" x14ac:dyDescent="0.35">
      <c r="A246" s="178">
        <v>40168</v>
      </c>
      <c r="B246" s="21">
        <v>72.709999999999994</v>
      </c>
      <c r="C246" s="21">
        <v>72.739999999999995</v>
      </c>
      <c r="N246">
        <v>0.13928064507911131</v>
      </c>
    </row>
    <row r="247" spans="1:14" x14ac:dyDescent="0.35">
      <c r="A247" s="178">
        <v>40169</v>
      </c>
      <c r="B247" s="21">
        <v>73.48</v>
      </c>
      <c r="C247" s="21">
        <v>71.64</v>
      </c>
      <c r="N247">
        <v>-1.7036073943244503</v>
      </c>
    </row>
    <row r="248" spans="1:14" x14ac:dyDescent="0.35">
      <c r="A248" s="178">
        <v>40170</v>
      </c>
      <c r="B248" s="21">
        <v>76.03</v>
      </c>
      <c r="C248" s="21">
        <v>73.87</v>
      </c>
      <c r="N248">
        <v>-1.9338210313102451</v>
      </c>
    </row>
    <row r="249" spans="1:14" x14ac:dyDescent="0.35">
      <c r="A249" s="178">
        <v>40171</v>
      </c>
      <c r="B249" s="21">
        <v>76.83</v>
      </c>
      <c r="C249" s="21">
        <v>75.150000000000006</v>
      </c>
      <c r="N249">
        <v>-1.4256527605606948</v>
      </c>
    </row>
    <row r="250" spans="1:14" x14ac:dyDescent="0.35">
      <c r="A250" s="178">
        <v>40175</v>
      </c>
      <c r="B250" s="21">
        <v>78.67</v>
      </c>
      <c r="C250" s="21">
        <v>76.59</v>
      </c>
      <c r="N250">
        <v>-1.7608657378367241</v>
      </c>
    </row>
    <row r="251" spans="1:14" x14ac:dyDescent="0.35">
      <c r="A251" s="178">
        <v>40176</v>
      </c>
      <c r="B251" s="21">
        <v>78.87</v>
      </c>
      <c r="C251" s="21">
        <v>76.650000000000006</v>
      </c>
      <c r="N251">
        <v>-1.893823670149331</v>
      </c>
    </row>
    <row r="252" spans="1:14" x14ac:dyDescent="0.35">
      <c r="A252" s="178">
        <v>40177</v>
      </c>
      <c r="B252" s="21">
        <v>79.349999999999994</v>
      </c>
      <c r="C252" s="21">
        <v>77.62</v>
      </c>
      <c r="N252">
        <v>-1.3869227076995969</v>
      </c>
    </row>
    <row r="253" spans="1:14" x14ac:dyDescent="0.35">
      <c r="A253" s="178">
        <v>40178</v>
      </c>
      <c r="B253" s="21">
        <v>79.39</v>
      </c>
      <c r="C253" s="21">
        <v>77.91</v>
      </c>
      <c r="N253">
        <v>-1.1355142941621352</v>
      </c>
    </row>
    <row r="254" spans="1:14" x14ac:dyDescent="0.35">
      <c r="A254" s="178">
        <v>40182</v>
      </c>
      <c r="B254" s="21">
        <v>81.52</v>
      </c>
      <c r="C254" s="21">
        <v>79.05</v>
      </c>
      <c r="N254">
        <v>-2.0505162732914357</v>
      </c>
    </row>
    <row r="255" spans="1:14" x14ac:dyDescent="0.35">
      <c r="A255" s="178">
        <v>40183</v>
      </c>
      <c r="B255" s="21">
        <v>81.739999999999995</v>
      </c>
      <c r="C255" s="21">
        <v>79.27</v>
      </c>
      <c r="N255">
        <v>-2.0427699988353112</v>
      </c>
    </row>
    <row r="256" spans="1:14" x14ac:dyDescent="0.35">
      <c r="A256" s="178">
        <v>40184</v>
      </c>
      <c r="B256" s="21">
        <v>83.12</v>
      </c>
      <c r="C256" s="21">
        <v>80.14</v>
      </c>
      <c r="N256">
        <v>-2.504179731792334</v>
      </c>
    </row>
    <row r="257" spans="1:14" x14ac:dyDescent="0.35">
      <c r="A257" s="178">
        <v>40185</v>
      </c>
      <c r="B257" s="21">
        <v>82.6</v>
      </c>
      <c r="C257" s="21">
        <v>80.569999999999993</v>
      </c>
      <c r="N257">
        <v>-1.5724891077795462</v>
      </c>
    </row>
    <row r="258" spans="1:14" x14ac:dyDescent="0.35">
      <c r="A258" s="178">
        <v>40186</v>
      </c>
      <c r="B258" s="21">
        <v>82.74</v>
      </c>
      <c r="C258" s="21">
        <v>80.06</v>
      </c>
      <c r="N258">
        <v>-2.2175596603983649</v>
      </c>
    </row>
    <row r="259" spans="1:14" x14ac:dyDescent="0.35">
      <c r="A259" s="178">
        <v>40189</v>
      </c>
      <c r="B259" s="21">
        <v>82.54</v>
      </c>
      <c r="C259" s="21">
        <v>80.14</v>
      </c>
      <c r="N259">
        <v>-1.9446017280857717</v>
      </c>
    </row>
    <row r="260" spans="1:14" x14ac:dyDescent="0.35">
      <c r="A260" s="178">
        <v>40190</v>
      </c>
      <c r="B260" s="21">
        <v>80.790000000000006</v>
      </c>
      <c r="C260" s="21">
        <v>79.38</v>
      </c>
      <c r="N260">
        <v>-1.0162198203504147</v>
      </c>
    </row>
    <row r="261" spans="1:14" x14ac:dyDescent="0.35">
      <c r="A261" s="178">
        <v>40191</v>
      </c>
      <c r="B261" s="21">
        <v>79.66</v>
      </c>
      <c r="C261" s="21">
        <v>77.569999999999993</v>
      </c>
      <c r="N261">
        <v>-1.7360075027841617</v>
      </c>
    </row>
    <row r="262" spans="1:14" x14ac:dyDescent="0.35">
      <c r="A262" s="178">
        <v>40192</v>
      </c>
      <c r="B262" s="21">
        <v>79.349999999999994</v>
      </c>
      <c r="C262" s="21">
        <v>77.61</v>
      </c>
      <c r="N262">
        <v>-1.396922707699602</v>
      </c>
    </row>
    <row r="263" spans="1:14" x14ac:dyDescent="0.35">
      <c r="A263" s="178">
        <v>40193</v>
      </c>
      <c r="B263" s="21">
        <v>77.959999999999994</v>
      </c>
      <c r="C263" s="21">
        <v>76.849999999999994</v>
      </c>
      <c r="N263">
        <v>-0.8158650781269472</v>
      </c>
    </row>
    <row r="264" spans="1:14" x14ac:dyDescent="0.35">
      <c r="A264" s="178">
        <v>40197</v>
      </c>
      <c r="B264" s="21">
        <v>78.98</v>
      </c>
      <c r="C264" s="21">
        <v>75.180000000000007</v>
      </c>
      <c r="N264">
        <v>-3.4699505329212741</v>
      </c>
    </row>
    <row r="265" spans="1:14" x14ac:dyDescent="0.35">
      <c r="A265" s="178">
        <v>40198</v>
      </c>
      <c r="B265" s="21">
        <v>77.42</v>
      </c>
      <c r="C265" s="21">
        <v>75.09</v>
      </c>
      <c r="N265">
        <v>-2.0548786608829062</v>
      </c>
    </row>
    <row r="266" spans="1:14" x14ac:dyDescent="0.35">
      <c r="A266" s="178">
        <v>40199</v>
      </c>
      <c r="B266" s="21">
        <v>75.84</v>
      </c>
      <c r="C266" s="21">
        <v>74.13</v>
      </c>
      <c r="N266">
        <v>-1.4905109956132776</v>
      </c>
    </row>
    <row r="267" spans="1:14" x14ac:dyDescent="0.35">
      <c r="A267" s="178">
        <v>40200</v>
      </c>
      <c r="B267" s="21">
        <v>74.25</v>
      </c>
      <c r="C267" s="21">
        <v>72.73</v>
      </c>
      <c r="N267">
        <v>-1.356495433728</v>
      </c>
    </row>
    <row r="268" spans="1:14" x14ac:dyDescent="0.35">
      <c r="A268" s="178">
        <v>40203</v>
      </c>
      <c r="B268" s="21">
        <v>74.900000000000006</v>
      </c>
      <c r="C268" s="21">
        <v>72.180000000000007</v>
      </c>
      <c r="N268">
        <v>-2.5336087137439876</v>
      </c>
    </row>
    <row r="269" spans="1:14" x14ac:dyDescent="0.35">
      <c r="A269" s="178">
        <v>40204</v>
      </c>
      <c r="B269" s="21">
        <v>74.67</v>
      </c>
      <c r="C269" s="21">
        <v>72.63</v>
      </c>
      <c r="N269">
        <v>-1.861707091584492</v>
      </c>
    </row>
    <row r="270" spans="1:14" x14ac:dyDescent="0.35">
      <c r="A270" s="178">
        <v>40205</v>
      </c>
      <c r="B270" s="21">
        <v>73.64</v>
      </c>
      <c r="C270" s="21">
        <v>72.75</v>
      </c>
      <c r="N270">
        <v>-0.74797374017454388</v>
      </c>
    </row>
    <row r="271" spans="1:14" x14ac:dyDescent="0.35">
      <c r="A271" s="178">
        <v>40206</v>
      </c>
      <c r="B271" s="21">
        <v>73.62</v>
      </c>
      <c r="C271" s="21">
        <v>70.650000000000006</v>
      </c>
      <c r="N271">
        <v>-2.828677946943273</v>
      </c>
    </row>
    <row r="272" spans="1:14" x14ac:dyDescent="0.35">
      <c r="A272" s="178">
        <v>40207</v>
      </c>
      <c r="B272" s="21">
        <v>72.849999999999994</v>
      </c>
      <c r="C272" s="21">
        <v>71.2</v>
      </c>
      <c r="N272">
        <v>-1.5357899075397086</v>
      </c>
    </row>
    <row r="273" spans="1:14" x14ac:dyDescent="0.35">
      <c r="A273" s="178">
        <v>40210</v>
      </c>
      <c r="B273" s="21">
        <v>74.41</v>
      </c>
      <c r="C273" s="21">
        <v>71.58</v>
      </c>
      <c r="N273">
        <v>-2.6608617795780987</v>
      </c>
    </row>
    <row r="274" spans="1:14" x14ac:dyDescent="0.35">
      <c r="A274" s="178">
        <v>40211</v>
      </c>
      <c r="B274" s="21">
        <v>77.209999999999994</v>
      </c>
      <c r="C274" s="21">
        <v>73.94</v>
      </c>
      <c r="N274">
        <v>-3.0022728319546559</v>
      </c>
    </row>
    <row r="275" spans="1:14" x14ac:dyDescent="0.35">
      <c r="A275" s="178">
        <v>40212</v>
      </c>
      <c r="B275" s="21">
        <v>76.959999999999994</v>
      </c>
      <c r="C275" s="21">
        <v>75.77</v>
      </c>
      <c r="N275">
        <v>-0.93107541656389969</v>
      </c>
    </row>
    <row r="276" spans="1:14" x14ac:dyDescent="0.35">
      <c r="A276" s="178">
        <v>40213</v>
      </c>
      <c r="B276" s="21">
        <v>73.13</v>
      </c>
      <c r="C276" s="21">
        <v>71.3</v>
      </c>
      <c r="N276">
        <v>-1.7059310127773841</v>
      </c>
    </row>
    <row r="277" spans="1:14" x14ac:dyDescent="0.35">
      <c r="A277" s="178">
        <v>40214</v>
      </c>
      <c r="B277" s="21">
        <v>71.150000000000006</v>
      </c>
      <c r="C277" s="21">
        <v>70.11</v>
      </c>
      <c r="N277">
        <v>-0.98564748288252702</v>
      </c>
    </row>
    <row r="278" spans="1:14" x14ac:dyDescent="0.35">
      <c r="A278" s="178">
        <v>40217</v>
      </c>
      <c r="B278" s="21">
        <v>71.87</v>
      </c>
      <c r="C278" s="21">
        <v>69.62</v>
      </c>
      <c r="N278">
        <v>-2.1702960392079262</v>
      </c>
    </row>
    <row r="279" spans="1:14" x14ac:dyDescent="0.35">
      <c r="A279" s="178">
        <v>40218</v>
      </c>
      <c r="B279" s="21">
        <v>73.709999999999994</v>
      </c>
      <c r="C279" s="21">
        <v>70.400000000000006</v>
      </c>
      <c r="N279">
        <v>-3.1655090164839379</v>
      </c>
    </row>
    <row r="280" spans="1:14" x14ac:dyDescent="0.35">
      <c r="A280" s="178">
        <v>40219</v>
      </c>
      <c r="B280" s="21">
        <v>74.48</v>
      </c>
      <c r="C280" s="21">
        <v>70.400000000000006</v>
      </c>
      <c r="N280">
        <v>-3.9083970558875052</v>
      </c>
    </row>
    <row r="281" spans="1:14" x14ac:dyDescent="0.35">
      <c r="A281" s="178">
        <v>40220</v>
      </c>
      <c r="B281" s="21">
        <v>75.23</v>
      </c>
      <c r="C281" s="21">
        <v>72.349999999999994</v>
      </c>
      <c r="N281">
        <v>-2.6819893020598187</v>
      </c>
    </row>
    <row r="282" spans="1:14" x14ac:dyDescent="0.35">
      <c r="A282" s="178">
        <v>40221</v>
      </c>
      <c r="B282" s="21">
        <v>74.11</v>
      </c>
      <c r="C282" s="21">
        <v>71.489999999999995</v>
      </c>
      <c r="N282">
        <v>-2.4614248811091812</v>
      </c>
    </row>
    <row r="283" spans="1:14" x14ac:dyDescent="0.35">
      <c r="A283" s="178">
        <v>40225</v>
      </c>
      <c r="B283" s="21">
        <v>76.98</v>
      </c>
      <c r="C283" s="21">
        <v>74.819999999999993</v>
      </c>
      <c r="N283">
        <v>-1.9003712097951677</v>
      </c>
    </row>
    <row r="284" spans="1:14" x14ac:dyDescent="0.35">
      <c r="A284" s="178">
        <v>40226</v>
      </c>
      <c r="B284" s="21">
        <v>77.27</v>
      </c>
      <c r="C284" s="21">
        <v>74.89</v>
      </c>
      <c r="N284">
        <v>-2.1101602116484344</v>
      </c>
    </row>
    <row r="285" spans="1:14" x14ac:dyDescent="0.35">
      <c r="A285" s="178">
        <v>40227</v>
      </c>
      <c r="B285" s="21">
        <v>78.97</v>
      </c>
      <c r="C285" s="21">
        <v>76.61</v>
      </c>
      <c r="N285">
        <v>-2.0303026363056489</v>
      </c>
    </row>
    <row r="286" spans="1:14" x14ac:dyDescent="0.35">
      <c r="A286" s="178">
        <v>40228</v>
      </c>
      <c r="B286" s="21">
        <v>79.77</v>
      </c>
      <c r="C286" s="21">
        <v>76.88</v>
      </c>
      <c r="N286">
        <v>-2.5321343655560895</v>
      </c>
    </row>
    <row r="287" spans="1:14" x14ac:dyDescent="0.35">
      <c r="A287" s="178">
        <v>40231</v>
      </c>
      <c r="B287" s="21">
        <v>80.040000000000006</v>
      </c>
      <c r="C287" s="21">
        <v>76.95</v>
      </c>
      <c r="N287">
        <v>-2.7226275741781194</v>
      </c>
    </row>
    <row r="288" spans="1:14" x14ac:dyDescent="0.35">
      <c r="A288" s="178">
        <v>40232</v>
      </c>
      <c r="B288" s="21">
        <v>78.61</v>
      </c>
      <c r="C288" s="21">
        <v>76.44</v>
      </c>
      <c r="N288">
        <v>-1.8529783581429484</v>
      </c>
    </row>
    <row r="289" spans="1:14" x14ac:dyDescent="0.35">
      <c r="A289" s="178">
        <v>40233</v>
      </c>
      <c r="B289" s="21">
        <v>79.75</v>
      </c>
      <c r="C289" s="21">
        <v>77</v>
      </c>
      <c r="N289">
        <v>-2.392838572324834</v>
      </c>
    </row>
    <row r="290" spans="1:14" x14ac:dyDescent="0.35">
      <c r="A290" s="178">
        <v>40234</v>
      </c>
      <c r="B290" s="21">
        <v>77.989999999999995</v>
      </c>
      <c r="C290" s="21">
        <v>74.38</v>
      </c>
      <c r="N290">
        <v>-3.3148087679738438</v>
      </c>
    </row>
    <row r="291" spans="1:14" x14ac:dyDescent="0.35">
      <c r="A291" s="178">
        <v>40235</v>
      </c>
      <c r="B291" s="21">
        <v>79.72</v>
      </c>
      <c r="C291" s="21">
        <v>76.36</v>
      </c>
      <c r="N291">
        <v>-3.0038948824779368</v>
      </c>
    </row>
    <row r="292" spans="1:14" x14ac:dyDescent="0.35">
      <c r="A292" s="178">
        <v>40238</v>
      </c>
      <c r="B292" s="21">
        <v>78.709999999999994</v>
      </c>
      <c r="C292" s="21">
        <v>76.069999999999993</v>
      </c>
      <c r="N292">
        <v>-2.3194573242992504</v>
      </c>
    </row>
    <row r="293" spans="1:14" x14ac:dyDescent="0.35">
      <c r="A293" s="178">
        <v>40239</v>
      </c>
      <c r="B293" s="21">
        <v>79.62</v>
      </c>
      <c r="C293" s="21">
        <v>77.5</v>
      </c>
      <c r="N293">
        <v>-1.7674159163216387</v>
      </c>
    </row>
    <row r="294" spans="1:14" x14ac:dyDescent="0.35">
      <c r="A294" s="178">
        <v>40240</v>
      </c>
      <c r="B294" s="21">
        <v>80.91</v>
      </c>
      <c r="C294" s="21">
        <v>78.66</v>
      </c>
      <c r="N294">
        <v>-1.8519945797379762</v>
      </c>
    </row>
    <row r="295" spans="1:14" x14ac:dyDescent="0.35">
      <c r="A295" s="178">
        <v>40241</v>
      </c>
      <c r="B295" s="21">
        <v>80.209999999999994</v>
      </c>
      <c r="C295" s="21">
        <v>77.88</v>
      </c>
      <c r="N295">
        <v>-1.9566418166438382</v>
      </c>
    </row>
    <row r="296" spans="1:14" x14ac:dyDescent="0.35">
      <c r="A296" s="178">
        <v>40242</v>
      </c>
      <c r="B296" s="21">
        <v>81.5</v>
      </c>
      <c r="C296" s="21">
        <v>79.2</v>
      </c>
      <c r="N296">
        <v>-1.8812204800601791</v>
      </c>
    </row>
    <row r="297" spans="1:14" x14ac:dyDescent="0.35">
      <c r="A297" s="178">
        <v>40245</v>
      </c>
      <c r="B297" s="21">
        <v>81.849999999999994</v>
      </c>
      <c r="C297" s="21">
        <v>78.94</v>
      </c>
      <c r="N297">
        <v>-2.4788968616072538</v>
      </c>
    </row>
    <row r="298" spans="1:14" x14ac:dyDescent="0.35">
      <c r="A298" s="178">
        <v>40246</v>
      </c>
      <c r="B298" s="21">
        <v>81.5</v>
      </c>
      <c r="C298" s="21">
        <v>78.77</v>
      </c>
      <c r="N298">
        <v>-2.3112204800601859</v>
      </c>
    </row>
    <row r="299" spans="1:14" x14ac:dyDescent="0.35">
      <c r="A299" s="178">
        <v>40247</v>
      </c>
      <c r="B299" s="21">
        <v>82.07</v>
      </c>
      <c r="C299" s="21">
        <v>80.290000000000006</v>
      </c>
      <c r="N299">
        <v>-1.3411505871511196</v>
      </c>
    </row>
    <row r="300" spans="1:14" x14ac:dyDescent="0.35">
      <c r="A300" s="178">
        <v>40248</v>
      </c>
      <c r="B300" s="21">
        <v>82.1</v>
      </c>
      <c r="C300" s="21">
        <v>79.44</v>
      </c>
      <c r="N300">
        <v>-2.2200942769980117</v>
      </c>
    </row>
    <row r="301" spans="1:14" x14ac:dyDescent="0.35">
      <c r="A301" s="178">
        <v>40249</v>
      </c>
      <c r="B301" s="21">
        <v>81.260000000000005</v>
      </c>
      <c r="C301" s="21">
        <v>79.38</v>
      </c>
      <c r="N301">
        <v>-1.4696709612850611</v>
      </c>
    </row>
    <row r="302" spans="1:14" x14ac:dyDescent="0.35">
      <c r="A302" s="178">
        <v>40252</v>
      </c>
      <c r="B302" s="21">
        <v>79.790000000000006</v>
      </c>
      <c r="C302" s="21">
        <v>77.08</v>
      </c>
      <c r="N302">
        <v>-2.3514301587873661</v>
      </c>
    </row>
    <row r="303" spans="1:14" x14ac:dyDescent="0.35">
      <c r="A303" s="178">
        <v>40253</v>
      </c>
      <c r="B303" s="21">
        <v>81.75</v>
      </c>
      <c r="C303" s="21">
        <v>79.45</v>
      </c>
      <c r="N303">
        <v>-1.872417895450937</v>
      </c>
    </row>
    <row r="304" spans="1:14" x14ac:dyDescent="0.35">
      <c r="A304" s="178">
        <v>40254</v>
      </c>
      <c r="B304" s="21">
        <v>82.93</v>
      </c>
      <c r="C304" s="21">
        <v>80.28</v>
      </c>
      <c r="N304">
        <v>-2.1808696960953569</v>
      </c>
    </row>
    <row r="305" spans="1:14" x14ac:dyDescent="0.35">
      <c r="A305" s="178">
        <v>40255</v>
      </c>
      <c r="B305" s="21">
        <v>82.16</v>
      </c>
      <c r="C305" s="21">
        <v>80.09</v>
      </c>
      <c r="N305">
        <v>-1.6279816566917873</v>
      </c>
    </row>
    <row r="306" spans="1:14" x14ac:dyDescent="0.35">
      <c r="A306" s="178">
        <v>40256</v>
      </c>
      <c r="B306" s="21">
        <v>80.58</v>
      </c>
      <c r="C306" s="21">
        <v>78.37</v>
      </c>
      <c r="N306">
        <v>-1.8236139914221638</v>
      </c>
    </row>
    <row r="307" spans="1:14" x14ac:dyDescent="0.35">
      <c r="A307" s="178">
        <v>40259</v>
      </c>
      <c r="B307" s="21">
        <v>81.260000000000005</v>
      </c>
      <c r="C307" s="21">
        <v>78.09</v>
      </c>
      <c r="N307">
        <v>-2.7596709612850532</v>
      </c>
    </row>
    <row r="308" spans="1:14" x14ac:dyDescent="0.35">
      <c r="A308" s="178">
        <v>40260</v>
      </c>
      <c r="B308" s="21">
        <v>81.680000000000007</v>
      </c>
      <c r="C308" s="21">
        <v>79.17</v>
      </c>
      <c r="N308">
        <v>-2.0848826191415384</v>
      </c>
    </row>
    <row r="309" spans="1:14" x14ac:dyDescent="0.35">
      <c r="A309" s="178">
        <v>40261</v>
      </c>
      <c r="B309" s="21">
        <v>80.290000000000006</v>
      </c>
      <c r="C309" s="21">
        <v>78.03</v>
      </c>
      <c r="N309">
        <v>-1.883824989568879</v>
      </c>
    </row>
    <row r="310" spans="1:14" x14ac:dyDescent="0.35">
      <c r="A310" s="178">
        <v>40262</v>
      </c>
      <c r="B310" s="21">
        <v>80.25</v>
      </c>
      <c r="C310" s="21">
        <v>78.64</v>
      </c>
      <c r="N310">
        <v>-1.2352334031063634</v>
      </c>
    </row>
    <row r="311" spans="1:14" x14ac:dyDescent="0.35">
      <c r="A311" s="178">
        <v>40263</v>
      </c>
      <c r="B311" s="21">
        <v>79.75</v>
      </c>
      <c r="C311" s="21">
        <v>77.98</v>
      </c>
      <c r="N311">
        <v>-1.41283857232483</v>
      </c>
    </row>
    <row r="312" spans="1:14" x14ac:dyDescent="0.35">
      <c r="A312" s="178">
        <v>40266</v>
      </c>
      <c r="B312" s="21">
        <v>81.92</v>
      </c>
      <c r="C312" s="21">
        <v>79.89</v>
      </c>
      <c r="N312">
        <v>-1.5964321379166648</v>
      </c>
    </row>
    <row r="313" spans="1:14" x14ac:dyDescent="0.35">
      <c r="A313" s="178">
        <v>40267</v>
      </c>
      <c r="B313" s="21">
        <v>82.14</v>
      </c>
      <c r="C313" s="21">
        <v>79.459999999999994</v>
      </c>
      <c r="N313">
        <v>-2.238685863460546</v>
      </c>
    </row>
    <row r="314" spans="1:14" x14ac:dyDescent="0.35">
      <c r="A314" s="178">
        <v>40268</v>
      </c>
      <c r="B314" s="21">
        <v>83.45</v>
      </c>
      <c r="C314" s="21">
        <v>80.37</v>
      </c>
      <c r="N314">
        <v>-2.5925603201081486</v>
      </c>
    </row>
    <row r="315" spans="1:14" x14ac:dyDescent="0.35">
      <c r="A315" s="178">
        <v>40269</v>
      </c>
      <c r="B315" s="21">
        <v>84.53</v>
      </c>
      <c r="C315" s="21">
        <v>82.63</v>
      </c>
      <c r="N315">
        <v>-1.37453315459625</v>
      </c>
    </row>
    <row r="316" spans="1:14" x14ac:dyDescent="0.35">
      <c r="A316" s="178">
        <v>40273</v>
      </c>
      <c r="B316" s="21">
        <v>86.36</v>
      </c>
      <c r="C316" s="21">
        <v>84.48</v>
      </c>
      <c r="N316">
        <v>-1.2900982352566501</v>
      </c>
    </row>
    <row r="317" spans="1:14" x14ac:dyDescent="0.35">
      <c r="A317" s="178">
        <v>40274</v>
      </c>
      <c r="B317" s="21">
        <v>86.54</v>
      </c>
      <c r="C317" s="21">
        <v>85.05</v>
      </c>
      <c r="N317">
        <v>-0.89376037433800093</v>
      </c>
    </row>
    <row r="318" spans="1:14" x14ac:dyDescent="0.35">
      <c r="A318" s="178">
        <v>40275</v>
      </c>
      <c r="B318" s="21">
        <v>85.64</v>
      </c>
      <c r="C318" s="21">
        <v>84.49</v>
      </c>
      <c r="N318">
        <v>-0.58544967893125488</v>
      </c>
    </row>
    <row r="319" spans="1:14" x14ac:dyDescent="0.35">
      <c r="A319" s="178">
        <v>40276</v>
      </c>
      <c r="B319" s="21">
        <v>85.17</v>
      </c>
      <c r="C319" s="21">
        <v>82.63</v>
      </c>
      <c r="N319">
        <v>-1.9919985379966079</v>
      </c>
    </row>
    <row r="320" spans="1:14" x14ac:dyDescent="0.35">
      <c r="A320" s="178">
        <v>40277</v>
      </c>
      <c r="B320" s="21">
        <v>84.6</v>
      </c>
      <c r="C320" s="21">
        <v>82.77</v>
      </c>
      <c r="N320">
        <v>-1.3020684309056634</v>
      </c>
    </row>
    <row r="321" spans="1:14" x14ac:dyDescent="0.35">
      <c r="A321" s="178">
        <v>40280</v>
      </c>
      <c r="B321" s="21">
        <v>84.07</v>
      </c>
      <c r="C321" s="21">
        <v>85.21</v>
      </c>
      <c r="N321">
        <v>1.6492700897227621</v>
      </c>
    </row>
    <row r="322" spans="1:14" x14ac:dyDescent="0.35">
      <c r="A322" s="178">
        <v>40281</v>
      </c>
      <c r="B322" s="21">
        <v>83.8</v>
      </c>
      <c r="C322" s="21">
        <v>83.44</v>
      </c>
      <c r="N322">
        <v>0.13976329834478918</v>
      </c>
    </row>
    <row r="323" spans="1:14" x14ac:dyDescent="0.35">
      <c r="A323" s="178">
        <v>40282</v>
      </c>
      <c r="B323" s="21">
        <v>85.62</v>
      </c>
      <c r="C323" s="21">
        <v>85.81</v>
      </c>
      <c r="N323">
        <v>0.75384611430001769</v>
      </c>
    </row>
    <row r="324" spans="1:14" x14ac:dyDescent="0.35">
      <c r="A324" s="178">
        <v>40283</v>
      </c>
      <c r="B324" s="21">
        <v>85.25</v>
      </c>
      <c r="C324" s="21">
        <v>86.9</v>
      </c>
      <c r="N324">
        <v>2.2008182890783559</v>
      </c>
    </row>
    <row r="325" spans="1:14" x14ac:dyDescent="0.35">
      <c r="A325" s="178">
        <v>40284</v>
      </c>
      <c r="B325" s="21">
        <v>82.97</v>
      </c>
      <c r="C325" s="21">
        <v>84.81</v>
      </c>
      <c r="N325">
        <v>2.3105387174421281</v>
      </c>
    </row>
    <row r="326" spans="1:14" x14ac:dyDescent="0.35">
      <c r="A326" s="178">
        <v>40287</v>
      </c>
      <c r="B326" s="21">
        <v>81.52</v>
      </c>
      <c r="C326" s="21">
        <v>83.09</v>
      </c>
      <c r="N326">
        <v>1.9894837267085705</v>
      </c>
    </row>
    <row r="327" spans="1:14" x14ac:dyDescent="0.35">
      <c r="A327" s="178">
        <v>40288</v>
      </c>
      <c r="B327" s="21">
        <v>82.98</v>
      </c>
      <c r="C327" s="21">
        <v>84.73</v>
      </c>
      <c r="N327">
        <v>2.2208908208264972</v>
      </c>
    </row>
    <row r="328" spans="1:14" x14ac:dyDescent="0.35">
      <c r="A328" s="178">
        <v>40289</v>
      </c>
      <c r="B328" s="21">
        <v>82.78</v>
      </c>
      <c r="C328" s="21">
        <v>84.55</v>
      </c>
      <c r="N328">
        <v>2.2338487531390996</v>
      </c>
    </row>
    <row r="329" spans="1:14" x14ac:dyDescent="0.35">
      <c r="A329" s="178">
        <v>40290</v>
      </c>
      <c r="B329" s="21">
        <v>82.89</v>
      </c>
      <c r="C329" s="21">
        <v>84.58</v>
      </c>
      <c r="N329">
        <v>2.1577218903671707</v>
      </c>
    </row>
    <row r="330" spans="1:14" x14ac:dyDescent="0.35">
      <c r="A330" s="178">
        <v>40291</v>
      </c>
      <c r="B330" s="21">
        <v>84.34</v>
      </c>
      <c r="C330" s="21">
        <v>86.09</v>
      </c>
      <c r="N330">
        <v>2.2687768811007345</v>
      </c>
    </row>
    <row r="331" spans="1:14" x14ac:dyDescent="0.35">
      <c r="A331" s="178">
        <v>40294</v>
      </c>
      <c r="B331" s="21">
        <v>84.2</v>
      </c>
      <c r="C331" s="21">
        <v>86.72</v>
      </c>
      <c r="N331">
        <v>3.0338474337195578</v>
      </c>
    </row>
    <row r="332" spans="1:14" x14ac:dyDescent="0.35">
      <c r="A332" s="178">
        <v>40295</v>
      </c>
      <c r="B332" s="21">
        <v>82.43</v>
      </c>
      <c r="C332" s="21">
        <v>85.59</v>
      </c>
      <c r="N332">
        <v>3.6115251346861754</v>
      </c>
    </row>
    <row r="333" spans="1:14" x14ac:dyDescent="0.35">
      <c r="A333" s="178">
        <v>40296</v>
      </c>
      <c r="B333" s="21">
        <v>83.22</v>
      </c>
      <c r="C333" s="21">
        <v>84.59</v>
      </c>
      <c r="N333">
        <v>1.8493413020513572</v>
      </c>
    </row>
    <row r="334" spans="1:14" x14ac:dyDescent="0.35">
      <c r="A334" s="178">
        <v>40297</v>
      </c>
      <c r="B334" s="21">
        <v>85.17</v>
      </c>
      <c r="C334" s="21">
        <v>86.82</v>
      </c>
      <c r="N334">
        <v>2.1980014620033899</v>
      </c>
    </row>
    <row r="335" spans="1:14" x14ac:dyDescent="0.35">
      <c r="A335" s="178">
        <v>40298</v>
      </c>
      <c r="B335" s="21">
        <v>86.07</v>
      </c>
      <c r="C335" s="21">
        <v>86.19</v>
      </c>
      <c r="N335">
        <v>0.69969076659664609</v>
      </c>
    </row>
    <row r="336" spans="1:14" x14ac:dyDescent="0.35">
      <c r="A336" s="178">
        <v>40301</v>
      </c>
      <c r="B336" s="21">
        <v>86.19</v>
      </c>
      <c r="C336" s="21">
        <v>88.09</v>
      </c>
      <c r="N336">
        <v>2.4839160072090749</v>
      </c>
    </row>
    <row r="337" spans="1:14" x14ac:dyDescent="0.35">
      <c r="A337" s="178">
        <v>40302</v>
      </c>
      <c r="B337" s="21">
        <v>82.73</v>
      </c>
      <c r="C337" s="21">
        <v>85.39</v>
      </c>
      <c r="N337">
        <v>3.1220882362172517</v>
      </c>
    </row>
    <row r="338" spans="1:14" x14ac:dyDescent="0.35">
      <c r="A338" s="178">
        <v>40303</v>
      </c>
      <c r="B338" s="21">
        <v>80</v>
      </c>
      <c r="C338" s="21">
        <v>82.31</v>
      </c>
      <c r="N338">
        <v>2.6759640122844104</v>
      </c>
    </row>
    <row r="339" spans="1:14" x14ac:dyDescent="0.35">
      <c r="A339" s="178">
        <v>40304</v>
      </c>
      <c r="B339" s="21">
        <v>77.180000000000007</v>
      </c>
      <c r="C339" s="21">
        <v>80.209999999999994</v>
      </c>
      <c r="N339">
        <v>3.2966708578922237</v>
      </c>
    </row>
    <row r="340" spans="1:14" x14ac:dyDescent="0.35">
      <c r="A340" s="178">
        <v>40305</v>
      </c>
      <c r="B340" s="21">
        <v>75.099999999999994</v>
      </c>
      <c r="C340" s="21">
        <v>76.48</v>
      </c>
      <c r="N340">
        <v>1.5734333539434004</v>
      </c>
    </row>
    <row r="341" spans="1:14" x14ac:dyDescent="0.35">
      <c r="A341" s="178">
        <v>40308</v>
      </c>
      <c r="B341" s="21">
        <v>76.89</v>
      </c>
      <c r="C341" s="21">
        <v>78.08</v>
      </c>
      <c r="N341">
        <v>1.4464598597455165</v>
      </c>
    </row>
    <row r="342" spans="1:14" x14ac:dyDescent="0.35">
      <c r="A342" s="178">
        <v>40309</v>
      </c>
      <c r="B342" s="21">
        <v>76.37</v>
      </c>
      <c r="C342" s="21">
        <v>79</v>
      </c>
      <c r="N342">
        <v>2.8681504837582992</v>
      </c>
    </row>
    <row r="343" spans="1:14" x14ac:dyDescent="0.35">
      <c r="A343" s="178">
        <v>40310</v>
      </c>
      <c r="B343" s="21">
        <v>75.650000000000006</v>
      </c>
      <c r="C343" s="21">
        <v>78.7</v>
      </c>
      <c r="N343">
        <v>3.2627990400837064</v>
      </c>
    </row>
    <row r="344" spans="1:14" x14ac:dyDescent="0.35">
      <c r="A344" s="178">
        <v>40311</v>
      </c>
      <c r="B344" s="21">
        <v>74.38</v>
      </c>
      <c r="C344" s="21">
        <v>79.41</v>
      </c>
      <c r="N344">
        <v>5.1980819102687974</v>
      </c>
    </row>
    <row r="345" spans="1:14" x14ac:dyDescent="0.35">
      <c r="A345" s="178">
        <v>40312</v>
      </c>
      <c r="B345" s="21">
        <v>71.61</v>
      </c>
      <c r="C345" s="21">
        <v>76.430000000000007</v>
      </c>
      <c r="N345">
        <v>4.8905492727984807</v>
      </c>
    </row>
    <row r="346" spans="1:14" x14ac:dyDescent="0.35">
      <c r="A346" s="178">
        <v>40315</v>
      </c>
      <c r="B346" s="21">
        <v>70.08</v>
      </c>
      <c r="C346" s="21">
        <v>73.87</v>
      </c>
      <c r="N346">
        <v>3.806677454989952</v>
      </c>
    </row>
    <row r="347" spans="1:14" x14ac:dyDescent="0.35">
      <c r="A347" s="178">
        <v>40316</v>
      </c>
      <c r="B347" s="21">
        <v>69.38</v>
      </c>
      <c r="C347" s="21">
        <v>75.12</v>
      </c>
      <c r="N347">
        <v>5.7320302180841054</v>
      </c>
    </row>
    <row r="348" spans="1:14" x14ac:dyDescent="0.35">
      <c r="A348" s="178">
        <v>40317</v>
      </c>
      <c r="B348" s="21">
        <v>69.91</v>
      </c>
      <c r="C348" s="21">
        <v>71.86</v>
      </c>
      <c r="N348">
        <v>1.9606916974556725</v>
      </c>
    </row>
    <row r="349" spans="1:14" x14ac:dyDescent="0.35">
      <c r="A349" s="178">
        <v>40318</v>
      </c>
      <c r="B349" s="21">
        <v>68.28</v>
      </c>
      <c r="C349" s="21">
        <v>69.56</v>
      </c>
      <c r="N349">
        <v>1.2332988458034606</v>
      </c>
    </row>
    <row r="350" spans="1:14" x14ac:dyDescent="0.35">
      <c r="A350" s="178">
        <v>40319</v>
      </c>
      <c r="B350" s="21">
        <v>68.03</v>
      </c>
      <c r="C350" s="21">
        <v>70.45</v>
      </c>
      <c r="N350">
        <v>2.3644962611942191</v>
      </c>
    </row>
    <row r="351" spans="1:14" x14ac:dyDescent="0.35">
      <c r="A351" s="178">
        <v>40322</v>
      </c>
      <c r="B351" s="21">
        <v>68.23</v>
      </c>
      <c r="C351" s="21">
        <v>69.62</v>
      </c>
      <c r="N351">
        <v>1.3415383288816116</v>
      </c>
    </row>
    <row r="352" spans="1:14" x14ac:dyDescent="0.35">
      <c r="A352" s="178">
        <v>40323</v>
      </c>
      <c r="B352" s="21">
        <v>64.78</v>
      </c>
      <c r="C352" s="21">
        <v>67.180000000000007</v>
      </c>
      <c r="N352">
        <v>2.230062661274161</v>
      </c>
    </row>
    <row r="353" spans="1:14" x14ac:dyDescent="0.35">
      <c r="A353" s="178">
        <v>40324</v>
      </c>
      <c r="B353" s="21">
        <v>71.52</v>
      </c>
      <c r="C353" s="21">
        <v>70.59</v>
      </c>
      <c r="N353">
        <v>-0.86261965766084359</v>
      </c>
    </row>
    <row r="354" spans="1:14" x14ac:dyDescent="0.35">
      <c r="A354" s="178">
        <v>40325</v>
      </c>
      <c r="B354" s="21">
        <v>74.56</v>
      </c>
      <c r="C354" s="21">
        <v>73.56</v>
      </c>
      <c r="N354">
        <v>-0.82558022881255511</v>
      </c>
    </row>
    <row r="355" spans="1:14" x14ac:dyDescent="0.35">
      <c r="A355" s="178">
        <v>40326</v>
      </c>
      <c r="B355" s="21">
        <v>74</v>
      </c>
      <c r="C355" s="21">
        <v>73</v>
      </c>
      <c r="N355">
        <v>-0.84529801833724605</v>
      </c>
    </row>
    <row r="356" spans="1:14" x14ac:dyDescent="0.35">
      <c r="A356" s="178">
        <v>40330</v>
      </c>
      <c r="B356" s="21">
        <v>72.7</v>
      </c>
      <c r="C356" s="21">
        <v>73.08</v>
      </c>
      <c r="N356">
        <v>0.4889285416947331</v>
      </c>
    </row>
    <row r="357" spans="1:14" x14ac:dyDescent="0.35">
      <c r="A357" s="178">
        <v>40331</v>
      </c>
      <c r="B357" s="21">
        <v>72.88</v>
      </c>
      <c r="C357" s="21">
        <v>72.78</v>
      </c>
      <c r="N357">
        <v>1.5266402613391961E-2</v>
      </c>
    </row>
    <row r="358" spans="1:14" x14ac:dyDescent="0.35">
      <c r="A358" s="178">
        <v>40332</v>
      </c>
      <c r="B358" s="21">
        <v>74.62</v>
      </c>
      <c r="C358" s="21">
        <v>73.12</v>
      </c>
      <c r="N358">
        <v>-1.3234676085063342</v>
      </c>
    </row>
    <row r="359" spans="1:14" x14ac:dyDescent="0.35">
      <c r="A359" s="178">
        <v>40333</v>
      </c>
      <c r="B359" s="21">
        <v>71.430000000000007</v>
      </c>
      <c r="C359" s="21">
        <v>71.84</v>
      </c>
      <c r="N359">
        <v>0.4742114118798213</v>
      </c>
    </row>
    <row r="360" spans="1:14" x14ac:dyDescent="0.35">
      <c r="A360" s="178">
        <v>40336</v>
      </c>
      <c r="B360" s="21">
        <v>71.55</v>
      </c>
      <c r="C360" s="21">
        <v>71.09</v>
      </c>
      <c r="N360">
        <v>-0.39156334750774136</v>
      </c>
    </row>
    <row r="361" spans="1:14" x14ac:dyDescent="0.35">
      <c r="A361" s="178">
        <v>40337</v>
      </c>
      <c r="B361" s="21">
        <v>71.88</v>
      </c>
      <c r="C361" s="21">
        <v>71.430000000000007</v>
      </c>
      <c r="N361">
        <v>-0.36994393582354235</v>
      </c>
    </row>
    <row r="362" spans="1:14" x14ac:dyDescent="0.35">
      <c r="A362" s="178">
        <v>40338</v>
      </c>
      <c r="B362" s="21">
        <v>74.38</v>
      </c>
      <c r="C362" s="21">
        <v>73.680000000000007</v>
      </c>
      <c r="N362">
        <v>-0.53191808973119237</v>
      </c>
    </row>
    <row r="363" spans="1:14" x14ac:dyDescent="0.35">
      <c r="A363" s="178">
        <v>40339</v>
      </c>
      <c r="B363" s="21">
        <v>75.48</v>
      </c>
      <c r="C363" s="21">
        <v>74.33</v>
      </c>
      <c r="N363">
        <v>-0.94318671745057259</v>
      </c>
    </row>
    <row r="364" spans="1:14" x14ac:dyDescent="0.35">
      <c r="A364" s="178">
        <v>40340</v>
      </c>
      <c r="B364" s="21">
        <v>73.89</v>
      </c>
      <c r="C364" s="21">
        <v>73.28</v>
      </c>
      <c r="N364">
        <v>-0.45917115556530064</v>
      </c>
    </row>
    <row r="365" spans="1:14" x14ac:dyDescent="0.35">
      <c r="A365" s="178">
        <v>40343</v>
      </c>
      <c r="B365" s="21">
        <v>74.989999999999995</v>
      </c>
      <c r="C365" s="21">
        <v>75.11</v>
      </c>
      <c r="N365">
        <v>0.30956021671534018</v>
      </c>
    </row>
    <row r="366" spans="1:14" x14ac:dyDescent="0.35">
      <c r="A366" s="178">
        <v>40344</v>
      </c>
      <c r="B366" s="21">
        <v>76.84</v>
      </c>
      <c r="C366" s="21">
        <v>75.290000000000006</v>
      </c>
      <c r="N366">
        <v>-1.2953006571763268</v>
      </c>
    </row>
    <row r="367" spans="1:14" x14ac:dyDescent="0.35">
      <c r="A367" s="178">
        <v>40345</v>
      </c>
      <c r="B367" s="21">
        <v>77.67</v>
      </c>
      <c r="C367" s="21">
        <v>76.12</v>
      </c>
      <c r="N367">
        <v>-1.2660760762736629</v>
      </c>
    </row>
    <row r="368" spans="1:14" x14ac:dyDescent="0.35">
      <c r="A368" s="178">
        <v>40346</v>
      </c>
      <c r="B368" s="21">
        <v>76.819999999999993</v>
      </c>
      <c r="C368" s="21">
        <v>77.52</v>
      </c>
      <c r="N368">
        <v>0.95399513605494235</v>
      </c>
    </row>
    <row r="369" spans="1:14" x14ac:dyDescent="0.35">
      <c r="A369" s="178">
        <v>40347</v>
      </c>
      <c r="B369" s="21">
        <v>77.180000000000007</v>
      </c>
      <c r="C369" s="21">
        <v>77.05</v>
      </c>
      <c r="N369">
        <v>0.1366708578922271</v>
      </c>
    </row>
    <row r="370" spans="1:14" x14ac:dyDescent="0.35">
      <c r="A370" s="178">
        <v>40350</v>
      </c>
      <c r="B370" s="21">
        <v>77.84</v>
      </c>
      <c r="C370" s="21">
        <v>78.53</v>
      </c>
      <c r="N370">
        <v>0.97990968126060807</v>
      </c>
    </row>
    <row r="371" spans="1:14" x14ac:dyDescent="0.35">
      <c r="A371" s="178">
        <v>40351</v>
      </c>
      <c r="B371" s="21">
        <v>77.150000000000006</v>
      </c>
      <c r="C371" s="21">
        <v>78.08</v>
      </c>
      <c r="N371">
        <v>1.1956145477391118</v>
      </c>
    </row>
    <row r="372" spans="1:14" x14ac:dyDescent="0.35">
      <c r="A372" s="178">
        <v>40352</v>
      </c>
      <c r="B372" s="21">
        <v>75.900000000000006</v>
      </c>
      <c r="C372" s="21">
        <v>75.22</v>
      </c>
      <c r="N372">
        <v>-0.45839837530705552</v>
      </c>
    </row>
    <row r="373" spans="1:14" x14ac:dyDescent="0.35">
      <c r="A373" s="178">
        <v>40353</v>
      </c>
      <c r="B373" s="21">
        <v>75.959999999999994</v>
      </c>
      <c r="C373" s="21">
        <v>75.17</v>
      </c>
      <c r="N373">
        <v>-0.566285755000834</v>
      </c>
    </row>
    <row r="374" spans="1:14" x14ac:dyDescent="0.35">
      <c r="A374" s="178">
        <v>40354</v>
      </c>
      <c r="B374" s="21">
        <v>78.45</v>
      </c>
      <c r="C374" s="21">
        <v>76.209999999999994</v>
      </c>
      <c r="N374">
        <v>-1.9286120122928594</v>
      </c>
    </row>
    <row r="375" spans="1:14" x14ac:dyDescent="0.35">
      <c r="A375" s="178">
        <v>40357</v>
      </c>
      <c r="B375" s="21">
        <v>78.260000000000005</v>
      </c>
      <c r="C375" s="21">
        <v>76.66</v>
      </c>
      <c r="N375">
        <v>-1.29530197659588</v>
      </c>
    </row>
    <row r="376" spans="1:14" x14ac:dyDescent="0.35">
      <c r="A376" s="178">
        <v>40358</v>
      </c>
      <c r="B376" s="21">
        <v>75.930000000000007</v>
      </c>
      <c r="C376" s="21">
        <v>74.209999999999994</v>
      </c>
      <c r="N376">
        <v>-1.4973420651539584</v>
      </c>
    </row>
    <row r="377" spans="1:14" x14ac:dyDescent="0.35">
      <c r="A377" s="178">
        <v>40359</v>
      </c>
      <c r="B377" s="21">
        <v>75.59</v>
      </c>
      <c r="C377" s="21">
        <v>74.94</v>
      </c>
      <c r="N377">
        <v>-0.43931358022250322</v>
      </c>
    </row>
    <row r="378" spans="1:14" x14ac:dyDescent="0.35">
      <c r="A378" s="178">
        <v>40360</v>
      </c>
      <c r="B378" s="21">
        <v>72.95</v>
      </c>
      <c r="C378" s="21">
        <v>71.73</v>
      </c>
      <c r="N378">
        <v>-1.1022688736960333</v>
      </c>
    </row>
    <row r="379" spans="1:14" x14ac:dyDescent="0.35">
      <c r="A379" s="178">
        <v>40361</v>
      </c>
      <c r="B379" s="21">
        <v>72.06</v>
      </c>
      <c r="C379" s="21">
        <v>71.75</v>
      </c>
      <c r="N379">
        <v>-0.22360607490490736</v>
      </c>
    </row>
    <row r="380" spans="1:14" x14ac:dyDescent="0.35">
      <c r="A380" s="178">
        <v>40365</v>
      </c>
      <c r="B380" s="21">
        <v>71.959999999999994</v>
      </c>
      <c r="C380" s="21">
        <v>73.08</v>
      </c>
      <c r="N380">
        <v>1.2028728912514026</v>
      </c>
    </row>
    <row r="381" spans="1:14" x14ac:dyDescent="0.35">
      <c r="A381" s="178">
        <v>40366</v>
      </c>
      <c r="B381" s="21">
        <v>74.05</v>
      </c>
      <c r="C381" s="21">
        <v>72.97</v>
      </c>
      <c r="N381">
        <v>-0.92353750141539592</v>
      </c>
    </row>
    <row r="382" spans="1:14" x14ac:dyDescent="0.35">
      <c r="A382" s="178">
        <v>40367</v>
      </c>
      <c r="B382" s="21">
        <v>75.459999999999994</v>
      </c>
      <c r="C382" s="21">
        <v>74.56</v>
      </c>
      <c r="N382">
        <v>-0.69389092421930343</v>
      </c>
    </row>
    <row r="383" spans="1:14" x14ac:dyDescent="0.35">
      <c r="A383" s="178">
        <v>40368</v>
      </c>
      <c r="B383" s="21">
        <v>76.08</v>
      </c>
      <c r="C383" s="21">
        <v>75.2</v>
      </c>
      <c r="N383">
        <v>-0.65206051438839552</v>
      </c>
    </row>
    <row r="384" spans="1:14" x14ac:dyDescent="0.35">
      <c r="A384" s="178">
        <v>40371</v>
      </c>
      <c r="B384" s="21">
        <v>74.930000000000007</v>
      </c>
      <c r="C384" s="21">
        <v>74.349999999999994</v>
      </c>
      <c r="N384">
        <v>-0.39255240359089782</v>
      </c>
    </row>
    <row r="385" spans="1:14" x14ac:dyDescent="0.35">
      <c r="A385" s="178">
        <v>40372</v>
      </c>
      <c r="B385" s="21">
        <v>77.16</v>
      </c>
      <c r="C385" s="21">
        <v>76.45</v>
      </c>
      <c r="N385">
        <v>-0.44403334887650203</v>
      </c>
    </row>
    <row r="386" spans="1:14" x14ac:dyDescent="0.35">
      <c r="A386" s="178">
        <v>40373</v>
      </c>
      <c r="B386" s="21">
        <v>77.02</v>
      </c>
      <c r="C386" s="21">
        <v>76.63</v>
      </c>
      <c r="N386">
        <v>-0.12896279625768159</v>
      </c>
    </row>
    <row r="387" spans="1:14" x14ac:dyDescent="0.35">
      <c r="A387" s="178">
        <v>40374</v>
      </c>
      <c r="B387" s="21">
        <v>76.67</v>
      </c>
      <c r="C387" s="21">
        <v>75.52</v>
      </c>
      <c r="N387">
        <v>-0.90128641471061144</v>
      </c>
    </row>
    <row r="388" spans="1:14" x14ac:dyDescent="0.35">
      <c r="A388" s="178">
        <v>40375</v>
      </c>
      <c r="B388" s="21">
        <v>75.959999999999994</v>
      </c>
      <c r="C388" s="21">
        <v>75.55</v>
      </c>
      <c r="N388">
        <v>-0.18628575500083855</v>
      </c>
    </row>
    <row r="389" spans="1:14" x14ac:dyDescent="0.35">
      <c r="A389" s="178">
        <v>40378</v>
      </c>
      <c r="B389" s="21">
        <v>76.53</v>
      </c>
      <c r="C389" s="21">
        <v>76.290000000000006</v>
      </c>
      <c r="N389">
        <v>3.7841379082266258E-3</v>
      </c>
    </row>
    <row r="390" spans="1:14" x14ac:dyDescent="0.35">
      <c r="A390" s="178">
        <v>40379</v>
      </c>
      <c r="B390" s="21">
        <v>77.319999999999993</v>
      </c>
      <c r="C390" s="21">
        <v>76.31</v>
      </c>
      <c r="N390">
        <v>-0.7383996947265814</v>
      </c>
    </row>
    <row r="391" spans="1:14" x14ac:dyDescent="0.35">
      <c r="A391" s="178">
        <v>40380</v>
      </c>
      <c r="B391" s="21">
        <v>76.27</v>
      </c>
      <c r="C391" s="21">
        <v>75.75</v>
      </c>
      <c r="N391">
        <v>-0.28537055008537493</v>
      </c>
    </row>
    <row r="392" spans="1:14" x14ac:dyDescent="0.35">
      <c r="A392" s="178">
        <v>40381</v>
      </c>
      <c r="B392" s="21">
        <v>79.010000000000005</v>
      </c>
      <c r="C392" s="21">
        <v>77.59</v>
      </c>
      <c r="N392">
        <v>-1.0888942227681611</v>
      </c>
    </row>
    <row r="393" spans="1:14" x14ac:dyDescent="0.35">
      <c r="A393" s="178">
        <v>40382</v>
      </c>
      <c r="B393" s="21">
        <v>78.680000000000007</v>
      </c>
      <c r="C393" s="21">
        <v>77.27</v>
      </c>
      <c r="N393">
        <v>-1.090513634452364</v>
      </c>
    </row>
    <row r="394" spans="1:14" x14ac:dyDescent="0.35">
      <c r="A394" s="178">
        <v>40385</v>
      </c>
      <c r="B394" s="21">
        <v>78.930000000000007</v>
      </c>
      <c r="C394" s="21">
        <v>77.900000000000006</v>
      </c>
      <c r="N394">
        <v>-0.70171104984312649</v>
      </c>
    </row>
    <row r="395" spans="1:14" x14ac:dyDescent="0.35">
      <c r="A395" s="178">
        <v>40386</v>
      </c>
      <c r="B395" s="21">
        <v>77.459999999999994</v>
      </c>
      <c r="C395" s="21">
        <v>75.52</v>
      </c>
      <c r="N395">
        <v>-1.6634702473454155</v>
      </c>
    </row>
    <row r="396" spans="1:14" x14ac:dyDescent="0.35">
      <c r="A396" s="178">
        <v>40387</v>
      </c>
      <c r="B396" s="21">
        <v>77.06</v>
      </c>
      <c r="C396" s="21">
        <v>76.66</v>
      </c>
      <c r="N396">
        <v>-0.13755438272021081</v>
      </c>
    </row>
    <row r="397" spans="1:14" x14ac:dyDescent="0.35">
      <c r="A397" s="178">
        <v>40388</v>
      </c>
      <c r="B397" s="21">
        <v>78.3</v>
      </c>
      <c r="C397" s="21">
        <v>78.599999999999994</v>
      </c>
      <c r="N397">
        <v>0.6061064369416016</v>
      </c>
    </row>
    <row r="398" spans="1:14" x14ac:dyDescent="0.35">
      <c r="A398" s="178">
        <v>40389</v>
      </c>
      <c r="B398" s="21">
        <v>78.849999999999994</v>
      </c>
      <c r="C398" s="21">
        <v>77.5</v>
      </c>
      <c r="N398">
        <v>-1.0245278769180715</v>
      </c>
    </row>
    <row r="399" spans="1:14" x14ac:dyDescent="0.35">
      <c r="A399" s="178">
        <v>40392</v>
      </c>
      <c r="B399" s="21">
        <v>81.25</v>
      </c>
      <c r="C399" s="21">
        <v>81.93</v>
      </c>
      <c r="N399">
        <v>1.0899769353305828</v>
      </c>
    </row>
    <row r="400" spans="1:14" x14ac:dyDescent="0.35">
      <c r="A400" s="178">
        <v>40393</v>
      </c>
      <c r="B400" s="21">
        <v>82.52</v>
      </c>
      <c r="C400" s="21">
        <v>83.6</v>
      </c>
      <c r="N400">
        <v>1.5346940651455014</v>
      </c>
    </row>
    <row r="401" spans="1:14" x14ac:dyDescent="0.35">
      <c r="A401" s="178">
        <v>40394</v>
      </c>
      <c r="B401" s="21">
        <v>82.49</v>
      </c>
      <c r="C401" s="21">
        <v>83.76</v>
      </c>
      <c r="N401">
        <v>1.7236377549923958</v>
      </c>
    </row>
    <row r="402" spans="1:14" x14ac:dyDescent="0.35">
      <c r="A402" s="178">
        <v>40395</v>
      </c>
      <c r="B402" s="21">
        <v>82</v>
      </c>
      <c r="C402" s="21">
        <v>82.9</v>
      </c>
      <c r="N402">
        <v>1.3363846891582938</v>
      </c>
    </row>
    <row r="403" spans="1:14" x14ac:dyDescent="0.35">
      <c r="A403" s="178">
        <v>40396</v>
      </c>
      <c r="B403" s="21">
        <v>80.67</v>
      </c>
      <c r="C403" s="21">
        <v>81.28</v>
      </c>
      <c r="N403">
        <v>0.99955493903715364</v>
      </c>
    </row>
    <row r="404" spans="1:14" x14ac:dyDescent="0.35">
      <c r="A404" s="178">
        <v>40399</v>
      </c>
      <c r="B404" s="21">
        <v>81.459999999999994</v>
      </c>
      <c r="C404" s="21">
        <v>81.540000000000006</v>
      </c>
      <c r="N404">
        <v>0.49737110640235471</v>
      </c>
    </row>
    <row r="405" spans="1:14" x14ac:dyDescent="0.35">
      <c r="A405" s="178">
        <v>40400</v>
      </c>
      <c r="B405" s="21">
        <v>80.239999999999995</v>
      </c>
      <c r="C405" s="21">
        <v>79.89</v>
      </c>
      <c r="N405">
        <v>2.4414493509283375E-2</v>
      </c>
    </row>
    <row r="406" spans="1:14" x14ac:dyDescent="0.35">
      <c r="A406" s="178">
        <v>40401</v>
      </c>
      <c r="B406" s="21">
        <v>78.09</v>
      </c>
      <c r="C406" s="21">
        <v>77.83</v>
      </c>
      <c r="N406">
        <v>3.8712265869847329E-2</v>
      </c>
    </row>
    <row r="407" spans="1:14" x14ac:dyDescent="0.35">
      <c r="A407" s="178">
        <v>40402</v>
      </c>
      <c r="B407" s="21">
        <v>75.680000000000007</v>
      </c>
      <c r="C407" s="21">
        <v>76.63</v>
      </c>
      <c r="N407">
        <v>1.1638553502368154</v>
      </c>
    </row>
    <row r="408" spans="1:14" x14ac:dyDescent="0.35">
      <c r="A408" s="178">
        <v>40403</v>
      </c>
      <c r="B408" s="21">
        <v>75.39</v>
      </c>
      <c r="C408" s="21">
        <v>75.14</v>
      </c>
      <c r="N408">
        <v>-4.6355647909891218E-2</v>
      </c>
    </row>
    <row r="409" spans="1:14" x14ac:dyDescent="0.35">
      <c r="A409" s="178">
        <v>40406</v>
      </c>
      <c r="B409" s="21">
        <v>75.17</v>
      </c>
      <c r="C409" s="21">
        <v>74.56</v>
      </c>
      <c r="N409">
        <v>-0.41410192236601517</v>
      </c>
    </row>
    <row r="410" spans="1:14" x14ac:dyDescent="0.35">
      <c r="A410" s="178">
        <v>40407</v>
      </c>
      <c r="B410" s="21">
        <v>75.760000000000005</v>
      </c>
      <c r="C410" s="21">
        <v>76.739999999999995</v>
      </c>
      <c r="N410">
        <v>1.1966721773117683</v>
      </c>
    </row>
    <row r="411" spans="1:14" x14ac:dyDescent="0.35">
      <c r="A411" s="178">
        <v>40408</v>
      </c>
      <c r="B411" s="21">
        <v>75.39</v>
      </c>
      <c r="C411" s="21">
        <v>75.099999999999994</v>
      </c>
      <c r="N411">
        <v>-8.6355647909897471E-2</v>
      </c>
    </row>
    <row r="412" spans="1:14" x14ac:dyDescent="0.35">
      <c r="A412" s="178">
        <v>40409</v>
      </c>
      <c r="B412" s="21">
        <v>74.45</v>
      </c>
      <c r="C412" s="21">
        <v>74.84</v>
      </c>
      <c r="N412">
        <v>0.56054663395939031</v>
      </c>
    </row>
    <row r="413" spans="1:14" x14ac:dyDescent="0.35">
      <c r="A413" s="178">
        <v>40410</v>
      </c>
      <c r="B413" s="21">
        <v>73.45</v>
      </c>
      <c r="C413" s="21">
        <v>73.48</v>
      </c>
      <c r="N413">
        <v>0.16533629552243667</v>
      </c>
    </row>
    <row r="414" spans="1:14" x14ac:dyDescent="0.35">
      <c r="A414" s="178">
        <v>40413</v>
      </c>
      <c r="B414" s="21">
        <v>72.709999999999994</v>
      </c>
      <c r="C414" s="21">
        <v>73.08</v>
      </c>
      <c r="N414">
        <v>0.47928064507911472</v>
      </c>
    </row>
    <row r="415" spans="1:14" x14ac:dyDescent="0.35">
      <c r="A415" s="178">
        <v>40414</v>
      </c>
      <c r="B415" s="21">
        <v>71.239999999999995</v>
      </c>
      <c r="C415" s="21">
        <v>70.61</v>
      </c>
      <c r="N415">
        <v>-0.5724785524231919</v>
      </c>
    </row>
    <row r="416" spans="1:14" x14ac:dyDescent="0.35">
      <c r="A416" s="178">
        <v>40415</v>
      </c>
      <c r="B416" s="21">
        <v>72.069999999999993</v>
      </c>
      <c r="C416" s="21">
        <v>70.739999999999995</v>
      </c>
      <c r="N416">
        <v>-1.2432539715205309</v>
      </c>
    </row>
    <row r="417" spans="1:14" x14ac:dyDescent="0.35">
      <c r="A417" s="178">
        <v>40416</v>
      </c>
      <c r="B417" s="21">
        <v>73.36</v>
      </c>
      <c r="C417" s="21">
        <v>74.5</v>
      </c>
      <c r="N417">
        <v>1.2721673650631118</v>
      </c>
    </row>
    <row r="418" spans="1:14" x14ac:dyDescent="0.35">
      <c r="A418" s="178">
        <v>40417</v>
      </c>
      <c r="B418" s="21">
        <v>75.17</v>
      </c>
      <c r="C418" s="21">
        <v>75.16</v>
      </c>
      <c r="N418">
        <v>0.18589807763397914</v>
      </c>
    </row>
    <row r="419" spans="1:14" x14ac:dyDescent="0.35">
      <c r="A419" s="178">
        <v>40420</v>
      </c>
      <c r="B419" s="21">
        <v>74.69</v>
      </c>
      <c r="C419" s="21">
        <v>76.05</v>
      </c>
      <c r="N419">
        <v>1.5389971151842445</v>
      </c>
    </row>
    <row r="420" spans="1:14" x14ac:dyDescent="0.35">
      <c r="A420" s="178">
        <v>40421</v>
      </c>
      <c r="B420" s="21">
        <v>71.930000000000007</v>
      </c>
      <c r="C420" s="21">
        <v>75.510000000000005</v>
      </c>
      <c r="N420">
        <v>3.661816581098293</v>
      </c>
    </row>
    <row r="421" spans="1:14" x14ac:dyDescent="0.35">
      <c r="A421" s="178">
        <v>40422</v>
      </c>
      <c r="B421" s="21">
        <v>73.97</v>
      </c>
      <c r="C421" s="21">
        <v>75.53</v>
      </c>
      <c r="N421">
        <v>1.7136456715096529</v>
      </c>
    </row>
    <row r="422" spans="1:14" x14ac:dyDescent="0.35">
      <c r="A422" s="178">
        <v>40423</v>
      </c>
      <c r="B422" s="21">
        <v>74.989999999999995</v>
      </c>
      <c r="C422" s="21">
        <v>74.930000000000007</v>
      </c>
      <c r="N422">
        <v>0.12956021671534756</v>
      </c>
    </row>
    <row r="423" spans="1:14" x14ac:dyDescent="0.35">
      <c r="A423" s="178">
        <v>40424</v>
      </c>
      <c r="B423" s="21">
        <v>74.52</v>
      </c>
      <c r="C423" s="21">
        <v>75.03</v>
      </c>
      <c r="N423">
        <v>0.68301135764997412</v>
      </c>
    </row>
    <row r="424" spans="1:14" x14ac:dyDescent="0.35">
      <c r="A424" s="178">
        <v>40428</v>
      </c>
      <c r="B424" s="21">
        <v>73.98</v>
      </c>
      <c r="C424" s="21">
        <v>75.78</v>
      </c>
      <c r="N424">
        <v>1.9539977748940203</v>
      </c>
    </row>
    <row r="425" spans="1:14" x14ac:dyDescent="0.35">
      <c r="A425" s="178">
        <v>40429</v>
      </c>
      <c r="B425" s="21">
        <v>74.650000000000006</v>
      </c>
      <c r="C425" s="21">
        <v>77.48</v>
      </c>
      <c r="N425">
        <v>3.0075887016467675</v>
      </c>
    </row>
    <row r="426" spans="1:14" x14ac:dyDescent="0.35">
      <c r="A426" s="178">
        <v>40430</v>
      </c>
      <c r="B426" s="21">
        <v>74.25</v>
      </c>
      <c r="C426" s="21">
        <v>77.87</v>
      </c>
      <c r="N426">
        <v>3.7835045662720006</v>
      </c>
    </row>
    <row r="427" spans="1:14" x14ac:dyDescent="0.35">
      <c r="A427" s="178">
        <v>40431</v>
      </c>
      <c r="B427" s="21">
        <v>76.400000000000006</v>
      </c>
      <c r="C427" s="21">
        <v>77.540000000000006</v>
      </c>
      <c r="N427">
        <v>1.3792067939114219</v>
      </c>
    </row>
    <row r="428" spans="1:14" x14ac:dyDescent="0.35">
      <c r="A428" s="178">
        <v>40434</v>
      </c>
      <c r="B428" s="21">
        <v>77.17</v>
      </c>
      <c r="C428" s="21">
        <v>78.52</v>
      </c>
      <c r="N428">
        <v>1.6163187545078586</v>
      </c>
    </row>
    <row r="429" spans="1:14" x14ac:dyDescent="0.35">
      <c r="A429" s="178">
        <v>40435</v>
      </c>
      <c r="B429" s="21">
        <v>76.78</v>
      </c>
      <c r="C429" s="21">
        <v>78.89</v>
      </c>
      <c r="N429">
        <v>2.3625867225174488</v>
      </c>
    </row>
    <row r="430" spans="1:14" x14ac:dyDescent="0.35">
      <c r="A430" s="178">
        <v>40436</v>
      </c>
      <c r="B430" s="21">
        <v>75.92</v>
      </c>
      <c r="C430" s="21">
        <v>78.459999999999994</v>
      </c>
      <c r="N430">
        <v>2.7623058314616742</v>
      </c>
    </row>
    <row r="431" spans="1:14" x14ac:dyDescent="0.35">
      <c r="A431" s="178">
        <v>40437</v>
      </c>
      <c r="B431" s="21">
        <v>74.58</v>
      </c>
      <c r="C431" s="21">
        <v>78.89</v>
      </c>
      <c r="N431">
        <v>4.4851239779561922</v>
      </c>
    </row>
    <row r="432" spans="1:14" x14ac:dyDescent="0.35">
      <c r="A432" s="178">
        <v>40438</v>
      </c>
      <c r="B432" s="21">
        <v>73.63</v>
      </c>
      <c r="C432" s="21">
        <v>77.430000000000007</v>
      </c>
      <c r="N432">
        <v>3.9416741564410955</v>
      </c>
    </row>
    <row r="433" spans="1:14" x14ac:dyDescent="0.35">
      <c r="A433" s="178">
        <v>40441</v>
      </c>
      <c r="B433" s="21">
        <v>74.81</v>
      </c>
      <c r="C433" s="21">
        <v>79.42</v>
      </c>
      <c r="N433">
        <v>4.7932223557966864</v>
      </c>
    </row>
    <row r="434" spans="1:14" x14ac:dyDescent="0.35">
      <c r="A434" s="178">
        <v>40442</v>
      </c>
      <c r="B434" s="21">
        <v>72.959999999999994</v>
      </c>
      <c r="C434" s="21">
        <v>78.760000000000005</v>
      </c>
      <c r="N434">
        <v>5.9180832296883494</v>
      </c>
    </row>
    <row r="435" spans="1:14" x14ac:dyDescent="0.35">
      <c r="A435" s="178">
        <v>40443</v>
      </c>
      <c r="B435" s="21">
        <v>72.98</v>
      </c>
      <c r="C435" s="21">
        <v>77.290000000000006</v>
      </c>
      <c r="N435">
        <v>4.4287874364570854</v>
      </c>
    </row>
    <row r="436" spans="1:14" x14ac:dyDescent="0.35">
      <c r="A436" s="178">
        <v>40444</v>
      </c>
      <c r="B436" s="21">
        <v>73.400000000000006</v>
      </c>
      <c r="C436" s="21">
        <v>77.69</v>
      </c>
      <c r="N436">
        <v>4.4235757786005934</v>
      </c>
    </row>
    <row r="437" spans="1:14" x14ac:dyDescent="0.35">
      <c r="A437" s="178">
        <v>40445</v>
      </c>
      <c r="B437" s="21">
        <v>74.63</v>
      </c>
      <c r="C437" s="21">
        <v>78.73</v>
      </c>
      <c r="N437">
        <v>4.2768844948780469</v>
      </c>
    </row>
    <row r="438" spans="1:14" x14ac:dyDescent="0.35">
      <c r="A438" s="178">
        <v>40448</v>
      </c>
      <c r="B438" s="21">
        <v>76.510000000000005</v>
      </c>
      <c r="C438" s="21">
        <v>77.709999999999994</v>
      </c>
      <c r="N438">
        <v>1.4430799311394651</v>
      </c>
    </row>
    <row r="439" spans="1:14" x14ac:dyDescent="0.35">
      <c r="A439" s="178">
        <v>40449</v>
      </c>
      <c r="B439" s="21">
        <v>76.150000000000006</v>
      </c>
      <c r="C439" s="21">
        <v>79.14</v>
      </c>
      <c r="N439">
        <v>3.2204042093021741</v>
      </c>
    </row>
    <row r="440" spans="1:14" x14ac:dyDescent="0.35">
      <c r="A440" s="178">
        <v>40450</v>
      </c>
      <c r="B440" s="21">
        <v>77.849999999999994</v>
      </c>
      <c r="C440" s="21">
        <v>78.790000000000006</v>
      </c>
      <c r="N440">
        <v>1.2302617846449948</v>
      </c>
    </row>
    <row r="441" spans="1:14" x14ac:dyDescent="0.35">
      <c r="A441" s="178">
        <v>40451</v>
      </c>
      <c r="B441" s="21">
        <v>79.95</v>
      </c>
      <c r="C441" s="21">
        <v>80.77</v>
      </c>
      <c r="N441">
        <v>1.1842034953625529</v>
      </c>
    </row>
    <row r="442" spans="1:14" x14ac:dyDescent="0.35">
      <c r="A442" s="178">
        <v>40452</v>
      </c>
      <c r="B442" s="21">
        <v>81.569999999999993</v>
      </c>
      <c r="C442" s="21">
        <v>82.69</v>
      </c>
      <c r="N442">
        <v>1.5412442436304019</v>
      </c>
    </row>
    <row r="443" spans="1:14" x14ac:dyDescent="0.35">
      <c r="A443" s="178">
        <v>40455</v>
      </c>
      <c r="B443" s="21">
        <v>81.430000000000007</v>
      </c>
      <c r="C443" s="21">
        <v>83.42</v>
      </c>
      <c r="N443">
        <v>2.4063147962492337</v>
      </c>
    </row>
    <row r="444" spans="1:14" x14ac:dyDescent="0.35">
      <c r="A444" s="178">
        <v>40456</v>
      </c>
      <c r="B444" s="21">
        <v>82.83</v>
      </c>
      <c r="C444" s="21">
        <v>83.35</v>
      </c>
      <c r="N444">
        <v>0.98560927006094801</v>
      </c>
    </row>
    <row r="445" spans="1:14" x14ac:dyDescent="0.35">
      <c r="A445" s="178">
        <v>40457</v>
      </c>
      <c r="B445" s="21">
        <v>83.21</v>
      </c>
      <c r="C445" s="21">
        <v>85.01</v>
      </c>
      <c r="N445">
        <v>2.2789891986670057</v>
      </c>
    </row>
    <row r="446" spans="1:14" x14ac:dyDescent="0.35">
      <c r="A446" s="178">
        <v>40458</v>
      </c>
      <c r="B446" s="21">
        <v>81.34</v>
      </c>
      <c r="C446" s="21">
        <v>83.67</v>
      </c>
      <c r="N446">
        <v>2.7431458657899128</v>
      </c>
    </row>
    <row r="447" spans="1:14" x14ac:dyDescent="0.35">
      <c r="A447" s="178">
        <v>40459</v>
      </c>
      <c r="B447" s="21">
        <v>82.66</v>
      </c>
      <c r="C447" s="21">
        <v>83.88</v>
      </c>
      <c r="N447">
        <v>1.6796235125266747</v>
      </c>
    </row>
    <row r="448" spans="1:14" x14ac:dyDescent="0.35">
      <c r="A448" s="178">
        <v>40462</v>
      </c>
      <c r="B448" s="21">
        <v>82.18</v>
      </c>
      <c r="C448" s="21">
        <v>83.08</v>
      </c>
      <c r="N448">
        <v>1.3427225500769282</v>
      </c>
    </row>
    <row r="449" spans="1:14" x14ac:dyDescent="0.35">
      <c r="A449" s="178">
        <v>40463</v>
      </c>
      <c r="B449" s="21">
        <v>81.67</v>
      </c>
      <c r="C449" s="21">
        <v>82.99</v>
      </c>
      <c r="N449">
        <v>1.7447652774740874</v>
      </c>
    </row>
    <row r="450" spans="1:14" x14ac:dyDescent="0.35">
      <c r="A450" s="178">
        <v>40464</v>
      </c>
      <c r="B450" s="21">
        <v>83.03</v>
      </c>
      <c r="C450" s="21">
        <v>84.01</v>
      </c>
      <c r="N450">
        <v>1.4526513377483354</v>
      </c>
    </row>
    <row r="451" spans="1:14" x14ac:dyDescent="0.35">
      <c r="A451" s="178">
        <v>40465</v>
      </c>
      <c r="B451" s="21">
        <v>82.71</v>
      </c>
      <c r="C451" s="21">
        <v>83.55</v>
      </c>
      <c r="N451">
        <v>1.3013840294485135</v>
      </c>
    </row>
    <row r="452" spans="1:14" x14ac:dyDescent="0.35">
      <c r="A452" s="178">
        <v>40466</v>
      </c>
      <c r="B452" s="21">
        <v>81.23</v>
      </c>
      <c r="C452" s="21">
        <v>81.94</v>
      </c>
      <c r="N452">
        <v>1.1192727285618389</v>
      </c>
    </row>
    <row r="453" spans="1:14" x14ac:dyDescent="0.35">
      <c r="A453" s="178">
        <v>40469</v>
      </c>
      <c r="B453" s="21">
        <v>83.06</v>
      </c>
      <c r="C453" s="21">
        <v>82.3</v>
      </c>
      <c r="N453">
        <v>-0.28629235209855608</v>
      </c>
    </row>
    <row r="454" spans="1:14" x14ac:dyDescent="0.35">
      <c r="A454" s="178">
        <v>40470</v>
      </c>
      <c r="B454" s="21">
        <v>79.569999999999993</v>
      </c>
      <c r="C454" s="21">
        <v>81.12</v>
      </c>
      <c r="N454">
        <v>1.9008235667565287</v>
      </c>
    </row>
    <row r="455" spans="1:14" x14ac:dyDescent="0.35">
      <c r="A455" s="178">
        <v>40471</v>
      </c>
      <c r="B455" s="21">
        <v>81.93</v>
      </c>
      <c r="C455" s="21">
        <v>81.680000000000007</v>
      </c>
      <c r="N455">
        <v>0.18391996546770883</v>
      </c>
    </row>
    <row r="456" spans="1:14" x14ac:dyDescent="0.35">
      <c r="A456" s="178">
        <v>40472</v>
      </c>
      <c r="B456" s="21">
        <v>80.03</v>
      </c>
      <c r="C456" s="21">
        <v>81.28</v>
      </c>
      <c r="N456">
        <v>1.6170203224375115</v>
      </c>
    </row>
    <row r="457" spans="1:14" x14ac:dyDescent="0.35">
      <c r="A457" s="178">
        <v>40473</v>
      </c>
      <c r="B457" s="21">
        <v>81.150000000000006</v>
      </c>
      <c r="C457" s="21">
        <v>80.75</v>
      </c>
      <c r="N457">
        <v>6.4559014868876829E-3</v>
      </c>
    </row>
    <row r="458" spans="1:14" x14ac:dyDescent="0.35">
      <c r="A458" s="178">
        <v>40476</v>
      </c>
      <c r="B458" s="21">
        <v>82</v>
      </c>
      <c r="C458" s="21">
        <v>81.91</v>
      </c>
      <c r="N458">
        <v>0.34638468915828469</v>
      </c>
    </row>
    <row r="459" spans="1:14" x14ac:dyDescent="0.35">
      <c r="A459" s="178">
        <v>40477</v>
      </c>
      <c r="B459" s="21">
        <v>82.6</v>
      </c>
      <c r="C459" s="21">
        <v>82.62</v>
      </c>
      <c r="N459">
        <v>0.47751089222046517</v>
      </c>
    </row>
    <row r="460" spans="1:14" x14ac:dyDescent="0.35">
      <c r="A460" s="178">
        <v>40478</v>
      </c>
      <c r="B460" s="21">
        <v>81.900000000000006</v>
      </c>
      <c r="C460" s="21">
        <v>81.27</v>
      </c>
      <c r="N460">
        <v>-0.19713634468541841</v>
      </c>
    </row>
    <row r="461" spans="1:14" x14ac:dyDescent="0.35">
      <c r="A461" s="178">
        <v>40479</v>
      </c>
      <c r="B461" s="21">
        <v>82.2</v>
      </c>
      <c r="C461" s="21">
        <v>82.97</v>
      </c>
      <c r="N461">
        <v>1.2134267568456778</v>
      </c>
    </row>
    <row r="462" spans="1:14" x14ac:dyDescent="0.35">
      <c r="A462" s="178">
        <v>40480</v>
      </c>
      <c r="B462" s="21">
        <v>81.45</v>
      </c>
      <c r="C462" s="21">
        <v>82.47</v>
      </c>
      <c r="N462">
        <v>1.4370190030179657</v>
      </c>
    </row>
    <row r="463" spans="1:14" x14ac:dyDescent="0.35">
      <c r="A463" s="178">
        <v>40483</v>
      </c>
      <c r="B463" s="21">
        <v>82.94</v>
      </c>
      <c r="C463" s="21">
        <v>84.06</v>
      </c>
      <c r="N463">
        <v>1.5894824072890117</v>
      </c>
    </row>
    <row r="464" spans="1:14" x14ac:dyDescent="0.35">
      <c r="A464" s="178">
        <v>40484</v>
      </c>
      <c r="B464" s="21">
        <v>83.91</v>
      </c>
      <c r="C464" s="21">
        <v>84.71</v>
      </c>
      <c r="N464">
        <v>1.3036364355728409</v>
      </c>
    </row>
    <row r="465" spans="1:14" x14ac:dyDescent="0.35">
      <c r="A465" s="178">
        <v>40485</v>
      </c>
      <c r="B465" s="21">
        <v>84.45</v>
      </c>
      <c r="C465" s="21">
        <v>85.33</v>
      </c>
      <c r="N465">
        <v>1.4026500183287851</v>
      </c>
    </row>
    <row r="466" spans="1:14" x14ac:dyDescent="0.35">
      <c r="A466" s="178">
        <v>40486</v>
      </c>
      <c r="B466" s="21">
        <v>86.49</v>
      </c>
      <c r="C466" s="21">
        <v>86.83</v>
      </c>
      <c r="N466">
        <v>0.93447910874016316</v>
      </c>
    </row>
    <row r="467" spans="1:14" x14ac:dyDescent="0.35">
      <c r="A467" s="178">
        <v>40487</v>
      </c>
      <c r="B467" s="21">
        <v>86.85</v>
      </c>
      <c r="C467" s="21">
        <v>87.05</v>
      </c>
      <c r="N467">
        <v>0.80715483057745985</v>
      </c>
    </row>
    <row r="468" spans="1:14" x14ac:dyDescent="0.35">
      <c r="A468" s="178">
        <v>40490</v>
      </c>
      <c r="B468" s="21">
        <v>87.07</v>
      </c>
      <c r="C468" s="21">
        <v>87.15</v>
      </c>
      <c r="N468">
        <v>0.69490110503359404</v>
      </c>
    </row>
    <row r="469" spans="1:14" x14ac:dyDescent="0.35">
      <c r="A469" s="178">
        <v>40491</v>
      </c>
      <c r="B469" s="21">
        <v>87.04</v>
      </c>
      <c r="C469" s="21">
        <v>87.93</v>
      </c>
      <c r="N469">
        <v>1.5038447948804787</v>
      </c>
    </row>
    <row r="470" spans="1:14" x14ac:dyDescent="0.35">
      <c r="A470" s="178">
        <v>40492</v>
      </c>
      <c r="B470" s="21">
        <v>87.77</v>
      </c>
      <c r="C470" s="21">
        <v>87.92</v>
      </c>
      <c r="N470">
        <v>0.78954834193945089</v>
      </c>
    </row>
    <row r="471" spans="1:14" x14ac:dyDescent="0.35">
      <c r="A471" s="178">
        <v>40493</v>
      </c>
      <c r="B471" s="21">
        <v>87.77</v>
      </c>
      <c r="C471" s="21">
        <v>88.08</v>
      </c>
      <c r="N471">
        <v>0.94954834193944748</v>
      </c>
    </row>
    <row r="472" spans="1:14" x14ac:dyDescent="0.35">
      <c r="A472" s="178">
        <v>40494</v>
      </c>
      <c r="B472" s="21">
        <v>84.89</v>
      </c>
      <c r="C472" s="21">
        <v>86.07</v>
      </c>
      <c r="N472">
        <v>1.7181425672410455</v>
      </c>
    </row>
    <row r="473" spans="1:14" x14ac:dyDescent="0.35">
      <c r="A473" s="178">
        <v>40497</v>
      </c>
      <c r="B473" s="21">
        <v>84.88</v>
      </c>
      <c r="C473" s="21">
        <v>85.49</v>
      </c>
      <c r="N473">
        <v>1.1477904638566798</v>
      </c>
    </row>
    <row r="474" spans="1:14" x14ac:dyDescent="0.35">
      <c r="A474" s="178">
        <v>40498</v>
      </c>
      <c r="B474" s="21">
        <v>82.33</v>
      </c>
      <c r="C474" s="21">
        <v>83.98</v>
      </c>
      <c r="N474">
        <v>2.0980041008424877</v>
      </c>
    </row>
    <row r="475" spans="1:14" x14ac:dyDescent="0.35">
      <c r="A475" s="178">
        <v>40499</v>
      </c>
      <c r="B475" s="21">
        <v>80.430000000000007</v>
      </c>
      <c r="C475" s="21">
        <v>83.36</v>
      </c>
      <c r="N475">
        <v>3.3111044578122772</v>
      </c>
    </row>
    <row r="476" spans="1:14" x14ac:dyDescent="0.35">
      <c r="A476" s="178">
        <v>40500</v>
      </c>
      <c r="B476" s="21">
        <v>81.88</v>
      </c>
      <c r="C476" s="21">
        <v>83.7</v>
      </c>
      <c r="N476">
        <v>2.2521594485458678</v>
      </c>
    </row>
    <row r="477" spans="1:14" x14ac:dyDescent="0.35">
      <c r="A477" s="178">
        <v>40501</v>
      </c>
      <c r="B477" s="21">
        <v>81.650000000000006</v>
      </c>
      <c r="C477" s="21">
        <v>83.17</v>
      </c>
      <c r="N477">
        <v>1.9440610707053594</v>
      </c>
    </row>
    <row r="478" spans="1:14" x14ac:dyDescent="0.35">
      <c r="A478" s="178">
        <v>40504</v>
      </c>
      <c r="B478" s="21">
        <v>81.239999999999995</v>
      </c>
      <c r="C478" s="21">
        <v>82.34</v>
      </c>
      <c r="N478">
        <v>1.5096248319462262</v>
      </c>
    </row>
    <row r="479" spans="1:14" x14ac:dyDescent="0.35">
      <c r="A479" s="178">
        <v>40505</v>
      </c>
      <c r="B479" s="21">
        <v>80.790000000000006</v>
      </c>
      <c r="C479" s="21">
        <v>82.37</v>
      </c>
      <c r="N479">
        <v>1.9737801796495944</v>
      </c>
    </row>
    <row r="480" spans="1:14" x14ac:dyDescent="0.35">
      <c r="A480" s="178">
        <v>40506</v>
      </c>
      <c r="B480" s="21">
        <v>83.21</v>
      </c>
      <c r="C480" s="21">
        <v>84.53</v>
      </c>
      <c r="N480">
        <v>1.7989891986670017</v>
      </c>
    </row>
    <row r="481" spans="1:14" x14ac:dyDescent="0.35">
      <c r="A481" s="178">
        <v>40508</v>
      </c>
      <c r="B481" s="21">
        <v>83.87</v>
      </c>
      <c r="C481" s="21">
        <v>84.78</v>
      </c>
      <c r="N481">
        <v>1.4122280220353645</v>
      </c>
    </row>
    <row r="482" spans="1:14" x14ac:dyDescent="0.35">
      <c r="A482" s="178">
        <v>40511</v>
      </c>
      <c r="B482" s="21">
        <v>85.73</v>
      </c>
      <c r="C482" s="21">
        <v>85.9</v>
      </c>
      <c r="N482">
        <v>0.73771925152807682</v>
      </c>
    </row>
    <row r="483" spans="1:14" x14ac:dyDescent="0.35">
      <c r="A483" s="178">
        <v>40512</v>
      </c>
      <c r="B483" s="21">
        <v>84.12</v>
      </c>
      <c r="C483" s="21">
        <v>86.02</v>
      </c>
      <c r="N483">
        <v>2.4110306066446014</v>
      </c>
    </row>
    <row r="484" spans="1:14" x14ac:dyDescent="0.35">
      <c r="A484" s="178">
        <v>40513</v>
      </c>
      <c r="B484" s="21">
        <v>86.75</v>
      </c>
      <c r="C484" s="21">
        <v>88.56</v>
      </c>
      <c r="N484">
        <v>2.4136337967337624</v>
      </c>
    </row>
    <row r="485" spans="1:14" x14ac:dyDescent="0.35">
      <c r="A485" s="178">
        <v>40514</v>
      </c>
      <c r="B485" s="21">
        <v>87.98</v>
      </c>
      <c r="C485" s="21">
        <v>89.37</v>
      </c>
      <c r="N485">
        <v>2.0369425130111978</v>
      </c>
    </row>
    <row r="486" spans="1:14" x14ac:dyDescent="0.35">
      <c r="A486" s="178">
        <v>40515</v>
      </c>
      <c r="B486" s="21">
        <v>89.18</v>
      </c>
      <c r="C486" s="21">
        <v>90.65</v>
      </c>
      <c r="N486">
        <v>2.1591949191355297</v>
      </c>
    </row>
    <row r="487" spans="1:14" x14ac:dyDescent="0.35">
      <c r="A487" s="178">
        <v>40518</v>
      </c>
      <c r="B487" s="21">
        <v>89.33</v>
      </c>
      <c r="C487" s="21">
        <v>91.25</v>
      </c>
      <c r="N487">
        <v>2.6144764699010636</v>
      </c>
    </row>
    <row r="488" spans="1:14" x14ac:dyDescent="0.35">
      <c r="A488" s="178">
        <v>40519</v>
      </c>
      <c r="B488" s="21">
        <v>88.69</v>
      </c>
      <c r="C488" s="21">
        <v>90.78</v>
      </c>
      <c r="N488">
        <v>2.7619418533014226</v>
      </c>
    </row>
    <row r="489" spans="1:14" x14ac:dyDescent="0.35">
      <c r="A489" s="178">
        <v>40520</v>
      </c>
      <c r="B489" s="21">
        <v>88.3</v>
      </c>
      <c r="C489" s="21">
        <v>89.74</v>
      </c>
      <c r="N489">
        <v>2.0982098213110163</v>
      </c>
    </row>
    <row r="490" spans="1:14" x14ac:dyDescent="0.35">
      <c r="A490" s="178">
        <v>40521</v>
      </c>
      <c r="B490" s="21">
        <v>88.35</v>
      </c>
      <c r="C490" s="21">
        <v>89.93</v>
      </c>
      <c r="N490">
        <v>2.2399703382328795</v>
      </c>
    </row>
    <row r="491" spans="1:14" x14ac:dyDescent="0.35">
      <c r="A491" s="178">
        <v>40522</v>
      </c>
      <c r="B491" s="21">
        <v>87.81</v>
      </c>
      <c r="C491" s="21">
        <v>89.54</v>
      </c>
      <c r="N491">
        <v>2.3709567554769251</v>
      </c>
    </row>
    <row r="492" spans="1:14" x14ac:dyDescent="0.35">
      <c r="A492" s="178">
        <v>40525</v>
      </c>
      <c r="B492" s="21">
        <v>88.62</v>
      </c>
      <c r="C492" s="21">
        <v>90.4</v>
      </c>
      <c r="N492">
        <v>2.4494771296108411</v>
      </c>
    </row>
    <row r="493" spans="1:14" x14ac:dyDescent="0.35">
      <c r="A493" s="178">
        <v>40526</v>
      </c>
      <c r="B493" s="21">
        <v>88.33</v>
      </c>
      <c r="C493" s="21">
        <v>90.63</v>
      </c>
      <c r="N493">
        <v>2.9592661314641191</v>
      </c>
    </row>
    <row r="494" spans="1:14" x14ac:dyDescent="0.35">
      <c r="A494" s="178">
        <v>40527</v>
      </c>
      <c r="B494" s="21">
        <v>88.66</v>
      </c>
      <c r="C494" s="21">
        <v>91.33</v>
      </c>
      <c r="N494">
        <v>3.3408855431483175</v>
      </c>
    </row>
    <row r="495" spans="1:14" x14ac:dyDescent="0.35">
      <c r="A495" s="178">
        <v>40528</v>
      </c>
      <c r="B495" s="21">
        <v>87.71</v>
      </c>
      <c r="C495" s="21">
        <v>91.09</v>
      </c>
      <c r="N495">
        <v>4.0174357216332339</v>
      </c>
    </row>
    <row r="496" spans="1:14" x14ac:dyDescent="0.35">
      <c r="A496" s="178">
        <v>40529</v>
      </c>
      <c r="B496" s="21">
        <v>88.02</v>
      </c>
      <c r="C496" s="21">
        <v>91.11</v>
      </c>
      <c r="N496">
        <v>3.7383509265486765</v>
      </c>
    </row>
    <row r="497" spans="1:14" x14ac:dyDescent="0.35">
      <c r="A497" s="178">
        <v>40532</v>
      </c>
      <c r="B497" s="21">
        <v>88.68</v>
      </c>
      <c r="C497" s="21">
        <v>91.31</v>
      </c>
      <c r="N497">
        <v>3.3015897499170563</v>
      </c>
    </row>
    <row r="498" spans="1:14" x14ac:dyDescent="0.35">
      <c r="A498" s="178">
        <v>40533</v>
      </c>
      <c r="B498" s="21">
        <v>89.3</v>
      </c>
      <c r="C498" s="21">
        <v>93.11</v>
      </c>
      <c r="N498">
        <v>4.5034201597479608</v>
      </c>
    </row>
    <row r="499" spans="1:14" x14ac:dyDescent="0.35">
      <c r="A499" s="178">
        <v>40534</v>
      </c>
      <c r="B499" s="21">
        <v>89.83</v>
      </c>
      <c r="C499" s="21">
        <v>93.55</v>
      </c>
      <c r="N499">
        <v>4.4320816391195308</v>
      </c>
    </row>
    <row r="500" spans="1:14" x14ac:dyDescent="0.35">
      <c r="A500" s="178">
        <v>40535</v>
      </c>
      <c r="B500" s="21">
        <v>90.84</v>
      </c>
      <c r="C500" s="21">
        <v>93.63</v>
      </c>
      <c r="N500">
        <v>3.5376440809408365</v>
      </c>
    </row>
    <row r="501" spans="1:14" x14ac:dyDescent="0.35">
      <c r="A501" s="178">
        <v>40539</v>
      </c>
      <c r="B501" s="21">
        <v>90.99</v>
      </c>
      <c r="C501" s="21">
        <v>93.08</v>
      </c>
      <c r="N501">
        <v>2.8429256317063931</v>
      </c>
    </row>
    <row r="502" spans="1:14" x14ac:dyDescent="0.35">
      <c r="A502" s="178">
        <v>40540</v>
      </c>
      <c r="B502" s="21">
        <v>91.48</v>
      </c>
      <c r="C502" s="21">
        <v>93.52</v>
      </c>
      <c r="N502">
        <v>2.8101786975404792</v>
      </c>
    </row>
    <row r="503" spans="1:14" x14ac:dyDescent="0.35">
      <c r="A503" s="178">
        <v>40541</v>
      </c>
      <c r="B503" s="21">
        <v>91.13</v>
      </c>
      <c r="C503" s="21">
        <v>93.52</v>
      </c>
      <c r="N503">
        <v>3.147855079087563</v>
      </c>
    </row>
    <row r="504" spans="1:14" x14ac:dyDescent="0.35">
      <c r="A504" s="178">
        <v>40542</v>
      </c>
      <c r="B504" s="21">
        <v>89.85</v>
      </c>
      <c r="C504" s="21">
        <v>92.5</v>
      </c>
      <c r="N504">
        <v>3.3627858458882827</v>
      </c>
    </row>
    <row r="505" spans="1:14" x14ac:dyDescent="0.35">
      <c r="A505" s="188">
        <v>40543</v>
      </c>
      <c r="B505" s="22">
        <v>91.38</v>
      </c>
      <c r="C505" s="22">
        <v>93.23</v>
      </c>
      <c r="N505">
        <v>2.6166576636967989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114</vt:i4>
      </vt:variant>
    </vt:vector>
  </HeadingPairs>
  <TitlesOfParts>
    <vt:vector size="114" baseType="lpstr">
      <vt:lpstr>TOC0</vt:lpstr>
      <vt:lpstr>TOC</vt:lpstr>
      <vt:lpstr>Error</vt:lpstr>
      <vt:lpstr>DM</vt:lpstr>
      <vt:lpstr>PT</vt:lpstr>
      <vt:lpstr>Moving</vt:lpstr>
      <vt:lpstr>Moving 1</vt:lpstr>
      <vt:lpstr>Moving 1a</vt:lpstr>
      <vt:lpstr>Weighted</vt:lpstr>
      <vt:lpstr>Weighted 2</vt:lpstr>
      <vt:lpstr>Exp</vt:lpstr>
      <vt:lpstr>Exp 1</vt:lpstr>
      <vt:lpstr>Exp 1a</vt:lpstr>
      <vt:lpstr>Exp 2</vt:lpstr>
      <vt:lpstr>Exp 3</vt:lpstr>
      <vt:lpstr>Holt</vt:lpstr>
      <vt:lpstr>Holt 2</vt:lpstr>
      <vt:lpstr>Holt 3</vt:lpstr>
      <vt:lpstr>Holt 4</vt:lpstr>
      <vt:lpstr>Holt 5</vt:lpstr>
      <vt:lpstr>Holt-Winter</vt:lpstr>
      <vt:lpstr>Holt-Winter 1</vt:lpstr>
      <vt:lpstr>Holt-Winter 2</vt:lpstr>
      <vt:lpstr>Holt-Winter 3</vt:lpstr>
      <vt:lpstr>Holt-Winters 4</vt:lpstr>
      <vt:lpstr>Holt-Winters 4a</vt:lpstr>
      <vt:lpstr>Holt-Winters 5</vt:lpstr>
      <vt:lpstr>HoltWinters 6</vt:lpstr>
      <vt:lpstr>Stationary</vt:lpstr>
      <vt:lpstr>ACF 0</vt:lpstr>
      <vt:lpstr>ACF</vt:lpstr>
      <vt:lpstr>PACF 1</vt:lpstr>
      <vt:lpstr>Correlogram</vt:lpstr>
      <vt:lpstr>WN 1</vt:lpstr>
      <vt:lpstr>RW 1</vt:lpstr>
      <vt:lpstr>RW 1a</vt:lpstr>
      <vt:lpstr>DT 1</vt:lpstr>
      <vt:lpstr>DT 1a</vt:lpstr>
      <vt:lpstr>Test 1</vt:lpstr>
      <vt:lpstr>Test 2</vt:lpstr>
      <vt:lpstr>DF 0</vt:lpstr>
      <vt:lpstr>DF 1</vt:lpstr>
      <vt:lpstr>DF 2</vt:lpstr>
      <vt:lpstr>ADF</vt:lpstr>
      <vt:lpstr>PP KPSS</vt:lpstr>
      <vt:lpstr>Missing 1</vt:lpstr>
      <vt:lpstr>Missing 2</vt:lpstr>
      <vt:lpstr>Missing 3</vt:lpstr>
      <vt:lpstr>Missing 4</vt:lpstr>
      <vt:lpstr>AR 1</vt:lpstr>
      <vt:lpstr>AR 1a</vt:lpstr>
      <vt:lpstr>AR 1b</vt:lpstr>
      <vt:lpstr>AR 1c</vt:lpstr>
      <vt:lpstr>AR 1d</vt:lpstr>
      <vt:lpstr>AR 2</vt:lpstr>
      <vt:lpstr>AR 2a</vt:lpstr>
      <vt:lpstr>AR 2b</vt:lpstr>
      <vt:lpstr>AR 2c</vt:lpstr>
      <vt:lpstr>AR 2d</vt:lpstr>
      <vt:lpstr>AR 3</vt:lpstr>
      <vt:lpstr>AR 4</vt:lpstr>
      <vt:lpstr>MA</vt:lpstr>
      <vt:lpstr>MA 1</vt:lpstr>
      <vt:lpstr>MA 2</vt:lpstr>
      <vt:lpstr>MA 3</vt:lpstr>
      <vt:lpstr>MA 4</vt:lpstr>
      <vt:lpstr>MA 5</vt:lpstr>
      <vt:lpstr>MA 6</vt:lpstr>
      <vt:lpstr>MA 7</vt:lpstr>
      <vt:lpstr>MA 8</vt:lpstr>
      <vt:lpstr>ARMA 1.1</vt:lpstr>
      <vt:lpstr>ARMA 1.1a</vt:lpstr>
      <vt:lpstr>ARMA 1.1b</vt:lpstr>
      <vt:lpstr>ARMA 1.1c</vt:lpstr>
      <vt:lpstr>ARMA 1.1d</vt:lpstr>
      <vt:lpstr>ARMA 1.1dd</vt:lpstr>
      <vt:lpstr>ARMA 1.1e</vt:lpstr>
      <vt:lpstr>ARMA 1.1ee</vt:lpstr>
      <vt:lpstr>ARMA 1.1f</vt:lpstr>
      <vt:lpstr>ARMA 2.1</vt:lpstr>
      <vt:lpstr>ARMA 2.2</vt:lpstr>
      <vt:lpstr>Diff</vt:lpstr>
      <vt:lpstr>ARIMA 1</vt:lpstr>
      <vt:lpstr>ARIMA 1a</vt:lpstr>
      <vt:lpstr>ARIMA 2</vt:lpstr>
      <vt:lpstr>ARIMA 2a</vt:lpstr>
      <vt:lpstr>ARIMA 3</vt:lpstr>
      <vt:lpstr>ARIMA 3a</vt:lpstr>
      <vt:lpstr>SARIMA</vt:lpstr>
      <vt:lpstr>SARIMA 1</vt:lpstr>
      <vt:lpstr>MK</vt:lpstr>
      <vt:lpstr>Sen</vt:lpstr>
      <vt:lpstr>MK Tool</vt:lpstr>
      <vt:lpstr>MK + Sen</vt:lpstr>
      <vt:lpstr>Granger 1</vt:lpstr>
      <vt:lpstr>Granger 2</vt:lpstr>
      <vt:lpstr>Granger 3</vt:lpstr>
      <vt:lpstr>Granger 4</vt:lpstr>
      <vt:lpstr>Engle</vt:lpstr>
      <vt:lpstr>Cross</vt:lpstr>
      <vt:lpstr>ARIMAX</vt:lpstr>
      <vt:lpstr>ARIMAX 1</vt:lpstr>
      <vt:lpstr>Crime</vt:lpstr>
      <vt:lpstr>Diff 2</vt:lpstr>
      <vt:lpstr>Demean 2</vt:lpstr>
      <vt:lpstr>Diff 3</vt:lpstr>
      <vt:lpstr>Demean 3</vt:lpstr>
      <vt:lpstr>LSDV</vt:lpstr>
      <vt:lpstr>REM</vt:lpstr>
      <vt:lpstr>Markov</vt:lpstr>
      <vt:lpstr>Markov 1</vt:lpstr>
      <vt:lpstr>ADF Table</vt:lpstr>
      <vt:lpstr>EG Table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Zaiontz</dc:creator>
  <cp:lastModifiedBy>user</cp:lastModifiedBy>
  <dcterms:created xsi:type="dcterms:W3CDTF">2015-10-24T07:49:16Z</dcterms:created>
  <dcterms:modified xsi:type="dcterms:W3CDTF">2022-03-04T15:18:49Z</dcterms:modified>
</cp:coreProperties>
</file>