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2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13_ncr:1_{F2F90CE8-43FB-4EC3-A59D-4D002096063A}" xr6:coauthVersionLast="48" xr6:coauthVersionMax="48" xr10:uidLastSave="{00000000-0000-0000-0000-000000000000}"/>
  <bookViews>
    <workbookView xWindow="-110" yWindow="-110" windowWidth="19420" windowHeight="10300" xr2:uid="{93DDE282-8837-466E-B056-E12256E73213}"/>
  </bookViews>
  <sheets>
    <sheet name="Title" sheetId="1" r:id="rId1"/>
    <sheet name="Data" sheetId="2" r:id="rId2"/>
    <sheet name="Heter 5" sheetId="3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2" i="2" l="1"/>
  <c r="Q21" i="2"/>
  <c r="Q20" i="2"/>
  <c r="K19" i="2" a="1"/>
  <c r="K19" i="2" s="1"/>
  <c r="L14" i="2" s="1"/>
  <c r="Y10" i="2" a="1"/>
  <c r="Y10" i="2" s="1"/>
  <c r="W10" i="2" a="1"/>
  <c r="W10" i="2" s="1"/>
  <c r="U10" i="2" a="1"/>
  <c r="U10" i="2" s="1"/>
  <c r="U9" i="2" a="1"/>
  <c r="U9" i="2" s="1"/>
  <c r="U8" i="2" a="1"/>
  <c r="U8" i="2" s="1"/>
  <c r="Y7" i="2" a="1"/>
  <c r="Y7" i="2" s="1"/>
  <c r="W7" i="2" a="1"/>
  <c r="W7" i="2" s="1"/>
  <c r="U7" i="2" a="1"/>
  <c r="U7" i="2" s="1"/>
  <c r="Y5" i="2" a="1"/>
  <c r="Y5" i="2" s="1"/>
  <c r="W5" i="2" a="1"/>
  <c r="W5" i="2" s="1"/>
  <c r="U5" i="2" a="1"/>
  <c r="U5" i="2" s="1"/>
  <c r="U4" i="2" a="1"/>
  <c r="U4" i="2" s="1"/>
  <c r="Y3" i="2" a="1"/>
  <c r="Y3" i="2" s="1"/>
  <c r="W3" i="2" a="1"/>
  <c r="W3" i="2" s="1"/>
  <c r="U3" i="2" a="1"/>
  <c r="U3" i="2" s="1"/>
  <c r="E12" i="3"/>
  <c r="B12" i="3"/>
  <c r="E8" i="3"/>
  <c r="B8" i="3"/>
  <c r="Y10" i="3" a="1"/>
  <c r="Y10" i="3" s="1"/>
  <c r="W10" i="3" a="1"/>
  <c r="W10" i="3" s="1"/>
  <c r="U10" i="3" a="1"/>
  <c r="U10" i="3" s="1"/>
  <c r="U9" i="3" a="1"/>
  <c r="U9" i="3" s="1"/>
  <c r="U8" i="3" a="1"/>
  <c r="U8" i="3" s="1"/>
  <c r="Y7" i="3" a="1"/>
  <c r="Y7" i="3" s="1"/>
  <c r="W7" i="3" a="1"/>
  <c r="W7" i="3" s="1"/>
  <c r="U7" i="3" a="1"/>
  <c r="U7" i="3" s="1"/>
  <c r="Y5" i="3" a="1"/>
  <c r="Y5" i="3" s="1"/>
  <c r="W5" i="3" a="1"/>
  <c r="W5" i="3" s="1"/>
  <c r="U5" i="3" a="1"/>
  <c r="U5" i="3" s="1"/>
  <c r="U4" i="3" a="1"/>
  <c r="U4" i="3" s="1"/>
  <c r="Y3" i="3" a="1"/>
  <c r="Y3" i="3" s="1"/>
  <c r="W3" i="3" a="1"/>
  <c r="W3" i="3" s="1"/>
  <c r="U3" i="3" a="1"/>
  <c r="U3" i="3" s="1"/>
  <c r="E14" i="3"/>
  <c r="B14" i="3"/>
  <c r="B13" i="3"/>
  <c r="B9" i="3"/>
  <c r="B4" i="3"/>
  <c r="B3" i="3"/>
  <c r="H53" i="2"/>
  <c r="G53" i="2"/>
  <c r="G52" i="2"/>
  <c r="H52" i="2" s="1"/>
  <c r="G51" i="2"/>
  <c r="H51" i="2" s="1"/>
  <c r="G50" i="2"/>
  <c r="H50" i="2" s="1"/>
  <c r="H49" i="2"/>
  <c r="G49" i="2"/>
  <c r="G48" i="2"/>
  <c r="H48" i="2" s="1"/>
  <c r="G47" i="2"/>
  <c r="H47" i="2" s="1"/>
  <c r="G46" i="2"/>
  <c r="H46" i="2" s="1"/>
  <c r="H45" i="2"/>
  <c r="G45" i="2"/>
  <c r="G44" i="2"/>
  <c r="H44" i="2" s="1"/>
  <c r="G43" i="2"/>
  <c r="H43" i="2" s="1"/>
  <c r="G42" i="2"/>
  <c r="H42" i="2" s="1"/>
  <c r="H41" i="2"/>
  <c r="G41" i="2"/>
  <c r="G40" i="2"/>
  <c r="H40" i="2" s="1"/>
  <c r="G39" i="2"/>
  <c r="H39" i="2" s="1"/>
  <c r="G38" i="2"/>
  <c r="H38" i="2" s="1"/>
  <c r="H37" i="2"/>
  <c r="G37" i="2"/>
  <c r="G36" i="2"/>
  <c r="H36" i="2" s="1"/>
  <c r="G35" i="2"/>
  <c r="H35" i="2" s="1"/>
  <c r="G34" i="2"/>
  <c r="H34" i="2" s="1"/>
  <c r="H33" i="2"/>
  <c r="G33" i="2"/>
  <c r="G32" i="2"/>
  <c r="H32" i="2" s="1"/>
  <c r="G31" i="2"/>
  <c r="H31" i="2" s="1"/>
  <c r="G30" i="2"/>
  <c r="H30" i="2" s="1"/>
  <c r="H29" i="2"/>
  <c r="G29" i="2"/>
  <c r="G28" i="2"/>
  <c r="H28" i="2" s="1"/>
  <c r="G27" i="2"/>
  <c r="H27" i="2" s="1"/>
  <c r="G26" i="2"/>
  <c r="H26" i="2" s="1"/>
  <c r="H25" i="2"/>
  <c r="G25" i="2"/>
  <c r="G24" i="2"/>
  <c r="H24" i="2" s="1"/>
  <c r="G23" i="2"/>
  <c r="H23" i="2" s="1"/>
  <c r="H22" i="2"/>
  <c r="G22" i="2"/>
  <c r="G21" i="2"/>
  <c r="H21" i="2" s="1"/>
  <c r="J22" i="2"/>
  <c r="J21" i="2"/>
  <c r="J20" i="2"/>
  <c r="J20" i="2" a="1"/>
  <c r="G20" i="2"/>
  <c r="H20" i="2" s="1"/>
  <c r="G19" i="2"/>
  <c r="H19" i="2" s="1"/>
  <c r="G18" i="2"/>
  <c r="H18" i="2" s="1"/>
  <c r="H17" i="2"/>
  <c r="G17" i="2"/>
  <c r="G16" i="2"/>
  <c r="H16" i="2" s="1"/>
  <c r="G15" i="2"/>
  <c r="H15" i="2" s="1"/>
  <c r="K14" i="2"/>
  <c r="G14" i="2"/>
  <c r="H14" i="2" s="1"/>
  <c r="H13" i="2"/>
  <c r="G13" i="2"/>
  <c r="G12" i="2"/>
  <c r="H12" i="2" s="1"/>
  <c r="H11" i="2"/>
  <c r="G11" i="2"/>
  <c r="G10" i="2"/>
  <c r="H10" i="2" s="1"/>
  <c r="H9" i="2"/>
  <c r="G9" i="2"/>
  <c r="S8" i="2"/>
  <c r="G8" i="2"/>
  <c r="H8" i="2" s="1"/>
  <c r="G7" i="2"/>
  <c r="H7" i="2" s="1"/>
  <c r="G6" i="2"/>
  <c r="H6" i="2" s="1"/>
  <c r="G5" i="2"/>
  <c r="H5" i="2" s="1"/>
  <c r="S4" i="2"/>
  <c r="H4" i="2"/>
  <c r="G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4" i="2" a="1"/>
  <c r="K20" i="2" l="1"/>
  <c r="L20" i="2"/>
  <c r="K21" i="2"/>
  <c r="L21" i="2"/>
  <c r="L19" i="2"/>
  <c r="K22" i="2"/>
  <c r="L22" i="2"/>
  <c r="B15" i="3"/>
  <c r="E15" i="3"/>
  <c r="B10" i="3"/>
  <c r="E10" i="3"/>
  <c r="K10" i="2"/>
  <c r="L16" i="2"/>
  <c r="M21" i="2" l="1"/>
  <c r="N21" i="2" s="1"/>
  <c r="M20" i="2"/>
  <c r="K16" i="2"/>
  <c r="K15" i="2" s="1"/>
  <c r="S9" i="2" s="1"/>
  <c r="M22" i="2"/>
  <c r="N22" i="2" s="1"/>
  <c r="P19" i="2"/>
  <c r="M19" i="2"/>
  <c r="N19" i="2" s="1"/>
  <c r="M14" i="2" l="1"/>
  <c r="K7" i="2"/>
  <c r="L15" i="2"/>
  <c r="N20" i="2"/>
  <c r="O22" i="2"/>
  <c r="O20" i="2"/>
  <c r="P22" i="2"/>
  <c r="P20" i="2"/>
  <c r="P21" i="2"/>
  <c r="O19" i="2"/>
  <c r="O21" i="2"/>
  <c r="M15" i="2" l="1"/>
  <c r="K9" i="2" s="1"/>
  <c r="N6" i="2"/>
  <c r="N7" i="2" s="1"/>
  <c r="N8" i="2"/>
  <c r="K6" i="2"/>
  <c r="S7" i="2"/>
  <c r="S10" i="2" s="1"/>
  <c r="K8" i="2"/>
  <c r="S3" i="2"/>
  <c r="S5" i="2" s="1"/>
  <c r="N14" i="2" l="1"/>
  <c r="O14" i="2" s="1"/>
  <c r="P1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<sst xmlns="http://schemas.openxmlformats.org/spreadsheetml/2006/main" count="117" uniqueCount="100">
  <si>
    <t>Breusch-Pagan Test</t>
  </si>
  <si>
    <t>Poverty</t>
  </si>
  <si>
    <t>Inf Mort</t>
  </si>
  <si>
    <t>White</t>
  </si>
  <si>
    <t>Crime</t>
  </si>
  <si>
    <t>pred</t>
  </si>
  <si>
    <t>resid</t>
  </si>
  <si>
    <t>res-sq</t>
  </si>
  <si>
    <t>Regression Analysis</t>
  </si>
  <si>
    <t>LM</t>
  </si>
  <si>
    <t>Alabama</t>
  </si>
  <si>
    <t>df</t>
  </si>
  <si>
    <t>Alaska</t>
  </si>
  <si>
    <t>OVERALL FIT</t>
  </si>
  <si>
    <t>p-value</t>
  </si>
  <si>
    <t>Arizona</t>
  </si>
  <si>
    <t>Multiple R</t>
  </si>
  <si>
    <t>AIC</t>
  </si>
  <si>
    <t>Arkansas</t>
  </si>
  <si>
    <t>R Square</t>
  </si>
  <si>
    <t>AICc</t>
  </si>
  <si>
    <t>F</t>
  </si>
  <si>
    <t>California</t>
  </si>
  <si>
    <t>Adjusted R Square</t>
  </si>
  <si>
    <t>SBC</t>
  </si>
  <si>
    <t>df1</t>
  </si>
  <si>
    <t>Colorado</t>
  </si>
  <si>
    <t>Standard Error</t>
  </si>
  <si>
    <t>df2</t>
  </si>
  <si>
    <t>Connecticut</t>
  </si>
  <si>
    <t>Observations</t>
  </si>
  <si>
    <t>Delaware</t>
  </si>
  <si>
    <t>Florida</t>
  </si>
  <si>
    <t>ANOVA</t>
  </si>
  <si>
    <t>Alpha</t>
  </si>
  <si>
    <t>Georgia</t>
  </si>
  <si>
    <t>SS</t>
  </si>
  <si>
    <t>MS</t>
  </si>
  <si>
    <t>sig</t>
  </si>
  <si>
    <t>Hawaii</t>
  </si>
  <si>
    <t>Regression</t>
  </si>
  <si>
    <t>Idaho</t>
  </si>
  <si>
    <t>Residual</t>
  </si>
  <si>
    <t>Illinois</t>
  </si>
  <si>
    <t>Total</t>
  </si>
  <si>
    <t>Indiana</t>
  </si>
  <si>
    <t>Iowa</t>
  </si>
  <si>
    <t>coeff</t>
  </si>
  <si>
    <t>std err</t>
  </si>
  <si>
    <t>t stat</t>
  </si>
  <si>
    <t>lower</t>
  </si>
  <si>
    <t>upper</t>
  </si>
  <si>
    <t>vif</t>
  </si>
  <si>
    <t>Kansas</t>
  </si>
  <si>
    <t>Intercept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</si>
  <si>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</si>
  <si>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</si>
  <si>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</si>
  <si>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</si>
  <si>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</si>
  <si>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</si>
  <si>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</si>
  <si>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</si>
  <si>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</si>
  <si>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</si>
  <si>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</si>
  <si>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</si>
  <si>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</si>
  <si>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</si>
  <si>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</si>
  <si>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</si>
  <si>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</si>
  <si>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</si>
  <si>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</si>
  <si>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</si>
  <si>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</si>
  <si>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</si>
  <si>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</si>
  <si>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</si>
  <si>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</si>
  <si>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</si>
  <si>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</si>
  <si>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</si>
  <si>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</si>
  <si>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</si>
  <si>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</si>
  <si>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</si>
  <si>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</si>
  <si>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</si>
  <si>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Heteroskedascity Testing</t>
  </si>
  <si>
    <t>Sample size</t>
  </si>
  <si>
    <t>Indep var</t>
  </si>
  <si>
    <t>Breusch-Pagan</t>
  </si>
  <si>
    <t>White Test</t>
  </si>
  <si>
    <t>LM stat</t>
  </si>
  <si>
    <t>F stat</t>
  </si>
  <si>
    <t>Real Statistics Using Excel</t>
  </si>
  <si>
    <t>Updated</t>
  </si>
  <si>
    <t>Copyright © 2013 - 2022 Charles Zaiontz</t>
  </si>
  <si>
    <t>Heteroskedasticity Data Analysis Tool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</si>
</sst>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ourier New"/>
      <family val="3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2">
    <xf numFmtId="0" fontId="0" fillId="0" borderId="0"/>
    <xf numFmtId="0" fontId="3" fillId="0" borderId="0"/>
  </cellStyleXfs>
  <cellXfs count="28">
    <xf numFmtId="0" fontId="0" fillId="0" borderId="0" xfId="0"/>
    <xf numFmtId="0" fontId="1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2" fillId="0" borderId="0" xfId="0" applyFont="1"/>
    <xf numFmtId="0" fontId="2" fillId="0" borderId="0" xfId="1" applyFont="1" applyAlignment="1">
      <alignment horizontal="right"/>
    </xf>
    <xf numFmtId="164" fontId="2" fillId="0" borderId="0" xfId="1" quotePrefix="1" applyNumberFormat="1" applyFont="1" applyAlignment="1">
      <alignment horizontal="right"/>
    </xf>
    <xf numFmtId="164" fontId="2" fillId="0" borderId="0" xfId="0" applyNumberFormat="1" applyFont="1"/>
    <xf numFmtId="3" fontId="2" fillId="0" borderId="0" xfId="1" applyNumberFormat="1" applyFont="1" applyAlignment="1">
      <alignment horizontal="right" wrapText="1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165" fontId="2" fillId="0" borderId="0" xfId="1" applyNumberFormat="1" applyFont="1" applyAlignment="1">
      <alignment horizontal="right"/>
    </xf>
    <xf numFmtId="0" fontId="0" fillId="0" borderId="0" xfId="0" applyAlignment="1">
      <alignment horizontal="center"/>
    </xf>
    <xf numFmtId="0" fontId="4" fillId="0" borderId="7" xfId="0" applyFont="1" applyBorder="1" applyAlignment="1">
      <alignment horizontal="center"/>
    </xf>
    <xf numFmtId="164" fontId="2" fillId="0" borderId="0" xfId="1" applyNumberFormat="1" applyFont="1" applyAlignment="1">
      <alignment horizontal="right"/>
    </xf>
    <xf numFmtId="0" fontId="2" fillId="0" borderId="6" xfId="0" applyFont="1" applyBorder="1"/>
    <xf numFmtId="0" fontId="2" fillId="0" borderId="6" xfId="1" applyFont="1" applyBorder="1" applyAlignment="1">
      <alignment horizontal="right"/>
    </xf>
    <xf numFmtId="164" fontId="2" fillId="0" borderId="6" xfId="1" quotePrefix="1" applyNumberFormat="1" applyFont="1" applyBorder="1" applyAlignment="1">
      <alignment horizontal="right"/>
    </xf>
    <xf numFmtId="164" fontId="2" fillId="0" borderId="6" xfId="0" applyNumberFormat="1" applyFont="1" applyBorder="1"/>
    <xf numFmtId="3" fontId="2" fillId="0" borderId="6" xfId="1" applyNumberFormat="1" applyFont="1" applyBorder="1" applyAlignment="1">
      <alignment horizontal="right" wrapText="1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15" fontId="0" fillId="0" borderId="0" xfId="0" applyNumberFormat="1"/>
  </cellXfs>
  <cellStyles count="2">
    <cellStyle name="Normal" xfId="0" builtinId="0"/>
    <cellStyle name="Normal 2" xfId="1" xr:uid="{1ABD1D09-3535-4B10-A173-5E985633F19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0C704-C73A-42F3-89D4-0BCDADF3EBC7}">
  <sheetPr codeName="Sheet1"/>
  <dimension ref="A1:B6"/>
  <sheetViews>
    <sheetView tabSelected="1" workbookViewId="0"/>
  </sheetViews>
  <sheetFormatPr defaultRowHeight="14.5" x14ac:dyDescent="0.35"/>
  <cols>
    <col min="2" max="2" width="8.90625" bestFit="1" customWidth="1"/>
  </cols>
  <sheetData>
    <row r="1" spans="1:2" x14ac:dyDescent="0.35">
      <c r="A1" t="s">
        <v>96</v>
      </c>
    </row>
    <row r="2" spans="1:2" x14ac:dyDescent="0.35">
      <c r="A2" t="s">
        <v>99</v>
      </c>
    </row>
    <row r="4" spans="1:2" x14ac:dyDescent="0.35">
      <c r="A4" t="s">
        <v>97</v>
      </c>
      <c r="B4" s="27">
        <v>44719</v>
      </c>
    </row>
    <row r="6" spans="1:2" x14ac:dyDescent="0.35">
      <c r="A6" s="6" t="s">
        <v>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002D7-67D1-4EDD-B8B5-26BB817D0B7E}">
  <sheetPr codeName="Sheet39"/>
  <dimension ref="A1:Y53"/>
  <sheetViews>
    <sheetView workbookViewId="0"/>
  </sheetViews>
  <sheetFormatPr defaultRowHeight="14.5" x14ac:dyDescent="0.35"/>
  <cols>
    <col min="1" max="1" width="10.54296875" customWidth="1"/>
    <col min="2" max="5" width="8.08984375" customWidth="1"/>
    <col min="6" max="6" width="9.1796875" customWidth="1"/>
    <col min="9" max="9" width="4.36328125" customWidth="1"/>
    <col min="10" max="10" width="12.90625" customWidth="1"/>
    <col min="20" max="20" width="3" customWidth="1"/>
    <col min="21" max="21" width="20.26953125" customWidth="1"/>
    <col min="22" max="22" width="4.90625" customWidth="1"/>
    <col min="23" max="23" width="8.7265625" customWidth="1"/>
    <col min="24" max="24" width="2.453125" customWidth="1"/>
  </cols>
  <sheetData>
    <row r="1" spans="1:25" x14ac:dyDescent="0.35">
      <c r="A1" s="1" t="s">
        <v>0</v>
      </c>
    </row>
    <row r="3" spans="1:25" x14ac:dyDescent="0.35">
      <c r="A3" s="2"/>
      <c r="B3" s="3" t="s">
        <v>1</v>
      </c>
      <c r="C3" s="3" t="s">
        <v>2</v>
      </c>
      <c r="D3" s="3" t="s">
        <v>3</v>
      </c>
      <c r="E3" s="3" t="s">
        <v>4</v>
      </c>
      <c r="F3" s="4" t="s">
        <v>5</v>
      </c>
      <c r="G3" s="4" t="s">
        <v>6</v>
      </c>
      <c r="H3" s="4" t="s">
        <v>7</v>
      </c>
      <c r="J3" t="s">
        <v>8</v>
      </c>
      <c r="R3" t="s">
        <v>9</v>
      </c>
      <c r="S3" s="5" t="e">
        <f ca="1">K10*K7</f>
        <v>#NAME?</v>
      </c>
      <c r="U3" t="e" cm="1">
        <f t="array" aca="1" ref="U3" ca="1">FTEXT(S3)</f>
        <v>#NAME?</v>
      </c>
      <c r="W3" t="e" cm="1">
        <f t="array" aca="1" ref="W3" ca="1">BPagStat(C4:E53,B4:B53)</f>
        <v>#NAME?</v>
      </c>
      <c r="Y3" t="e" cm="1">
        <f t="array" aca="1" ref="Y3" ca="1">FTEXT(W3)</f>
        <v>#NAME?</v>
      </c>
    </row>
    <row r="4" spans="1:25" x14ac:dyDescent="0.35">
      <c r="A4" s="6" t="s">
        <v>10</v>
      </c>
      <c r="B4" s="7">
        <v>15.7</v>
      </c>
      <c r="C4" s="8">
        <v>9</v>
      </c>
      <c r="D4" s="9">
        <v>71.027177760140717</v>
      </c>
      <c r="E4" s="10">
        <v>448</v>
      </c>
      <c r="F4">
        <f t="array" ref="F4:F53">TREND(B4:B53,C4:E53)</f>
        <v>15.168482465280009</v>
      </c>
      <c r="G4">
        <f>B4-F4</f>
        <v>0.53151753471999008</v>
      </c>
      <c r="H4">
        <f>G4^2</f>
        <v>0.28251088971481586</v>
      </c>
      <c r="R4" t="s">
        <v>11</v>
      </c>
      <c r="S4" s="11">
        <f>K14</f>
        <v>3</v>
      </c>
      <c r="U4" t="e" cm="1">
        <f t="array" aca="1" ref="U4" ca="1">FTEXT(S4)</f>
        <v>#NAME?</v>
      </c>
    </row>
    <row r="5" spans="1:25" ht="15" thickBot="1" x14ac:dyDescent="0.4">
      <c r="A5" s="6" t="s">
        <v>12</v>
      </c>
      <c r="B5" s="7">
        <v>8.4</v>
      </c>
      <c r="C5" s="8">
        <v>6.9</v>
      </c>
      <c r="D5" s="9">
        <v>70.62318863808899</v>
      </c>
      <c r="E5" s="10">
        <v>661.2</v>
      </c>
      <c r="F5">
        <v>12.770194096327922</v>
      </c>
      <c r="G5">
        <f t="shared" ref="G5:G53" si="0">B5-F5</f>
        <v>-4.3701940963279213</v>
      </c>
      <c r="H5">
        <f t="shared" ref="H5:H53" si="1">G5^2</f>
        <v>19.098596439579417</v>
      </c>
      <c r="J5" s="12" t="s">
        <v>13</v>
      </c>
      <c r="K5" s="12"/>
      <c r="M5" s="12"/>
      <c r="N5" s="12"/>
      <c r="R5" t="s">
        <v>14</v>
      </c>
      <c r="S5" s="13" t="e">
        <f ca="1">_xlfn.CHISQ.DIST.RT(S3,S4)</f>
        <v>#NAME?</v>
      </c>
      <c r="U5" t="e" cm="1">
        <f t="array" aca="1" ref="U5" ca="1">FTEXT(S5)</f>
        <v>#NAME?</v>
      </c>
      <c r="W5" t="e" cm="1">
        <f t="array" aca="1" ref="W5" ca="1">BPagTest(C4:E53,B4:B53)</f>
        <v>#NAME?</v>
      </c>
      <c r="Y5" t="e" cm="1">
        <f t="array" aca="1" ref="Y5" ca="1">FTEXT(W5)</f>
        <v>#NAME?</v>
      </c>
    </row>
    <row r="6" spans="1:25" ht="15" thickTop="1" x14ac:dyDescent="0.35">
      <c r="A6" s="6" t="s">
        <v>15</v>
      </c>
      <c r="B6" s="7">
        <v>14.7</v>
      </c>
      <c r="C6" s="8">
        <v>6.4</v>
      </c>
      <c r="D6" s="9">
        <v>86.505696765320337</v>
      </c>
      <c r="E6" s="10">
        <v>482.7</v>
      </c>
      <c r="F6">
        <v>12.453734351399657</v>
      </c>
      <c r="G6">
        <f t="shared" si="0"/>
        <v>2.2462656486003425</v>
      </c>
      <c r="H6">
        <f t="shared" si="1"/>
        <v>5.0457093640819171</v>
      </c>
      <c r="J6" t="s">
        <v>16</v>
      </c>
      <c r="K6" t="e">
        <f ca="1">SQRT(K7)</f>
        <v>#NAME?</v>
      </c>
      <c r="M6" t="s">
        <v>17</v>
      </c>
      <c r="N6" t="e">
        <f ca="1">K10*LN(L15/K10)+2*(K14+1)</f>
        <v>#NAME?</v>
      </c>
    </row>
    <row r="7" spans="1:25" x14ac:dyDescent="0.35">
      <c r="A7" s="6" t="s">
        <v>18</v>
      </c>
      <c r="B7" s="7">
        <v>17.3</v>
      </c>
      <c r="C7" s="8">
        <v>8.5</v>
      </c>
      <c r="D7" s="9">
        <v>80.783955956979611</v>
      </c>
      <c r="E7" s="10">
        <v>529.4</v>
      </c>
      <c r="F7">
        <v>14.998941387354511</v>
      </c>
      <c r="G7">
        <f t="shared" si="0"/>
        <v>2.3010586126454893</v>
      </c>
      <c r="H7">
        <f t="shared" si="1"/>
        <v>5.2948707388299843</v>
      </c>
      <c r="J7" t="s">
        <v>19</v>
      </c>
      <c r="K7" t="e">
        <f ca="1">L14/L16</f>
        <v>#NAME?</v>
      </c>
      <c r="M7" t="s">
        <v>20</v>
      </c>
      <c r="N7" t="e">
        <f ca="1">N6+2*(K14+2)*(K14+3)/(K10-K14-3)</f>
        <v>#NAME?</v>
      </c>
      <c r="R7" t="s">
        <v>21</v>
      </c>
      <c r="S7" s="5" t="e">
        <f ca="1">(K7/K14)/((1-K7)/K15)</f>
        <v>#NAME?</v>
      </c>
      <c r="U7" t="e" cm="1">
        <f t="array" aca="1" ref="U7" ca="1">FTEXT(S7)</f>
        <v>#NAME?</v>
      </c>
      <c r="W7" t="e" cm="1">
        <f t="array" aca="1" ref="W7" ca="1">BPagStat(C4:E53,B4:B53,FALSE)</f>
        <v>#NAME?</v>
      </c>
      <c r="Y7" t="e" cm="1">
        <f t="array" aca="1" ref="Y7" ca="1">FTEXT(W7)</f>
        <v>#NAME?</v>
      </c>
    </row>
    <row r="8" spans="1:25" x14ac:dyDescent="0.35">
      <c r="A8" s="6" t="s">
        <v>22</v>
      </c>
      <c r="B8" s="7">
        <v>13.3</v>
      </c>
      <c r="C8" s="8">
        <v>5</v>
      </c>
      <c r="D8" s="9">
        <v>76.640052174481781</v>
      </c>
      <c r="E8" s="10">
        <v>522.6</v>
      </c>
      <c r="F8">
        <v>10.360946134637627</v>
      </c>
      <c r="G8">
        <f t="shared" si="0"/>
        <v>2.9390538653623732</v>
      </c>
      <c r="H8">
        <f t="shared" si="1"/>
        <v>8.6380376235015071</v>
      </c>
      <c r="J8" t="s">
        <v>23</v>
      </c>
      <c r="K8" t="e">
        <f ca="1">1-(1-K7)*(K10-1)/(K10-K14-1)</f>
        <v>#NAME?</v>
      </c>
      <c r="M8" s="14" t="s">
        <v>24</v>
      </c>
      <c r="N8" s="14" t="e">
        <f ca="1">K10*LN(L15/K10)+(K14+1)*LN(K10)</f>
        <v>#NAME?</v>
      </c>
      <c r="R8" t="s">
        <v>25</v>
      </c>
      <c r="S8" s="11">
        <f>K14</f>
        <v>3</v>
      </c>
      <c r="U8" t="e" cm="1">
        <f t="array" aca="1" ref="U8" ca="1">FTEXT(S8)</f>
        <v>#NAME?</v>
      </c>
    </row>
    <row r="9" spans="1:25" x14ac:dyDescent="0.35">
      <c r="A9" s="6" t="s">
        <v>26</v>
      </c>
      <c r="B9" s="7">
        <v>11.4</v>
      </c>
      <c r="C9" s="8">
        <v>5.7</v>
      </c>
      <c r="D9" s="9">
        <v>89.734092175332663</v>
      </c>
      <c r="E9" s="10">
        <v>347.8</v>
      </c>
      <c r="F9">
        <v>11.483693052508372</v>
      </c>
      <c r="G9">
        <f t="shared" si="0"/>
        <v>-8.3693052508371224E-2</v>
      </c>
      <c r="H9">
        <f t="shared" si="1"/>
        <v>7.0045270381689827E-3</v>
      </c>
      <c r="J9" t="s">
        <v>27</v>
      </c>
      <c r="K9" t="e">
        <f ca="1">SQRT(M15)</f>
        <v>#NAME?</v>
      </c>
      <c r="R9" t="s">
        <v>28</v>
      </c>
      <c r="S9" s="11">
        <f>K15</f>
        <v>46</v>
      </c>
      <c r="U9" t="e" cm="1">
        <f t="array" aca="1" ref="U9" ca="1">FTEXT(S9)</f>
        <v>#NAME?</v>
      </c>
    </row>
    <row r="10" spans="1:25" x14ac:dyDescent="0.35">
      <c r="A10" s="6" t="s">
        <v>29</v>
      </c>
      <c r="B10" s="7">
        <v>9.3000000000000007</v>
      </c>
      <c r="C10" s="8">
        <v>6.2</v>
      </c>
      <c r="D10" s="9">
        <v>84.278652322083644</v>
      </c>
      <c r="E10" s="10">
        <v>256</v>
      </c>
      <c r="F10">
        <v>11.79470492807466</v>
      </c>
      <c r="G10">
        <f t="shared" si="0"/>
        <v>-2.4947049280746594</v>
      </c>
      <c r="H10">
        <f t="shared" si="1"/>
        <v>6.223552678159991</v>
      </c>
      <c r="J10" s="14" t="s">
        <v>30</v>
      </c>
      <c r="K10" s="14">
        <f>COUNT(H4:H53)</f>
        <v>50</v>
      </c>
      <c r="R10" t="s">
        <v>14</v>
      </c>
      <c r="S10" s="13" t="e">
        <f ca="1">_xlfn.F.DIST.RT(S7,S8,S9)</f>
        <v>#NAME?</v>
      </c>
      <c r="U10" t="e" cm="1">
        <f t="array" aca="1" ref="U10" ca="1">FTEXT(S10)</f>
        <v>#NAME?</v>
      </c>
      <c r="W10" t="e" cm="1">
        <f t="array" aca="1" ref="W10" ca="1">BPagTest(C4:E53,B4:B53,FALSE)</f>
        <v>#NAME?</v>
      </c>
      <c r="Y10" t="e" cm="1">
        <f t="array" aca="1" ref="Y10" ca="1">FTEXT(W10)</f>
        <v>#NAME?</v>
      </c>
    </row>
    <row r="11" spans="1:25" x14ac:dyDescent="0.35">
      <c r="A11" s="6" t="s">
        <v>31</v>
      </c>
      <c r="B11" s="15">
        <v>10</v>
      </c>
      <c r="C11" s="8">
        <v>8.3000000000000007</v>
      </c>
      <c r="D11" s="9">
        <v>74.266056727126113</v>
      </c>
      <c r="E11" s="10">
        <v>689.2</v>
      </c>
      <c r="F11">
        <v>14.733447771089935</v>
      </c>
      <c r="G11">
        <f t="shared" si="0"/>
        <v>-4.733447771089935</v>
      </c>
      <c r="H11">
        <f t="shared" si="1"/>
        <v>22.405527801636275</v>
      </c>
    </row>
    <row r="12" spans="1:25" ht="15" thickBot="1" x14ac:dyDescent="0.4">
      <c r="A12" s="6" t="s">
        <v>32</v>
      </c>
      <c r="B12" s="7">
        <v>13.2</v>
      </c>
      <c r="C12" s="8">
        <v>7.3</v>
      </c>
      <c r="D12" s="9">
        <v>79.811068541941054</v>
      </c>
      <c r="E12" s="10">
        <v>722.6</v>
      </c>
      <c r="F12">
        <v>13.702989401864992</v>
      </c>
      <c r="G12">
        <f t="shared" si="0"/>
        <v>-0.5029894018649923</v>
      </c>
      <c r="H12">
        <f t="shared" si="1"/>
        <v>0.25299833838850272</v>
      </c>
      <c r="J12" t="s">
        <v>33</v>
      </c>
      <c r="N12" s="16" t="s">
        <v>34</v>
      </c>
      <c r="O12" s="16">
        <v>0.05</v>
      </c>
    </row>
    <row r="13" spans="1:25" ht="15" thickTop="1" x14ac:dyDescent="0.35">
      <c r="A13" s="6" t="s">
        <v>35</v>
      </c>
      <c r="B13" s="7">
        <v>14.7</v>
      </c>
      <c r="C13" s="8">
        <v>8.1</v>
      </c>
      <c r="D13" s="9">
        <v>65.387718279566343</v>
      </c>
      <c r="E13" s="10">
        <v>493.2</v>
      </c>
      <c r="F13">
        <v>13.876437321067451</v>
      </c>
      <c r="G13">
        <f t="shared" si="0"/>
        <v>0.82356267893254831</v>
      </c>
      <c r="H13">
        <f t="shared" si="1"/>
        <v>0.67825548613055564</v>
      </c>
      <c r="J13" s="17"/>
      <c r="K13" s="17" t="s">
        <v>11</v>
      </c>
      <c r="L13" s="17" t="s">
        <v>36</v>
      </c>
      <c r="M13" s="17" t="s">
        <v>37</v>
      </c>
      <c r="N13" s="17" t="s">
        <v>21</v>
      </c>
      <c r="O13" s="17" t="s">
        <v>14</v>
      </c>
      <c r="P13" s="17" t="s">
        <v>38</v>
      </c>
    </row>
    <row r="14" spans="1:25" x14ac:dyDescent="0.35">
      <c r="A14" s="6" t="s">
        <v>39</v>
      </c>
      <c r="B14" s="7">
        <v>9.1</v>
      </c>
      <c r="C14" s="8">
        <v>5.6</v>
      </c>
      <c r="D14" s="9">
        <v>29.667333748383395</v>
      </c>
      <c r="E14" s="10">
        <v>272.8</v>
      </c>
      <c r="F14">
        <v>9.0671031505498636</v>
      </c>
      <c r="G14">
        <f t="shared" si="0"/>
        <v>3.2896849450136045E-2</v>
      </c>
      <c r="H14">
        <f t="shared" si="1"/>
        <v>1.0822027037449163E-3</v>
      </c>
      <c r="J14" t="s">
        <v>40</v>
      </c>
      <c r="K14">
        <f>COUNT(C4:E4)</f>
        <v>3</v>
      </c>
      <c r="L14" t="e">
        <f ca="1">DEVSQ(MMULT(DEsign(C4:E53),K19:K22))</f>
        <v>#NAME?</v>
      </c>
      <c r="M14" t="e">
        <f ca="1">L14/K14</f>
        <v>#NAME?</v>
      </c>
      <c r="N14" t="e">
        <f ca="1">M14/M15</f>
        <v>#NAME?</v>
      </c>
      <c r="O14" t="e">
        <f ca="1">_xlfn.F.DIST.RT(N14,K14,K15)</f>
        <v>#NAME?</v>
      </c>
      <c r="P14" s="16" t="e">
        <f ca="1">IF(O14&lt;O12,"yes","no")</f>
        <v>#NAME?</v>
      </c>
    </row>
    <row r="15" spans="1:25" x14ac:dyDescent="0.35">
      <c r="A15" s="6" t="s">
        <v>41</v>
      </c>
      <c r="B15" s="7">
        <v>12.6</v>
      </c>
      <c r="C15" s="8">
        <v>6.8</v>
      </c>
      <c r="D15" s="9">
        <v>94.600660447193093</v>
      </c>
      <c r="E15" s="10">
        <v>239.4</v>
      </c>
      <c r="F15">
        <v>12.913696631816233</v>
      </c>
      <c r="G15">
        <f t="shared" si="0"/>
        <v>-0.31369663181623331</v>
      </c>
      <c r="H15">
        <f t="shared" si="1"/>
        <v>9.8405576812849435E-2</v>
      </c>
      <c r="J15" t="s">
        <v>42</v>
      </c>
      <c r="K15">
        <f>K16-K14</f>
        <v>46</v>
      </c>
      <c r="L15" t="e">
        <f ca="1">L16-L14</f>
        <v>#NAME?</v>
      </c>
      <c r="M15" t="e">
        <f ca="1">L15/K15</f>
        <v>#NAME?</v>
      </c>
    </row>
    <row r="16" spans="1:25" x14ac:dyDescent="0.35">
      <c r="A16" s="6" t="s">
        <v>43</v>
      </c>
      <c r="B16" s="7">
        <v>12.2</v>
      </c>
      <c r="C16" s="8">
        <v>7.3</v>
      </c>
      <c r="D16" s="9">
        <v>79.13310968601246</v>
      </c>
      <c r="E16" s="10">
        <v>533.20000000000005</v>
      </c>
      <c r="F16">
        <v>13.409129334359276</v>
      </c>
      <c r="G16">
        <f t="shared" si="0"/>
        <v>-1.2091293343592771</v>
      </c>
      <c r="H16">
        <f t="shared" si="1"/>
        <v>1.4619937472081084</v>
      </c>
      <c r="J16" s="14" t="s">
        <v>44</v>
      </c>
      <c r="K16" s="14">
        <f>K10-1</f>
        <v>49</v>
      </c>
      <c r="L16" s="14">
        <f>DEVSQ(H4:H53)</f>
        <v>3104.9169973942689</v>
      </c>
      <c r="M16" s="14"/>
      <c r="N16" s="14"/>
      <c r="O16" s="14"/>
      <c r="P16" s="14"/>
    </row>
    <row r="17" spans="1:17" ht="15" thickBot="1" x14ac:dyDescent="0.4">
      <c r="A17" s="6" t="s">
        <v>45</v>
      </c>
      <c r="B17" s="7">
        <v>13.1</v>
      </c>
      <c r="C17" s="8">
        <v>8</v>
      </c>
      <c r="D17" s="9">
        <v>88.000000627274659</v>
      </c>
      <c r="E17" s="10">
        <v>333.6</v>
      </c>
      <c r="F17">
        <v>14.343063758629301</v>
      </c>
      <c r="G17">
        <f t="shared" si="0"/>
        <v>-1.243063758629301</v>
      </c>
      <c r="H17">
        <f t="shared" si="1"/>
        <v>1.5452075080176051</v>
      </c>
    </row>
    <row r="18" spans="1:17" ht="15" thickTop="1" x14ac:dyDescent="0.35">
      <c r="A18" s="6" t="s">
        <v>46</v>
      </c>
      <c r="B18" s="7">
        <v>11.5</v>
      </c>
      <c r="C18" s="8">
        <v>5.0999999999999996</v>
      </c>
      <c r="D18" s="9">
        <v>94.170464820794294</v>
      </c>
      <c r="E18" s="10">
        <v>294.7</v>
      </c>
      <c r="F18">
        <v>10.801749432233862</v>
      </c>
      <c r="G18">
        <f t="shared" si="0"/>
        <v>0.69825056776613792</v>
      </c>
      <c r="H18">
        <f t="shared" si="1"/>
        <v>0.48755385538573398</v>
      </c>
      <c r="J18" s="17"/>
      <c r="K18" s="17" t="s">
        <v>47</v>
      </c>
      <c r="L18" s="17" t="s">
        <v>48</v>
      </c>
      <c r="M18" s="17" t="s">
        <v>49</v>
      </c>
      <c r="N18" s="17" t="s">
        <v>14</v>
      </c>
      <c r="O18" s="17" t="s">
        <v>50</v>
      </c>
      <c r="P18" s="17" t="s">
        <v>51</v>
      </c>
      <c r="Q18" s="17" t="s">
        <v>52</v>
      </c>
    </row>
    <row r="19" spans="1:17" x14ac:dyDescent="0.35">
      <c r="A19" s="6" t="s">
        <v>53</v>
      </c>
      <c r="B19" s="7">
        <v>11.3</v>
      </c>
      <c r="C19" s="8">
        <v>7.1</v>
      </c>
      <c r="D19" s="9">
        <v>88.703716524620162</v>
      </c>
      <c r="E19" s="10">
        <v>452.7</v>
      </c>
      <c r="F19">
        <v>13.386495433605791</v>
      </c>
      <c r="G19">
        <f t="shared" si="0"/>
        <v>-2.0864954336057906</v>
      </c>
      <c r="H19">
        <f t="shared" si="1"/>
        <v>4.3534631944578157</v>
      </c>
      <c r="J19" t="s">
        <v>54</v>
      </c>
      <c r="K19" t="e">
        <f t="array" aca="1" ref="K19:L22" ca="1">RegCoeff(C4:E53,H4:H53)</f>
        <v>#NAME?</v>
      </c>
      <c r="L19" t="e">
        <f ca="1"/>
        <v>#NAME?</v>
      </c>
      <c r="M19" t="e">
        <f ca="1">K19/L19</f>
        <v>#NAME?</v>
      </c>
      <c r="N19" t="e">
        <f ca="1">_xlfn.T.DIST.2T(ABS(M19),$K$15)</f>
        <v>#NAME?</v>
      </c>
      <c r="O19" t="e">
        <f ca="1">K19-_xlfn.T.INV.2T(O$12,$K$15)*L19</f>
        <v>#NAME?</v>
      </c>
      <c r="P19" t="e">
        <f ca="1">K19+_xlfn.T.INV.2T(O$12,$K$15)*L19</f>
        <v>#NAME?</v>
      </c>
    </row>
    <row r="20" spans="1:17" x14ac:dyDescent="0.35">
      <c r="A20" s="6" t="s">
        <v>55</v>
      </c>
      <c r="B20" s="7">
        <v>17.3</v>
      </c>
      <c r="C20" s="8">
        <v>7.5</v>
      </c>
      <c r="D20" s="9">
        <v>89.904327345935869</v>
      </c>
      <c r="E20" s="10">
        <v>295</v>
      </c>
      <c r="F20">
        <v>13.717687401385909</v>
      </c>
      <c r="G20">
        <f t="shared" si="0"/>
        <v>3.5823125986140916</v>
      </c>
      <c r="H20">
        <f t="shared" si="1"/>
        <v>12.832963554189245</v>
      </c>
      <c r="J20" t="str">
        <f t="array" ref="J20:J22">TRANSPOSE(C3:E3)</f>
        <v>Inf Mort</v>
      </c>
      <c r="K20" t="e">
        <f ca="1"/>
        <v>#NAME?</v>
      </c>
      <c r="L20" t="e">
        <f ca="1"/>
        <v>#NAME?</v>
      </c>
      <c r="M20" t="e">
        <f t="shared" ref="M20:M22" ca="1" si="2">K20/L20</f>
        <v>#NAME?</v>
      </c>
      <c r="N20" t="e">
        <f t="shared" ref="N20:N22" ca="1" si="3">_xlfn.T.DIST.2T(ABS(M20),$K$15)</f>
        <v>#NAME?</v>
      </c>
      <c r="O20" t="e">
        <f t="shared" ref="O20:O22" ca="1" si="4">K20-_xlfn.T.INV.2T(O$12,$K$15)*L20</f>
        <v>#NAME?</v>
      </c>
      <c r="P20" t="e">
        <f t="shared" ref="P20:P22" ca="1" si="5">K20+_xlfn.T.INV.2T(O$12,$K$15)*L20</f>
        <v>#NAME?</v>
      </c>
      <c r="Q20" t="e">
        <f ca="1">VIF(C4:E53,1)</f>
        <v>#NAME?</v>
      </c>
    </row>
    <row r="21" spans="1:17" x14ac:dyDescent="0.35">
      <c r="A21" s="6" t="s">
        <v>56</v>
      </c>
      <c r="B21" s="7">
        <v>17.3</v>
      </c>
      <c r="C21" s="8">
        <v>9.9</v>
      </c>
      <c r="D21" s="9">
        <v>64.839543701408999</v>
      </c>
      <c r="E21" s="10">
        <v>729.5</v>
      </c>
      <c r="F21">
        <v>16.495289411657392</v>
      </c>
      <c r="G21">
        <f t="shared" si="0"/>
        <v>0.80471058834260845</v>
      </c>
      <c r="H21">
        <f t="shared" si="1"/>
        <v>0.64755913099070705</v>
      </c>
      <c r="J21" t="str">
        <v>White</v>
      </c>
      <c r="K21" t="e">
        <f ca="1"/>
        <v>#NAME?</v>
      </c>
      <c r="L21" t="e">
        <f ca="1"/>
        <v>#NAME?</v>
      </c>
      <c r="M21" t="e">
        <f t="shared" ca="1" si="2"/>
        <v>#NAME?</v>
      </c>
      <c r="N21" t="e">
        <f t="shared" ca="1" si="3"/>
        <v>#NAME?</v>
      </c>
      <c r="O21" t="e">
        <f t="shared" ca="1" si="4"/>
        <v>#NAME?</v>
      </c>
      <c r="P21" t="e">
        <f t="shared" ca="1" si="5"/>
        <v>#NAME?</v>
      </c>
      <c r="Q21" t="e">
        <f ca="1">VIF(C4:E53,2)</f>
        <v>#NAME?</v>
      </c>
    </row>
    <row r="22" spans="1:17" x14ac:dyDescent="0.35">
      <c r="A22" s="6" t="s">
        <v>57</v>
      </c>
      <c r="B22" s="7">
        <v>12.3</v>
      </c>
      <c r="C22" s="8">
        <v>6.3</v>
      </c>
      <c r="D22" s="9">
        <v>96.389852756187835</v>
      </c>
      <c r="E22" s="10">
        <v>118</v>
      </c>
      <c r="F22">
        <v>12.166437679535267</v>
      </c>
      <c r="G22">
        <f t="shared" si="0"/>
        <v>0.13356232046473338</v>
      </c>
      <c r="H22">
        <f t="shared" si="1"/>
        <v>1.7838893447924137E-2</v>
      </c>
      <c r="J22" s="14" t="str">
        <v>Crime</v>
      </c>
      <c r="K22" s="14" t="e">
        <f ca="1"/>
        <v>#NAME?</v>
      </c>
      <c r="L22" s="14" t="e">
        <f ca="1"/>
        <v>#NAME?</v>
      </c>
      <c r="M22" s="14" t="e">
        <f t="shared" ca="1" si="2"/>
        <v>#NAME?</v>
      </c>
      <c r="N22" s="14" t="e">
        <f t="shared" ca="1" si="3"/>
        <v>#NAME?</v>
      </c>
      <c r="O22" s="14" t="e">
        <f t="shared" ca="1" si="4"/>
        <v>#NAME?</v>
      </c>
      <c r="P22" s="14" t="e">
        <f t="shared" ca="1" si="5"/>
        <v>#NAME?</v>
      </c>
      <c r="Q22" s="14" t="e">
        <f ca="1">VIF(C4:E53,3)</f>
        <v>#NAME?</v>
      </c>
    </row>
    <row r="23" spans="1:17" x14ac:dyDescent="0.35">
      <c r="A23" s="6" t="s">
        <v>58</v>
      </c>
      <c r="B23" s="7">
        <v>8.1</v>
      </c>
      <c r="C23" s="8">
        <v>8</v>
      </c>
      <c r="D23" s="9">
        <v>63.398020838196281</v>
      </c>
      <c r="E23" s="10">
        <v>641.9</v>
      </c>
      <c r="F23">
        <v>13.887597669367663</v>
      </c>
      <c r="G23">
        <f t="shared" si="0"/>
        <v>-5.7875976693676634</v>
      </c>
      <c r="H23">
        <f t="shared" si="1"/>
        <v>33.496286782470008</v>
      </c>
    </row>
    <row r="24" spans="1:17" x14ac:dyDescent="0.35">
      <c r="A24" s="6" t="s">
        <v>59</v>
      </c>
      <c r="B24" s="15">
        <v>10</v>
      </c>
      <c r="C24" s="8">
        <v>4.8</v>
      </c>
      <c r="D24" s="9">
        <v>86.203669547721617</v>
      </c>
      <c r="E24" s="10">
        <v>431.5</v>
      </c>
      <c r="F24">
        <v>10.32299043884211</v>
      </c>
      <c r="G24">
        <f t="shared" si="0"/>
        <v>-0.32299043884211009</v>
      </c>
      <c r="H24">
        <f t="shared" si="1"/>
        <v>0.10432282358341886</v>
      </c>
    </row>
    <row r="25" spans="1:17" x14ac:dyDescent="0.35">
      <c r="A25" s="6" t="s">
        <v>60</v>
      </c>
      <c r="B25" s="7">
        <v>14.4</v>
      </c>
      <c r="C25" s="8">
        <v>7.4</v>
      </c>
      <c r="D25" s="9">
        <v>81.183409037427396</v>
      </c>
      <c r="E25" s="10">
        <v>536</v>
      </c>
      <c r="F25">
        <v>13.615527563643827</v>
      </c>
      <c r="G25">
        <f t="shared" si="0"/>
        <v>0.78447243635617347</v>
      </c>
      <c r="H25">
        <f t="shared" si="1"/>
        <v>0.61539700340259063</v>
      </c>
    </row>
    <row r="26" spans="1:17" x14ac:dyDescent="0.35">
      <c r="A26" s="6" t="s">
        <v>61</v>
      </c>
      <c r="B26" s="7">
        <v>9.6</v>
      </c>
      <c r="C26" s="8">
        <v>5.2</v>
      </c>
      <c r="D26" s="9">
        <v>89.045556531854984</v>
      </c>
      <c r="E26" s="10">
        <v>288.7</v>
      </c>
      <c r="F26">
        <v>10.734985254448009</v>
      </c>
      <c r="G26">
        <f t="shared" si="0"/>
        <v>-1.1349852544480097</v>
      </c>
      <c r="H26">
        <f t="shared" si="1"/>
        <v>1.2881915278144134</v>
      </c>
    </row>
    <row r="27" spans="1:17" x14ac:dyDescent="0.35">
      <c r="A27" s="6" t="s">
        <v>62</v>
      </c>
      <c r="B27" s="7">
        <v>21.2</v>
      </c>
      <c r="C27" s="8">
        <v>10.6</v>
      </c>
      <c r="D27" s="9">
        <v>60.598179144073846</v>
      </c>
      <c r="E27" s="10">
        <v>291.3</v>
      </c>
      <c r="F27">
        <v>16.613871588317885</v>
      </c>
      <c r="G27">
        <f t="shared" si="0"/>
        <v>4.5861284116821146</v>
      </c>
      <c r="H27">
        <f t="shared" si="1"/>
        <v>21.032573808437917</v>
      </c>
    </row>
    <row r="28" spans="1:17" x14ac:dyDescent="0.35">
      <c r="A28" s="6" t="s">
        <v>63</v>
      </c>
      <c r="B28" s="7">
        <v>13.4</v>
      </c>
      <c r="C28" s="8">
        <v>7.4</v>
      </c>
      <c r="D28" s="9">
        <v>85.028888093842554</v>
      </c>
      <c r="E28" s="10">
        <v>504.9</v>
      </c>
      <c r="F28">
        <v>13.711013366979067</v>
      </c>
      <c r="G28">
        <f t="shared" si="0"/>
        <v>-0.31101336697906667</v>
      </c>
      <c r="H28">
        <f t="shared" si="1"/>
        <v>9.67293144396556E-2</v>
      </c>
    </row>
    <row r="29" spans="1:17" x14ac:dyDescent="0.35">
      <c r="A29" s="6" t="s">
        <v>64</v>
      </c>
      <c r="B29" s="7">
        <v>14.8</v>
      </c>
      <c r="C29" s="8">
        <v>5.8</v>
      </c>
      <c r="D29" s="9">
        <v>90.467729264863962</v>
      </c>
      <c r="E29" s="10">
        <v>287.5</v>
      </c>
      <c r="F29">
        <v>11.55256440695972</v>
      </c>
      <c r="G29">
        <f t="shared" si="0"/>
        <v>3.2474355930402812</v>
      </c>
      <c r="H29">
        <f t="shared" si="1"/>
        <v>10.545837930944883</v>
      </c>
    </row>
    <row r="30" spans="1:17" x14ac:dyDescent="0.35">
      <c r="A30" s="6" t="s">
        <v>65</v>
      </c>
      <c r="B30" s="7">
        <v>10.8</v>
      </c>
      <c r="C30" s="8">
        <v>5.6</v>
      </c>
      <c r="D30" s="9">
        <v>91.372477335833381</v>
      </c>
      <c r="E30" s="10">
        <v>302.39999999999998</v>
      </c>
      <c r="F30">
        <v>11.350737524842538</v>
      </c>
      <c r="G30">
        <f t="shared" si="0"/>
        <v>-0.55073752484253724</v>
      </c>
      <c r="H30">
        <f t="shared" si="1"/>
        <v>0.30331182126968431</v>
      </c>
    </row>
    <row r="31" spans="1:17" x14ac:dyDescent="0.35">
      <c r="A31" s="6" t="s">
        <v>66</v>
      </c>
      <c r="B31" s="7">
        <v>11.3</v>
      </c>
      <c r="C31" s="8">
        <v>6.4</v>
      </c>
      <c r="D31" s="9">
        <v>80.891227371165002</v>
      </c>
      <c r="E31" s="10">
        <v>750.6</v>
      </c>
      <c r="F31">
        <v>12.630597532474958</v>
      </c>
      <c r="G31">
        <f t="shared" si="0"/>
        <v>-1.3305975324749575</v>
      </c>
      <c r="H31">
        <f t="shared" si="1"/>
        <v>1.7704897934284456</v>
      </c>
    </row>
    <row r="32" spans="1:17" x14ac:dyDescent="0.35">
      <c r="A32" s="6" t="s">
        <v>67</v>
      </c>
      <c r="B32" s="7">
        <v>7.6</v>
      </c>
      <c r="C32" s="8">
        <v>6.1</v>
      </c>
      <c r="D32" s="9">
        <v>95.487186970145373</v>
      </c>
      <c r="E32" s="10">
        <v>137.30000000000001</v>
      </c>
      <c r="F32">
        <v>11.905207608821607</v>
      </c>
      <c r="G32">
        <f t="shared" si="0"/>
        <v>-4.3052076088216076</v>
      </c>
      <c r="H32">
        <f t="shared" si="1"/>
        <v>18.534812555055463</v>
      </c>
    </row>
    <row r="33" spans="1:8" x14ac:dyDescent="0.35">
      <c r="A33" s="6" t="s">
        <v>68</v>
      </c>
      <c r="B33" s="7">
        <v>8.6999999999999993</v>
      </c>
      <c r="C33" s="8">
        <v>5.5</v>
      </c>
      <c r="D33" s="9">
        <v>76.032117342828414</v>
      </c>
      <c r="E33" s="10">
        <v>329.3</v>
      </c>
      <c r="F33">
        <v>10.703770804947251</v>
      </c>
      <c r="G33">
        <f t="shared" si="0"/>
        <v>-2.0037708049472513</v>
      </c>
      <c r="H33">
        <f t="shared" si="1"/>
        <v>4.0150974387589553</v>
      </c>
    </row>
    <row r="34" spans="1:8" x14ac:dyDescent="0.35">
      <c r="A34" s="6" t="s">
        <v>69</v>
      </c>
      <c r="B34" s="7">
        <v>17.100000000000001</v>
      </c>
      <c r="C34" s="8">
        <v>5.8</v>
      </c>
      <c r="D34" s="9">
        <v>83.996520785584835</v>
      </c>
      <c r="E34" s="10">
        <v>664.2</v>
      </c>
      <c r="F34">
        <v>11.852963983075886</v>
      </c>
      <c r="G34">
        <f t="shared" si="0"/>
        <v>5.247036016924115</v>
      </c>
      <c r="H34">
        <f t="shared" si="1"/>
        <v>27.531386962898882</v>
      </c>
    </row>
    <row r="35" spans="1:8" x14ac:dyDescent="0.35">
      <c r="A35" s="6" t="s">
        <v>70</v>
      </c>
      <c r="B35" s="7">
        <v>13.6</v>
      </c>
      <c r="C35" s="8">
        <v>5.6</v>
      </c>
      <c r="D35" s="9">
        <v>73.422529169257928</v>
      </c>
      <c r="E35" s="10">
        <v>414.1</v>
      </c>
      <c r="F35">
        <v>10.857452575591561</v>
      </c>
      <c r="G35">
        <f t="shared" si="0"/>
        <v>2.7425474244084391</v>
      </c>
      <c r="H35">
        <f t="shared" si="1"/>
        <v>7.5215663751293631</v>
      </c>
    </row>
    <row r="36" spans="1:8" x14ac:dyDescent="0.35">
      <c r="A36" s="6" t="s">
        <v>71</v>
      </c>
      <c r="B36" s="7">
        <v>14.6</v>
      </c>
      <c r="C36" s="8">
        <v>8.1</v>
      </c>
      <c r="D36" s="9">
        <v>73.937344387272134</v>
      </c>
      <c r="E36" s="10">
        <v>466.4</v>
      </c>
      <c r="F36">
        <v>14.148922758102401</v>
      </c>
      <c r="G36">
        <f t="shared" si="0"/>
        <v>0.45107724189759857</v>
      </c>
      <c r="H36">
        <f t="shared" si="1"/>
        <v>0.20347067815794465</v>
      </c>
    </row>
    <row r="37" spans="1:8" x14ac:dyDescent="0.35">
      <c r="A37" s="6" t="s">
        <v>72</v>
      </c>
      <c r="B37" s="18">
        <v>12</v>
      </c>
      <c r="C37" s="8">
        <v>5.8</v>
      </c>
      <c r="D37" s="9">
        <v>91.393509706444945</v>
      </c>
      <c r="E37" s="10">
        <v>142.4</v>
      </c>
      <c r="F37">
        <v>11.379935658704408</v>
      </c>
      <c r="G37">
        <f t="shared" si="0"/>
        <v>0.62006434129559196</v>
      </c>
      <c r="H37">
        <f t="shared" si="1"/>
        <v>0.38447978734633637</v>
      </c>
    </row>
    <row r="38" spans="1:8" x14ac:dyDescent="0.35">
      <c r="A38" s="6" t="s">
        <v>73</v>
      </c>
      <c r="B38" s="7">
        <v>13.4</v>
      </c>
      <c r="C38" s="8">
        <v>7.8</v>
      </c>
      <c r="D38" s="9">
        <v>84.764237226305966</v>
      </c>
      <c r="E38" s="10">
        <v>343.2</v>
      </c>
      <c r="F38">
        <v>13.983290890156367</v>
      </c>
      <c r="G38">
        <f t="shared" si="0"/>
        <v>-0.58329089015636626</v>
      </c>
      <c r="H38">
        <f t="shared" si="1"/>
        <v>0.34022826253940613</v>
      </c>
    </row>
    <row r="39" spans="1:8" x14ac:dyDescent="0.35">
      <c r="A39" s="6" t="s">
        <v>74</v>
      </c>
      <c r="B39" s="7">
        <v>15.9</v>
      </c>
      <c r="C39" s="8">
        <v>8</v>
      </c>
      <c r="D39" s="9">
        <v>78.141238608693655</v>
      </c>
      <c r="E39" s="10">
        <v>499.6</v>
      </c>
      <c r="F39">
        <v>14.22089410117899</v>
      </c>
      <c r="G39">
        <f t="shared" si="0"/>
        <v>1.6791058988210104</v>
      </c>
      <c r="H39">
        <f t="shared" si="1"/>
        <v>2.8193966194555129</v>
      </c>
    </row>
    <row r="40" spans="1:8" x14ac:dyDescent="0.35">
      <c r="A40" s="6" t="s">
        <v>75</v>
      </c>
      <c r="B40" s="7">
        <v>13.6</v>
      </c>
      <c r="C40" s="8">
        <v>5.5</v>
      </c>
      <c r="D40" s="9">
        <v>90.140446325387984</v>
      </c>
      <c r="E40" s="10">
        <v>287.60000000000002</v>
      </c>
      <c r="F40">
        <v>11.157006478778396</v>
      </c>
      <c r="G40">
        <f t="shared" si="0"/>
        <v>2.4429935212216041</v>
      </c>
      <c r="H40">
        <f t="shared" si="1"/>
        <v>5.9682173447307321</v>
      </c>
    </row>
    <row r="41" spans="1:8" x14ac:dyDescent="0.35">
      <c r="A41" s="6" t="s">
        <v>76</v>
      </c>
      <c r="B41" s="7">
        <v>12.1</v>
      </c>
      <c r="C41" s="8">
        <v>7.6</v>
      </c>
      <c r="D41" s="9">
        <v>85.424563507935517</v>
      </c>
      <c r="E41" s="10">
        <v>416.5</v>
      </c>
      <c r="F41">
        <v>13.855600457391626</v>
      </c>
      <c r="G41">
        <f t="shared" si="0"/>
        <v>-1.7556004573916262</v>
      </c>
      <c r="H41">
        <f t="shared" si="1"/>
        <v>3.0821329659936869</v>
      </c>
    </row>
    <row r="42" spans="1:8" x14ac:dyDescent="0.35">
      <c r="A42" s="6" t="s">
        <v>77</v>
      </c>
      <c r="B42" s="7">
        <v>11.7</v>
      </c>
      <c r="C42" s="8">
        <v>6.1</v>
      </c>
      <c r="D42" s="9">
        <v>88.483880668602993</v>
      </c>
      <c r="E42" s="10">
        <v>227.3</v>
      </c>
      <c r="F42">
        <v>11.778733948462614</v>
      </c>
      <c r="G42">
        <f t="shared" si="0"/>
        <v>-7.8733948462614833E-2</v>
      </c>
      <c r="H42">
        <f t="shared" si="1"/>
        <v>6.1990346405136889E-3</v>
      </c>
    </row>
    <row r="43" spans="1:8" x14ac:dyDescent="0.35">
      <c r="A43" s="6" t="s">
        <v>78</v>
      </c>
      <c r="B43" s="7">
        <v>15.7</v>
      </c>
      <c r="C43" s="8">
        <v>8.4</v>
      </c>
      <c r="D43" s="9">
        <v>68.748136077503446</v>
      </c>
      <c r="E43" s="10">
        <v>788.3</v>
      </c>
      <c r="F43">
        <v>14.801806207135078</v>
      </c>
      <c r="G43">
        <f t="shared" si="0"/>
        <v>0.89819379286492129</v>
      </c>
      <c r="H43">
        <f t="shared" si="1"/>
        <v>0.80675208954107314</v>
      </c>
    </row>
    <row r="44" spans="1:8" x14ac:dyDescent="0.35">
      <c r="A44" s="6" t="s">
        <v>79</v>
      </c>
      <c r="B44" s="7">
        <v>12.5</v>
      </c>
      <c r="C44" s="8">
        <v>6.9</v>
      </c>
      <c r="D44" s="9">
        <v>88.189790025789804</v>
      </c>
      <c r="E44" s="10">
        <v>169.2</v>
      </c>
      <c r="F44">
        <v>12.708957171550267</v>
      </c>
      <c r="G44">
        <f t="shared" si="0"/>
        <v>-0.20895717155026716</v>
      </c>
      <c r="H44">
        <f t="shared" si="1"/>
        <v>4.3663099542287781E-2</v>
      </c>
    </row>
    <row r="45" spans="1:8" x14ac:dyDescent="0.35">
      <c r="A45" s="6" t="s">
        <v>80</v>
      </c>
      <c r="B45" s="7">
        <v>15.5</v>
      </c>
      <c r="C45" s="8">
        <v>8.6999999999999993</v>
      </c>
      <c r="D45" s="9">
        <v>80.371971305033981</v>
      </c>
      <c r="E45" s="10">
        <v>753.3</v>
      </c>
      <c r="F45">
        <v>15.558122806587869</v>
      </c>
      <c r="G45">
        <f t="shared" si="0"/>
        <v>-5.8122806587869391E-2</v>
      </c>
      <c r="H45">
        <f t="shared" si="1"/>
        <v>3.3782606456508736E-3</v>
      </c>
    </row>
    <row r="46" spans="1:8" x14ac:dyDescent="0.35">
      <c r="A46" s="6" t="s">
        <v>81</v>
      </c>
      <c r="B46" s="7">
        <v>15.8</v>
      </c>
      <c r="C46" s="8">
        <v>6.2</v>
      </c>
      <c r="D46" s="9">
        <v>82.402677784750395</v>
      </c>
      <c r="E46" s="10">
        <v>510.6</v>
      </c>
      <c r="F46">
        <v>12.088470187680537</v>
      </c>
      <c r="G46">
        <f t="shared" si="0"/>
        <v>3.7115298123194638</v>
      </c>
      <c r="H46">
        <f t="shared" si="1"/>
        <v>13.775453547736154</v>
      </c>
    </row>
    <row r="47" spans="1:8" x14ac:dyDescent="0.35">
      <c r="A47" s="6" t="s">
        <v>82</v>
      </c>
      <c r="B47" s="7">
        <v>9.6</v>
      </c>
      <c r="C47" s="8">
        <v>5.0999999999999996</v>
      </c>
      <c r="D47" s="9">
        <v>92.915461931338129</v>
      </c>
      <c r="E47" s="10">
        <v>234.8</v>
      </c>
      <c r="F47">
        <v>10.671011249440653</v>
      </c>
      <c r="G47">
        <f t="shared" si="0"/>
        <v>-1.0710112494406534</v>
      </c>
      <c r="H47">
        <f t="shared" si="1"/>
        <v>1.1470650964284295</v>
      </c>
    </row>
    <row r="48" spans="1:8" x14ac:dyDescent="0.35">
      <c r="A48" s="6" t="s">
        <v>83</v>
      </c>
      <c r="B48" s="7">
        <v>10.6</v>
      </c>
      <c r="C48" s="8">
        <v>5.5</v>
      </c>
      <c r="D48" s="9">
        <v>96.408807764739961</v>
      </c>
      <c r="E48" s="10">
        <v>124.3</v>
      </c>
      <c r="F48">
        <v>11.15258597785637</v>
      </c>
      <c r="G48">
        <f t="shared" si="0"/>
        <v>-0.55258597785637065</v>
      </c>
      <c r="H48">
        <f t="shared" si="1"/>
        <v>0.30535126292348136</v>
      </c>
    </row>
    <row r="49" spans="1:8" x14ac:dyDescent="0.35">
      <c r="A49" s="6" t="s">
        <v>84</v>
      </c>
      <c r="B49" s="7">
        <v>10.199999999999999</v>
      </c>
      <c r="C49" s="8">
        <v>7.1</v>
      </c>
      <c r="D49" s="9">
        <v>73.031896017666924</v>
      </c>
      <c r="E49" s="10">
        <v>269.7</v>
      </c>
      <c r="F49">
        <v>12.557052100872401</v>
      </c>
      <c r="G49">
        <f t="shared" si="0"/>
        <v>-2.3570521008724015</v>
      </c>
      <c r="H49">
        <f t="shared" si="1"/>
        <v>5.5556946062270018</v>
      </c>
    </row>
    <row r="50" spans="1:8" x14ac:dyDescent="0.35">
      <c r="A50" s="6" t="s">
        <v>85</v>
      </c>
      <c r="B50" s="7">
        <v>11.3</v>
      </c>
      <c r="C50" s="8">
        <v>4.7</v>
      </c>
      <c r="D50" s="9">
        <v>84.290902250404002</v>
      </c>
      <c r="E50" s="10">
        <v>333.1</v>
      </c>
      <c r="F50">
        <v>9.9856930226674407</v>
      </c>
      <c r="G50">
        <f t="shared" si="0"/>
        <v>1.31430697733256</v>
      </c>
      <c r="H50">
        <f t="shared" si="1"/>
        <v>1.7274028306650504</v>
      </c>
    </row>
    <row r="51" spans="1:8" x14ac:dyDescent="0.35">
      <c r="A51" s="6" t="s">
        <v>86</v>
      </c>
      <c r="B51" s="18">
        <v>17</v>
      </c>
      <c r="C51" s="8">
        <v>7.4</v>
      </c>
      <c r="D51" s="9">
        <v>94.524786328554711</v>
      </c>
      <c r="E51" s="10">
        <v>275.2</v>
      </c>
      <c r="F51">
        <v>13.729451814140557</v>
      </c>
      <c r="G51">
        <f t="shared" si="0"/>
        <v>3.2705481858594432</v>
      </c>
      <c r="H51">
        <f t="shared" si="1"/>
        <v>10.696485436028494</v>
      </c>
    </row>
    <row r="52" spans="1:8" x14ac:dyDescent="0.35">
      <c r="A52" s="6" t="s">
        <v>87</v>
      </c>
      <c r="B52" s="7">
        <v>10.4</v>
      </c>
      <c r="C52" s="8">
        <v>6.4</v>
      </c>
      <c r="D52" s="9">
        <v>89.673695670212709</v>
      </c>
      <c r="E52" s="10">
        <v>290.89999999999998</v>
      </c>
      <c r="F52">
        <v>12.296174498038839</v>
      </c>
      <c r="G52">
        <f t="shared" si="0"/>
        <v>-1.8961744980388389</v>
      </c>
      <c r="H52">
        <f t="shared" si="1"/>
        <v>3.5954777270128426</v>
      </c>
    </row>
    <row r="53" spans="1:8" x14ac:dyDescent="0.35">
      <c r="A53" s="19" t="s">
        <v>88</v>
      </c>
      <c r="B53" s="20">
        <v>9.4</v>
      </c>
      <c r="C53" s="21">
        <v>7</v>
      </c>
      <c r="D53" s="22">
        <v>93.867286940458214</v>
      </c>
      <c r="E53" s="23">
        <v>239.3</v>
      </c>
      <c r="F53">
        <v>13.142787209565174</v>
      </c>
      <c r="G53">
        <f t="shared" si="0"/>
        <v>-3.742787209565174</v>
      </c>
      <c r="H53">
        <f t="shared" si="1"/>
        <v>14.008456096084661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B291A-2F80-45E7-9102-F9642F2D508E}">
  <sheetPr codeName="Sheet43"/>
  <dimension ref="A1:Y15"/>
  <sheetViews>
    <sheetView workbookViewId="0"/>
  </sheetViews>
  <sheetFormatPr defaultRowHeight="14.5" x14ac:dyDescent="0.35"/>
  <cols>
    <col min="1" max="1" width="10.54296875" customWidth="1"/>
  </cols>
  <sheetData>
    <row r="1" spans="1:25" x14ac:dyDescent="0.35">
      <c r="A1" t="s">
        <v>89</v>
      </c>
    </row>
    <row r="3" spans="1:25" x14ac:dyDescent="0.35">
      <c r="A3" t="s">
        <v>90</v>
      </c>
      <c r="B3" s="24">
        <f>COUNT(Data!B4:B53)</f>
        <v>50</v>
      </c>
      <c r="U3" t="e" cm="1">
        <f t="array" aca="1" ref="U3" ca="1">FTEXT(S3)</f>
        <v>#NAME?</v>
      </c>
      <c r="W3" t="e" cm="1">
        <f t="array" aca="1" ref="W3" ca="1">BPagStat(C4:E53,B4:B53)</f>
        <v>#NAME?</v>
      </c>
      <c r="Y3" t="e" cm="1">
        <f t="array" aca="1" ref="Y3" ca="1">FTEXT(W3)</f>
        <v>#NAME?</v>
      </c>
    </row>
    <row r="4" spans="1:25" x14ac:dyDescent="0.35">
      <c r="A4" t="s">
        <v>91</v>
      </c>
      <c r="B4" s="25">
        <f>COLUMNS(Data!C4:E53)</f>
        <v>3</v>
      </c>
      <c r="U4" t="e" cm="1">
        <f t="array" aca="1" ref="U4" ca="1">FTEXT(S4)</f>
        <v>#NAME?</v>
      </c>
    </row>
    <row r="5" spans="1:25" x14ac:dyDescent="0.35">
      <c r="U5" t="e" cm="1">
        <f t="array" aca="1" ref="U5" ca="1">FTEXT(S5)</f>
        <v>#NAME?</v>
      </c>
      <c r="W5" t="e" cm="1">
        <f t="array" aca="1" ref="W5" ca="1">BPagTest(C4:E53,B4:B53)</f>
        <v>#NAME?</v>
      </c>
      <c r="Y5" t="e" cm="1">
        <f t="array" aca="1" ref="Y5" ca="1">FTEXT(W5)</f>
        <v>#NAME?</v>
      </c>
    </row>
    <row r="6" spans="1:25" x14ac:dyDescent="0.35">
      <c r="A6" t="s">
        <v>92</v>
      </c>
      <c r="D6" t="s">
        <v>93</v>
      </c>
    </row>
    <row r="7" spans="1:25" x14ac:dyDescent="0.35">
      <c r="U7" t="e" cm="1">
        <f t="array" aca="1" ref="U7" ca="1">FTEXT(S7)</f>
        <v>#NAME?</v>
      </c>
      <c r="W7" t="e" cm="1">
        <f t="array" aca="1" ref="W7" ca="1">BPagStat(C4:E53,B4:B53,FALSE)</f>
        <v>#NAME?</v>
      </c>
      <c r="Y7" t="e" cm="1">
        <f t="array" aca="1" ref="Y7" ca="1">FTEXT(W7)</f>
        <v>#NAME?</v>
      </c>
    </row>
    <row r="8" spans="1:25" x14ac:dyDescent="0.35">
      <c r="A8" t="s">
        <v>94</v>
      </c>
      <c r="B8" s="24" t="e">
        <f ca="1">BPagStat(Data!C4:E53,Data!B4:B53)</f>
        <v>#NAME?</v>
      </c>
      <c r="D8" t="s">
        <v>94</v>
      </c>
      <c r="E8" s="24" t="e">
        <f ca="1">WhiteStat(Data!C4:E53,Data!B4:B53)</f>
        <v>#NAME?</v>
      </c>
      <c r="U8" t="e" cm="1">
        <f t="array" aca="1" ref="U8" ca="1">FTEXT(S8)</f>
        <v>#NAME?</v>
      </c>
    </row>
    <row r="9" spans="1:25" x14ac:dyDescent="0.35">
      <c r="A9" t="s">
        <v>11</v>
      </c>
      <c r="B9" s="26">
        <f>B4</f>
        <v>3</v>
      </c>
      <c r="D9" t="s">
        <v>11</v>
      </c>
      <c r="E9" s="26">
        <v>2</v>
      </c>
      <c r="U9" t="e" cm="1">
        <f t="array" aca="1" ref="U9" ca="1">FTEXT(S9)</f>
        <v>#NAME?</v>
      </c>
    </row>
    <row r="10" spans="1:25" x14ac:dyDescent="0.35">
      <c r="A10" t="s">
        <v>14</v>
      </c>
      <c r="B10" s="25" t="e">
        <f ca="1">_xlfn.CHISQ.DIST.RT(B8,B9)</f>
        <v>#NAME?</v>
      </c>
      <c r="D10" t="s">
        <v>14</v>
      </c>
      <c r="E10" s="25" t="e">
        <f ca="1">_xlfn.CHISQ.DIST.RT(E8,E9)</f>
        <v>#NAME?</v>
      </c>
      <c r="U10" t="e" cm="1">
        <f t="array" aca="1" ref="U10" ca="1">FTEXT(S10)</f>
        <v>#NAME?</v>
      </c>
      <c r="W10" t="e" cm="1">
        <f t="array" aca="1" ref="W10" ca="1">BPagTest(C4:E53,B4:B53,FALSE)</f>
        <v>#NAME?</v>
      </c>
      <c r="Y10" t="e" cm="1">
        <f t="array" aca="1" ref="Y10" ca="1">FTEXT(W10)</f>
        <v>#NAME?</v>
      </c>
    </row>
    <row r="12" spans="1:25" x14ac:dyDescent="0.35">
      <c r="A12" t="s">
        <v>95</v>
      </c>
      <c r="B12" s="24" t="e">
        <f ca="1">BPagStat(Data!C4:E53,Data!B4:B53,FALSE)</f>
        <v>#NAME?</v>
      </c>
      <c r="D12" t="s">
        <v>95</v>
      </c>
      <c r="E12" s="24" t="e">
        <f ca="1">WhiteStat(Data!C4:E53,Data!B4:B53,FALSE)</f>
        <v>#NAME?</v>
      </c>
    </row>
    <row r="13" spans="1:25" x14ac:dyDescent="0.35">
      <c r="A13" t="s">
        <v>25</v>
      </c>
      <c r="B13" s="26">
        <f>B4</f>
        <v>3</v>
      </c>
      <c r="D13" t="s">
        <v>25</v>
      </c>
      <c r="E13" s="26">
        <v>2</v>
      </c>
    </row>
    <row r="14" spans="1:25" x14ac:dyDescent="0.35">
      <c r="A14" t="s">
        <v>28</v>
      </c>
      <c r="B14" s="26">
        <f>B3-B4-1</f>
        <v>46</v>
      </c>
      <c r="D14" t="s">
        <v>28</v>
      </c>
      <c r="E14" s="26">
        <f>B3-3</f>
        <v>47</v>
      </c>
    </row>
    <row r="15" spans="1:25" x14ac:dyDescent="0.35">
      <c r="A15" t="s">
        <v>14</v>
      </c>
      <c r="B15" s="25" t="e">
        <f ca="1">_xlfn.F.DIST.RT(B12,B13,B14)</f>
        <v>#NAME?</v>
      </c>
      <c r="D15" t="s">
        <v>14</v>
      </c>
      <c r="E15" s="25" t="e">
        <f ca="1">_xlfn.F.DIST.RT(E12,E13,E14)</f>
        <v>#NAME?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Data</vt:lpstr>
      <vt:lpstr>Heter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2022-06-07T15:33:50Z</dcterms:created>
  <dcterms:modified xsi:type="dcterms:W3CDTF">2022-06-07T16:08:18Z</dcterms:modified>
</cp:coreProperties>
</file>