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82A18F9-FFCB-4FF1-B30A-2F68D7123163}" xr6:coauthVersionLast="48" xr6:coauthVersionMax="48" xr10:uidLastSave="{00000000-0000-0000-0000-000000000000}"/>
  <bookViews>
    <workbookView xWindow="-110" yWindow="-110" windowWidth="19420" windowHeight="10300" xr2:uid="{2EF3F674-0BF8-4CE1-B262-6FC7489D372B}"/>
  </bookViews>
  <sheets>
    <sheet name="Title" sheetId="1" r:id="rId1"/>
    <sheet name="T1_TEST" sheetId="2" r:id="rId2"/>
    <sheet name="Example 1, 4" sheetId="3" r:id="rId3"/>
    <sheet name="Examples 2, 3" sheetId="4" r:id="rId4"/>
    <sheet name="Example 5" sheetId="6" r:id="rId5"/>
  </sheets>
  <externalReferences>
    <externalReference r:id="rId6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3" i="4" l="1"/>
  <c r="S62" i="4"/>
  <c r="S61" i="4"/>
  <c r="Q61" i="4"/>
  <c r="G41" i="4"/>
  <c r="G40" i="4"/>
  <c r="G19" i="3"/>
  <c r="G19" i="3" a="1"/>
  <c r="G18" i="3" a="1"/>
  <c r="G18" i="3" s="1"/>
  <c r="S63" i="2"/>
  <c r="S62" i="2"/>
  <c r="S61" i="2"/>
  <c r="Q61" i="2"/>
  <c r="G41" i="2"/>
  <c r="G40" i="2"/>
  <c r="G19" i="2" a="1"/>
  <c r="G19" i="2" s="1"/>
  <c r="G18" i="2" a="1"/>
  <c r="G18" i="2" s="1"/>
  <c r="F13" i="2" a="1"/>
  <c r="F13" i="2" s="1"/>
  <c r="D13" i="2" a="1"/>
  <c r="D13" i="2" s="1"/>
  <c r="S23" i="3"/>
  <c r="S22" i="3"/>
  <c r="S21" i="3"/>
  <c r="S20" i="3"/>
  <c r="O19" i="3"/>
  <c r="K19" i="3"/>
  <c r="J19" i="3"/>
  <c r="I19" i="3"/>
  <c r="L19" i="3" s="1"/>
  <c r="M19" i="3" s="1"/>
  <c r="B8" i="6"/>
  <c r="B5" i="6"/>
  <c r="C5" i="6" s="1"/>
  <c r="B4" i="6"/>
  <c r="C4" i="6" s="1"/>
  <c r="C8" i="6" s="1"/>
  <c r="B3" i="6"/>
  <c r="R51" i="4"/>
  <c r="Q51" i="4"/>
  <c r="P51" i="4"/>
  <c r="U51" i="4" s="1"/>
  <c r="R56" i="4" s="1"/>
  <c r="W43" i="4"/>
  <c r="W42" i="4"/>
  <c r="W41" i="4"/>
  <c r="W40" i="4"/>
  <c r="W39" i="4"/>
  <c r="K39" i="4"/>
  <c r="K40" i="4" s="1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I8" i="4"/>
  <c r="I9" i="4" s="1"/>
  <c r="I10" i="4" s="1"/>
  <c r="I11" i="4" s="1"/>
  <c r="I12" i="4" s="1"/>
  <c r="I13" i="4" s="1"/>
  <c r="I14" i="4" s="1"/>
  <c r="I15" i="4" s="1"/>
  <c r="W7" i="4"/>
  <c r="I7" i="4"/>
  <c r="W6" i="4"/>
  <c r="I6" i="4"/>
  <c r="W5" i="4"/>
  <c r="G37" i="4" s="1"/>
  <c r="W4" i="4"/>
  <c r="L34" i="4" s="1"/>
  <c r="S11" i="3"/>
  <c r="S9" i="3"/>
  <c r="S8" i="3"/>
  <c r="S7" i="3"/>
  <c r="O7" i="3"/>
  <c r="K7" i="3"/>
  <c r="L7" i="3" s="1"/>
  <c r="M7" i="3" s="1"/>
  <c r="J7" i="3"/>
  <c r="I7" i="3"/>
  <c r="N7" i="3" s="1"/>
  <c r="S6" i="3"/>
  <c r="A6" i="3"/>
  <c r="A7" i="3" s="1"/>
  <c r="A8" i="3" s="1"/>
  <c r="A9" i="3" s="1"/>
  <c r="A10" i="3" s="1"/>
  <c r="A11" i="3" s="1"/>
  <c r="A12" i="3" s="1"/>
  <c r="A13" i="3" s="1"/>
  <c r="A14" i="3" s="1"/>
  <c r="A15" i="3" s="1"/>
  <c r="E5" i="3"/>
  <c r="E6" i="3" s="1"/>
  <c r="A5" i="3"/>
  <c r="S4" i="3"/>
  <c r="S5" i="3" s="1"/>
  <c r="E4" i="3"/>
  <c r="E12" i="3" s="1"/>
  <c r="S3" i="3"/>
  <c r="E3" i="3"/>
  <c r="E11" i="3" s="1"/>
  <c r="E14" i="3" s="1"/>
  <c r="H6" i="2"/>
  <c r="E11" i="2" s="1"/>
  <c r="F11" i="2" s="1"/>
  <c r="F6" i="2"/>
  <c r="E6" i="2"/>
  <c r="D6" i="2"/>
  <c r="G6" i="2" s="1"/>
  <c r="C6" i="2"/>
  <c r="P19" i="3" l="1"/>
  <c r="N19" i="3"/>
  <c r="S51" i="4"/>
  <c r="T56" i="4" s="1"/>
  <c r="D10" i="2"/>
  <c r="H10" i="2" s="1"/>
  <c r="J6" i="2"/>
  <c r="D11" i="2"/>
  <c r="H11" i="2" s="1"/>
  <c r="S56" i="4"/>
  <c r="K11" i="3"/>
  <c r="K12" i="3"/>
  <c r="M12" i="3" s="1"/>
  <c r="K41" i="4"/>
  <c r="B7" i="6"/>
  <c r="E13" i="3"/>
  <c r="E15" i="3" s="1"/>
  <c r="J11" i="3"/>
  <c r="N11" i="3" s="1"/>
  <c r="J12" i="3"/>
  <c r="N12" i="3" s="1"/>
  <c r="P7" i="3"/>
  <c r="I6" i="2"/>
  <c r="G11" i="2"/>
  <c r="G35" i="4"/>
  <c r="V51" i="4"/>
  <c r="C3" i="6"/>
  <c r="G38" i="4"/>
  <c r="R55" i="4"/>
  <c r="L12" i="3"/>
  <c r="G25" i="4"/>
  <c r="G29" i="4"/>
  <c r="G33" i="4"/>
  <c r="L35" i="4"/>
  <c r="N55" i="4" s="1"/>
  <c r="L24" i="4"/>
  <c r="E18" i="3"/>
  <c r="E19" i="3" s="1"/>
  <c r="L22" i="4"/>
  <c r="L33" i="4"/>
  <c r="M33" i="4" s="1"/>
  <c r="Q63" i="4"/>
  <c r="G28" i="4"/>
  <c r="E10" i="2"/>
  <c r="G30" i="4"/>
  <c r="G36" i="4"/>
  <c r="G39" i="4"/>
  <c r="G26" i="4"/>
  <c r="L23" i="4"/>
  <c r="Q62" i="4"/>
  <c r="G27" i="4"/>
  <c r="G31" i="4"/>
  <c r="G34" i="4"/>
  <c r="L20" i="4"/>
  <c r="L21" i="4" s="1"/>
  <c r="G24" i="4"/>
  <c r="T51" i="4"/>
  <c r="K24" i="3" l="1"/>
  <c r="K23" i="3"/>
  <c r="J24" i="3"/>
  <c r="N24" i="3" s="1"/>
  <c r="J23" i="3"/>
  <c r="N23" i="3" s="1"/>
  <c r="Q55" i="4"/>
  <c r="U55" i="4" s="1"/>
  <c r="Q56" i="4"/>
  <c r="U56" i="4" s="1"/>
  <c r="W51" i="4"/>
  <c r="M39" i="4"/>
  <c r="M38" i="4"/>
  <c r="K42" i="4"/>
  <c r="M41" i="4"/>
  <c r="N70" i="4"/>
  <c r="N65" i="4"/>
  <c r="N40" i="4"/>
  <c r="N60" i="4"/>
  <c r="N39" i="4"/>
  <c r="N53" i="4"/>
  <c r="N73" i="4"/>
  <c r="N49" i="4"/>
  <c r="N62" i="4"/>
  <c r="N50" i="4"/>
  <c r="N67" i="4"/>
  <c r="N45" i="4"/>
  <c r="N56" i="4"/>
  <c r="N66" i="4"/>
  <c r="N58" i="4"/>
  <c r="N75" i="4"/>
  <c r="N61" i="4"/>
  <c r="N57" i="4"/>
  <c r="N74" i="4"/>
  <c r="N64" i="4"/>
  <c r="N38" i="4"/>
  <c r="N46" i="4"/>
  <c r="N71" i="4"/>
  <c r="N69" i="4"/>
  <c r="N72" i="4"/>
  <c r="N41" i="4"/>
  <c r="N51" i="4"/>
  <c r="N54" i="4"/>
  <c r="N42" i="4"/>
  <c r="N77" i="4"/>
  <c r="G32" i="4"/>
  <c r="C7" i="6"/>
  <c r="C9" i="6" s="1"/>
  <c r="C11" i="6" s="1"/>
  <c r="B9" i="6"/>
  <c r="N43" i="4"/>
  <c r="N59" i="4"/>
  <c r="N68" i="4"/>
  <c r="N44" i="4"/>
  <c r="N47" i="4"/>
  <c r="M40" i="4"/>
  <c r="N48" i="4"/>
  <c r="N63" i="4"/>
  <c r="N76" i="4"/>
  <c r="N52" i="4"/>
  <c r="M24" i="3" l="1"/>
  <c r="L24" i="3"/>
  <c r="K43" i="4"/>
  <c r="M42" i="4"/>
  <c r="C10" i="6"/>
  <c r="B10" i="6"/>
  <c r="B11" i="6"/>
  <c r="K44" i="4" l="1"/>
  <c r="M43" i="4"/>
  <c r="K45" i="4" l="1"/>
  <c r="M44" i="4"/>
  <c r="M45" i="4" l="1"/>
  <c r="K46" i="4"/>
  <c r="K47" i="4" l="1"/>
  <c r="M46" i="4"/>
  <c r="K48" i="4" l="1"/>
  <c r="M47" i="4"/>
  <c r="K49" i="4" l="1"/>
  <c r="M48" i="4"/>
  <c r="K50" i="4" l="1"/>
  <c r="M49" i="4"/>
  <c r="M50" i="4" l="1"/>
  <c r="K51" i="4"/>
  <c r="K52" i="4" l="1"/>
  <c r="M51" i="4"/>
  <c r="K53" i="4" l="1"/>
  <c r="M52" i="4"/>
  <c r="M53" i="4" l="1"/>
  <c r="K54" i="4"/>
  <c r="K55" i="4" l="1"/>
  <c r="M54" i="4"/>
  <c r="M55" i="4" l="1"/>
  <c r="K56" i="4"/>
  <c r="M56" i="4" l="1"/>
  <c r="K57" i="4"/>
  <c r="K58" i="4" l="1"/>
  <c r="M57" i="4"/>
  <c r="M58" i="4" l="1"/>
  <c r="K59" i="4"/>
  <c r="K60" i="4" l="1"/>
  <c r="M59" i="4"/>
  <c r="K61" i="4" l="1"/>
  <c r="M60" i="4"/>
  <c r="M61" i="4" l="1"/>
  <c r="K62" i="4"/>
  <c r="M62" i="4" l="1"/>
  <c r="K63" i="4"/>
  <c r="K64" i="4" l="1"/>
  <c r="M63" i="4"/>
  <c r="M64" i="4" l="1"/>
  <c r="K65" i="4"/>
  <c r="K66" i="4" l="1"/>
  <c r="M65" i="4"/>
  <c r="K67" i="4" l="1"/>
  <c r="M66" i="4"/>
  <c r="M67" i="4" l="1"/>
  <c r="K68" i="4"/>
  <c r="K69" i="4" l="1"/>
  <c r="M68" i="4"/>
  <c r="K70" i="4" l="1"/>
  <c r="M69" i="4"/>
  <c r="K71" i="4" l="1"/>
  <c r="M70" i="4"/>
  <c r="K72" i="4" l="1"/>
  <c r="M71" i="4"/>
  <c r="M72" i="4" l="1"/>
  <c r="K73" i="4"/>
  <c r="K74" i="4" l="1"/>
  <c r="M73" i="4"/>
  <c r="K75" i="4" l="1"/>
  <c r="M74" i="4"/>
  <c r="M75" i="4" l="1"/>
  <c r="K76" i="4"/>
  <c r="K77" i="4" l="1"/>
  <c r="M77" i="4" s="1"/>
  <c r="M7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<sst xmlns="http://schemas.openxmlformats.org/spreadsheetml/2006/main" count="199" uniqueCount="95">
  <si>
    <t>Real Statistics Using Excel</t>
  </si>
  <si>
    <t>Updated</t>
  </si>
  <si>
    <t>Copyright © 2013 - 2022 Charles Zaiontz</t>
  </si>
  <si>
    <t>One Sample t-Test</t>
  </si>
  <si>
    <t>T1 Test</t>
  </si>
  <si>
    <t>T Test: One Sample</t>
  </si>
  <si>
    <t>SUMMARY</t>
  </si>
  <si>
    <t>Alpha</t>
  </si>
  <si>
    <t>Count</t>
  </si>
  <si>
    <t>Mean</t>
  </si>
  <si>
    <t>Std Dev</t>
  </si>
  <si>
    <t>Std Err</t>
  </si>
  <si>
    <t>t</t>
  </si>
  <si>
    <t>df</t>
  </si>
  <si>
    <t>Cohen d</t>
  </si>
  <si>
    <t>Effect r</t>
  </si>
  <si>
    <t>T TEST</t>
  </si>
  <si>
    <t>Hyp Mean</t>
  </si>
  <si>
    <t xml:space="preserve"> </t>
  </si>
  <si>
    <t>p-value</t>
  </si>
  <si>
    <t>t-crit</t>
  </si>
  <si>
    <t>lower</t>
  </si>
  <si>
    <t>upper</t>
  </si>
  <si>
    <t>sig</t>
  </si>
  <si>
    <t>One Tail</t>
  </si>
  <si>
    <t>Two Tail</t>
  </si>
  <si>
    <t>One sample t test</t>
  </si>
  <si>
    <t>Box Plot</t>
  </si>
  <si>
    <t>Subject</t>
  </si>
  <si>
    <t>Weight Loss</t>
  </si>
  <si>
    <t>count</t>
  </si>
  <si>
    <t>=COUNT(B4:B15)</t>
  </si>
  <si>
    <t>mean</t>
  </si>
  <si>
    <t>=AVERAGE(B4:B15)</t>
  </si>
  <si>
    <t>Min</t>
  </si>
  <si>
    <t>std dev</t>
  </si>
  <si>
    <t>=STDEV.S(B4:B15)</t>
  </si>
  <si>
    <t>Q1-Min</t>
  </si>
  <si>
    <t>std err</t>
  </si>
  <si>
    <t>=E5/SQRT(E3)</t>
  </si>
  <si>
    <t>Med-Q1</t>
  </si>
  <si>
    <t>Q3-Med</t>
  </si>
  <si>
    <t>hyp mean</t>
  </si>
  <si>
    <t>Max-Q3</t>
  </si>
  <si>
    <t>α</t>
  </si>
  <si>
    <t>tails</t>
  </si>
  <si>
    <t>=E3-1</t>
  </si>
  <si>
    <t>Grand Min</t>
  </si>
  <si>
    <t>t stat</t>
  </si>
  <si>
    <t>=(E4-E8)/E6</t>
  </si>
  <si>
    <t>p value</t>
  </si>
  <si>
    <t>=T.DIST.RT(E12,E11)</t>
  </si>
  <si>
    <t>t crit</t>
  </si>
  <si>
    <t>=T.INV(1-E9,E11)</t>
  </si>
  <si>
    <t>=IF(E13&lt;E9,"yes","no")</t>
  </si>
  <si>
    <t>Normal</t>
  </si>
  <si>
    <t>Raw data</t>
  </si>
  <si>
    <t>Sample Data</t>
  </si>
  <si>
    <t>Column1</t>
  </si>
  <si>
    <t>Bins</t>
  </si>
  <si>
    <t>Bin</t>
  </si>
  <si>
    <t>Frequency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</si>
  <si>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</si>
  <si>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</si>
  <si>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</si>
  <si>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</si>
  <si>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</si>
  <si>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</si>
  <si>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</si>
  <si>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</si>
  <si>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</si>
  <si>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</si>
  <si>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More</t>
  </si>
  <si>
    <t>Sum</t>
  </si>
  <si>
    <t>Confidence Level(95.0%)</t>
  </si>
  <si>
    <t>Descriptive Statistics</t>
  </si>
  <si>
    <t>Group 1</t>
  </si>
  <si>
    <t>QQ Tables</t>
  </si>
  <si>
    <t>Geometric Mean</t>
  </si>
  <si>
    <t>Interval</t>
  </si>
  <si>
    <t>Data</t>
  </si>
  <si>
    <t>Std Data</t>
  </si>
  <si>
    <t>Harmonic Mean</t>
  </si>
  <si>
    <t>AAD</t>
  </si>
  <si>
    <t>MAD</t>
  </si>
  <si>
    <t>IQR</t>
  </si>
  <si>
    <t>Confidence interval</t>
  </si>
  <si>
    <t>k</t>
  </si>
  <si>
    <t>One sample t test -prediction interval</t>
  </si>
  <si>
    <t>stdev</t>
  </si>
  <si>
    <t>n</t>
  </si>
  <si>
    <t>m</t>
  </si>
  <si>
    <t>s.e.</t>
  </si>
  <si>
    <t>tcrit</t>
  </si>
  <si>
    <t>+inf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</si>
</sst>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15" fontId="0" fillId="0" borderId="0" xfId="0" applyNumberForma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quotePrefix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6" xfId="0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9" xfId="0" applyBorder="1"/>
    <xf numFmtId="0" fontId="5" fillId="0" borderId="0" xfId="0" applyFont="1"/>
    <xf numFmtId="1" fontId="0" fillId="0" borderId="10" xfId="0" applyNumberFormat="1" applyBorder="1"/>
    <xf numFmtId="1" fontId="0" fillId="0" borderId="11" xfId="0" applyNumberFormat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13" xfId="0" applyFont="1" applyBorder="1" applyAlignment="1">
      <alignment horizontal="centerContinuous"/>
    </xf>
    <xf numFmtId="0" fontId="3" fillId="0" borderId="13" xfId="0" applyFont="1" applyBorder="1" applyAlignment="1">
      <alignment horizontal="center"/>
    </xf>
    <xf numFmtId="1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0" xfId="0" applyFill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0" borderId="22" xfId="0" applyBorder="1"/>
    <xf numFmtId="164" fontId="0" fillId="0" borderId="0" xfId="0" applyNumberFormat="1"/>
    <xf numFmtId="0" fontId="3" fillId="0" borderId="20" xfId="0" applyFont="1" applyBorder="1" applyAlignment="1">
      <alignment horizontal="center"/>
    </xf>
    <xf numFmtId="0" fontId="0" fillId="0" borderId="20" xfId="0" applyBorder="1"/>
    <xf numFmtId="0" fontId="0" fillId="0" borderId="15" xfId="0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9" xfId="0" quotePrefix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'Example 1, 4'!$R$4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'Example 1, 4'!$S$3</c:f>
              <c:strCache>
                <c:ptCount val="1"/>
                <c:pt idx="0">
                  <c:v>Weight Loss</c:v>
                </c:pt>
              </c:strCache>
            </c:strRef>
          </c:cat>
          <c:val>
            <c:numRef>
              <c:f>'Example 1, 4'!$S$4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9-47D7-933B-2542D56DA1D3}"/>
            </c:ext>
          </c:extLst>
        </c:ser>
        <c:ser>
          <c:idx val="1"/>
          <c:order val="1"/>
          <c:tx>
            <c:strRef>
              <c:f>'Example 1, 4'!$R$5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'Example 1, 4'!$S$3</c:f>
              <c:strCache>
                <c:ptCount val="1"/>
                <c:pt idx="0">
                  <c:v>Weight Loss</c:v>
                </c:pt>
              </c:strCache>
            </c:strRef>
          </c:cat>
          <c:val>
            <c:numRef>
              <c:f>'Example 1, 4'!$S$5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9-47D7-933B-2542D56DA1D3}"/>
            </c:ext>
          </c:extLst>
        </c:ser>
        <c:ser>
          <c:idx val="2"/>
          <c:order val="2"/>
          <c:tx>
            <c:strRef>
              <c:f>'Example 1, 4'!$R$6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'Example 1, 4'!$S$3</c:f>
              <c:strCache>
                <c:ptCount val="1"/>
                <c:pt idx="0">
                  <c:v>Weight Loss</c:v>
                </c:pt>
              </c:strCache>
            </c:strRef>
          </c:cat>
          <c:val>
            <c:numRef>
              <c:f>'Example 1, 4'!$S$6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9-47D7-933B-2542D56DA1D3}"/>
            </c:ext>
          </c:extLst>
        </c:ser>
        <c:ser>
          <c:idx val="3"/>
          <c:order val="3"/>
          <c:tx>
            <c:strRef>
              <c:f>'Example 1, 4'!$R$7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'Example 1, 4'!$S$8</c:f>
                <c:numCache>
                  <c:formatCode>General</c:formatCode>
                  <c:ptCount val="1"/>
                  <c:pt idx="0">
                    <c:v>10.25</c:v>
                  </c:pt>
                </c:numCache>
              </c:numRef>
            </c:plus>
          </c:errBars>
          <c:cat>
            <c:strRef>
              <c:f>'Example 1, 4'!$S$3</c:f>
              <c:strCache>
                <c:ptCount val="1"/>
                <c:pt idx="0">
                  <c:v>Weight Loss</c:v>
                </c:pt>
              </c:strCache>
            </c:strRef>
          </c:cat>
          <c:val>
            <c:numRef>
              <c:f>'Example 1, 4'!$S$7</c:f>
              <c:numCache>
                <c:formatCode>0</c:formatCode>
                <c:ptCount val="1"/>
                <c:pt idx="0">
                  <c:v>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9-47D7-933B-2542D56D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861120"/>
        <c:axId val="131879296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'Example 1, 4'!$S$9</c:f>
              <c:numCache>
                <c:formatCode>0</c:formatCode>
                <c:ptCount val="1"/>
                <c:pt idx="0">
                  <c:v>14.666666666666668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F9-47D7-933B-2542D56D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61120"/>
        <c:axId val="131879296"/>
      </c:scatterChart>
      <c:scatterChart>
        <c:scatterStyle val="lineMarker"/>
        <c:varyColors val="0"/>
        <c:ser>
          <c:idx val="5"/>
          <c:order val="5"/>
          <c:tx>
            <c:v>s</c:v>
          </c:tx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FF9-47D7-933B-2542D56D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82368"/>
        <c:axId val="131880832"/>
      </c:scatterChart>
      <c:catAx>
        <c:axId val="1318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879296"/>
        <c:crosses val="autoZero"/>
        <c:auto val="1"/>
        <c:lblAlgn val="ctr"/>
        <c:lblOffset val="100"/>
        <c:noMultiLvlLbl val="0"/>
      </c:catAx>
      <c:valAx>
        <c:axId val="131879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one"/>
        <c:crossAx val="131861120"/>
        <c:crosses val="autoZero"/>
        <c:crossBetween val="between"/>
      </c:valAx>
      <c:valAx>
        <c:axId val="131880832"/>
        <c:scaling>
          <c:orientation val="minMax"/>
          <c:max val="25"/>
          <c:min val="-10"/>
        </c:scaling>
        <c:delete val="0"/>
        <c:axPos val="r"/>
        <c:numFmt formatCode="General" sourceLinked="1"/>
        <c:majorTickMark val="out"/>
        <c:minorTickMark val="none"/>
        <c:tickLblPos val="nextTo"/>
        <c:crossAx val="131882368"/>
        <c:crosses val="max"/>
        <c:crossBetween val="midCat"/>
      </c:valAx>
      <c:valAx>
        <c:axId val="131882368"/>
        <c:scaling>
          <c:orientation val="minMax"/>
        </c:scaling>
        <c:delete val="1"/>
        <c:axPos val="b"/>
        <c:majorTickMark val="out"/>
        <c:minorTickMark val="none"/>
        <c:tickLblPos val="none"/>
        <c:crossAx val="131880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'Examples 2, 3'!$K$4:$K$15</c:f>
              <c:strCache>
                <c:ptCount val="12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  <c:pt idx="11">
                  <c:v>More</c:v>
                </c:pt>
              </c:strCache>
            </c:strRef>
          </c:cat>
          <c:val>
            <c:numRef>
              <c:f>'Examples 2, 3'!$L$4:$L$15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E-4506-9C9E-40BAEDDE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23328"/>
        <c:axId val="131929600"/>
      </c:barChart>
      <c:catAx>
        <c:axId val="1319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1929600"/>
        <c:crosses val="autoZero"/>
        <c:auto val="1"/>
        <c:lblAlgn val="ctr"/>
        <c:lblOffset val="100"/>
        <c:noMultiLvlLbl val="0"/>
      </c:catAx>
      <c:valAx>
        <c:axId val="131929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92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'Examples 2, 3'!$L$38:$L$77</c:f>
              <c:numCache>
                <c:formatCode>General</c:formatCode>
                <c:ptCount val="40"/>
                <c:pt idx="0">
                  <c:v>35</c:v>
                </c:pt>
                <c:pt idx="1">
                  <c:v>38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49</c:v>
                </c:pt>
                <c:pt idx="6">
                  <c:v>50</c:v>
                </c:pt>
                <c:pt idx="7">
                  <c:v>52</c:v>
                </c:pt>
                <c:pt idx="8">
                  <c:v>54</c:v>
                </c:pt>
                <c:pt idx="9">
                  <c:v>58</c:v>
                </c:pt>
                <c:pt idx="10">
                  <c:v>58</c:v>
                </c:pt>
                <c:pt idx="11">
                  <c:v>59</c:v>
                </c:pt>
                <c:pt idx="12">
                  <c:v>59</c:v>
                </c:pt>
                <c:pt idx="13">
                  <c:v>60</c:v>
                </c:pt>
                <c:pt idx="14">
                  <c:v>63</c:v>
                </c:pt>
                <c:pt idx="15">
                  <c:v>63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72</c:v>
                </c:pt>
                <c:pt idx="23">
                  <c:v>75</c:v>
                </c:pt>
                <c:pt idx="24">
                  <c:v>75</c:v>
                </c:pt>
                <c:pt idx="25">
                  <c:v>76</c:v>
                </c:pt>
                <c:pt idx="26">
                  <c:v>76</c:v>
                </c:pt>
                <c:pt idx="27">
                  <c:v>78</c:v>
                </c:pt>
                <c:pt idx="28">
                  <c:v>80</c:v>
                </c:pt>
                <c:pt idx="29">
                  <c:v>81</c:v>
                </c:pt>
                <c:pt idx="30">
                  <c:v>83</c:v>
                </c:pt>
                <c:pt idx="31">
                  <c:v>84</c:v>
                </c:pt>
                <c:pt idx="32">
                  <c:v>86</c:v>
                </c:pt>
                <c:pt idx="33">
                  <c:v>87</c:v>
                </c:pt>
                <c:pt idx="34">
                  <c:v>87</c:v>
                </c:pt>
                <c:pt idx="35">
                  <c:v>90</c:v>
                </c:pt>
                <c:pt idx="36">
                  <c:v>90</c:v>
                </c:pt>
                <c:pt idx="37">
                  <c:v>92</c:v>
                </c:pt>
                <c:pt idx="38">
                  <c:v>95</c:v>
                </c:pt>
                <c:pt idx="39">
                  <c:v>100</c:v>
                </c:pt>
              </c:numCache>
            </c:numRef>
          </c:xVal>
          <c:yVal>
            <c:numRef>
              <c:f>'Examples 2, 3'!$M$38:$M$77</c:f>
              <c:numCache>
                <c:formatCode>General</c:formatCode>
                <c:ptCount val="40"/>
                <c:pt idx="0">
                  <c:v>-2.2414027276049446</c:v>
                </c:pt>
                <c:pt idx="1">
                  <c:v>-1.7804643416920256</c:v>
                </c:pt>
                <c:pt idx="2">
                  <c:v>-1.5341205443525459</c:v>
                </c:pt>
                <c:pt idx="3">
                  <c:v>-1.3563117453352478</c:v>
                </c:pt>
                <c:pt idx="4">
                  <c:v>-1.2133396224885178</c:v>
                </c:pt>
                <c:pt idx="5">
                  <c:v>-1.091620367434168</c:v>
                </c:pt>
                <c:pt idx="6">
                  <c:v>-0.98423496044632541</c:v>
                </c:pt>
                <c:pt idx="7">
                  <c:v>-0.88714655901887607</c:v>
                </c:pt>
                <c:pt idx="8">
                  <c:v>-0.79777684612523825</c:v>
                </c:pt>
                <c:pt idx="9">
                  <c:v>-0.71436744028018739</c:v>
                </c:pt>
                <c:pt idx="10">
                  <c:v>-0.63565701369758276</c:v>
                </c:pt>
                <c:pt idx="11">
                  <c:v>-0.5607030318750833</c:v>
                </c:pt>
                <c:pt idx="12">
                  <c:v>-0.48877641111466941</c:v>
                </c:pt>
                <c:pt idx="13">
                  <c:v>-0.41929575304139605</c:v>
                </c:pt>
                <c:pt idx="14">
                  <c:v>-0.35178434493515626</c:v>
                </c:pt>
                <c:pt idx="15">
                  <c:v>-0.28584087488116566</c:v>
                </c:pt>
                <c:pt idx="16">
                  <c:v>-0.22111871299757052</c:v>
                </c:pt>
                <c:pt idx="17">
                  <c:v>-0.1573106846101707</c:v>
                </c:pt>
                <c:pt idx="18">
                  <c:v>-9.4137414323536367E-2</c:v>
                </c:pt>
                <c:pt idx="19">
                  <c:v>-3.1337982021426625E-2</c:v>
                </c:pt>
                <c:pt idx="20">
                  <c:v>3.1337982021426479E-2</c:v>
                </c:pt>
                <c:pt idx="21">
                  <c:v>9.4137414323536367E-2</c:v>
                </c:pt>
                <c:pt idx="22">
                  <c:v>0.1573106846101707</c:v>
                </c:pt>
                <c:pt idx="23">
                  <c:v>0.22111871299757052</c:v>
                </c:pt>
                <c:pt idx="24">
                  <c:v>0.28584087488116572</c:v>
                </c:pt>
                <c:pt idx="25">
                  <c:v>0.35178434493515615</c:v>
                </c:pt>
                <c:pt idx="26">
                  <c:v>0.41929575304139605</c:v>
                </c:pt>
                <c:pt idx="27">
                  <c:v>0.48877641111466941</c:v>
                </c:pt>
                <c:pt idx="28">
                  <c:v>0.5607030318750833</c:v>
                </c:pt>
                <c:pt idx="29">
                  <c:v>0.63565701369758265</c:v>
                </c:pt>
                <c:pt idx="30">
                  <c:v>0.71436744028018784</c:v>
                </c:pt>
                <c:pt idx="31">
                  <c:v>0.79777684612523825</c:v>
                </c:pt>
                <c:pt idx="32">
                  <c:v>0.88714655901887607</c:v>
                </c:pt>
                <c:pt idx="33">
                  <c:v>0.98423496044632541</c:v>
                </c:pt>
                <c:pt idx="34">
                  <c:v>1.0916203674341685</c:v>
                </c:pt>
                <c:pt idx="35">
                  <c:v>1.213339622488518</c:v>
                </c:pt>
                <c:pt idx="36">
                  <c:v>1.3563117453352478</c:v>
                </c:pt>
                <c:pt idx="37">
                  <c:v>1.5341205443525465</c:v>
                </c:pt>
                <c:pt idx="38">
                  <c:v>1.7804643416920258</c:v>
                </c:pt>
                <c:pt idx="39">
                  <c:v>2.2414027276049464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C9-4ADE-991A-14223265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59040"/>
        <c:axId val="131969408"/>
      </c:scatterChart>
      <c:valAx>
        <c:axId val="131959040"/>
        <c:scaling>
          <c:orientation val="minMax"/>
          <c:max val="10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969408"/>
        <c:crosses val="autoZero"/>
        <c:crossBetween val="midCat"/>
      </c:valAx>
      <c:valAx>
        <c:axId val="131969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Standardized 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959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'Examples 2, 3'!$K$20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numRef>
              <c:f>'Examples 2, 3'!$L$19</c:f>
              <c:numCache>
                <c:formatCode>General</c:formatCode>
                <c:ptCount val="1"/>
              </c:numCache>
            </c:numRef>
          </c:cat>
          <c:val>
            <c:numRef>
              <c:f>'Examples 2, 3'!$L$20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0-44AF-8480-516B352BB9CF}"/>
            </c:ext>
          </c:extLst>
        </c:ser>
        <c:ser>
          <c:idx val="1"/>
          <c:order val="1"/>
          <c:tx>
            <c:strRef>
              <c:f>'Examples 2, 3'!$K$21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numRef>
              <c:f>'Examples 2, 3'!$L$19</c:f>
              <c:numCache>
                <c:formatCode>General</c:formatCode>
                <c:ptCount val="1"/>
              </c:numCache>
            </c:numRef>
          </c:cat>
          <c:val>
            <c:numRef>
              <c:f>'Examples 2, 3'!$L$21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0-44AF-8480-516B352BB9CF}"/>
            </c:ext>
          </c:extLst>
        </c:ser>
        <c:ser>
          <c:idx val="2"/>
          <c:order val="2"/>
          <c:tx>
            <c:strRef>
              <c:f>'Examples 2, 3'!$K$22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numRef>
              <c:f>'Examples 2, 3'!$L$19</c:f>
              <c:numCache>
                <c:formatCode>General</c:formatCode>
                <c:ptCount val="1"/>
              </c:numCache>
            </c:numRef>
          </c:cat>
          <c:val>
            <c:numRef>
              <c:f>'Examples 2, 3'!$L$22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0-44AF-8480-516B352BB9CF}"/>
            </c:ext>
          </c:extLst>
        </c:ser>
        <c:ser>
          <c:idx val="3"/>
          <c:order val="3"/>
          <c:tx>
            <c:strRef>
              <c:f>'Examples 2, 3'!$K$23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'Examples 2, 3'!$L$24</c:f>
                <c:numCache>
                  <c:formatCode>General</c:formatCode>
                  <c:ptCount val="1"/>
                  <c:pt idx="0">
                    <c:v>18.5</c:v>
                  </c:pt>
                </c:numCache>
              </c:numRef>
            </c:plus>
          </c:errBars>
          <c:cat>
            <c:numRef>
              <c:f>'Examples 2, 3'!$L$19</c:f>
              <c:numCache>
                <c:formatCode>General</c:formatCode>
                <c:ptCount val="1"/>
              </c:numCache>
            </c:numRef>
          </c:cat>
          <c:val>
            <c:numRef>
              <c:f>'Examples 2, 3'!$L$23</c:f>
              <c:numCache>
                <c:formatCode>General</c:formatCode>
                <c:ptCount val="1"/>
                <c:pt idx="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E0-44AF-8480-516B352B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36032"/>
        <c:axId val="132237568"/>
      </c:barChart>
      <c:catAx>
        <c:axId val="1322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237568"/>
        <c:crosses val="autoZero"/>
        <c:auto val="1"/>
        <c:lblAlgn val="ctr"/>
        <c:lblOffset val="100"/>
        <c:noMultiLvlLbl val="0"/>
      </c:catAx>
      <c:valAx>
        <c:axId val="13223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23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1</xdr:row>
      <xdr:rowOff>119062</xdr:rowOff>
    </xdr:from>
    <xdr:to>
      <xdr:col>27</xdr:col>
      <xdr:colOff>390525</xdr:colOff>
      <xdr:row>15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6723C3-74D1-42F9-A6F9-2BADF696D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2</xdr:row>
      <xdr:rowOff>47625</xdr:rowOff>
    </xdr:from>
    <xdr:to>
      <xdr:col>20</xdr:col>
      <xdr:colOff>295275</xdr:colOff>
      <xdr:row>12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478846-2576-42A0-8903-179EC865F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30</xdr:row>
      <xdr:rowOff>33337</xdr:rowOff>
    </xdr:from>
    <xdr:to>
      <xdr:col>21</xdr:col>
      <xdr:colOff>590550</xdr:colOff>
      <xdr:row>44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7B3012-9965-4EA0-84ED-34F62B302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466725</xdr:colOff>
      <xdr:row>13</xdr:row>
      <xdr:rowOff>61911</xdr:rowOff>
    </xdr:from>
    <xdr:to>
      <xdr:col>20</xdr:col>
      <xdr:colOff>265113</xdr:colOff>
      <xdr:row>27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A29F2-24EF-414E-B672-62192A48C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86B8-75D7-4549-AB56-ECC0D0C4DC0E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0</v>
      </c>
    </row>
    <row r="2" spans="1:2" x14ac:dyDescent="0.35">
      <c r="A2" t="s">
        <v>3</v>
      </c>
    </row>
    <row r="4" spans="1:2" x14ac:dyDescent="0.35">
      <c r="A4" t="s">
        <v>1</v>
      </c>
      <c r="B4" s="2">
        <v>44686</v>
      </c>
    </row>
    <row r="6" spans="1:2" x14ac:dyDescent="0.35">
      <c r="A6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5337-5069-4937-9E8F-F62E1074401B}">
  <sheetPr codeName="Sheet93"/>
  <dimension ref="A1:S63"/>
  <sheetViews>
    <sheetView workbookViewId="0">
      <selection activeCell="D13" sqref="D13"/>
    </sheetView>
  </sheetViews>
  <sheetFormatPr defaultRowHeight="14.5" x14ac:dyDescent="0.35"/>
  <cols>
    <col min="1" max="1" width="5.08984375" customWidth="1"/>
  </cols>
  <sheetData>
    <row r="1" spans="1:10" x14ac:dyDescent="0.35">
      <c r="A1" s="3" t="s">
        <v>4</v>
      </c>
    </row>
    <row r="2" spans="1:10" x14ac:dyDescent="0.35">
      <c r="C2" t="s">
        <v>5</v>
      </c>
    </row>
    <row r="3" spans="1:10" x14ac:dyDescent="0.35">
      <c r="A3">
        <v>34</v>
      </c>
    </row>
    <row r="4" spans="1:10" ht="15" thickBot="1" x14ac:dyDescent="0.4">
      <c r="A4">
        <v>45</v>
      </c>
      <c r="C4" t="s">
        <v>6</v>
      </c>
      <c r="F4" t="s">
        <v>7</v>
      </c>
      <c r="G4">
        <v>0.05</v>
      </c>
    </row>
    <row r="5" spans="1:10" ht="15" thickTop="1" x14ac:dyDescent="0.35">
      <c r="A5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</row>
    <row r="6" spans="1:10" x14ac:dyDescent="0.35">
      <c r="A6">
        <v>22</v>
      </c>
      <c r="C6">
        <f>COUNT(A3:A9)</f>
        <v>7</v>
      </c>
      <c r="D6">
        <f>AVERAGE(A3:A9)</f>
        <v>20.571428571428573</v>
      </c>
      <c r="E6">
        <f>_xlfn.STDEV.S(A3:A9)</f>
        <v>14.128660503354435</v>
      </c>
      <c r="F6">
        <f>E6/SQRT(C6)</f>
        <v>5.3401317214766424</v>
      </c>
      <c r="G6">
        <f>(D6-G8)/F6</f>
        <v>2.915925932838749</v>
      </c>
      <c r="H6">
        <f>C6-1</f>
        <v>6</v>
      </c>
      <c r="I6">
        <f>ABS(D6-G8)/E6</f>
        <v>1.1021164085393371</v>
      </c>
      <c r="J6">
        <f>SQRT(G6^2/(G6^2+H6))</f>
        <v>0.76569038559501812</v>
      </c>
    </row>
    <row r="7" spans="1:10" x14ac:dyDescent="0.35">
      <c r="A7">
        <v>15</v>
      </c>
      <c r="C7" s="5"/>
      <c r="D7" s="5"/>
      <c r="E7" s="5"/>
      <c r="F7" s="5"/>
      <c r="G7" s="5"/>
      <c r="H7" s="5"/>
      <c r="I7" s="5"/>
      <c r="J7" s="5"/>
    </row>
    <row r="8" spans="1:10" ht="15" thickBot="1" x14ac:dyDescent="0.4">
      <c r="A8">
        <v>11</v>
      </c>
      <c r="C8" t="s">
        <v>16</v>
      </c>
      <c r="F8" t="s">
        <v>17</v>
      </c>
      <c r="G8">
        <v>5</v>
      </c>
    </row>
    <row r="9" spans="1:10" ht="15" thickTop="1" x14ac:dyDescent="0.35">
      <c r="A9">
        <v>10</v>
      </c>
      <c r="C9" s="4" t="s">
        <v>18</v>
      </c>
      <c r="D9" s="4" t="s">
        <v>19</v>
      </c>
      <c r="E9" s="4" t="s">
        <v>20</v>
      </c>
      <c r="F9" s="4" t="s">
        <v>21</v>
      </c>
      <c r="G9" s="4" t="s">
        <v>22</v>
      </c>
      <c r="H9" s="4" t="s">
        <v>23</v>
      </c>
    </row>
    <row r="10" spans="1:10" x14ac:dyDescent="0.35">
      <c r="C10" t="s">
        <v>24</v>
      </c>
      <c r="D10">
        <f>_xlfn.T.DIST.RT(ABS(G6),H6)</f>
        <v>1.3386471450745974E-2</v>
      </c>
      <c r="E10">
        <f>_xlfn.T.INV.2T(G4*2,H6)</f>
        <v>1.9431802805153031</v>
      </c>
      <c r="H10" s="6" t="str">
        <f>IF(D10&lt;G4,"yes","no")</f>
        <v>yes</v>
      </c>
    </row>
    <row r="11" spans="1:10" x14ac:dyDescent="0.35">
      <c r="C11" t="s">
        <v>25</v>
      </c>
      <c r="D11">
        <f>_xlfn.T.DIST.2T(ABS(G6),H6)</f>
        <v>2.6772942901491948E-2</v>
      </c>
      <c r="E11">
        <f>_xlfn.T.INV.2T(G4,H6)</f>
        <v>2.4469118511449697</v>
      </c>
      <c r="F11">
        <f>D6-E11*F6</f>
        <v>7.5045969754721877</v>
      </c>
      <c r="G11">
        <f>D6+E11*F6</f>
        <v>33.638260167384956</v>
      </c>
      <c r="H11" s="6" t="str">
        <f>IF(D11&lt;G4,"yes","no")</f>
        <v>yes</v>
      </c>
    </row>
    <row r="12" spans="1:10" x14ac:dyDescent="0.35">
      <c r="C12" s="5"/>
      <c r="D12" s="5"/>
      <c r="E12" s="5"/>
      <c r="F12" s="5"/>
      <c r="G12" s="5"/>
      <c r="H12" s="5"/>
    </row>
    <row r="13" spans="1:10" x14ac:dyDescent="0.35">
      <c r="C13" t="s">
        <v>25</v>
      </c>
      <c r="D13" s="7" t="e" cm="1">
        <f t="array" aca="1" ref="D13" ca="1">T1_TEST(A3:A9,G8,2)</f>
        <v>#NAME?</v>
      </c>
      <c r="F13" t="e" cm="1">
        <f t="array" aca="1" ref="F13" ca="1">FTEXT(D13)</f>
        <v>#NAME?</v>
      </c>
    </row>
    <row r="18" spans="7:7" x14ac:dyDescent="0.35">
      <c r="G18" t="e" cm="1">
        <f t="array" aca="1" ref="G18" ca="1">FTEXT(E18)</f>
        <v>#NAME?</v>
      </c>
    </row>
    <row r="19" spans="7:7" x14ac:dyDescent="0.35">
      <c r="G19" t="e" cm="1">
        <f t="array" aca="1" ref="G19" ca="1">FTEXT(E19)</f>
        <v>#NAME?</v>
      </c>
    </row>
    <row r="40" spans="7:7" x14ac:dyDescent="0.35">
      <c r="G40" t="e">
        <f ca="1">MAD(W4:W43)</f>
        <v>#NAME?</v>
      </c>
    </row>
    <row r="41" spans="7:7" x14ac:dyDescent="0.35">
      <c r="G41" t="e">
        <f ca="1">IQR(W4:W43)</f>
        <v>#NAME?</v>
      </c>
    </row>
    <row r="61" spans="17:19" x14ac:dyDescent="0.35">
      <c r="Q61" t="e">
        <f ca="1">CONFIDENCE_T(T49,R51,P51)</f>
        <v>#NAME?</v>
      </c>
      <c r="S61" t="e">
        <f ca="1">T_CONF(A5:D14,T49)</f>
        <v>#NAME?</v>
      </c>
    </row>
    <row r="62" spans="17:19" x14ac:dyDescent="0.35">
      <c r="S62" t="e">
        <f ca="1">T_LOWER(A5:D14,T49)</f>
        <v>#NAME?</v>
      </c>
    </row>
    <row r="63" spans="17:19" x14ac:dyDescent="0.35">
      <c r="S63" t="e">
        <f ca="1">T_UPPER(A5:D14,T49)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186D-3DD0-4A5A-973E-37F2BA0616BB}">
  <sheetPr codeName="Sheet24"/>
  <dimension ref="A1:S25"/>
  <sheetViews>
    <sheetView workbookViewId="0"/>
  </sheetViews>
  <sheetFormatPr defaultRowHeight="14.5" x14ac:dyDescent="0.35"/>
  <cols>
    <col min="1" max="1" width="8.26953125" customWidth="1"/>
    <col min="2" max="2" width="12.26953125" customWidth="1"/>
    <col min="3" max="3" width="6.81640625" customWidth="1"/>
    <col min="4" max="4" width="10.26953125" customWidth="1"/>
    <col min="6" max="6" width="3.453125" customWidth="1"/>
    <col min="7" max="7" width="21.7265625" customWidth="1"/>
  </cols>
  <sheetData>
    <row r="1" spans="1:19" x14ac:dyDescent="0.35">
      <c r="A1" s="3" t="s">
        <v>26</v>
      </c>
      <c r="B1" s="6"/>
      <c r="R1" t="s">
        <v>27</v>
      </c>
    </row>
    <row r="2" spans="1:19" x14ac:dyDescent="0.35">
      <c r="A2" s="6"/>
      <c r="B2" s="6"/>
    </row>
    <row r="3" spans="1:19" x14ac:dyDescent="0.35">
      <c r="A3" s="8" t="s">
        <v>28</v>
      </c>
      <c r="B3" s="8" t="s">
        <v>29</v>
      </c>
      <c r="D3" t="s">
        <v>30</v>
      </c>
      <c r="E3" s="9">
        <f>COUNT(B4:B15)</f>
        <v>12</v>
      </c>
      <c r="G3" s="10" t="s">
        <v>31</v>
      </c>
      <c r="I3" t="s">
        <v>5</v>
      </c>
      <c r="S3" s="11" t="str">
        <f>B3</f>
        <v>Weight Loss</v>
      </c>
    </row>
    <row r="4" spans="1:19" x14ac:dyDescent="0.35">
      <c r="A4" s="12">
        <v>1</v>
      </c>
      <c r="B4" s="13">
        <v>23</v>
      </c>
      <c r="D4" t="s">
        <v>32</v>
      </c>
      <c r="E4" s="14">
        <f>AVERAGE(B4:B15)</f>
        <v>4.666666666666667</v>
      </c>
      <c r="G4" s="10" t="s">
        <v>33</v>
      </c>
      <c r="R4" t="s">
        <v>34</v>
      </c>
      <c r="S4" s="15">
        <f>MIN(B4:B15)-$S$11</f>
        <v>0</v>
      </c>
    </row>
    <row r="5" spans="1:19" ht="15" thickBot="1" x14ac:dyDescent="0.4">
      <c r="A5" s="12">
        <f t="shared" ref="A5:A15" si="0">A4+1</f>
        <v>2</v>
      </c>
      <c r="B5" s="13">
        <v>15</v>
      </c>
      <c r="D5" t="s">
        <v>35</v>
      </c>
      <c r="E5" s="14">
        <f>STDEV(B4:B15)</f>
        <v>11.154561507483942</v>
      </c>
      <c r="G5" s="10" t="s">
        <v>36</v>
      </c>
      <c r="I5" t="s">
        <v>6</v>
      </c>
      <c r="L5" t="s">
        <v>7</v>
      </c>
      <c r="M5">
        <v>0.05</v>
      </c>
      <c r="R5" t="s">
        <v>37</v>
      </c>
      <c r="S5" s="16">
        <f>QUARTILE(B4:B15,1)-S4-$S$11</f>
        <v>5</v>
      </c>
    </row>
    <row r="6" spans="1:19" ht="15" thickTop="1" x14ac:dyDescent="0.35">
      <c r="A6" s="12">
        <f t="shared" si="0"/>
        <v>3</v>
      </c>
      <c r="B6" s="13">
        <v>-5</v>
      </c>
      <c r="D6" t="s">
        <v>38</v>
      </c>
      <c r="E6" s="17">
        <f>E5/SQRT(E3)</f>
        <v>3.220044544519046</v>
      </c>
      <c r="G6" s="10" t="s">
        <v>39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R6" t="s">
        <v>40</v>
      </c>
      <c r="S6" s="16">
        <f>MEDIAN(B4:B15)-QUARTILE(B4:B15,1)</f>
        <v>9</v>
      </c>
    </row>
    <row r="7" spans="1:19" x14ac:dyDescent="0.35">
      <c r="A7" s="12">
        <f t="shared" si="0"/>
        <v>4</v>
      </c>
      <c r="B7" s="13">
        <v>7</v>
      </c>
      <c r="I7">
        <f>COUNT(B4:B15)</f>
        <v>12</v>
      </c>
      <c r="J7">
        <f>AVERAGE(B4:B15)</f>
        <v>4.666666666666667</v>
      </c>
      <c r="K7">
        <f>STDEV(B4:B15)</f>
        <v>11.154561507483942</v>
      </c>
      <c r="L7">
        <f>K7/SQRT(I7)</f>
        <v>3.220044544519046</v>
      </c>
      <c r="M7">
        <f>(J7-M9)/L7</f>
        <v>1.4492553137533357</v>
      </c>
      <c r="N7">
        <f>I7-1</f>
        <v>11</v>
      </c>
      <c r="O7">
        <f>ABS(J7-M9)/K7</f>
        <v>0.41836397275999199</v>
      </c>
      <c r="P7">
        <f>SQRT(M7^2/(M7^2+N7))</f>
        <v>0.40040878906938115</v>
      </c>
      <c r="R7" t="s">
        <v>41</v>
      </c>
      <c r="S7" s="16">
        <f>QUARTILE(B4:B15,3)-MEDIAN(B4:B15)</f>
        <v>8.75</v>
      </c>
    </row>
    <row r="8" spans="1:19" x14ac:dyDescent="0.35">
      <c r="A8" s="12">
        <f t="shared" si="0"/>
        <v>5</v>
      </c>
      <c r="B8" s="13">
        <v>1</v>
      </c>
      <c r="D8" t="s">
        <v>42</v>
      </c>
      <c r="E8" s="9">
        <v>0</v>
      </c>
      <c r="I8" s="5"/>
      <c r="J8" s="5"/>
      <c r="K8" s="5"/>
      <c r="L8" s="5"/>
      <c r="M8" s="5"/>
      <c r="N8" s="5"/>
      <c r="O8" s="5"/>
      <c r="P8" s="5"/>
      <c r="R8" t="s">
        <v>43</v>
      </c>
      <c r="S8" s="16">
        <f>MAX(B4:B15)-QUARTILE(B4:B15,3)</f>
        <v>10.25</v>
      </c>
    </row>
    <row r="9" spans="1:19" ht="15" thickBot="1" x14ac:dyDescent="0.4">
      <c r="A9" s="12">
        <f t="shared" si="0"/>
        <v>6</v>
      </c>
      <c r="B9" s="13">
        <v>-10</v>
      </c>
      <c r="D9" s="18" t="s">
        <v>44</v>
      </c>
      <c r="E9" s="14">
        <v>0.05</v>
      </c>
      <c r="I9" t="s">
        <v>16</v>
      </c>
      <c r="L9" t="s">
        <v>17</v>
      </c>
      <c r="M9">
        <v>0</v>
      </c>
      <c r="R9" t="s">
        <v>9</v>
      </c>
      <c r="S9" s="19">
        <f>AVERAGE(B4:B15)-$S$11</f>
        <v>14.666666666666668</v>
      </c>
    </row>
    <row r="10" spans="1:19" ht="15" thickTop="1" x14ac:dyDescent="0.35">
      <c r="A10" s="12">
        <f t="shared" si="0"/>
        <v>7</v>
      </c>
      <c r="B10" s="13">
        <v>12</v>
      </c>
      <c r="D10" t="s">
        <v>45</v>
      </c>
      <c r="E10" s="14">
        <v>1</v>
      </c>
      <c r="I10" s="4" t="s">
        <v>18</v>
      </c>
      <c r="J10" s="4" t="s">
        <v>19</v>
      </c>
      <c r="K10" s="4" t="s">
        <v>20</v>
      </c>
      <c r="L10" s="4" t="s">
        <v>21</v>
      </c>
      <c r="M10" s="4" t="s">
        <v>22</v>
      </c>
      <c r="N10" s="4" t="s">
        <v>23</v>
      </c>
    </row>
    <row r="11" spans="1:19" x14ac:dyDescent="0.35">
      <c r="A11" s="12">
        <f t="shared" si="0"/>
        <v>8</v>
      </c>
      <c r="B11" s="13">
        <v>-8</v>
      </c>
      <c r="D11" t="s">
        <v>13</v>
      </c>
      <c r="E11" s="14">
        <f>E3-1</f>
        <v>11</v>
      </c>
      <c r="G11" s="10" t="s">
        <v>46</v>
      </c>
      <c r="I11" t="s">
        <v>24</v>
      </c>
      <c r="J11">
        <f>TDIST(ABS(M7),N7,1)</f>
        <v>8.7584727794285583E-2</v>
      </c>
      <c r="K11">
        <f>TINV(M5*2,N7)</f>
        <v>1.7958848187040437</v>
      </c>
      <c r="N11" s="6" t="str">
        <f>IF(J11&lt;M5,"yes","no")</f>
        <v>no</v>
      </c>
      <c r="R11" t="s">
        <v>47</v>
      </c>
      <c r="S11" s="20">
        <f>MIN(B4:B15)</f>
        <v>-10</v>
      </c>
    </row>
    <row r="12" spans="1:19" x14ac:dyDescent="0.35">
      <c r="A12" s="12">
        <f t="shared" si="0"/>
        <v>9</v>
      </c>
      <c r="B12" s="13">
        <v>20</v>
      </c>
      <c r="D12" t="s">
        <v>48</v>
      </c>
      <c r="E12" s="14">
        <f>(E4-E8)/E6</f>
        <v>1.4492553137533357</v>
      </c>
      <c r="G12" s="10" t="s">
        <v>49</v>
      </c>
      <c r="I12" s="21" t="s">
        <v>25</v>
      </c>
      <c r="J12" s="21">
        <f>TDIST(ABS(M7),N7,2)</f>
        <v>0.17516945558857117</v>
      </c>
      <c r="K12" s="21">
        <f>TINV(M5,N7)</f>
        <v>2.2009851600916384</v>
      </c>
      <c r="L12" s="21">
        <f>J7-K12*L7</f>
        <v>-2.4206035906537924</v>
      </c>
      <c r="M12" s="21">
        <f>J7+K12*L7</f>
        <v>11.753936923987126</v>
      </c>
      <c r="N12" s="22" t="str">
        <f>IF(J12&lt;M5,"yes","no")</f>
        <v>no</v>
      </c>
    </row>
    <row r="13" spans="1:19" x14ac:dyDescent="0.35">
      <c r="A13" s="12">
        <f t="shared" si="0"/>
        <v>10</v>
      </c>
      <c r="B13" s="13">
        <v>8</v>
      </c>
      <c r="D13" t="s">
        <v>50</v>
      </c>
      <c r="E13" s="14">
        <f>TDIST(ABS(E12),E11,E10)</f>
        <v>8.7584727794285583E-2</v>
      </c>
      <c r="G13" s="10" t="s">
        <v>51</v>
      </c>
    </row>
    <row r="14" spans="1:19" x14ac:dyDescent="0.35">
      <c r="A14" s="12">
        <f t="shared" si="0"/>
        <v>11</v>
      </c>
      <c r="B14" s="13">
        <v>-2</v>
      </c>
      <c r="D14" t="s">
        <v>52</v>
      </c>
      <c r="E14" s="14">
        <f>TINV(E9*2,E11)</f>
        <v>1.7958848187040437</v>
      </c>
      <c r="G14" s="10" t="s">
        <v>53</v>
      </c>
    </row>
    <row r="15" spans="1:19" x14ac:dyDescent="0.35">
      <c r="A15" s="23">
        <f t="shared" si="0"/>
        <v>12</v>
      </c>
      <c r="B15" s="24">
        <v>-5</v>
      </c>
      <c r="D15" t="s">
        <v>23</v>
      </c>
      <c r="E15" s="25" t="str">
        <f>IF(E13&lt;E9,"yes","no")</f>
        <v>no</v>
      </c>
      <c r="G15" s="10" t="s">
        <v>54</v>
      </c>
      <c r="I15" t="s">
        <v>5</v>
      </c>
    </row>
    <row r="16" spans="1:19" x14ac:dyDescent="0.35">
      <c r="A16" s="6"/>
      <c r="B16" s="6"/>
    </row>
    <row r="17" spans="1:19" ht="15" thickBot="1" x14ac:dyDescent="0.4">
      <c r="A17" s="6"/>
      <c r="B17" s="6"/>
      <c r="I17" t="s">
        <v>6</v>
      </c>
      <c r="L17" t="s">
        <v>7</v>
      </c>
      <c r="M17">
        <v>0.05</v>
      </c>
    </row>
    <row r="18" spans="1:19" ht="15" thickTop="1" x14ac:dyDescent="0.35">
      <c r="A18" s="6"/>
      <c r="B18" s="6"/>
      <c r="D18" t="s">
        <v>55</v>
      </c>
      <c r="E18" s="9">
        <f>NORMDIST(E4,E8,E6,TRUE)</f>
        <v>0.92636685229592319</v>
      </c>
      <c r="G18" t="e" cm="1">
        <f t="array" aca="1" ref="G18" ca="1">FTEXT(E18)</f>
        <v>#NAME?</v>
      </c>
      <c r="I18" s="4" t="s">
        <v>8</v>
      </c>
      <c r="J18" s="4" t="s">
        <v>9</v>
      </c>
      <c r="K18" s="4" t="s">
        <v>10</v>
      </c>
      <c r="L18" s="4" t="s">
        <v>11</v>
      </c>
      <c r="M18" s="4" t="s">
        <v>12</v>
      </c>
      <c r="N18" s="4" t="s">
        <v>13</v>
      </c>
      <c r="O18" s="4" t="s">
        <v>14</v>
      </c>
      <c r="P18" s="4" t="s">
        <v>15</v>
      </c>
      <c r="R18" s="45" t="s">
        <v>86</v>
      </c>
    </row>
    <row r="19" spans="1:19" x14ac:dyDescent="0.35">
      <c r="A19" s="6"/>
      <c r="B19" s="6"/>
      <c r="E19" s="17">
        <f>1-E18</f>
        <v>7.3633147704076807E-2</v>
      </c>
      <c r="G19" t="e" cm="1">
        <f t="array" aca="1" ref="G19" ca="1">FTEXT(E19)</f>
        <v>#NAME?</v>
      </c>
      <c r="I19">
        <f>COUNT(B4:B15)</f>
        <v>12</v>
      </c>
      <c r="J19" s="29">
        <f>AVERAGE(B4:B15)</f>
        <v>4.666666666666667</v>
      </c>
      <c r="K19">
        <f>_xlfn.STDEV.S(B4:B15)</f>
        <v>11.154561507483942</v>
      </c>
      <c r="L19">
        <f>K19/SQRT(I19)</f>
        <v>3.220044544519046</v>
      </c>
      <c r="M19">
        <f>(J19-M21)/L19</f>
        <v>1.4492553137533357</v>
      </c>
      <c r="N19">
        <f>I19-1</f>
        <v>11</v>
      </c>
      <c r="O19">
        <f>ABS(J19-M21)/K19</f>
        <v>0.41836397275999199</v>
      </c>
      <c r="P19">
        <f>SQRT(M19^2/(M19^2+N19))</f>
        <v>0.40040878906938115</v>
      </c>
    </row>
    <row r="20" spans="1:19" x14ac:dyDescent="0.35">
      <c r="I20" s="43"/>
      <c r="J20" s="43"/>
      <c r="K20" s="43"/>
      <c r="L20" s="43"/>
      <c r="M20" s="43"/>
      <c r="N20" s="43"/>
      <c r="O20" s="43"/>
      <c r="P20" s="43"/>
      <c r="R20" t="s">
        <v>32</v>
      </c>
      <c r="S20" s="9">
        <f>J7</f>
        <v>4.666666666666667</v>
      </c>
    </row>
    <row r="21" spans="1:19" ht="15" thickBot="1" x14ac:dyDescent="0.4">
      <c r="I21" t="s">
        <v>16</v>
      </c>
      <c r="L21" t="s">
        <v>17</v>
      </c>
      <c r="M21">
        <v>0</v>
      </c>
      <c r="R21" t="s">
        <v>92</v>
      </c>
      <c r="S21" s="14">
        <f>L7</f>
        <v>3.220044544519046</v>
      </c>
    </row>
    <row r="22" spans="1:19" ht="15" thickTop="1" x14ac:dyDescent="0.35">
      <c r="I22" s="4" t="s">
        <v>18</v>
      </c>
      <c r="J22" s="4" t="s">
        <v>19</v>
      </c>
      <c r="K22" s="4" t="s">
        <v>20</v>
      </c>
      <c r="L22" s="4" t="s">
        <v>21</v>
      </c>
      <c r="M22" s="4" t="s">
        <v>22</v>
      </c>
      <c r="N22" s="4" t="s">
        <v>23</v>
      </c>
      <c r="R22" t="s">
        <v>93</v>
      </c>
      <c r="S22" s="14">
        <f>K11</f>
        <v>1.7958848187040437</v>
      </c>
    </row>
    <row r="23" spans="1:19" x14ac:dyDescent="0.35">
      <c r="I23" t="s">
        <v>24</v>
      </c>
      <c r="J23">
        <f>_xlfn.T.DIST.RT(ABS(M19),N19)</f>
        <v>8.7584727794285583E-2</v>
      </c>
      <c r="K23">
        <f>_xlfn.T.INV.2T(M17*2,N19)</f>
        <v>1.7958848187040437</v>
      </c>
      <c r="N23" s="6" t="str">
        <f>IF(J23&lt;M17,"yes","no")</f>
        <v>no</v>
      </c>
      <c r="R23" t="s">
        <v>21</v>
      </c>
      <c r="S23" s="14">
        <f>S20-S21*S22</f>
        <v>-1.1161624463858653</v>
      </c>
    </row>
    <row r="24" spans="1:19" x14ac:dyDescent="0.35">
      <c r="I24" t="s">
        <v>25</v>
      </c>
      <c r="J24">
        <f>_xlfn.T.DIST.2T(ABS(M19),N19)</f>
        <v>0.17516945558857117</v>
      </c>
      <c r="K24">
        <f>_xlfn.T.INV.2T(M17,N19)</f>
        <v>2.2009851600916384</v>
      </c>
      <c r="L24">
        <f>J19-K24*L19</f>
        <v>-2.4206035906537924</v>
      </c>
      <c r="M24">
        <f>J19+K24*L19</f>
        <v>11.753936923987126</v>
      </c>
      <c r="N24" s="6" t="str">
        <f>IF(J24&lt;M17,"yes","no")</f>
        <v>no</v>
      </c>
      <c r="R24" t="s">
        <v>22</v>
      </c>
      <c r="S24" s="46" t="s">
        <v>94</v>
      </c>
    </row>
    <row r="25" spans="1:19" x14ac:dyDescent="0.35">
      <c r="I25" s="43"/>
      <c r="J25" s="43"/>
      <c r="K25" s="43"/>
      <c r="L25" s="43"/>
      <c r="M25" s="43"/>
      <c r="N25" s="43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7E6CF-D6FB-4205-B4BC-EBF94B23F462}">
  <sheetPr codeName="Sheet25"/>
  <dimension ref="A1:W77"/>
  <sheetViews>
    <sheetView topLeftCell="F49" workbookViewId="0">
      <selection activeCell="S58" sqref="S58"/>
    </sheetView>
  </sheetViews>
  <sheetFormatPr defaultRowHeight="14.5" x14ac:dyDescent="0.35"/>
  <cols>
    <col min="6" max="6" width="24.7265625" customWidth="1"/>
  </cols>
  <sheetData>
    <row r="1" spans="1:23" x14ac:dyDescent="0.35">
      <c r="A1" s="3" t="s">
        <v>26</v>
      </c>
      <c r="F1" s="3"/>
    </row>
    <row r="2" spans="1:23" ht="15" thickBot="1" x14ac:dyDescent="0.4">
      <c r="W2" s="26" t="s">
        <v>56</v>
      </c>
    </row>
    <row r="3" spans="1:23" x14ac:dyDescent="0.35">
      <c r="A3" s="3" t="s">
        <v>57</v>
      </c>
      <c r="F3" s="27" t="s">
        <v>58</v>
      </c>
      <c r="G3" s="27"/>
      <c r="I3" s="26" t="s">
        <v>59</v>
      </c>
      <c r="K3" s="28" t="s">
        <v>60</v>
      </c>
      <c r="L3" s="28" t="s">
        <v>61</v>
      </c>
    </row>
    <row r="4" spans="1:23" x14ac:dyDescent="0.35">
      <c r="K4" s="29">
        <v>40</v>
      </c>
      <c r="L4">
        <v>2</v>
      </c>
      <c r="W4">
        <f t="shared" ref="W4:W13" si="0">A5</f>
        <v>63</v>
      </c>
    </row>
    <row r="5" spans="1:23" x14ac:dyDescent="0.35">
      <c r="A5" s="30">
        <v>63</v>
      </c>
      <c r="B5" s="31">
        <v>58</v>
      </c>
      <c r="C5" s="31">
        <v>76</v>
      </c>
      <c r="D5" s="32">
        <v>59</v>
      </c>
      <c r="F5" t="s">
        <v>9</v>
      </c>
      <c r="G5">
        <v>68.400000000000006</v>
      </c>
      <c r="I5" s="29">
        <v>40</v>
      </c>
      <c r="K5" s="29">
        <v>45</v>
      </c>
      <c r="L5">
        <v>3</v>
      </c>
      <c r="W5">
        <f t="shared" si="0"/>
        <v>95</v>
      </c>
    </row>
    <row r="6" spans="1:23" x14ac:dyDescent="0.35">
      <c r="A6" s="33">
        <v>95</v>
      </c>
      <c r="B6" s="34">
        <v>84</v>
      </c>
      <c r="C6" s="34">
        <v>83</v>
      </c>
      <c r="D6" s="35">
        <v>68</v>
      </c>
      <c r="F6" t="s">
        <v>62</v>
      </c>
      <c r="G6">
        <v>2.6201389667588599</v>
      </c>
      <c r="I6" s="29">
        <f>I5+5</f>
        <v>45</v>
      </c>
      <c r="K6" s="29">
        <v>50</v>
      </c>
      <c r="L6">
        <v>2</v>
      </c>
      <c r="W6">
        <f t="shared" si="0"/>
        <v>81</v>
      </c>
    </row>
    <row r="7" spans="1:23" x14ac:dyDescent="0.35">
      <c r="A7" s="33">
        <v>81</v>
      </c>
      <c r="B7" s="34">
        <v>90</v>
      </c>
      <c r="C7" s="34">
        <v>87</v>
      </c>
      <c r="D7" s="35">
        <v>45</v>
      </c>
      <c r="F7" t="s">
        <v>63</v>
      </c>
      <c r="G7">
        <v>68</v>
      </c>
      <c r="I7" s="29">
        <f t="shared" ref="I7:I15" si="1">I6+5</f>
        <v>50</v>
      </c>
      <c r="K7" s="29">
        <v>55</v>
      </c>
      <c r="L7">
        <v>2</v>
      </c>
      <c r="W7">
        <f t="shared" si="0"/>
        <v>75</v>
      </c>
    </row>
    <row r="8" spans="1:23" x14ac:dyDescent="0.35">
      <c r="A8" s="33">
        <v>75</v>
      </c>
      <c r="B8" s="34">
        <v>38</v>
      </c>
      <c r="C8" s="34">
        <v>54</v>
      </c>
      <c r="D8" s="35">
        <v>52</v>
      </c>
      <c r="F8" t="s">
        <v>64</v>
      </c>
      <c r="G8">
        <v>64</v>
      </c>
      <c r="I8" s="29">
        <f t="shared" si="1"/>
        <v>55</v>
      </c>
      <c r="K8" s="29">
        <v>60</v>
      </c>
      <c r="L8">
        <v>5</v>
      </c>
      <c r="W8">
        <f t="shared" si="0"/>
        <v>90</v>
      </c>
    </row>
    <row r="9" spans="1:23" x14ac:dyDescent="0.35">
      <c r="A9" s="33">
        <v>90</v>
      </c>
      <c r="B9" s="34">
        <v>100</v>
      </c>
      <c r="C9" s="34">
        <v>45</v>
      </c>
      <c r="D9" s="35">
        <v>76</v>
      </c>
      <c r="F9" t="s">
        <v>65</v>
      </c>
      <c r="G9">
        <v>16.5712138422364</v>
      </c>
      <c r="I9" s="29">
        <f t="shared" si="1"/>
        <v>60</v>
      </c>
      <c r="K9" s="29">
        <v>65</v>
      </c>
      <c r="L9">
        <v>5</v>
      </c>
      <c r="W9">
        <f t="shared" si="0"/>
        <v>64</v>
      </c>
    </row>
    <row r="10" spans="1:23" x14ac:dyDescent="0.35">
      <c r="A10" s="33">
        <v>64</v>
      </c>
      <c r="B10" s="34">
        <v>80</v>
      </c>
      <c r="C10" s="34">
        <v>58</v>
      </c>
      <c r="D10" s="35">
        <v>78</v>
      </c>
      <c r="F10" t="s">
        <v>66</v>
      </c>
      <c r="G10">
        <v>274.60512820512838</v>
      </c>
      <c r="I10" s="29">
        <f t="shared" si="1"/>
        <v>65</v>
      </c>
      <c r="K10" s="29">
        <v>70</v>
      </c>
      <c r="L10">
        <v>3</v>
      </c>
      <c r="W10">
        <f t="shared" si="0"/>
        <v>45</v>
      </c>
    </row>
    <row r="11" spans="1:23" x14ac:dyDescent="0.35">
      <c r="A11" s="33">
        <v>45</v>
      </c>
      <c r="B11" s="34">
        <v>68</v>
      </c>
      <c r="C11" s="34">
        <v>64</v>
      </c>
      <c r="D11" s="35">
        <v>50</v>
      </c>
      <c r="F11" t="s">
        <v>67</v>
      </c>
      <c r="G11">
        <v>-0.80131844997494062</v>
      </c>
      <c r="I11" s="29">
        <f t="shared" si="1"/>
        <v>70</v>
      </c>
      <c r="K11" s="29">
        <v>75</v>
      </c>
      <c r="L11">
        <v>3</v>
      </c>
      <c r="W11">
        <f t="shared" si="0"/>
        <v>59</v>
      </c>
    </row>
    <row r="12" spans="1:23" x14ac:dyDescent="0.35">
      <c r="A12" s="33">
        <v>59</v>
      </c>
      <c r="B12" s="34">
        <v>49</v>
      </c>
      <c r="C12" s="34">
        <v>63</v>
      </c>
      <c r="D12" s="35">
        <v>75</v>
      </c>
      <c r="F12" t="s">
        <v>68</v>
      </c>
      <c r="G12">
        <v>-8.8637603694432965E-2</v>
      </c>
      <c r="I12" s="29">
        <f t="shared" si="1"/>
        <v>75</v>
      </c>
      <c r="K12" s="29">
        <v>80</v>
      </c>
      <c r="L12">
        <v>4</v>
      </c>
      <c r="W12">
        <f t="shared" si="0"/>
        <v>72</v>
      </c>
    </row>
    <row r="13" spans="1:23" x14ac:dyDescent="0.35">
      <c r="A13" s="33">
        <v>72</v>
      </c>
      <c r="B13" s="34">
        <v>68</v>
      </c>
      <c r="C13" s="34">
        <v>92</v>
      </c>
      <c r="D13" s="35">
        <v>64</v>
      </c>
      <c r="F13" t="s">
        <v>69</v>
      </c>
      <c r="G13">
        <v>65</v>
      </c>
      <c r="I13" s="29">
        <f t="shared" si="1"/>
        <v>80</v>
      </c>
      <c r="K13" s="29">
        <v>85</v>
      </c>
      <c r="L13">
        <v>3</v>
      </c>
      <c r="W13">
        <f t="shared" si="0"/>
        <v>35</v>
      </c>
    </row>
    <row r="14" spans="1:23" x14ac:dyDescent="0.35">
      <c r="A14" s="36">
        <v>35</v>
      </c>
      <c r="B14" s="37">
        <v>60</v>
      </c>
      <c r="C14" s="37">
        <v>87</v>
      </c>
      <c r="D14" s="38">
        <v>86</v>
      </c>
      <c r="F14" t="s">
        <v>70</v>
      </c>
      <c r="G14">
        <v>35</v>
      </c>
      <c r="I14" s="29">
        <f t="shared" si="1"/>
        <v>85</v>
      </c>
      <c r="K14" s="29">
        <v>90</v>
      </c>
      <c r="L14">
        <v>5</v>
      </c>
      <c r="W14">
        <f t="shared" ref="W14:W23" si="2">B5</f>
        <v>58</v>
      </c>
    </row>
    <row r="15" spans="1:23" ht="15" thickBot="1" x14ac:dyDescent="0.4">
      <c r="F15" t="s">
        <v>71</v>
      </c>
      <c r="G15">
        <v>100</v>
      </c>
      <c r="I15" s="29">
        <f t="shared" si="1"/>
        <v>90</v>
      </c>
      <c r="K15" s="39" t="s">
        <v>72</v>
      </c>
      <c r="L15" s="39">
        <v>3</v>
      </c>
      <c r="W15">
        <f t="shared" si="2"/>
        <v>84</v>
      </c>
    </row>
    <row r="16" spans="1:23" x14ac:dyDescent="0.35">
      <c r="F16" t="s">
        <v>73</v>
      </c>
      <c r="G16">
        <v>2736</v>
      </c>
      <c r="I16" s="40"/>
      <c r="W16">
        <f t="shared" si="2"/>
        <v>90</v>
      </c>
    </row>
    <row r="17" spans="6:23" x14ac:dyDescent="0.35">
      <c r="F17" t="s">
        <v>8</v>
      </c>
      <c r="G17">
        <v>40</v>
      </c>
      <c r="W17">
        <f t="shared" si="2"/>
        <v>38</v>
      </c>
    </row>
    <row r="18" spans="6:23" ht="15" thickBot="1" x14ac:dyDescent="0.4">
      <c r="F18" s="39" t="s">
        <v>74</v>
      </c>
      <c r="G18" s="39">
        <v>5.2997312480528764</v>
      </c>
      <c r="W18">
        <f t="shared" si="2"/>
        <v>100</v>
      </c>
    </row>
    <row r="19" spans="6:23" x14ac:dyDescent="0.35">
      <c r="W19">
        <f t="shared" si="2"/>
        <v>80</v>
      </c>
    </row>
    <row r="20" spans="6:23" x14ac:dyDescent="0.35">
      <c r="K20" t="s">
        <v>34</v>
      </c>
      <c r="L20">
        <f>MIN(W4:W43)</f>
        <v>35</v>
      </c>
      <c r="W20">
        <f t="shared" si="2"/>
        <v>68</v>
      </c>
    </row>
    <row r="21" spans="6:23" x14ac:dyDescent="0.35">
      <c r="F21" t="s">
        <v>75</v>
      </c>
      <c r="K21" t="s">
        <v>37</v>
      </c>
      <c r="L21">
        <f>QUARTILE(W4:W43,1)-L20</f>
        <v>23</v>
      </c>
      <c r="W21">
        <f t="shared" si="2"/>
        <v>49</v>
      </c>
    </row>
    <row r="22" spans="6:23" x14ac:dyDescent="0.35">
      <c r="K22" t="s">
        <v>40</v>
      </c>
      <c r="L22">
        <f>MEDIAN(W4:W43)-QUARTILE(W4:W43,1)</f>
        <v>10</v>
      </c>
      <c r="W22">
        <f t="shared" si="2"/>
        <v>68</v>
      </c>
    </row>
    <row r="23" spans="6:23" x14ac:dyDescent="0.35">
      <c r="F23" s="41"/>
      <c r="G23" s="41" t="s">
        <v>76</v>
      </c>
      <c r="K23" t="s">
        <v>41</v>
      </c>
      <c r="L23">
        <f>QUARTILE(W4:W43,3)-MEDIAN(W4:W43)</f>
        <v>13.5</v>
      </c>
      <c r="W23">
        <f t="shared" si="2"/>
        <v>60</v>
      </c>
    </row>
    <row r="24" spans="6:23" x14ac:dyDescent="0.35">
      <c r="F24" t="s">
        <v>9</v>
      </c>
      <c r="G24">
        <f>AVERAGE(W4:W43)</f>
        <v>68.400000000000006</v>
      </c>
      <c r="K24" t="s">
        <v>43</v>
      </c>
      <c r="L24">
        <f>MAX(W4:W43)-QUARTILE(W4:W43,3)</f>
        <v>18.5</v>
      </c>
      <c r="W24">
        <f t="shared" ref="W24:W33" si="3">C5</f>
        <v>76</v>
      </c>
    </row>
    <row r="25" spans="6:23" x14ac:dyDescent="0.35">
      <c r="F25" t="s">
        <v>62</v>
      </c>
      <c r="G25">
        <f>STDEV(W4:W43)/SQRT(COUNT(W4:W43))</f>
        <v>2.6201389667588639</v>
      </c>
      <c r="W25">
        <f t="shared" si="3"/>
        <v>83</v>
      </c>
    </row>
    <row r="26" spans="6:23" x14ac:dyDescent="0.35">
      <c r="F26" t="s">
        <v>63</v>
      </c>
      <c r="G26">
        <f>MEDIAN(W4:W43)</f>
        <v>68</v>
      </c>
      <c r="W26">
        <f t="shared" si="3"/>
        <v>87</v>
      </c>
    </row>
    <row r="27" spans="6:23" x14ac:dyDescent="0.35">
      <c r="F27" t="s">
        <v>64</v>
      </c>
      <c r="G27">
        <f>MODE(W4:W43)</f>
        <v>64</v>
      </c>
      <c r="W27">
        <f t="shared" si="3"/>
        <v>54</v>
      </c>
    </row>
    <row r="28" spans="6:23" x14ac:dyDescent="0.35">
      <c r="F28" t="s">
        <v>65</v>
      </c>
      <c r="G28">
        <f>STDEV(W4:W43)</f>
        <v>16.571213842236432</v>
      </c>
      <c r="W28">
        <f t="shared" si="3"/>
        <v>45</v>
      </c>
    </row>
    <row r="29" spans="6:23" x14ac:dyDescent="0.35">
      <c r="F29" t="s">
        <v>66</v>
      </c>
      <c r="G29">
        <f>VAR(W4:W43)</f>
        <v>274.60512820512838</v>
      </c>
      <c r="W29">
        <f t="shared" si="3"/>
        <v>58</v>
      </c>
    </row>
    <row r="30" spans="6:23" x14ac:dyDescent="0.35">
      <c r="F30" t="s">
        <v>67</v>
      </c>
      <c r="G30">
        <f>KURT(W4:W43)</f>
        <v>-0.80131844997494062</v>
      </c>
      <c r="W30">
        <f t="shared" si="3"/>
        <v>64</v>
      </c>
    </row>
    <row r="31" spans="6:23" x14ac:dyDescent="0.35">
      <c r="F31" t="s">
        <v>68</v>
      </c>
      <c r="G31">
        <f>SKEW(W4:W43)</f>
        <v>-8.8637603694432965E-2</v>
      </c>
      <c r="K31" t="s">
        <v>77</v>
      </c>
      <c r="W31">
        <f t="shared" si="3"/>
        <v>63</v>
      </c>
    </row>
    <row r="32" spans="6:23" x14ac:dyDescent="0.35">
      <c r="F32" t="s">
        <v>69</v>
      </c>
      <c r="G32">
        <f>G33-G34</f>
        <v>65</v>
      </c>
      <c r="W32">
        <f t="shared" si="3"/>
        <v>92</v>
      </c>
    </row>
    <row r="33" spans="6:23" x14ac:dyDescent="0.35">
      <c r="F33" t="s">
        <v>71</v>
      </c>
      <c r="G33">
        <f>MAX(W4:W43)</f>
        <v>100</v>
      </c>
      <c r="K33" t="s">
        <v>8</v>
      </c>
      <c r="L33">
        <f>COUNT(W4:W43)</f>
        <v>40</v>
      </c>
      <c r="M33">
        <f>2*L33</f>
        <v>80</v>
      </c>
      <c r="W33">
        <f t="shared" si="3"/>
        <v>87</v>
      </c>
    </row>
    <row r="34" spans="6:23" x14ac:dyDescent="0.35">
      <c r="F34" t="s">
        <v>70</v>
      </c>
      <c r="G34">
        <f>MIN(W4:W43)</f>
        <v>35</v>
      </c>
      <c r="K34" t="s">
        <v>9</v>
      </c>
      <c r="L34">
        <f>AVERAGE(W4:W43)</f>
        <v>68.400000000000006</v>
      </c>
      <c r="W34">
        <f t="shared" ref="W34:W43" si="4">D5</f>
        <v>59</v>
      </c>
    </row>
    <row r="35" spans="6:23" x14ac:dyDescent="0.35">
      <c r="F35" t="s">
        <v>73</v>
      </c>
      <c r="G35">
        <f>SUM(W4:W43)</f>
        <v>2736</v>
      </c>
      <c r="K35" t="s">
        <v>10</v>
      </c>
      <c r="L35">
        <f>STDEV(W4:W43)</f>
        <v>16.571213842236432</v>
      </c>
      <c r="W35">
        <f t="shared" si="4"/>
        <v>68</v>
      </c>
    </row>
    <row r="36" spans="6:23" x14ac:dyDescent="0.35">
      <c r="F36" t="s">
        <v>8</v>
      </c>
      <c r="G36">
        <f>COUNT(W4:W43)</f>
        <v>40</v>
      </c>
      <c r="W36">
        <f t="shared" si="4"/>
        <v>45</v>
      </c>
    </row>
    <row r="37" spans="6:23" x14ac:dyDescent="0.35">
      <c r="F37" t="s">
        <v>78</v>
      </c>
      <c r="G37">
        <f>GEOMEAN(W4:W43)</f>
        <v>66.306155808571404</v>
      </c>
      <c r="K37" t="s">
        <v>79</v>
      </c>
      <c r="L37" t="s">
        <v>80</v>
      </c>
      <c r="M37" t="s">
        <v>55</v>
      </c>
      <c r="N37" t="s">
        <v>81</v>
      </c>
      <c r="W37">
        <f t="shared" si="4"/>
        <v>52</v>
      </c>
    </row>
    <row r="38" spans="6:23" x14ac:dyDescent="0.35">
      <c r="F38" t="s">
        <v>82</v>
      </c>
      <c r="G38">
        <f>HARMEAN(W4:W43)</f>
        <v>64.079689256084123</v>
      </c>
      <c r="K38">
        <v>1</v>
      </c>
      <c r="L38">
        <v>35</v>
      </c>
      <c r="M38">
        <f>NORMSINV(K38/M$33)</f>
        <v>-2.2414027276049446</v>
      </c>
      <c r="N38">
        <f>STANDARDIZE(L38,L$34,L$35)</f>
        <v>-2.0155433583791336</v>
      </c>
      <c r="W38">
        <f t="shared" si="4"/>
        <v>76</v>
      </c>
    </row>
    <row r="39" spans="6:23" x14ac:dyDescent="0.35">
      <c r="F39" t="s">
        <v>83</v>
      </c>
      <c r="G39">
        <f>AVEDEV(W4:W43)</f>
        <v>13.789999999999997</v>
      </c>
      <c r="K39">
        <f>K38+2</f>
        <v>3</v>
      </c>
      <c r="L39">
        <v>38</v>
      </c>
      <c r="M39">
        <f t="shared" ref="M39:M77" si="5">NORMSINV(K39/M$33)</f>
        <v>-1.7804643416920256</v>
      </c>
      <c r="N39">
        <f t="shared" ref="N39:N77" si="6">STANDARDIZE(L39,L$34,L$35)</f>
        <v>-1.8345065297822056</v>
      </c>
      <c r="W39">
        <f t="shared" si="4"/>
        <v>78</v>
      </c>
    </row>
    <row r="40" spans="6:23" x14ac:dyDescent="0.35">
      <c r="F40" t="s">
        <v>84</v>
      </c>
      <c r="G40" t="e">
        <f ca="1">MAD(W4:W43)</f>
        <v>#NAME?</v>
      </c>
      <c r="K40">
        <f t="shared" ref="K40:K77" si="7">K39+2</f>
        <v>5</v>
      </c>
      <c r="L40">
        <v>45</v>
      </c>
      <c r="M40">
        <f t="shared" si="5"/>
        <v>-1.5341205443525459</v>
      </c>
      <c r="N40">
        <f t="shared" si="6"/>
        <v>-1.4120872630560399</v>
      </c>
      <c r="W40">
        <f t="shared" si="4"/>
        <v>50</v>
      </c>
    </row>
    <row r="41" spans="6:23" x14ac:dyDescent="0.35">
      <c r="F41" s="42" t="s">
        <v>85</v>
      </c>
      <c r="G41" s="42" t="e">
        <f ca="1">IQR(W4:W43)</f>
        <v>#NAME?</v>
      </c>
      <c r="K41">
        <f t="shared" si="7"/>
        <v>7</v>
      </c>
      <c r="L41">
        <v>45</v>
      </c>
      <c r="M41">
        <f t="shared" si="5"/>
        <v>-1.3563117453352478</v>
      </c>
      <c r="N41">
        <f t="shared" si="6"/>
        <v>-1.4120872630560399</v>
      </c>
      <c r="W41">
        <f t="shared" si="4"/>
        <v>75</v>
      </c>
    </row>
    <row r="42" spans="6:23" x14ac:dyDescent="0.35">
      <c r="K42">
        <f t="shared" si="7"/>
        <v>9</v>
      </c>
      <c r="L42">
        <v>45</v>
      </c>
      <c r="M42">
        <f t="shared" si="5"/>
        <v>-1.2133396224885178</v>
      </c>
      <c r="N42">
        <f t="shared" si="6"/>
        <v>-1.4120872630560399</v>
      </c>
      <c r="W42">
        <f t="shared" si="4"/>
        <v>64</v>
      </c>
    </row>
    <row r="43" spans="6:23" x14ac:dyDescent="0.35">
      <c r="K43">
        <f t="shared" si="7"/>
        <v>11</v>
      </c>
      <c r="L43">
        <v>49</v>
      </c>
      <c r="M43">
        <f t="shared" si="5"/>
        <v>-1.091620367434168</v>
      </c>
      <c r="N43">
        <f t="shared" si="6"/>
        <v>-1.1707048249268024</v>
      </c>
      <c r="W43">
        <f t="shared" si="4"/>
        <v>86</v>
      </c>
    </row>
    <row r="44" spans="6:23" x14ac:dyDescent="0.35">
      <c r="K44">
        <f t="shared" si="7"/>
        <v>13</v>
      </c>
      <c r="L44">
        <v>50</v>
      </c>
      <c r="M44">
        <f t="shared" si="5"/>
        <v>-0.98423496044632541</v>
      </c>
      <c r="N44">
        <f t="shared" si="6"/>
        <v>-1.110359215394493</v>
      </c>
    </row>
    <row r="45" spans="6:23" x14ac:dyDescent="0.35">
      <c r="K45">
        <f t="shared" si="7"/>
        <v>15</v>
      </c>
      <c r="L45">
        <v>52</v>
      </c>
      <c r="M45">
        <f t="shared" si="5"/>
        <v>-0.88714655901887607</v>
      </c>
      <c r="N45">
        <f t="shared" si="6"/>
        <v>-0.98966799632987423</v>
      </c>
    </row>
    <row r="46" spans="6:23" x14ac:dyDescent="0.35">
      <c r="K46">
        <f t="shared" si="7"/>
        <v>17</v>
      </c>
      <c r="L46">
        <v>54</v>
      </c>
      <c r="M46">
        <f t="shared" si="5"/>
        <v>-0.79777684612523825</v>
      </c>
      <c r="N46">
        <f t="shared" si="6"/>
        <v>-0.86897677726525546</v>
      </c>
    </row>
    <row r="47" spans="6:23" x14ac:dyDescent="0.35">
      <c r="K47">
        <f t="shared" si="7"/>
        <v>19</v>
      </c>
      <c r="L47">
        <v>58</v>
      </c>
      <c r="M47">
        <f t="shared" si="5"/>
        <v>-0.71436744028018739</v>
      </c>
      <c r="N47">
        <f t="shared" si="6"/>
        <v>-0.62759433913601792</v>
      </c>
      <c r="P47" t="s">
        <v>5</v>
      </c>
    </row>
    <row r="48" spans="6:23" x14ac:dyDescent="0.35">
      <c r="K48">
        <f t="shared" si="7"/>
        <v>21</v>
      </c>
      <c r="L48">
        <v>58</v>
      </c>
      <c r="M48">
        <f t="shared" si="5"/>
        <v>-0.63565701369758276</v>
      </c>
      <c r="N48">
        <f t="shared" si="6"/>
        <v>-0.62759433913601792</v>
      </c>
    </row>
    <row r="49" spans="11:23" ht="15" thickBot="1" x14ac:dyDescent="0.4">
      <c r="K49">
        <f t="shared" si="7"/>
        <v>23</v>
      </c>
      <c r="L49">
        <v>59</v>
      </c>
      <c r="M49">
        <f t="shared" si="5"/>
        <v>-0.5607030318750833</v>
      </c>
      <c r="N49">
        <f t="shared" si="6"/>
        <v>-0.56724872960370853</v>
      </c>
      <c r="P49" t="s">
        <v>6</v>
      </c>
      <c r="S49" t="s">
        <v>7</v>
      </c>
      <c r="T49">
        <v>0.05</v>
      </c>
    </row>
    <row r="50" spans="11:23" ht="15" thickTop="1" x14ac:dyDescent="0.35">
      <c r="K50">
        <f t="shared" si="7"/>
        <v>25</v>
      </c>
      <c r="L50">
        <v>59</v>
      </c>
      <c r="M50">
        <f t="shared" si="5"/>
        <v>-0.48877641111466941</v>
      </c>
      <c r="N50">
        <f t="shared" si="6"/>
        <v>-0.56724872960370853</v>
      </c>
      <c r="P50" s="4" t="s">
        <v>8</v>
      </c>
      <c r="Q50" s="4" t="s">
        <v>9</v>
      </c>
      <c r="R50" s="4" t="s">
        <v>10</v>
      </c>
      <c r="S50" s="4" t="s">
        <v>11</v>
      </c>
      <c r="T50" s="4" t="s">
        <v>12</v>
      </c>
      <c r="U50" s="4" t="s">
        <v>13</v>
      </c>
      <c r="V50" s="4" t="s">
        <v>14</v>
      </c>
      <c r="W50" s="4" t="s">
        <v>15</v>
      </c>
    </row>
    <row r="51" spans="11:23" x14ac:dyDescent="0.35">
      <c r="K51">
        <f t="shared" si="7"/>
        <v>27</v>
      </c>
      <c r="L51">
        <v>60</v>
      </c>
      <c r="M51">
        <f t="shared" si="5"/>
        <v>-0.41929575304139605</v>
      </c>
      <c r="N51">
        <f t="shared" si="6"/>
        <v>-0.50690312007139915</v>
      </c>
      <c r="P51">
        <f>COUNT(A5:D14)</f>
        <v>40</v>
      </c>
      <c r="Q51">
        <f>AVERAGE(A5:D14)</f>
        <v>68.400000000000006</v>
      </c>
      <c r="R51">
        <f>STDEV(A5:D14)</f>
        <v>16.571213842236432</v>
      </c>
      <c r="S51">
        <f>R51/SQRT(P51)</f>
        <v>2.6201389667588639</v>
      </c>
      <c r="T51">
        <f>(Q51-T53)/S51</f>
        <v>-3.6639277999347044</v>
      </c>
      <c r="U51">
        <f>P51-1</f>
        <v>39</v>
      </c>
      <c r="V51">
        <f>ABS(Q51-T53)/R51</f>
        <v>0.57931785151016968</v>
      </c>
      <c r="W51">
        <f>SQRT(T51^2/(T51^2+U51))</f>
        <v>0.50603471310739712</v>
      </c>
    </row>
    <row r="52" spans="11:23" x14ac:dyDescent="0.35">
      <c r="K52">
        <f t="shared" si="7"/>
        <v>29</v>
      </c>
      <c r="L52">
        <v>63</v>
      </c>
      <c r="M52">
        <f t="shared" si="5"/>
        <v>-0.35178434493515626</v>
      </c>
      <c r="N52">
        <f t="shared" si="6"/>
        <v>-0.32586629147447099</v>
      </c>
      <c r="P52" s="43"/>
      <c r="Q52" s="43"/>
      <c r="R52" s="43"/>
      <c r="S52" s="43"/>
      <c r="T52" s="43"/>
      <c r="U52" s="43"/>
      <c r="V52" s="43"/>
      <c r="W52" s="43"/>
    </row>
    <row r="53" spans="11:23" ht="15" thickBot="1" x14ac:dyDescent="0.4">
      <c r="K53">
        <f t="shared" si="7"/>
        <v>31</v>
      </c>
      <c r="L53">
        <v>63</v>
      </c>
      <c r="M53">
        <f t="shared" si="5"/>
        <v>-0.28584087488116566</v>
      </c>
      <c r="N53">
        <f t="shared" si="6"/>
        <v>-0.32586629147447099</v>
      </c>
      <c r="P53" t="s">
        <v>16</v>
      </c>
      <c r="S53" t="s">
        <v>17</v>
      </c>
      <c r="T53">
        <v>78</v>
      </c>
    </row>
    <row r="54" spans="11:23" ht="15" thickTop="1" x14ac:dyDescent="0.35">
      <c r="K54">
        <f t="shared" si="7"/>
        <v>33</v>
      </c>
      <c r="L54">
        <v>64</v>
      </c>
      <c r="M54">
        <f t="shared" si="5"/>
        <v>-0.22111871299757052</v>
      </c>
      <c r="N54">
        <f t="shared" si="6"/>
        <v>-0.26552068194216161</v>
      </c>
      <c r="P54" s="4" t="s">
        <v>18</v>
      </c>
      <c r="Q54" s="4" t="s">
        <v>19</v>
      </c>
      <c r="R54" s="4" t="s">
        <v>20</v>
      </c>
      <c r="S54" s="4" t="s">
        <v>21</v>
      </c>
      <c r="T54" s="4" t="s">
        <v>22</v>
      </c>
      <c r="U54" s="4" t="s">
        <v>23</v>
      </c>
    </row>
    <row r="55" spans="11:23" x14ac:dyDescent="0.35">
      <c r="K55">
        <f t="shared" si="7"/>
        <v>35</v>
      </c>
      <c r="L55">
        <v>64</v>
      </c>
      <c r="M55">
        <f t="shared" si="5"/>
        <v>-0.1573106846101707</v>
      </c>
      <c r="N55">
        <f t="shared" si="6"/>
        <v>-0.26552068194216161</v>
      </c>
      <c r="P55" t="s">
        <v>24</v>
      </c>
      <c r="Q55">
        <f>TDIST(ABS(T51),U51,1)</f>
        <v>3.6855131038946804E-4</v>
      </c>
      <c r="R55">
        <f>TINV(T49*2,U51)</f>
        <v>1.6848751217112248</v>
      </c>
      <c r="U55" s="6" t="str">
        <f>IF(Q55&lt;T49,"yes","no")</f>
        <v>yes</v>
      </c>
    </row>
    <row r="56" spans="11:23" x14ac:dyDescent="0.35">
      <c r="K56">
        <f t="shared" si="7"/>
        <v>37</v>
      </c>
      <c r="L56">
        <v>64</v>
      </c>
      <c r="M56">
        <f t="shared" si="5"/>
        <v>-9.4137414323536367E-2</v>
      </c>
      <c r="N56">
        <f t="shared" si="6"/>
        <v>-0.26552068194216161</v>
      </c>
      <c r="P56" s="42" t="s">
        <v>25</v>
      </c>
      <c r="Q56" s="42">
        <f>TDIST(ABS(T51),U51,2)</f>
        <v>7.3710262077893607E-4</v>
      </c>
      <c r="R56" s="42">
        <f>TINV(T49,U51)</f>
        <v>2.0226909200367595</v>
      </c>
      <c r="S56" s="42">
        <f>Q51-R56*S51</f>
        <v>63.100268702702351</v>
      </c>
      <c r="T56" s="42">
        <f>Q51+R56*S51</f>
        <v>73.69973129729766</v>
      </c>
      <c r="U56" s="44" t="str">
        <f>IF(Q56&lt;T49,"yes","no")</f>
        <v>yes</v>
      </c>
    </row>
    <row r="57" spans="11:23" x14ac:dyDescent="0.35">
      <c r="K57">
        <f t="shared" si="7"/>
        <v>39</v>
      </c>
      <c r="L57">
        <v>68</v>
      </c>
      <c r="M57">
        <f t="shared" si="5"/>
        <v>-3.1337982021426625E-2</v>
      </c>
      <c r="N57">
        <f t="shared" si="6"/>
        <v>-2.4138243812924096E-2</v>
      </c>
    </row>
    <row r="58" spans="11:23" x14ac:dyDescent="0.35">
      <c r="K58">
        <f t="shared" si="7"/>
        <v>41</v>
      </c>
      <c r="L58">
        <v>68</v>
      </c>
      <c r="M58">
        <f t="shared" si="5"/>
        <v>3.1337982021426479E-2</v>
      </c>
      <c r="N58">
        <f t="shared" si="6"/>
        <v>-2.4138243812924096E-2</v>
      </c>
    </row>
    <row r="59" spans="11:23" x14ac:dyDescent="0.35">
      <c r="K59">
        <f t="shared" si="7"/>
        <v>43</v>
      </c>
      <c r="L59">
        <v>68</v>
      </c>
      <c r="M59">
        <f t="shared" si="5"/>
        <v>9.4137414323536367E-2</v>
      </c>
      <c r="N59">
        <f t="shared" si="6"/>
        <v>-2.4138243812924096E-2</v>
      </c>
      <c r="P59" s="3" t="s">
        <v>86</v>
      </c>
    </row>
    <row r="60" spans="11:23" x14ac:dyDescent="0.35">
      <c r="K60">
        <f t="shared" si="7"/>
        <v>45</v>
      </c>
      <c r="L60">
        <v>72</v>
      </c>
      <c r="M60">
        <f t="shared" si="5"/>
        <v>0.1573106846101707</v>
      </c>
      <c r="N60">
        <f t="shared" si="6"/>
        <v>0.21724419431631342</v>
      </c>
    </row>
    <row r="61" spans="11:23" x14ac:dyDescent="0.35">
      <c r="K61">
        <f t="shared" si="7"/>
        <v>47</v>
      </c>
      <c r="L61">
        <v>75</v>
      </c>
      <c r="M61">
        <f t="shared" si="5"/>
        <v>0.22111871299757052</v>
      </c>
      <c r="N61">
        <f t="shared" si="6"/>
        <v>0.39828102291324158</v>
      </c>
      <c r="P61" t="s">
        <v>87</v>
      </c>
      <c r="Q61" s="9" t="e">
        <f ca="1">CONFIDENCE_T(T49,R51,P51)</f>
        <v>#NAME?</v>
      </c>
      <c r="S61" s="9" t="e">
        <f ca="1">T_CONF(A5:D14,T49)</f>
        <v>#NAME?</v>
      </c>
    </row>
    <row r="62" spans="11:23" x14ac:dyDescent="0.35">
      <c r="K62">
        <f t="shared" si="7"/>
        <v>49</v>
      </c>
      <c r="L62">
        <v>75</v>
      </c>
      <c r="M62">
        <f t="shared" si="5"/>
        <v>0.28584087488116572</v>
      </c>
      <c r="N62">
        <f t="shared" si="6"/>
        <v>0.39828102291324158</v>
      </c>
      <c r="P62" t="s">
        <v>21</v>
      </c>
      <c r="Q62" s="14" t="e">
        <f ca="1">Q51-Q61</f>
        <v>#NAME?</v>
      </c>
      <c r="S62" s="14" t="e">
        <f ca="1">T_LOWER(A5:D14,T49)</f>
        <v>#NAME?</v>
      </c>
    </row>
    <row r="63" spans="11:23" x14ac:dyDescent="0.35">
      <c r="K63">
        <f t="shared" si="7"/>
        <v>51</v>
      </c>
      <c r="L63">
        <v>76</v>
      </c>
      <c r="M63">
        <f t="shared" si="5"/>
        <v>0.35178434493515615</v>
      </c>
      <c r="N63">
        <f t="shared" si="6"/>
        <v>0.45862663244555096</v>
      </c>
      <c r="P63" t="s">
        <v>22</v>
      </c>
      <c r="Q63" s="17" t="e">
        <f ca="1">Q51+Q61</f>
        <v>#NAME?</v>
      </c>
      <c r="S63" s="17" t="e">
        <f ca="1">T_UPPER(A5:D14,T49)</f>
        <v>#NAME?</v>
      </c>
    </row>
    <row r="64" spans="11:23" x14ac:dyDescent="0.35">
      <c r="K64">
        <f t="shared" si="7"/>
        <v>53</v>
      </c>
      <c r="L64">
        <v>76</v>
      </c>
      <c r="M64">
        <f t="shared" si="5"/>
        <v>0.41929575304139605</v>
      </c>
      <c r="N64">
        <f t="shared" si="6"/>
        <v>0.45862663244555096</v>
      </c>
    </row>
    <row r="65" spans="11:14" x14ac:dyDescent="0.35">
      <c r="K65">
        <f t="shared" si="7"/>
        <v>55</v>
      </c>
      <c r="L65">
        <v>78</v>
      </c>
      <c r="M65">
        <f t="shared" si="5"/>
        <v>0.48877641111466941</v>
      </c>
      <c r="N65">
        <f t="shared" si="6"/>
        <v>0.57931785151016968</v>
      </c>
    </row>
    <row r="66" spans="11:14" x14ac:dyDescent="0.35">
      <c r="K66">
        <f t="shared" si="7"/>
        <v>57</v>
      </c>
      <c r="L66">
        <v>80</v>
      </c>
      <c r="M66">
        <f t="shared" si="5"/>
        <v>0.5607030318750833</v>
      </c>
      <c r="N66">
        <f t="shared" si="6"/>
        <v>0.70000907057478845</v>
      </c>
    </row>
    <row r="67" spans="11:14" x14ac:dyDescent="0.35">
      <c r="K67">
        <f t="shared" si="7"/>
        <v>59</v>
      </c>
      <c r="L67">
        <v>81</v>
      </c>
      <c r="M67">
        <f t="shared" si="5"/>
        <v>0.63565701369758265</v>
      </c>
      <c r="N67">
        <f t="shared" si="6"/>
        <v>0.76035468010709784</v>
      </c>
    </row>
    <row r="68" spans="11:14" x14ac:dyDescent="0.35">
      <c r="K68">
        <f t="shared" si="7"/>
        <v>61</v>
      </c>
      <c r="L68">
        <v>83</v>
      </c>
      <c r="M68">
        <f t="shared" si="5"/>
        <v>0.71436744028018784</v>
      </c>
      <c r="N68">
        <f t="shared" si="6"/>
        <v>0.88104589917171661</v>
      </c>
    </row>
    <row r="69" spans="11:14" x14ac:dyDescent="0.35">
      <c r="K69">
        <f t="shared" si="7"/>
        <v>63</v>
      </c>
      <c r="L69">
        <v>84</v>
      </c>
      <c r="M69">
        <f t="shared" si="5"/>
        <v>0.79777684612523825</v>
      </c>
      <c r="N69">
        <f t="shared" si="6"/>
        <v>0.94139150870402599</v>
      </c>
    </row>
    <row r="70" spans="11:14" x14ac:dyDescent="0.35">
      <c r="K70">
        <f t="shared" si="7"/>
        <v>65</v>
      </c>
      <c r="L70">
        <v>86</v>
      </c>
      <c r="M70">
        <f t="shared" si="5"/>
        <v>0.88714655901887607</v>
      </c>
      <c r="N70">
        <f t="shared" si="6"/>
        <v>1.0620827277686449</v>
      </c>
    </row>
    <row r="71" spans="11:14" x14ac:dyDescent="0.35">
      <c r="K71">
        <f t="shared" si="7"/>
        <v>67</v>
      </c>
      <c r="L71">
        <v>87</v>
      </c>
      <c r="M71">
        <f t="shared" si="5"/>
        <v>0.98423496044632541</v>
      </c>
      <c r="N71">
        <f t="shared" si="6"/>
        <v>1.1224283373009543</v>
      </c>
    </row>
    <row r="72" spans="11:14" x14ac:dyDescent="0.35">
      <c r="K72">
        <f t="shared" si="7"/>
        <v>69</v>
      </c>
      <c r="L72">
        <v>87</v>
      </c>
      <c r="M72">
        <f t="shared" si="5"/>
        <v>1.0916203674341685</v>
      </c>
      <c r="N72">
        <f t="shared" si="6"/>
        <v>1.1224283373009543</v>
      </c>
    </row>
    <row r="73" spans="11:14" x14ac:dyDescent="0.35">
      <c r="K73">
        <f t="shared" si="7"/>
        <v>71</v>
      </c>
      <c r="L73">
        <v>90</v>
      </c>
      <c r="M73">
        <f t="shared" si="5"/>
        <v>1.213339622488518</v>
      </c>
      <c r="N73">
        <f t="shared" si="6"/>
        <v>1.3034651658978822</v>
      </c>
    </row>
    <row r="74" spans="11:14" x14ac:dyDescent="0.35">
      <c r="K74">
        <f t="shared" si="7"/>
        <v>73</v>
      </c>
      <c r="L74">
        <v>90</v>
      </c>
      <c r="M74">
        <f t="shared" si="5"/>
        <v>1.3563117453352478</v>
      </c>
      <c r="N74">
        <f t="shared" si="6"/>
        <v>1.3034651658978822</v>
      </c>
    </row>
    <row r="75" spans="11:14" x14ac:dyDescent="0.35">
      <c r="K75">
        <f t="shared" si="7"/>
        <v>75</v>
      </c>
      <c r="L75">
        <v>92</v>
      </c>
      <c r="M75">
        <f t="shared" si="5"/>
        <v>1.5341205443525465</v>
      </c>
      <c r="N75">
        <f t="shared" si="6"/>
        <v>1.424156384962501</v>
      </c>
    </row>
    <row r="76" spans="11:14" x14ac:dyDescent="0.35">
      <c r="K76">
        <f t="shared" si="7"/>
        <v>77</v>
      </c>
      <c r="L76">
        <v>95</v>
      </c>
      <c r="M76">
        <f t="shared" si="5"/>
        <v>1.7804643416920258</v>
      </c>
      <c r="N76">
        <f t="shared" si="6"/>
        <v>1.6051932135594291</v>
      </c>
    </row>
    <row r="77" spans="11:14" x14ac:dyDescent="0.35">
      <c r="K77">
        <f t="shared" si="7"/>
        <v>79</v>
      </c>
      <c r="L77">
        <v>100</v>
      </c>
      <c r="M77">
        <f t="shared" si="5"/>
        <v>2.2414027276049464</v>
      </c>
      <c r="N77">
        <f t="shared" si="6"/>
        <v>1.906921261220976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35A2-16F4-4C6A-A8CD-E768833F7CDC}">
  <sheetPr codeName="Sheet26"/>
  <dimension ref="A1:C11"/>
  <sheetViews>
    <sheetView workbookViewId="0">
      <selection activeCell="H7" sqref="H7"/>
    </sheetView>
  </sheetViews>
  <sheetFormatPr defaultRowHeight="14.5" x14ac:dyDescent="0.35"/>
  <sheetData>
    <row r="1" spans="1:3" x14ac:dyDescent="0.35">
      <c r="A1" s="3" t="s">
        <v>88</v>
      </c>
    </row>
    <row r="3" spans="1:3" x14ac:dyDescent="0.35">
      <c r="A3" t="s">
        <v>32</v>
      </c>
      <c r="B3">
        <f>'Examples 2, 3'!G5</f>
        <v>68.400000000000006</v>
      </c>
      <c r="C3">
        <f>B3</f>
        <v>68.400000000000006</v>
      </c>
    </row>
    <row r="4" spans="1:3" x14ac:dyDescent="0.35">
      <c r="A4" t="s">
        <v>89</v>
      </c>
      <c r="B4">
        <f>'Examples 2, 3'!G9</f>
        <v>16.5712138422364</v>
      </c>
      <c r="C4">
        <f>B4</f>
        <v>16.5712138422364</v>
      </c>
    </row>
    <row r="5" spans="1:3" x14ac:dyDescent="0.35">
      <c r="A5" t="s">
        <v>90</v>
      </c>
      <c r="B5">
        <f>'Examples 2, 3'!G17</f>
        <v>40</v>
      </c>
      <c r="C5">
        <f>B5</f>
        <v>40</v>
      </c>
    </row>
    <row r="6" spans="1:3" x14ac:dyDescent="0.35">
      <c r="A6" t="s">
        <v>91</v>
      </c>
      <c r="B6">
        <v>1</v>
      </c>
      <c r="C6">
        <v>40</v>
      </c>
    </row>
    <row r="7" spans="1:3" x14ac:dyDescent="0.35">
      <c r="A7" t="s">
        <v>52</v>
      </c>
      <c r="B7">
        <f>'Examples 2, 3'!R56</f>
        <v>2.0226909200367595</v>
      </c>
      <c r="C7">
        <f>B7</f>
        <v>2.0226909200367595</v>
      </c>
    </row>
    <row r="8" spans="1:3" x14ac:dyDescent="0.35">
      <c r="A8" t="s">
        <v>92</v>
      </c>
      <c r="B8">
        <f>SQRT(B4^2/B5+B4^2/B6)</f>
        <v>16.777075323495911</v>
      </c>
      <c r="C8">
        <f>SQRT(C4^2/C5+C4^2/C6)</f>
        <v>3.7054360620926063</v>
      </c>
    </row>
    <row r="9" spans="1:3" x14ac:dyDescent="0.35">
      <c r="A9" t="s">
        <v>87</v>
      </c>
      <c r="B9">
        <f>B7*B8</f>
        <v>33.934837921607958</v>
      </c>
      <c r="C9">
        <f>C7*C8</f>
        <v>7.4949518775714816</v>
      </c>
    </row>
    <row r="10" spans="1:3" x14ac:dyDescent="0.35">
      <c r="A10" t="s">
        <v>21</v>
      </c>
      <c r="B10">
        <f>B3-B9</f>
        <v>34.465162078392048</v>
      </c>
      <c r="C10">
        <f>C3-C9</f>
        <v>60.905048122428525</v>
      </c>
    </row>
    <row r="11" spans="1:3" x14ac:dyDescent="0.35">
      <c r="A11" t="s">
        <v>22</v>
      </c>
      <c r="B11">
        <f>B3+B9</f>
        <v>102.33483792160797</v>
      </c>
      <c r="C11">
        <f>C3+C9</f>
        <v>75.894951877571486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T1_TEST</vt:lpstr>
      <vt:lpstr>Example 1, 4</vt:lpstr>
      <vt:lpstr>Examples 2, 3</vt:lpstr>
      <vt:lpstr>Example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2022-06-04T18:25:15Z</dcterms:created>
  <dcterms:modified xsi:type="dcterms:W3CDTF">2022-06-07T12:18:01Z</dcterms:modified>
</cp:coreProperties>
</file>