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CF7369A-991C-403C-ADE4-70F936FA3002}" xr6:coauthVersionLast="48" xr6:coauthVersionMax="48" xr10:uidLastSave="{00000000-0000-0000-0000-000000000000}"/>
  <bookViews>
    <workbookView xWindow="-110" yWindow="-110" windowWidth="19420" windowHeight="10300" xr2:uid="{A88EE377-ACD0-4969-8AFE-6A80D4BA402A}"/>
  </bookViews>
  <sheets>
    <sheet name="Title" sheetId="5" r:id="rId1"/>
    <sheet name="Paired Test" sheetId="2" r:id="rId2"/>
    <sheet name="Missing" sheetId="3" r:id="rId3"/>
    <sheet name="One Sample" sheetId="4" r:id="rId4"/>
  </sheets>
  <externalReferences>
    <externalReference r:id="rId5"/>
    <externalReference r:id="rId6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  <c r="Q59" i="2" l="1"/>
  <c r="P59" i="2"/>
  <c r="O59" i="2"/>
  <c r="N59" i="2"/>
  <c r="M59" i="2"/>
  <c r="Q58" i="2"/>
  <c r="N58" i="2"/>
  <c r="M58" i="2"/>
  <c r="T54" i="2"/>
  <c r="S54" i="2"/>
  <c r="R54" i="2"/>
  <c r="Q54" i="2"/>
  <c r="P54" i="2"/>
  <c r="O54" i="2" a="1"/>
  <c r="O54" i="2" s="1"/>
  <c r="N54" i="2"/>
  <c r="M54" i="2"/>
  <c r="O53" i="2"/>
  <c r="N53" i="2"/>
  <c r="M53" i="2"/>
  <c r="O52" i="2"/>
  <c r="N52" i="2"/>
  <c r="M52" i="2"/>
  <c r="L53" i="2"/>
  <c r="L52" i="2"/>
  <c r="K48" i="3"/>
  <c r="J48" i="3"/>
  <c r="I48" i="3"/>
  <c r="H48" i="3"/>
  <c r="G48" i="3"/>
  <c r="K47" i="3"/>
  <c r="H47" i="3"/>
  <c r="G47" i="3"/>
  <c r="N43" i="3"/>
  <c r="M43" i="3"/>
  <c r="L43" i="3"/>
  <c r="K43" i="3"/>
  <c r="J43" i="3"/>
  <c r="I43" i="3"/>
  <c r="H43" i="3"/>
  <c r="G43" i="3"/>
  <c r="I42" i="3"/>
  <c r="H42" i="3"/>
  <c r="G42" i="3"/>
  <c r="I41" i="3"/>
  <c r="H41" i="3"/>
  <c r="G41" i="3"/>
  <c r="F42" i="3"/>
  <c r="F41" i="3"/>
  <c r="C6" i="4" l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C42" i="3"/>
  <c r="B42" i="3"/>
  <c r="C41" i="3"/>
  <c r="B41" i="3"/>
  <c r="D39" i="3"/>
  <c r="D38" i="3"/>
  <c r="D37" i="3"/>
  <c r="D36" i="3"/>
  <c r="D35" i="3"/>
  <c r="D34" i="3"/>
  <c r="D33" i="3"/>
  <c r="D32" i="3"/>
  <c r="D31" i="3"/>
  <c r="D30" i="3"/>
  <c r="D29" i="3"/>
  <c r="F28" i="3"/>
  <c r="D28" i="3"/>
  <c r="G27" i="3"/>
  <c r="H27" i="3" s="1"/>
  <c r="F27" i="3"/>
  <c r="D27" i="3"/>
  <c r="D26" i="3"/>
  <c r="D42" i="3" s="1"/>
  <c r="A26" i="3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D25" i="3"/>
  <c r="D41" i="3" s="1"/>
  <c r="C21" i="3"/>
  <c r="B21" i="3"/>
  <c r="C20" i="3"/>
  <c r="B20" i="3"/>
  <c r="D18" i="3"/>
  <c r="D17" i="3"/>
  <c r="D16" i="3"/>
  <c r="D15" i="3"/>
  <c r="D14" i="3"/>
  <c r="D13" i="3"/>
  <c r="D12" i="3"/>
  <c r="D11" i="3"/>
  <c r="D10" i="3"/>
  <c r="D9" i="3"/>
  <c r="L8" i="3"/>
  <c r="H12" i="3" s="1"/>
  <c r="I8" i="3" a="1"/>
  <c r="I8" i="3" s="1"/>
  <c r="J8" i="3" s="1"/>
  <c r="G8" i="3"/>
  <c r="D8" i="3"/>
  <c r="I7" i="3"/>
  <c r="H7" i="3"/>
  <c r="G7" i="3"/>
  <c r="F7" i="3"/>
  <c r="D7" i="3"/>
  <c r="I6" i="3"/>
  <c r="H6" i="3"/>
  <c r="G6" i="3"/>
  <c r="F6" i="3"/>
  <c r="D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D5" i="3"/>
  <c r="A5" i="3"/>
  <c r="D4" i="3"/>
  <c r="D21" i="3" s="1"/>
  <c r="H54" i="2"/>
  <c r="G54" i="2"/>
  <c r="C54" i="2"/>
  <c r="B54" i="2"/>
  <c r="H53" i="2"/>
  <c r="G53" i="2"/>
  <c r="C53" i="2"/>
  <c r="B53" i="2"/>
  <c r="D53" i="2" s="1"/>
  <c r="G51" i="2" s="1"/>
  <c r="O40" i="2" a="1"/>
  <c r="O40" i="2" s="1"/>
  <c r="M40" i="2"/>
  <c r="R40" i="2" s="1"/>
  <c r="O39" i="2"/>
  <c r="N39" i="2"/>
  <c r="M39" i="2"/>
  <c r="L39" i="2"/>
  <c r="O38" i="2"/>
  <c r="N38" i="2"/>
  <c r="M38" i="2"/>
  <c r="L38" i="2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D29" i="2"/>
  <c r="D18" i="2"/>
  <c r="D17" i="2"/>
  <c r="D16" i="2"/>
  <c r="D15" i="2"/>
  <c r="D14" i="2"/>
  <c r="D13" i="2"/>
  <c r="D12" i="2"/>
  <c r="D11" i="2"/>
  <c r="D10" i="2"/>
  <c r="K9" i="2"/>
  <c r="D9" i="2"/>
  <c r="D8" i="2"/>
  <c r="D7" i="2"/>
  <c r="D6" i="2"/>
  <c r="K5" i="2"/>
  <c r="D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D4" i="2"/>
  <c r="D23" i="2" s="1"/>
  <c r="D26" i="2" s="1"/>
  <c r="D31" i="2" s="1"/>
  <c r="G52" i="2" l="1"/>
  <c r="K8" i="3"/>
  <c r="N44" i="2"/>
  <c r="N45" i="2"/>
  <c r="I27" i="3"/>
  <c r="S40" i="2"/>
  <c r="P40" i="2"/>
  <c r="O45" i="2" s="1"/>
  <c r="N40" i="2"/>
  <c r="K10" i="2"/>
  <c r="M8" i="3"/>
  <c r="H13" i="3"/>
  <c r="J13" i="3" s="1"/>
  <c r="D20" i="3"/>
  <c r="G28" i="3"/>
  <c r="H8" i="3"/>
  <c r="D20" i="2"/>
  <c r="D21" i="2"/>
  <c r="K8" i="2"/>
  <c r="K11" i="2"/>
  <c r="K6" i="2"/>
  <c r="K7" i="2" s="1"/>
  <c r="H52" i="2" l="1"/>
  <c r="D24" i="2"/>
  <c r="P45" i="2"/>
  <c r="G29" i="3"/>
  <c r="L29" i="3" s="1"/>
  <c r="H28" i="3"/>
  <c r="I13" i="3"/>
  <c r="Q40" i="2"/>
  <c r="G13" i="3"/>
  <c r="K13" i="3" s="1"/>
  <c r="G12" i="3"/>
  <c r="K12" i="3" s="1"/>
  <c r="N8" i="3"/>
  <c r="D25" i="2"/>
  <c r="D28" i="2" s="1"/>
  <c r="H51" i="2"/>
  <c r="M44" i="2" l="1"/>
  <c r="Q44" i="2" s="1"/>
  <c r="M45" i="2"/>
  <c r="Q45" i="2" s="1"/>
  <c r="T40" i="2"/>
  <c r="I28" i="3"/>
  <c r="H29" i="3"/>
  <c r="I29" i="3" s="1"/>
  <c r="J29" i="3" s="1"/>
  <c r="J34" i="3" s="1"/>
  <c r="H33" i="3"/>
  <c r="H34" i="3"/>
  <c r="I34" i="3" l="1"/>
  <c r="K29" i="3"/>
  <c r="M29" i="3"/>
  <c r="N29" i="3" l="1"/>
  <c r="G33" i="3"/>
  <c r="K33" i="3" s="1"/>
  <c r="G34" i="3"/>
  <c r="K34" i="3" s="1"/>
</calcChain>
</file>

<file path=xl/sharedStrings.xml><?xml version="1.0" encoding="utf-8"?>
<sst xmlns="http://schemas.openxmlformats.org/spreadsheetml/2006/main" count="218" uniqueCount="75">
  <si>
    <t>Two sample t test with paired samples</t>
  </si>
  <si>
    <t>Person</t>
  </si>
  <si>
    <t>Before</t>
  </si>
  <si>
    <t>After</t>
  </si>
  <si>
    <t>Difference</t>
  </si>
  <si>
    <t>t-Test: Paired Two Sample for Means</t>
  </si>
  <si>
    <t>Box Plot</t>
  </si>
  <si>
    <t>Mean</t>
  </si>
  <si>
    <t>Min</t>
  </si>
  <si>
    <t>Variance</t>
  </si>
  <si>
    <t>Q1-Min</t>
  </si>
  <si>
    <t>Observations</t>
  </si>
  <si>
    <t>Med-Q1</t>
  </si>
  <si>
    <t>Pearson Correlation</t>
  </si>
  <si>
    <t>Q3-Med</t>
  </si>
  <si>
    <t>Hypothesized Mean Difference</t>
  </si>
  <si>
    <t>Max-Q3</t>
  </si>
  <si>
    <t>df</t>
  </si>
  <si>
    <t>t Stat</t>
  </si>
  <si>
    <t>P(T&lt;=t) one-tail</t>
  </si>
  <si>
    <t>t Critical one-tail</t>
  </si>
  <si>
    <t>P(T&lt;=t) two-tail</t>
  </si>
  <si>
    <t>t Critical two-tail</t>
  </si>
  <si>
    <t>mean</t>
  </si>
  <si>
    <t>std dev</t>
  </si>
  <si>
    <t>sample size n</t>
  </si>
  <si>
    <t>=COUNT(D4:D18)</t>
  </si>
  <si>
    <t xml:space="preserve">s.e. = std dev / sqrt(n) </t>
  </si>
  <si>
    <t>=D21/SQRT(D23)</t>
  </si>
  <si>
    <t>t = mean / s.e.</t>
  </si>
  <si>
    <t>=(D20-0)/D24</t>
  </si>
  <si>
    <t>df = n-1</t>
  </si>
  <si>
    <t>=D23-1</t>
  </si>
  <si>
    <t>p-value</t>
  </si>
  <si>
    <t>t-crit</t>
  </si>
  <si>
    <t>Compared to independent samples</t>
  </si>
  <si>
    <t>t-Test: Two-Sample Assuming Equal Variances</t>
  </si>
  <si>
    <t>T Test: Two Paired Samples</t>
  </si>
  <si>
    <t>SUMMARY</t>
  </si>
  <si>
    <t>Alpha</t>
  </si>
  <si>
    <t>Hyp Mean Diff</t>
  </si>
  <si>
    <t>Groups</t>
  </si>
  <si>
    <t>Count</t>
  </si>
  <si>
    <t>Std Dev</t>
  </si>
  <si>
    <t>Std Err</t>
  </si>
  <si>
    <t>t</t>
  </si>
  <si>
    <t>Cohen d</t>
  </si>
  <si>
    <t>Effect r</t>
  </si>
  <si>
    <t>Pooled Variance</t>
  </si>
  <si>
    <t>T TEST</t>
  </si>
  <si>
    <t xml:space="preserve"> </t>
  </si>
  <si>
    <t>lower</t>
  </si>
  <si>
    <t>upper</t>
  </si>
  <si>
    <t>sig</t>
  </si>
  <si>
    <t>One Tail</t>
  </si>
  <si>
    <t>Two Tail</t>
  </si>
  <si>
    <t>Indep</t>
  </si>
  <si>
    <t>Paired</t>
  </si>
  <si>
    <t>Mean Difference</t>
  </si>
  <si>
    <t>Standard Deviation</t>
  </si>
  <si>
    <t>t-stat</t>
  </si>
  <si>
    <t>p-value (two-tail)</t>
  </si>
  <si>
    <t>Paired t test with missing data</t>
  </si>
  <si>
    <t>Diff</t>
  </si>
  <si>
    <t>One sample t test</t>
  </si>
  <si>
    <t>Subject</t>
  </si>
  <si>
    <t>Weight Loss</t>
  </si>
  <si>
    <t>Null Hyp</t>
  </si>
  <si>
    <t>=T.DIST(D25,D26,2)</t>
  </si>
  <si>
    <t>=T.TEST(B4:B18,C4:C18,2,1)</t>
  </si>
  <si>
    <t>=T.INV(0.05,D26)</t>
  </si>
  <si>
    <t>Paired Sample t-Test</t>
  </si>
  <si>
    <t>Updated</t>
  </si>
  <si>
    <t>Copyright © 2013 - 2022 Charles Zaiontz</t>
  </si>
  <si>
    <t>Real Statistics Using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</si>
</sst>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0" xfId="0" quotePrefix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'Paired Test'!$J$6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'Paired Test'!$K$5</c:f>
              <c:strCache>
                <c:ptCount val="1"/>
                <c:pt idx="0">
                  <c:v>Difference</c:v>
                </c:pt>
              </c:strCache>
            </c:strRef>
          </c:cat>
          <c:val>
            <c:numRef>
              <c:f>'Paired Test'!$K$6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5-4418-8A80-AB8A1E7CA0AC}"/>
            </c:ext>
          </c:extLst>
        </c:ser>
        <c:ser>
          <c:idx val="1"/>
          <c:order val="1"/>
          <c:tx>
            <c:strRef>
              <c:f>'Paired Test'!$J$7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'Paired Test'!$K$5</c:f>
              <c:strCache>
                <c:ptCount val="1"/>
                <c:pt idx="0">
                  <c:v>Difference</c:v>
                </c:pt>
              </c:strCache>
            </c:strRef>
          </c:cat>
          <c:val>
            <c:numRef>
              <c:f>'Paired Test'!$K$7</c:f>
              <c:numCache>
                <c:formatCode>General</c:formatCode>
                <c:ptCount val="1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5-4418-8A80-AB8A1E7CA0AC}"/>
            </c:ext>
          </c:extLst>
        </c:ser>
        <c:ser>
          <c:idx val="2"/>
          <c:order val="2"/>
          <c:tx>
            <c:strRef>
              <c:f>'Paired Test'!$J$8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'Paired Test'!$K$5</c:f>
              <c:strCache>
                <c:ptCount val="1"/>
                <c:pt idx="0">
                  <c:v>Difference</c:v>
                </c:pt>
              </c:strCache>
            </c:strRef>
          </c:cat>
          <c:val>
            <c:numRef>
              <c:f>'Paired Test'!$K$8</c:f>
              <c:numCache>
                <c:formatCode>General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5-4418-8A80-AB8A1E7CA0AC}"/>
            </c:ext>
          </c:extLst>
        </c:ser>
        <c:ser>
          <c:idx val="3"/>
          <c:order val="3"/>
          <c:tx>
            <c:strRef>
              <c:f>'Paired Test'!$J$9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'Paired Test'!$K$10</c:f>
                <c:numCache>
                  <c:formatCode>General</c:formatCode>
                  <c:ptCount val="1"/>
                  <c:pt idx="0">
                    <c:v>8.5</c:v>
                  </c:pt>
                </c:numCache>
              </c:numRef>
            </c:plus>
          </c:errBars>
          <c:cat>
            <c:strRef>
              <c:f>'Paired Test'!$K$5</c:f>
              <c:strCache>
                <c:ptCount val="1"/>
                <c:pt idx="0">
                  <c:v>Difference</c:v>
                </c:pt>
              </c:strCache>
            </c:strRef>
          </c:cat>
          <c:val>
            <c:numRef>
              <c:f>'Paired Test'!$K$9</c:f>
              <c:numCache>
                <c:formatCode>General</c:formatCode>
                <c:ptCount val="1"/>
                <c:pt idx="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45-4418-8A80-AB8A1E7C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15424"/>
        <c:axId val="133016960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'Paired Test'!$K$11</c:f>
              <c:numCache>
                <c:formatCode>General</c:formatCode>
                <c:ptCount val="1"/>
                <c:pt idx="0">
                  <c:v>10.933333333333334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45-4418-8A80-AB8A1E7C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15424"/>
        <c:axId val="133016960"/>
      </c:scatterChart>
      <c:catAx>
        <c:axId val="1330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016960"/>
        <c:crosses val="autoZero"/>
        <c:auto val="1"/>
        <c:lblAlgn val="ctr"/>
        <c:lblOffset val="100"/>
        <c:noMultiLvlLbl val="0"/>
      </c:catAx>
      <c:valAx>
        <c:axId val="13301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1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</xdr:row>
      <xdr:rowOff>61912</xdr:rowOff>
    </xdr:from>
    <xdr:to>
      <xdr:col>18</xdr:col>
      <xdr:colOff>485775</xdr:colOff>
      <xdr:row>15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D1A4A4-7BE6-471A-BF0E-9D3FDB743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3">
          <cell r="S3" t="str">
            <v>Weight Loss</v>
          </cell>
        </row>
      </sheetData>
      <sheetData sheetId="98">
        <row r="4">
          <cell r="K4">
            <v>40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>
        <row r="5">
          <cell r="K5" t="str">
            <v>Difference</v>
          </cell>
        </row>
        <row r="6">
          <cell r="J6" t="str">
            <v>Min</v>
          </cell>
          <cell r="K6">
            <v>1</v>
          </cell>
        </row>
        <row r="7">
          <cell r="J7" t="str">
            <v>Q1-Min</v>
          </cell>
          <cell r="K7">
            <v>5.5</v>
          </cell>
        </row>
        <row r="8">
          <cell r="J8" t="str">
            <v>Med-Q1</v>
          </cell>
          <cell r="K8">
            <v>4.5</v>
          </cell>
        </row>
        <row r="9">
          <cell r="J9" t="str">
            <v>Q3-Med</v>
          </cell>
          <cell r="K9">
            <v>3.5</v>
          </cell>
        </row>
        <row r="10">
          <cell r="K10">
            <v>8.5</v>
          </cell>
        </row>
        <row r="11">
          <cell r="K11">
            <v>10.933333333333334</v>
          </cell>
        </row>
      </sheetData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E7BC-51AA-40D2-BBC3-673E27FC27C1}">
  <sheetPr codeName="Sheet2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74</v>
      </c>
    </row>
    <row r="2" spans="1:2" x14ac:dyDescent="0.35">
      <c r="A2" t="s">
        <v>71</v>
      </c>
    </row>
    <row r="4" spans="1:2" x14ac:dyDescent="0.35">
      <c r="A4" t="s">
        <v>72</v>
      </c>
      <c r="B4" s="26">
        <v>44717</v>
      </c>
    </row>
    <row r="6" spans="1:2" x14ac:dyDescent="0.35">
      <c r="A6" s="27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21F8-631C-410D-AC87-BE1BBB60A1C8}">
  <sheetPr codeName="Sheet29"/>
  <dimension ref="A1:T60"/>
  <sheetViews>
    <sheetView workbookViewId="0"/>
  </sheetViews>
  <sheetFormatPr defaultRowHeight="14.5" x14ac:dyDescent="0.35"/>
  <cols>
    <col min="4" max="4" width="10.453125" customWidth="1"/>
    <col min="6" max="6" width="21.81640625" customWidth="1"/>
    <col min="8" max="8" width="9.453125" customWidth="1"/>
    <col min="11" max="11" width="6.7265625" customWidth="1"/>
    <col min="12" max="12" width="9.81640625" customWidth="1"/>
    <col min="13" max="20" width="9.1796875" customWidth="1"/>
    <col min="21" max="24" width="6.7265625" customWidth="1"/>
    <col min="25" max="25" width="7.26953125" customWidth="1"/>
  </cols>
  <sheetData>
    <row r="1" spans="1:11" x14ac:dyDescent="0.35">
      <c r="A1" s="1" t="s">
        <v>0</v>
      </c>
    </row>
    <row r="3" spans="1:11" x14ac:dyDescent="0.35">
      <c r="A3" s="2" t="s">
        <v>1</v>
      </c>
      <c r="B3" s="2" t="s">
        <v>2</v>
      </c>
      <c r="C3" s="2" t="s">
        <v>3</v>
      </c>
      <c r="D3" s="2" t="s">
        <v>4</v>
      </c>
      <c r="F3" t="s">
        <v>5</v>
      </c>
      <c r="J3" t="s">
        <v>6</v>
      </c>
    </row>
    <row r="4" spans="1:11" ht="15" thickBot="1" x14ac:dyDescent="0.4">
      <c r="A4" s="3">
        <v>1</v>
      </c>
      <c r="B4" s="3">
        <v>210</v>
      </c>
      <c r="C4" s="3">
        <v>197</v>
      </c>
      <c r="D4" s="3">
        <f>B4-C4</f>
        <v>13</v>
      </c>
    </row>
    <row r="5" spans="1:11" x14ac:dyDescent="0.35">
      <c r="A5" s="3">
        <f>A4+1</f>
        <v>2</v>
      </c>
      <c r="B5" s="3">
        <v>205</v>
      </c>
      <c r="C5" s="3">
        <v>195</v>
      </c>
      <c r="D5" s="3">
        <f t="shared" ref="D5:D18" si="0">B5-C5</f>
        <v>10</v>
      </c>
      <c r="F5" s="4"/>
      <c r="G5" s="4" t="s">
        <v>2</v>
      </c>
      <c r="H5" s="4" t="s">
        <v>3</v>
      </c>
      <c r="K5" s="5" t="str">
        <f>D3</f>
        <v>Difference</v>
      </c>
    </row>
    <row r="6" spans="1:11" x14ac:dyDescent="0.35">
      <c r="A6" s="3">
        <f t="shared" ref="A6:A18" si="1">A5+1</f>
        <v>3</v>
      </c>
      <c r="B6" s="3">
        <v>193</v>
      </c>
      <c r="C6" s="3">
        <v>191</v>
      </c>
      <c r="D6" s="3">
        <f t="shared" si="0"/>
        <v>2</v>
      </c>
      <c r="F6" t="s">
        <v>7</v>
      </c>
      <c r="G6">
        <v>207.93333333333334</v>
      </c>
      <c r="H6">
        <v>197</v>
      </c>
      <c r="J6" t="s">
        <v>8</v>
      </c>
      <c r="K6" s="6">
        <f>MIN(D4:D18)</f>
        <v>1</v>
      </c>
    </row>
    <row r="7" spans="1:11" x14ac:dyDescent="0.35">
      <c r="A7" s="3">
        <f t="shared" si="1"/>
        <v>4</v>
      </c>
      <c r="B7" s="3">
        <v>182</v>
      </c>
      <c r="C7" s="3">
        <v>174</v>
      </c>
      <c r="D7" s="3">
        <f t="shared" si="0"/>
        <v>8</v>
      </c>
      <c r="F7" t="s">
        <v>9</v>
      </c>
      <c r="G7">
        <v>815.78095238095352</v>
      </c>
      <c r="H7">
        <v>595</v>
      </c>
      <c r="J7" t="s">
        <v>10</v>
      </c>
      <c r="K7" s="7">
        <f>QUARTILE(D4:D18,1)-K6</f>
        <v>5.5</v>
      </c>
    </row>
    <row r="8" spans="1:11" x14ac:dyDescent="0.35">
      <c r="A8" s="3">
        <f t="shared" si="1"/>
        <v>5</v>
      </c>
      <c r="B8" s="3">
        <v>259</v>
      </c>
      <c r="C8" s="3">
        <v>236</v>
      </c>
      <c r="D8" s="3">
        <f t="shared" si="0"/>
        <v>23</v>
      </c>
      <c r="F8" t="s">
        <v>11</v>
      </c>
      <c r="G8">
        <v>15</v>
      </c>
      <c r="H8">
        <v>15</v>
      </c>
      <c r="J8" t="s">
        <v>12</v>
      </c>
      <c r="K8" s="7">
        <f>MEDIAN(D4:D18)-QUARTILE(D4:D18,1)</f>
        <v>4.5</v>
      </c>
    </row>
    <row r="9" spans="1:11" x14ac:dyDescent="0.35">
      <c r="A9" s="3">
        <f t="shared" si="1"/>
        <v>6</v>
      </c>
      <c r="B9" s="3">
        <v>239</v>
      </c>
      <c r="C9" s="3">
        <v>226</v>
      </c>
      <c r="D9" s="3">
        <f t="shared" si="0"/>
        <v>13</v>
      </c>
      <c r="F9" t="s">
        <v>13</v>
      </c>
      <c r="G9">
        <v>0.98372040550231976</v>
      </c>
      <c r="J9" t="s">
        <v>14</v>
      </c>
      <c r="K9" s="7">
        <f>QUARTILE(D4:D18,3)-MEDIAN(D4:D18)</f>
        <v>3.5</v>
      </c>
    </row>
    <row r="10" spans="1:11" x14ac:dyDescent="0.35">
      <c r="A10" s="3">
        <f t="shared" si="1"/>
        <v>7</v>
      </c>
      <c r="B10" s="3">
        <v>164</v>
      </c>
      <c r="C10" s="3">
        <v>157</v>
      </c>
      <c r="D10" s="3">
        <f t="shared" si="0"/>
        <v>7</v>
      </c>
      <c r="F10" t="s">
        <v>15</v>
      </c>
      <c r="G10">
        <v>0</v>
      </c>
      <c r="J10" t="s">
        <v>16</v>
      </c>
      <c r="K10" s="7">
        <f>MAX(D4:D18)-QUARTILE(D4:D18,3)</f>
        <v>8.5</v>
      </c>
    </row>
    <row r="11" spans="1:11" x14ac:dyDescent="0.35">
      <c r="A11" s="3">
        <f t="shared" si="1"/>
        <v>8</v>
      </c>
      <c r="B11" s="3">
        <v>197</v>
      </c>
      <c r="C11" s="3">
        <v>196</v>
      </c>
      <c r="D11" s="3">
        <f t="shared" si="0"/>
        <v>1</v>
      </c>
      <c r="F11" t="s">
        <v>17</v>
      </c>
      <c r="G11">
        <v>14</v>
      </c>
      <c r="J11" t="s">
        <v>7</v>
      </c>
      <c r="K11" s="8">
        <f>AVERAGE(D4:D18)</f>
        <v>10.933333333333334</v>
      </c>
    </row>
    <row r="12" spans="1:11" x14ac:dyDescent="0.35">
      <c r="A12" s="3">
        <f t="shared" si="1"/>
        <v>9</v>
      </c>
      <c r="B12" s="3">
        <v>222</v>
      </c>
      <c r="C12" s="3">
        <v>201</v>
      </c>
      <c r="D12" s="3">
        <f t="shared" si="0"/>
        <v>21</v>
      </c>
      <c r="F12" t="s">
        <v>18</v>
      </c>
      <c r="G12">
        <v>6.6896995348736343</v>
      </c>
    </row>
    <row r="13" spans="1:11" x14ac:dyDescent="0.35">
      <c r="A13" s="3">
        <f t="shared" si="1"/>
        <v>10</v>
      </c>
      <c r="B13" s="3">
        <v>211</v>
      </c>
      <c r="C13" s="3">
        <v>196</v>
      </c>
      <c r="D13" s="3">
        <f t="shared" si="0"/>
        <v>15</v>
      </c>
      <c r="F13" t="s">
        <v>19</v>
      </c>
      <c r="G13">
        <v>5.1378281403488676E-6</v>
      </c>
    </row>
    <row r="14" spans="1:11" x14ac:dyDescent="0.35">
      <c r="A14" s="3">
        <f t="shared" si="1"/>
        <v>11</v>
      </c>
      <c r="B14" s="3">
        <v>187</v>
      </c>
      <c r="C14" s="3">
        <v>181</v>
      </c>
      <c r="D14" s="3">
        <f t="shared" si="0"/>
        <v>6</v>
      </c>
      <c r="F14" t="s">
        <v>20</v>
      </c>
      <c r="G14">
        <v>1.7613101150619617</v>
      </c>
    </row>
    <row r="15" spans="1:11" x14ac:dyDescent="0.35">
      <c r="A15" s="3">
        <f t="shared" si="1"/>
        <v>12</v>
      </c>
      <c r="B15" s="3">
        <v>175</v>
      </c>
      <c r="C15" s="3">
        <v>164</v>
      </c>
      <c r="D15" s="3">
        <f t="shared" si="0"/>
        <v>11</v>
      </c>
      <c r="F15" t="s">
        <v>21</v>
      </c>
      <c r="G15">
        <v>1.0275656280697735E-5</v>
      </c>
    </row>
    <row r="16" spans="1:11" ht="15" thickBot="1" x14ac:dyDescent="0.4">
      <c r="A16" s="3">
        <f t="shared" si="1"/>
        <v>13</v>
      </c>
      <c r="B16" s="3">
        <v>186</v>
      </c>
      <c r="C16" s="3">
        <v>181</v>
      </c>
      <c r="D16" s="3">
        <f t="shared" si="0"/>
        <v>5</v>
      </c>
      <c r="F16" s="9" t="s">
        <v>22</v>
      </c>
      <c r="G16" s="9">
        <v>2.1447866812820848</v>
      </c>
      <c r="H16" s="9"/>
    </row>
    <row r="17" spans="1:6" x14ac:dyDescent="0.35">
      <c r="A17" s="3">
        <f t="shared" si="1"/>
        <v>14</v>
      </c>
      <c r="B17" s="3">
        <v>243</v>
      </c>
      <c r="C17" s="3">
        <v>229</v>
      </c>
      <c r="D17" s="3">
        <f t="shared" si="0"/>
        <v>14</v>
      </c>
    </row>
    <row r="18" spans="1:6" x14ac:dyDescent="0.35">
      <c r="A18" s="10">
        <f t="shared" si="1"/>
        <v>15</v>
      </c>
      <c r="B18" s="10">
        <v>246</v>
      </c>
      <c r="C18" s="10">
        <v>231</v>
      </c>
      <c r="D18" s="10">
        <f t="shared" si="0"/>
        <v>15</v>
      </c>
    </row>
    <row r="20" spans="1:6" x14ac:dyDescent="0.35">
      <c r="A20" s="3" t="s">
        <v>23</v>
      </c>
      <c r="D20" s="3">
        <f>AVERAGE(D4:D18)</f>
        <v>10.933333333333334</v>
      </c>
    </row>
    <row r="21" spans="1:6" x14ac:dyDescent="0.35">
      <c r="A21" s="3" t="s">
        <v>24</v>
      </c>
      <c r="D21" s="3">
        <f>STDEV(D4:D18)</f>
        <v>6.3298235889056711</v>
      </c>
    </row>
    <row r="23" spans="1:6" x14ac:dyDescent="0.35">
      <c r="A23" t="s">
        <v>25</v>
      </c>
      <c r="D23">
        <f>COUNT(D4:D18)</f>
        <v>15</v>
      </c>
      <c r="F23" s="11" t="s">
        <v>26</v>
      </c>
    </row>
    <row r="24" spans="1:6" x14ac:dyDescent="0.35">
      <c r="A24" t="s">
        <v>27</v>
      </c>
      <c r="D24">
        <f>D21/SQRT(D23)</f>
        <v>1.634353422950835</v>
      </c>
      <c r="F24" s="11" t="s">
        <v>28</v>
      </c>
    </row>
    <row r="25" spans="1:6" x14ac:dyDescent="0.35">
      <c r="A25" t="s">
        <v>29</v>
      </c>
      <c r="D25">
        <f>(D20-0)/D24</f>
        <v>6.6896995348736343</v>
      </c>
      <c r="F25" s="11" t="s">
        <v>30</v>
      </c>
    </row>
    <row r="26" spans="1:6" x14ac:dyDescent="0.35">
      <c r="A26" t="s">
        <v>31</v>
      </c>
      <c r="D26">
        <f>D23-1</f>
        <v>14</v>
      </c>
      <c r="F26" s="11" t="s">
        <v>32</v>
      </c>
    </row>
    <row r="28" spans="1:6" x14ac:dyDescent="0.35">
      <c r="A28" t="s">
        <v>33</v>
      </c>
      <c r="D28">
        <f>TDIST(D25,D26,2)</f>
        <v>1.0275656281485417E-5</v>
      </c>
      <c r="F28" s="11" t="s">
        <v>68</v>
      </c>
    </row>
    <row r="29" spans="1:6" x14ac:dyDescent="0.35">
      <c r="A29" t="s">
        <v>33</v>
      </c>
      <c r="D29">
        <f>TTEST(B4:B18,C4:C18,2,1)</f>
        <v>1.0275656281484968E-5</v>
      </c>
      <c r="F29" s="11" t="s">
        <v>69</v>
      </c>
    </row>
    <row r="30" spans="1:6" x14ac:dyDescent="0.35">
      <c r="F30" s="11"/>
    </row>
    <row r="31" spans="1:6" x14ac:dyDescent="0.35">
      <c r="A31" t="s">
        <v>34</v>
      </c>
      <c r="D31">
        <f>TINV(0.05,D26)</f>
        <v>2.1447866879178044</v>
      </c>
      <c r="F31" s="11" t="s">
        <v>70</v>
      </c>
    </row>
    <row r="34" spans="1:20" x14ac:dyDescent="0.35">
      <c r="A34" t="s">
        <v>35</v>
      </c>
      <c r="F34" t="s">
        <v>36</v>
      </c>
      <c r="L34" t="s">
        <v>37</v>
      </c>
    </row>
    <row r="35" spans="1:20" ht="15" thickBot="1" x14ac:dyDescent="0.4"/>
    <row r="36" spans="1:20" ht="15" thickBot="1" x14ac:dyDescent="0.4">
      <c r="A36" s="3" t="s">
        <v>1</v>
      </c>
      <c r="B36" s="3" t="s">
        <v>2</v>
      </c>
      <c r="C36" s="3" t="s">
        <v>3</v>
      </c>
      <c r="F36" s="4"/>
      <c r="G36" s="4" t="s">
        <v>2</v>
      </c>
      <c r="H36" s="4" t="s">
        <v>3</v>
      </c>
      <c r="L36" t="s">
        <v>38</v>
      </c>
      <c r="O36" t="s">
        <v>39</v>
      </c>
      <c r="P36">
        <v>0.05</v>
      </c>
      <c r="R36" t="s">
        <v>40</v>
      </c>
      <c r="S36">
        <v>0</v>
      </c>
    </row>
    <row r="37" spans="1:20" ht="15" thickTop="1" x14ac:dyDescent="0.35">
      <c r="A37" s="3">
        <v>1</v>
      </c>
      <c r="B37" s="3">
        <v>210</v>
      </c>
      <c r="C37" s="3">
        <v>197</v>
      </c>
      <c r="F37" t="s">
        <v>7</v>
      </c>
      <c r="G37">
        <v>207.93333333333334</v>
      </c>
      <c r="H37">
        <v>197</v>
      </c>
      <c r="L37" s="12" t="s">
        <v>41</v>
      </c>
      <c r="M37" s="12" t="s">
        <v>42</v>
      </c>
      <c r="N37" s="12" t="s">
        <v>7</v>
      </c>
      <c r="O37" s="12" t="s">
        <v>43</v>
      </c>
      <c r="P37" s="12" t="s">
        <v>44</v>
      </c>
      <c r="Q37" s="12" t="s">
        <v>45</v>
      </c>
      <c r="R37" s="12" t="s">
        <v>17</v>
      </c>
      <c r="S37" s="12" t="s">
        <v>46</v>
      </c>
      <c r="T37" s="12" t="s">
        <v>47</v>
      </c>
    </row>
    <row r="38" spans="1:20" x14ac:dyDescent="0.35">
      <c r="A38" s="3">
        <f>A37+1</f>
        <v>2</v>
      </c>
      <c r="B38" s="3">
        <v>205</v>
      </c>
      <c r="C38" s="3">
        <v>195</v>
      </c>
      <c r="F38" t="s">
        <v>9</v>
      </c>
      <c r="G38">
        <v>815.78095238095352</v>
      </c>
      <c r="H38">
        <v>595</v>
      </c>
      <c r="L38" t="str">
        <f>B3</f>
        <v>Before</v>
      </c>
      <c r="M38">
        <f>COUNT(B4:B18)</f>
        <v>15</v>
      </c>
      <c r="N38">
        <f>AVERAGE(B4:B18)</f>
        <v>207.93333333333334</v>
      </c>
      <c r="O38">
        <f>STDEV(B4:B18)</f>
        <v>28.561879356599654</v>
      </c>
    </row>
    <row r="39" spans="1:20" x14ac:dyDescent="0.35">
      <c r="A39" s="3">
        <f t="shared" ref="A39:A51" si="2">A38+1</f>
        <v>3</v>
      </c>
      <c r="B39" s="3">
        <v>193</v>
      </c>
      <c r="C39" s="3">
        <v>191</v>
      </c>
      <c r="F39" t="s">
        <v>11</v>
      </c>
      <c r="G39">
        <v>15</v>
      </c>
      <c r="H39">
        <v>15</v>
      </c>
      <c r="L39" t="str">
        <f>C3</f>
        <v>After</v>
      </c>
      <c r="M39">
        <f>COUNT(C4:C18)</f>
        <v>15</v>
      </c>
      <c r="N39">
        <f>AVERAGE(C4:C18)</f>
        <v>197</v>
      </c>
      <c r="O39">
        <f>STDEV(C4:C18)</f>
        <v>24.392621835300936</v>
      </c>
    </row>
    <row r="40" spans="1:20" x14ac:dyDescent="0.35">
      <c r="A40" s="3">
        <f t="shared" si="2"/>
        <v>4</v>
      </c>
      <c r="B40" s="3">
        <v>182</v>
      </c>
      <c r="C40" s="3">
        <v>174</v>
      </c>
      <c r="F40" t="s">
        <v>48</v>
      </c>
      <c r="G40">
        <v>705.39047619047676</v>
      </c>
      <c r="L40" s="13" t="s">
        <v>4</v>
      </c>
      <c r="M40" s="13">
        <f>M39</f>
        <v>15</v>
      </c>
      <c r="N40" s="13">
        <f>N38-N39</f>
        <v>10.933333333333337</v>
      </c>
      <c r="O40" s="13">
        <f t="array" ref="O40">STDEV(B4:B18-C4:C18)</f>
        <v>6.3298235889056711</v>
      </c>
      <c r="P40" s="13">
        <f>O40/SQRT(M40)</f>
        <v>1.634353422950835</v>
      </c>
      <c r="Q40" s="13">
        <f>(N38-N39-S36)/P40</f>
        <v>6.689699534873637</v>
      </c>
      <c r="R40" s="13">
        <f>M40-1</f>
        <v>14</v>
      </c>
      <c r="S40" s="13">
        <f>ABS(N38-N39-S36)/O40</f>
        <v>1.7272729926464732</v>
      </c>
      <c r="T40" s="13">
        <f>SQRT(Q40^2/(Q40^2+R40))</f>
        <v>0.87276031278909716</v>
      </c>
    </row>
    <row r="41" spans="1:20" x14ac:dyDescent="0.35">
      <c r="A41" s="3">
        <f t="shared" si="2"/>
        <v>5</v>
      </c>
      <c r="B41" s="3">
        <v>259</v>
      </c>
      <c r="C41" s="3">
        <v>236</v>
      </c>
      <c r="F41" t="s">
        <v>15</v>
      </c>
      <c r="G41">
        <v>0</v>
      </c>
    </row>
    <row r="42" spans="1:20" ht="15" thickBot="1" x14ac:dyDescent="0.4">
      <c r="A42" s="3">
        <f t="shared" si="2"/>
        <v>6</v>
      </c>
      <c r="B42" s="3">
        <v>239</v>
      </c>
      <c r="C42" s="3">
        <v>226</v>
      </c>
      <c r="F42" t="s">
        <v>17</v>
      </c>
      <c r="G42">
        <v>28</v>
      </c>
      <c r="L42" t="s">
        <v>49</v>
      </c>
    </row>
    <row r="43" spans="1:20" ht="15" thickTop="1" x14ac:dyDescent="0.35">
      <c r="A43" s="3">
        <f t="shared" si="2"/>
        <v>7</v>
      </c>
      <c r="B43" s="3">
        <v>164</v>
      </c>
      <c r="C43" s="3">
        <v>157</v>
      </c>
      <c r="F43" t="s">
        <v>18</v>
      </c>
      <c r="G43">
        <v>1.12737506457454</v>
      </c>
      <c r="L43" s="12" t="s">
        <v>50</v>
      </c>
      <c r="M43" s="12" t="s">
        <v>33</v>
      </c>
      <c r="N43" s="12" t="s">
        <v>34</v>
      </c>
      <c r="O43" s="12" t="s">
        <v>51</v>
      </c>
      <c r="P43" s="12" t="s">
        <v>52</v>
      </c>
      <c r="Q43" s="12" t="s">
        <v>53</v>
      </c>
    </row>
    <row r="44" spans="1:20" x14ac:dyDescent="0.35">
      <c r="A44" s="3">
        <f t="shared" si="2"/>
        <v>8</v>
      </c>
      <c r="B44" s="3">
        <v>197</v>
      </c>
      <c r="C44" s="3">
        <v>196</v>
      </c>
      <c r="F44" t="s">
        <v>19</v>
      </c>
      <c r="G44">
        <v>0.13457631306470508</v>
      </c>
      <c r="L44" t="s">
        <v>54</v>
      </c>
      <c r="M44">
        <f>TDIST(ABS(Q40),R40,1)</f>
        <v>5.1378281407426804E-6</v>
      </c>
      <c r="N44">
        <f>TINV(P36*2,R40)</f>
        <v>1.7613101357748921</v>
      </c>
      <c r="Q44" s="3" t="str">
        <f>IF(M44&lt;P36,"yes","no")</f>
        <v>yes</v>
      </c>
    </row>
    <row r="45" spans="1:20" x14ac:dyDescent="0.35">
      <c r="A45" s="3">
        <f t="shared" si="2"/>
        <v>9</v>
      </c>
      <c r="B45" s="3">
        <v>222</v>
      </c>
      <c r="C45" s="3">
        <v>201</v>
      </c>
      <c r="F45" t="s">
        <v>20</v>
      </c>
      <c r="G45">
        <v>1.7011309076118102</v>
      </c>
      <c r="L45" t="s">
        <v>55</v>
      </c>
      <c r="M45">
        <f>TDIST(ABS(Q40),R40,2)</f>
        <v>1.0275656281485361E-5</v>
      </c>
      <c r="N45">
        <f>TINV(P36,R40)</f>
        <v>2.1447866879178044</v>
      </c>
      <c r="O45">
        <f>(N38-N39)-P40*N45</f>
        <v>7.4279938684354896</v>
      </c>
      <c r="P45">
        <f>(N38-N39)+P40*N45</f>
        <v>14.438672798231185</v>
      </c>
      <c r="Q45" s="3" t="str">
        <f>IF(M45&lt;P36,"yes","no")</f>
        <v>yes</v>
      </c>
    </row>
    <row r="46" spans="1:20" x14ac:dyDescent="0.35">
      <c r="A46" s="3">
        <f t="shared" si="2"/>
        <v>10</v>
      </c>
      <c r="B46" s="3">
        <v>211</v>
      </c>
      <c r="C46" s="3">
        <v>196</v>
      </c>
      <c r="F46" t="s">
        <v>21</v>
      </c>
      <c r="G46">
        <v>0.26915262612941016</v>
      </c>
      <c r="L46" s="13"/>
      <c r="M46" s="13"/>
      <c r="N46" s="13"/>
      <c r="O46" s="13"/>
      <c r="P46" s="13"/>
      <c r="Q46" s="13"/>
    </row>
    <row r="47" spans="1:20" ht="15" thickBot="1" x14ac:dyDescent="0.4">
      <c r="A47" s="3">
        <f t="shared" si="2"/>
        <v>11</v>
      </c>
      <c r="B47" s="3">
        <v>187</v>
      </c>
      <c r="C47" s="3">
        <v>181</v>
      </c>
      <c r="F47" s="9" t="s">
        <v>22</v>
      </c>
      <c r="G47" s="9">
        <v>2.0484071146628864</v>
      </c>
      <c r="H47" s="9"/>
    </row>
    <row r="48" spans="1:20" x14ac:dyDescent="0.35">
      <c r="A48" s="3">
        <f t="shared" si="2"/>
        <v>12</v>
      </c>
      <c r="B48" s="3">
        <v>175</v>
      </c>
      <c r="C48" s="3">
        <v>164</v>
      </c>
      <c r="L48" t="s">
        <v>37</v>
      </c>
    </row>
    <row r="49" spans="1:20" x14ac:dyDescent="0.35">
      <c r="A49" s="3">
        <f t="shared" si="2"/>
        <v>13</v>
      </c>
      <c r="B49" s="3">
        <v>186</v>
      </c>
      <c r="C49" s="3">
        <v>181</v>
      </c>
    </row>
    <row r="50" spans="1:20" ht="15" thickBot="1" x14ac:dyDescent="0.4">
      <c r="A50" s="3">
        <f t="shared" si="2"/>
        <v>14</v>
      </c>
      <c r="B50" s="3">
        <v>243</v>
      </c>
      <c r="C50" s="3">
        <v>229</v>
      </c>
      <c r="G50" s="14" t="s">
        <v>56</v>
      </c>
      <c r="H50" s="14" t="s">
        <v>57</v>
      </c>
      <c r="L50" t="s">
        <v>38</v>
      </c>
      <c r="O50" t="s">
        <v>39</v>
      </c>
      <c r="P50">
        <v>0.05</v>
      </c>
      <c r="R50" t="s">
        <v>40</v>
      </c>
      <c r="S50">
        <v>0</v>
      </c>
    </row>
    <row r="51" spans="1:20" ht="15" thickTop="1" x14ac:dyDescent="0.35">
      <c r="A51" s="3">
        <f t="shared" si="2"/>
        <v>15</v>
      </c>
      <c r="B51" s="3">
        <v>246</v>
      </c>
      <c r="C51" s="3">
        <v>231</v>
      </c>
      <c r="F51" t="s">
        <v>58</v>
      </c>
      <c r="G51" s="15">
        <f>D53</f>
        <v>10.933333333333337</v>
      </c>
      <c r="H51" s="16">
        <f>D20</f>
        <v>10.933333333333334</v>
      </c>
      <c r="L51" s="12" t="s">
        <v>41</v>
      </c>
      <c r="M51" s="12" t="s">
        <v>42</v>
      </c>
      <c r="N51" s="12" t="s">
        <v>7</v>
      </c>
      <c r="O51" s="12" t="s">
        <v>43</v>
      </c>
      <c r="P51" s="12" t="s">
        <v>44</v>
      </c>
      <c r="Q51" s="12" t="s">
        <v>45</v>
      </c>
      <c r="R51" s="12" t="s">
        <v>17</v>
      </c>
      <c r="S51" s="12" t="s">
        <v>46</v>
      </c>
      <c r="T51" s="12" t="s">
        <v>47</v>
      </c>
    </row>
    <row r="52" spans="1:20" x14ac:dyDescent="0.35">
      <c r="F52" t="s">
        <v>59</v>
      </c>
      <c r="G52" s="17" t="e">
        <f ca="1">D54</f>
        <v>#NAME?</v>
      </c>
      <c r="H52" s="18">
        <f>D21</f>
        <v>6.3298235889056711</v>
      </c>
      <c r="L52" t="str">
        <f>B3</f>
        <v>Before</v>
      </c>
      <c r="M52">
        <f>COUNT(B4:B18)</f>
        <v>15</v>
      </c>
      <c r="N52">
        <f>AVERAGE(B4:B18)</f>
        <v>207.93333333333334</v>
      </c>
      <c r="O52">
        <f>_xlfn.STDEV.S(B4:B18)</f>
        <v>28.561879356599654</v>
      </c>
    </row>
    <row r="53" spans="1:20" x14ac:dyDescent="0.35">
      <c r="A53" s="3" t="s">
        <v>23</v>
      </c>
      <c r="B53" s="3">
        <f>AVERAGE(B37:B51)</f>
        <v>207.93333333333334</v>
      </c>
      <c r="C53" s="3">
        <f>AVERAGE(C37:C51)</f>
        <v>197</v>
      </c>
      <c r="D53" s="3">
        <f>B53-C53</f>
        <v>10.933333333333337</v>
      </c>
      <c r="F53" t="s">
        <v>60</v>
      </c>
      <c r="G53" s="17">
        <f>G43</f>
        <v>1.12737506457454</v>
      </c>
      <c r="H53" s="18">
        <f>G12</f>
        <v>6.6896995348736343</v>
      </c>
      <c r="L53" t="str">
        <f>C3</f>
        <v>After</v>
      </c>
      <c r="M53">
        <f>COUNT(C4:C18)</f>
        <v>15</v>
      </c>
      <c r="N53">
        <f>AVERAGE(C4:C18)</f>
        <v>197</v>
      </c>
      <c r="O53">
        <f>_xlfn.STDEV.S(C4:C18)</f>
        <v>24.392621835300936</v>
      </c>
    </row>
    <row r="54" spans="1:20" x14ac:dyDescent="0.35">
      <c r="A54" s="3" t="s">
        <v>24</v>
      </c>
      <c r="B54" s="3">
        <f>STDEV(B37:B51)</f>
        <v>28.561879356599654</v>
      </c>
      <c r="C54" s="3">
        <f>STDEV(C37:C51)</f>
        <v>24.392621835300936</v>
      </c>
      <c r="D54" s="3" t="e">
        <f ca="1">STDEV_POOLED(B37:B51,C37:C51)</f>
        <v>#NAME?</v>
      </c>
      <c r="F54" t="s">
        <v>61</v>
      </c>
      <c r="G54" s="19">
        <f>G46</f>
        <v>0.26915262612941016</v>
      </c>
      <c r="H54" s="20">
        <f>G15</f>
        <v>1.0275656280697735E-5</v>
      </c>
      <c r="L54" s="13" t="s">
        <v>4</v>
      </c>
      <c r="M54" s="13">
        <f>M53</f>
        <v>15</v>
      </c>
      <c r="N54" s="13">
        <f>N52-N53</f>
        <v>10.933333333333337</v>
      </c>
      <c r="O54" s="13">
        <f t="array" ref="O54">_xlfn.STDEV.S(B4:B18-C4:C18)</f>
        <v>6.3298235889056711</v>
      </c>
      <c r="P54" s="13">
        <f>O54/SQRT(M54)</f>
        <v>1.634353422950835</v>
      </c>
      <c r="Q54" s="13">
        <f>(N52-N53-S50)/P54</f>
        <v>6.689699534873637</v>
      </c>
      <c r="R54" s="13">
        <f>M54-1</f>
        <v>14</v>
      </c>
      <c r="S54" s="13">
        <f>ABS(N52-N53-S50)/O54</f>
        <v>1.7272729926464732</v>
      </c>
      <c r="T54" s="13">
        <f>SQRT(Q54^2/(Q54^2+R54))</f>
        <v>0.87276031278909716</v>
      </c>
    </row>
    <row r="56" spans="1:20" ht="15" thickBot="1" x14ac:dyDescent="0.4">
      <c r="L56" t="s">
        <v>49</v>
      </c>
    </row>
    <row r="57" spans="1:20" ht="15" thickTop="1" x14ac:dyDescent="0.35">
      <c r="L57" s="12" t="s">
        <v>50</v>
      </c>
      <c r="M57" s="12" t="s">
        <v>33</v>
      </c>
      <c r="N57" s="12" t="s">
        <v>34</v>
      </c>
      <c r="O57" s="12" t="s">
        <v>51</v>
      </c>
      <c r="P57" s="12" t="s">
        <v>52</v>
      </c>
      <c r="Q57" s="12" t="s">
        <v>53</v>
      </c>
    </row>
    <row r="58" spans="1:20" x14ac:dyDescent="0.35">
      <c r="L58" t="s">
        <v>54</v>
      </c>
      <c r="M58">
        <f>_xlfn.T.DIST.RT(ABS(Q54),R54)</f>
        <v>5.1378281407426804E-6</v>
      </c>
      <c r="N58">
        <f>_xlfn.T.INV.2T(P50*2,R54)</f>
        <v>1.7613101357748921</v>
      </c>
      <c r="Q58" s="3" t="str">
        <f>IF(M58&lt;P50,"yes","no")</f>
        <v>yes</v>
      </c>
    </row>
    <row r="59" spans="1:20" x14ac:dyDescent="0.35">
      <c r="L59" t="s">
        <v>55</v>
      </c>
      <c r="M59">
        <f>_xlfn.T.DIST.2T(ABS(Q54),R54)</f>
        <v>1.0275656281485361E-5</v>
      </c>
      <c r="N59">
        <f>_xlfn.T.INV.2T(P50,R54)</f>
        <v>2.1447866879178044</v>
      </c>
      <c r="O59">
        <f>(N52-N53)-P54*N59</f>
        <v>7.4279938684354896</v>
      </c>
      <c r="P59">
        <f>(N52-N53)+P54*N59</f>
        <v>14.438672798231185</v>
      </c>
      <c r="Q59" s="3" t="str">
        <f>IF(M59&lt;P50,"yes","no")</f>
        <v>yes</v>
      </c>
    </row>
    <row r="60" spans="1:20" x14ac:dyDescent="0.35">
      <c r="L60" s="13"/>
      <c r="M60" s="13"/>
      <c r="N60" s="13"/>
      <c r="O60" s="13"/>
      <c r="P60" s="13"/>
      <c r="Q60" s="1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9A35-2411-4FC7-BAC9-B5582E36852C}">
  <sheetPr codeName="Sheet434"/>
  <dimension ref="A1:N49"/>
  <sheetViews>
    <sheetView workbookViewId="0"/>
  </sheetViews>
  <sheetFormatPr defaultRowHeight="14.5" x14ac:dyDescent="0.35"/>
  <cols>
    <col min="1" max="4" width="7.453125" customWidth="1"/>
    <col min="5" max="5" width="3.26953125" customWidth="1"/>
    <col min="6" max="6" width="9.81640625" customWidth="1"/>
    <col min="7" max="14" width="9.1796875" customWidth="1"/>
    <col min="15" max="18" width="6.7265625" customWidth="1"/>
    <col min="19" max="19" width="7.26953125" customWidth="1"/>
  </cols>
  <sheetData>
    <row r="1" spans="1:14" x14ac:dyDescent="0.35">
      <c r="A1" s="1" t="s">
        <v>62</v>
      </c>
    </row>
    <row r="2" spans="1:14" x14ac:dyDescent="0.35">
      <c r="F2" t="s">
        <v>37</v>
      </c>
    </row>
    <row r="3" spans="1:14" x14ac:dyDescent="0.35">
      <c r="A3" s="2" t="s">
        <v>1</v>
      </c>
      <c r="B3" s="2" t="s">
        <v>2</v>
      </c>
      <c r="C3" s="2" t="s">
        <v>3</v>
      </c>
      <c r="D3" s="2" t="s">
        <v>4</v>
      </c>
    </row>
    <row r="4" spans="1:14" ht="15" thickBot="1" x14ac:dyDescent="0.4">
      <c r="A4" s="3">
        <v>1</v>
      </c>
      <c r="B4" s="3">
        <v>210</v>
      </c>
      <c r="C4" s="3">
        <v>197</v>
      </c>
      <c r="D4" s="3">
        <f>IF(ISNUMBER(B4),IF(ISNUMBER(C4),B4-C4,""),"")</f>
        <v>13</v>
      </c>
      <c r="F4" t="s">
        <v>38</v>
      </c>
      <c r="I4" t="s">
        <v>39</v>
      </c>
      <c r="J4">
        <v>0.05</v>
      </c>
      <c r="L4" t="s">
        <v>40</v>
      </c>
      <c r="M4">
        <v>0</v>
      </c>
    </row>
    <row r="5" spans="1:14" ht="15" thickTop="1" x14ac:dyDescent="0.35">
      <c r="A5" s="3">
        <f>A4+1</f>
        <v>2</v>
      </c>
      <c r="B5" s="3">
        <v>205</v>
      </c>
      <c r="C5" s="3">
        <v>195</v>
      </c>
      <c r="D5" s="3">
        <f>IF(ISNUMBER(B5),IF(ISNUMBER(C5),B5-C5,""),"")</f>
        <v>10</v>
      </c>
      <c r="F5" s="12" t="s">
        <v>41</v>
      </c>
      <c r="G5" s="12" t="s">
        <v>42</v>
      </c>
      <c r="H5" s="12" t="s">
        <v>7</v>
      </c>
      <c r="I5" s="12" t="s">
        <v>43</v>
      </c>
      <c r="J5" s="12" t="s">
        <v>44</v>
      </c>
      <c r="K5" s="12" t="s">
        <v>45</v>
      </c>
      <c r="L5" s="12" t="s">
        <v>17</v>
      </c>
      <c r="M5" s="12" t="s">
        <v>46</v>
      </c>
      <c r="N5" s="12" t="s">
        <v>47</v>
      </c>
    </row>
    <row r="6" spans="1:14" x14ac:dyDescent="0.35">
      <c r="A6" s="3">
        <f t="shared" ref="A6:A18" si="0">A5+1</f>
        <v>3</v>
      </c>
      <c r="B6" s="3">
        <v>193</v>
      </c>
      <c r="C6" s="3">
        <v>191</v>
      </c>
      <c r="D6" s="3">
        <f>IF(ISNUMBER(B6),IF(ISNUMBER(C6),B6-C6,""),"")</f>
        <v>2</v>
      </c>
      <c r="F6" t="str">
        <f>B3</f>
        <v>Before</v>
      </c>
      <c r="G6">
        <f>COUNT(B4:B18)</f>
        <v>15</v>
      </c>
      <c r="H6">
        <f>AVERAGE(B4:B18)</f>
        <v>207.93333333333334</v>
      </c>
      <c r="I6">
        <f>STDEV(B4:B18)</f>
        <v>28.561879356599654</v>
      </c>
    </row>
    <row r="7" spans="1:14" x14ac:dyDescent="0.35">
      <c r="A7" s="3">
        <f t="shared" si="0"/>
        <v>4</v>
      </c>
      <c r="B7" s="3">
        <v>182</v>
      </c>
      <c r="C7" s="3">
        <v>174</v>
      </c>
      <c r="D7" s="3">
        <f t="shared" ref="D7:D18" si="1">IF(ISNUMBER(B7),IF(ISNUMBER(C7),B7-C7,""),"")</f>
        <v>8</v>
      </c>
      <c r="F7" t="str">
        <f>C3</f>
        <v>After</v>
      </c>
      <c r="G7">
        <f>COUNT(C4:C18)</f>
        <v>15</v>
      </c>
      <c r="H7">
        <f>AVERAGE(C4:C18)</f>
        <v>197</v>
      </c>
      <c r="I7">
        <f>STDEV(C4:C18)</f>
        <v>24.392621835300936</v>
      </c>
    </row>
    <row r="8" spans="1:14" x14ac:dyDescent="0.35">
      <c r="A8" s="3">
        <f t="shared" si="0"/>
        <v>5</v>
      </c>
      <c r="B8" s="3">
        <v>259</v>
      </c>
      <c r="C8" s="3">
        <v>236</v>
      </c>
      <c r="D8" s="3">
        <f t="shared" si="1"/>
        <v>23</v>
      </c>
      <c r="F8" s="13" t="s">
        <v>4</v>
      </c>
      <c r="G8" s="13">
        <f>G7</f>
        <v>15</v>
      </c>
      <c r="H8" s="13">
        <f>H6-H7</f>
        <v>10.933333333333337</v>
      </c>
      <c r="I8" s="13">
        <f t="array" ref="I8">STDEV(B4:B18-C4:C18)</f>
        <v>6.3298235889056711</v>
      </c>
      <c r="J8" s="13">
        <f>I8/SQRT(G8)</f>
        <v>1.634353422950835</v>
      </c>
      <c r="K8" s="13">
        <f>(H6-H7-M4)/J8</f>
        <v>6.689699534873637</v>
      </c>
      <c r="L8" s="13">
        <f>G8-1</f>
        <v>14</v>
      </c>
      <c r="M8" s="13">
        <f>ABS(H6-H7-M4)/I8</f>
        <v>1.7272729926464732</v>
      </c>
      <c r="N8" s="13">
        <f>SQRT(K8^2/(K8^2+L8))</f>
        <v>0.87276031278909716</v>
      </c>
    </row>
    <row r="9" spans="1:14" x14ac:dyDescent="0.35">
      <c r="A9" s="3">
        <f t="shared" si="0"/>
        <v>6</v>
      </c>
      <c r="B9" s="3">
        <v>239</v>
      </c>
      <c r="C9" s="3">
        <v>226</v>
      </c>
      <c r="D9" s="3">
        <f t="shared" si="1"/>
        <v>13</v>
      </c>
    </row>
    <row r="10" spans="1:14" ht="15" thickBot="1" x14ac:dyDescent="0.4">
      <c r="A10" s="3">
        <f t="shared" si="0"/>
        <v>7</v>
      </c>
      <c r="B10" s="3">
        <v>164</v>
      </c>
      <c r="C10" s="3">
        <v>157</v>
      </c>
      <c r="D10" s="3">
        <f t="shared" si="1"/>
        <v>7</v>
      </c>
      <c r="F10" t="s">
        <v>49</v>
      </c>
    </row>
    <row r="11" spans="1:14" ht="15" thickTop="1" x14ac:dyDescent="0.35">
      <c r="A11" s="3">
        <f t="shared" si="0"/>
        <v>8</v>
      </c>
      <c r="B11" s="3">
        <v>197</v>
      </c>
      <c r="C11" s="3">
        <v>196</v>
      </c>
      <c r="D11" s="3">
        <f t="shared" si="1"/>
        <v>1</v>
      </c>
      <c r="F11" s="12" t="s">
        <v>50</v>
      </c>
      <c r="G11" s="12" t="s">
        <v>33</v>
      </c>
      <c r="H11" s="12" t="s">
        <v>34</v>
      </c>
      <c r="I11" s="12" t="s">
        <v>51</v>
      </c>
      <c r="J11" s="12" t="s">
        <v>52</v>
      </c>
      <c r="K11" s="12" t="s">
        <v>53</v>
      </c>
    </row>
    <row r="12" spans="1:14" x14ac:dyDescent="0.35">
      <c r="A12" s="3">
        <f t="shared" si="0"/>
        <v>9</v>
      </c>
      <c r="B12" s="3">
        <v>222</v>
      </c>
      <c r="C12" s="3">
        <v>201</v>
      </c>
      <c r="D12" s="3">
        <f t="shared" si="1"/>
        <v>21</v>
      </c>
      <c r="F12" t="s">
        <v>54</v>
      </c>
      <c r="G12">
        <f>TDIST(ABS(K8),L8,1)</f>
        <v>5.1378281407426804E-6</v>
      </c>
      <c r="H12">
        <f>TINV(J4*2,L8)</f>
        <v>1.7613101357748921</v>
      </c>
      <c r="K12" s="3" t="str">
        <f>IF(G12&lt;J4,"yes","no")</f>
        <v>yes</v>
      </c>
    </row>
    <row r="13" spans="1:14" x14ac:dyDescent="0.35">
      <c r="A13" s="3">
        <f t="shared" si="0"/>
        <v>10</v>
      </c>
      <c r="B13" s="3">
        <v>211</v>
      </c>
      <c r="C13" s="3">
        <v>196</v>
      </c>
      <c r="D13" s="3">
        <f t="shared" si="1"/>
        <v>15</v>
      </c>
      <c r="F13" t="s">
        <v>55</v>
      </c>
      <c r="G13">
        <f>TDIST(ABS(K8),L8,2)</f>
        <v>1.0275656281485361E-5</v>
      </c>
      <c r="H13">
        <f>TINV(J4,L8)</f>
        <v>2.1447866879178044</v>
      </c>
      <c r="I13">
        <f>(H6-H7)-J8*H13</f>
        <v>7.4279938684354896</v>
      </c>
      <c r="J13">
        <f>(H6-H7)+J8*H13</f>
        <v>14.438672798231185</v>
      </c>
      <c r="K13" s="3" t="str">
        <f>IF(G13&lt;J4,"yes","no")</f>
        <v>yes</v>
      </c>
    </row>
    <row r="14" spans="1:14" x14ac:dyDescent="0.35">
      <c r="A14" s="3">
        <f t="shared" si="0"/>
        <v>11</v>
      </c>
      <c r="B14" s="3">
        <v>187</v>
      </c>
      <c r="C14" s="3">
        <v>181</v>
      </c>
      <c r="D14" s="3">
        <f t="shared" si="1"/>
        <v>6</v>
      </c>
      <c r="F14" s="13"/>
      <c r="G14" s="13"/>
      <c r="H14" s="13"/>
      <c r="I14" s="13"/>
      <c r="J14" s="13"/>
      <c r="K14" s="13"/>
    </row>
    <row r="15" spans="1:14" x14ac:dyDescent="0.35">
      <c r="A15" s="3">
        <f t="shared" si="0"/>
        <v>12</v>
      </c>
      <c r="B15" s="3">
        <v>175</v>
      </c>
      <c r="C15" s="3">
        <v>164</v>
      </c>
      <c r="D15" s="3">
        <f t="shared" si="1"/>
        <v>11</v>
      </c>
    </row>
    <row r="16" spans="1:14" x14ac:dyDescent="0.35">
      <c r="A16" s="3">
        <f t="shared" si="0"/>
        <v>13</v>
      </c>
      <c r="B16" s="3">
        <v>186</v>
      </c>
      <c r="C16" s="3">
        <v>181</v>
      </c>
      <c r="D16" s="3">
        <f t="shared" si="1"/>
        <v>5</v>
      </c>
    </row>
    <row r="17" spans="1:14" x14ac:dyDescent="0.35">
      <c r="A17" s="3">
        <f t="shared" si="0"/>
        <v>14</v>
      </c>
      <c r="B17" s="3">
        <v>243</v>
      </c>
      <c r="C17" s="3">
        <v>229</v>
      </c>
      <c r="D17" s="3">
        <f t="shared" si="1"/>
        <v>14</v>
      </c>
    </row>
    <row r="18" spans="1:14" x14ac:dyDescent="0.35">
      <c r="A18" s="10">
        <f t="shared" si="0"/>
        <v>15</v>
      </c>
      <c r="B18" s="10">
        <v>246</v>
      </c>
      <c r="C18" s="10">
        <v>231</v>
      </c>
      <c r="D18" s="10">
        <f t="shared" si="1"/>
        <v>15</v>
      </c>
    </row>
    <row r="20" spans="1:14" x14ac:dyDescent="0.35">
      <c r="A20" s="3" t="s">
        <v>23</v>
      </c>
      <c r="B20" s="3">
        <f>AVERAGE(B4:B18)</f>
        <v>207.93333333333334</v>
      </c>
      <c r="C20" s="3">
        <f>AVERAGE(C4:C18)</f>
        <v>197</v>
      </c>
      <c r="D20" s="3">
        <f>AVERAGE(D4:D18)</f>
        <v>10.933333333333334</v>
      </c>
    </row>
    <row r="21" spans="1:14" x14ac:dyDescent="0.35">
      <c r="A21" s="3" t="s">
        <v>24</v>
      </c>
      <c r="B21" s="3">
        <f>STDEV(B4:B18)</f>
        <v>28.561879356599654</v>
      </c>
      <c r="C21" s="3">
        <f>STDEV(C4:C18)</f>
        <v>24.392621835300936</v>
      </c>
      <c r="D21" s="3">
        <f>STDEV(D4:D18)</f>
        <v>6.3298235889056711</v>
      </c>
    </row>
    <row r="23" spans="1:14" x14ac:dyDescent="0.35">
      <c r="F23" t="s">
        <v>37</v>
      </c>
    </row>
    <row r="24" spans="1:14" x14ac:dyDescent="0.35">
      <c r="A24" s="2" t="s">
        <v>1</v>
      </c>
      <c r="B24" s="2" t="s">
        <v>2</v>
      </c>
      <c r="C24" s="2" t="s">
        <v>3</v>
      </c>
      <c r="D24" s="2" t="s">
        <v>63</v>
      </c>
    </row>
    <row r="25" spans="1:14" ht="15" thickBot="1" x14ac:dyDescent="0.4">
      <c r="A25" s="3">
        <v>1</v>
      </c>
      <c r="B25" s="3">
        <v>210</v>
      </c>
      <c r="C25" s="3">
        <v>197</v>
      </c>
      <c r="D25" s="3">
        <f>IF(ISNUMBER(B25),IF(ISNUMBER(C25),B25-C25,""),"")</f>
        <v>13</v>
      </c>
      <c r="F25" t="s">
        <v>38</v>
      </c>
      <c r="I25" t="s">
        <v>39</v>
      </c>
      <c r="J25">
        <v>0.05</v>
      </c>
      <c r="L25" t="s">
        <v>40</v>
      </c>
      <c r="M25">
        <v>0</v>
      </c>
    </row>
    <row r="26" spans="1:14" ht="15" thickTop="1" x14ac:dyDescent="0.35">
      <c r="A26" s="3">
        <f>A25+1</f>
        <v>2</v>
      </c>
      <c r="B26" s="3">
        <v>205</v>
      </c>
      <c r="C26" s="3">
        <v>195</v>
      </c>
      <c r="D26" s="3">
        <f>IF(ISNUMBER(B26),IF(ISNUMBER(C26),B26-C26,""),"")</f>
        <v>10</v>
      </c>
      <c r="F26" s="12" t="s">
        <v>41</v>
      </c>
      <c r="G26" s="12" t="s">
        <v>42</v>
      </c>
      <c r="H26" s="12" t="s">
        <v>7</v>
      </c>
      <c r="I26" s="12" t="s">
        <v>43</v>
      </c>
      <c r="J26" s="12" t="s">
        <v>44</v>
      </c>
      <c r="K26" s="12" t="s">
        <v>45</v>
      </c>
      <c r="L26" s="12" t="s">
        <v>17</v>
      </c>
      <c r="M26" s="12" t="s">
        <v>46</v>
      </c>
      <c r="N26" s="12" t="s">
        <v>47</v>
      </c>
    </row>
    <row r="27" spans="1:14" x14ac:dyDescent="0.35">
      <c r="A27" s="3">
        <f t="shared" ref="A27:A39" si="2">A26+1</f>
        <v>3</v>
      </c>
      <c r="B27" s="3">
        <v>193</v>
      </c>
      <c r="C27" s="3">
        <v>191</v>
      </c>
      <c r="D27" s="3">
        <f>IF(ISNUMBER(B27),IF(ISNUMBER(C27),B27-C27,""),"")</f>
        <v>2</v>
      </c>
      <c r="F27" t="str">
        <f>B24</f>
        <v>Before</v>
      </c>
      <c r="G27">
        <f>SUMPRODUCT(ISNUMBER(B25:B39)*ISNUMBER(C25:C39))</f>
        <v>12</v>
      </c>
      <c r="H27">
        <f>SUMPRODUCT(ISNUMBER(B25:B39)*ISNUMBER(C25:C39),B25:B39)/G27</f>
        <v>207.08333333333334</v>
      </c>
      <c r="I27">
        <f>SQRT(SUMPRODUCT(ISNUMBER(B25:B39)*ISNUMBER(C25:C39),(B25:B39-H27)^2)/(G27-1))</f>
        <v>24.981659939510291</v>
      </c>
    </row>
    <row r="28" spans="1:14" x14ac:dyDescent="0.35">
      <c r="A28" s="3">
        <f t="shared" si="2"/>
        <v>4</v>
      </c>
      <c r="B28" s="3">
        <v>182</v>
      </c>
      <c r="C28" s="3">
        <v>174</v>
      </c>
      <c r="D28" s="3">
        <f t="shared" ref="D28:D39" si="3">IF(ISNUMBER(B28),IF(ISNUMBER(C28),B28-C28,""),"")</f>
        <v>8</v>
      </c>
      <c r="F28" t="str">
        <f>C24</f>
        <v>After</v>
      </c>
      <c r="G28">
        <f>G27</f>
        <v>12</v>
      </c>
      <c r="H28">
        <f>SUMPRODUCT(ISNUMBER(B25:B39)*ISNUMBER(C25:C39),C25:C39)/G28</f>
        <v>197.16666666666666</v>
      </c>
      <c r="I28">
        <f>SQRT(SUMPRODUCT(ISNUMBER(B25:B39)*ISNUMBER(C25:C39),(C25:C39-H28)^2)/(G28-1))</f>
        <v>21.758314328647852</v>
      </c>
    </row>
    <row r="29" spans="1:14" x14ac:dyDescent="0.35">
      <c r="A29" s="3">
        <f t="shared" si="2"/>
        <v>5</v>
      </c>
      <c r="B29" s="3">
        <v>259</v>
      </c>
      <c r="C29" s="3"/>
      <c r="D29" s="3" t="str">
        <f t="shared" si="3"/>
        <v/>
      </c>
      <c r="F29" s="13" t="s">
        <v>4</v>
      </c>
      <c r="G29" s="13">
        <f>G28</f>
        <v>12</v>
      </c>
      <c r="H29" s="13">
        <f>H27-H28</f>
        <v>9.9166666666666856</v>
      </c>
      <c r="I29" s="13">
        <f>SQRT(SUMPRODUCT(ISNUMBER(B25:B39)*ISNUMBER(C25:C39),(B25:B39-C25:C39-H29)^2)/(G29-1))</f>
        <v>5.8068663640294815</v>
      </c>
      <c r="J29" s="13">
        <f>I29/SQRT(G29)</f>
        <v>1.6762979292103024</v>
      </c>
      <c r="K29" s="13">
        <f>(H27-H28-M25)/J29</f>
        <v>5.915813945638166</v>
      </c>
      <c r="L29" s="13">
        <f>G29-1</f>
        <v>11</v>
      </c>
      <c r="M29" s="13">
        <f>ABS(H27-H28-M25)/I29</f>
        <v>1.7077483869949686</v>
      </c>
      <c r="N29" s="13">
        <f>SQRT(K29^2/(K29^2+L29))</f>
        <v>0.87226900264819296</v>
      </c>
    </row>
    <row r="30" spans="1:14" x14ac:dyDescent="0.35">
      <c r="A30" s="3">
        <f t="shared" si="2"/>
        <v>6</v>
      </c>
      <c r="B30" s="3">
        <v>239</v>
      </c>
      <c r="C30" s="3">
        <v>226</v>
      </c>
      <c r="D30" s="3">
        <f t="shared" si="3"/>
        <v>13</v>
      </c>
    </row>
    <row r="31" spans="1:14" ht="15" thickBot="1" x14ac:dyDescent="0.4">
      <c r="A31" s="3">
        <f t="shared" si="2"/>
        <v>7</v>
      </c>
      <c r="B31" s="3"/>
      <c r="C31" s="3"/>
      <c r="D31" s="3" t="str">
        <f t="shared" si="3"/>
        <v/>
      </c>
      <c r="F31" t="s">
        <v>49</v>
      </c>
    </row>
    <row r="32" spans="1:14" ht="15" thickTop="1" x14ac:dyDescent="0.35">
      <c r="A32" s="3">
        <f t="shared" si="2"/>
        <v>8</v>
      </c>
      <c r="B32" s="3">
        <v>197</v>
      </c>
      <c r="C32" s="3">
        <v>196</v>
      </c>
      <c r="D32" s="3">
        <f t="shared" si="3"/>
        <v>1</v>
      </c>
      <c r="F32" s="12" t="s">
        <v>50</v>
      </c>
      <c r="G32" s="12" t="s">
        <v>33</v>
      </c>
      <c r="H32" s="12" t="s">
        <v>34</v>
      </c>
      <c r="I32" s="12" t="s">
        <v>51</v>
      </c>
      <c r="J32" s="12" t="s">
        <v>52</v>
      </c>
      <c r="K32" s="12" t="s">
        <v>53</v>
      </c>
    </row>
    <row r="33" spans="1:14" x14ac:dyDescent="0.35">
      <c r="A33" s="3">
        <f t="shared" si="2"/>
        <v>9</v>
      </c>
      <c r="B33" s="3">
        <v>222</v>
      </c>
      <c r="C33" s="3">
        <v>201</v>
      </c>
      <c r="D33" s="3">
        <f t="shared" si="3"/>
        <v>21</v>
      </c>
      <c r="F33" t="s">
        <v>54</v>
      </c>
      <c r="G33">
        <f>TDIST(ABS(K29),L29,1)</f>
        <v>5.0390875731102472E-5</v>
      </c>
      <c r="H33">
        <f>TINV(J25*2,L29)</f>
        <v>1.7958848187040437</v>
      </c>
      <c r="K33" s="3" t="str">
        <f>IF(G33&lt;J25,"yes","no")</f>
        <v>yes</v>
      </c>
    </row>
    <row r="34" spans="1:14" x14ac:dyDescent="0.35">
      <c r="A34" s="3">
        <f t="shared" si="2"/>
        <v>10</v>
      </c>
      <c r="B34" s="3"/>
      <c r="C34" s="3">
        <v>196</v>
      </c>
      <c r="D34" s="3" t="str">
        <f t="shared" si="3"/>
        <v/>
      </c>
      <c r="F34" t="s">
        <v>55</v>
      </c>
      <c r="G34">
        <f>TDIST(ABS(K29),L29,2)</f>
        <v>1.0078175146220494E-4</v>
      </c>
      <c r="H34">
        <f>TINV(J25,L29)</f>
        <v>2.2009851600916384</v>
      </c>
      <c r="I34">
        <f>(H27-H28)-J29*H34</f>
        <v>6.2271598005824664</v>
      </c>
      <c r="J34">
        <f>(H27-H28)+J29*H34</f>
        <v>13.606173532750905</v>
      </c>
      <c r="K34" s="3" t="str">
        <f>IF(G34&lt;J25,"yes","no")</f>
        <v>yes</v>
      </c>
    </row>
    <row r="35" spans="1:14" x14ac:dyDescent="0.35">
      <c r="A35" s="3">
        <f t="shared" si="2"/>
        <v>11</v>
      </c>
      <c r="B35" s="3">
        <v>187</v>
      </c>
      <c r="C35" s="3">
        <v>181</v>
      </c>
      <c r="D35" s="3">
        <f t="shared" si="3"/>
        <v>6</v>
      </c>
      <c r="F35" s="13"/>
      <c r="G35" s="13"/>
      <c r="H35" s="13"/>
      <c r="I35" s="13"/>
      <c r="J35" s="13"/>
      <c r="K35" s="13"/>
    </row>
    <row r="36" spans="1:14" x14ac:dyDescent="0.35">
      <c r="A36" s="3">
        <f t="shared" si="2"/>
        <v>12</v>
      </c>
      <c r="B36" s="3">
        <v>175</v>
      </c>
      <c r="C36" s="3">
        <v>164</v>
      </c>
      <c r="D36" s="3">
        <f t="shared" si="3"/>
        <v>11</v>
      </c>
    </row>
    <row r="37" spans="1:14" x14ac:dyDescent="0.35">
      <c r="A37" s="3">
        <f t="shared" si="2"/>
        <v>13</v>
      </c>
      <c r="B37" s="3">
        <v>186</v>
      </c>
      <c r="C37" s="3">
        <v>181</v>
      </c>
      <c r="D37" s="3">
        <f t="shared" si="3"/>
        <v>5</v>
      </c>
      <c r="F37" t="s">
        <v>37</v>
      </c>
    </row>
    <row r="38" spans="1:14" x14ac:dyDescent="0.35">
      <c r="A38" s="3">
        <f t="shared" si="2"/>
        <v>14</v>
      </c>
      <c r="B38" s="3">
        <v>243</v>
      </c>
      <c r="C38" s="3">
        <v>229</v>
      </c>
      <c r="D38" s="3">
        <f t="shared" si="3"/>
        <v>14</v>
      </c>
    </row>
    <row r="39" spans="1:14" ht="15" thickBot="1" x14ac:dyDescent="0.4">
      <c r="A39" s="10">
        <f t="shared" si="2"/>
        <v>15</v>
      </c>
      <c r="B39" s="10">
        <v>246</v>
      </c>
      <c r="C39" s="10">
        <v>231</v>
      </c>
      <c r="D39" s="10">
        <f t="shared" si="3"/>
        <v>15</v>
      </c>
      <c r="F39" t="s">
        <v>38</v>
      </c>
      <c r="I39" t="s">
        <v>39</v>
      </c>
      <c r="J39">
        <v>0.05</v>
      </c>
      <c r="L39" t="s">
        <v>40</v>
      </c>
      <c r="M39">
        <v>0</v>
      </c>
    </row>
    <row r="40" spans="1:14" ht="15" thickTop="1" x14ac:dyDescent="0.35">
      <c r="F40" s="12" t="s">
        <v>41</v>
      </c>
      <c r="G40" s="12" t="s">
        <v>42</v>
      </c>
      <c r="H40" s="12" t="s">
        <v>7</v>
      </c>
      <c r="I40" s="12" t="s">
        <v>43</v>
      </c>
      <c r="J40" s="12" t="s">
        <v>44</v>
      </c>
      <c r="K40" s="12" t="s">
        <v>45</v>
      </c>
      <c r="L40" s="12" t="s">
        <v>17</v>
      </c>
      <c r="M40" s="12" t="s">
        <v>46</v>
      </c>
      <c r="N40" s="12" t="s">
        <v>47</v>
      </c>
    </row>
    <row r="41" spans="1:14" x14ac:dyDescent="0.35">
      <c r="A41" s="3" t="s">
        <v>23</v>
      </c>
      <c r="B41" s="3">
        <f>AVERAGE(B25:B39)</f>
        <v>211.07692307692307</v>
      </c>
      <c r="C41" s="3">
        <f>AVERAGE(C25:C39)</f>
        <v>197.07692307692307</v>
      </c>
      <c r="D41" s="3">
        <f>AVERAGE(D25:D39)</f>
        <v>9.9166666666666661</v>
      </c>
      <c r="F41" t="str">
        <f>B24</f>
        <v>Before</v>
      </c>
      <c r="G41">
        <f>SUMPRODUCT(ISNUMBER(B25:B39)*ISNUMBER(C25:C39))</f>
        <v>12</v>
      </c>
      <c r="H41">
        <f>SUMPRODUCT(ISNUMBER(B25:B39)*ISNUMBER(C25:C39),B25:B39)/G41</f>
        <v>207.08333333333334</v>
      </c>
      <c r="I41">
        <f>SQRT(SUMPRODUCT(ISNUMBER(B25:B39)*ISNUMBER(C25:C39),(B25:B39-H41)^2)/(G41-1))</f>
        <v>24.981659939510291</v>
      </c>
    </row>
    <row r="42" spans="1:14" x14ac:dyDescent="0.35">
      <c r="A42" s="3" t="s">
        <v>24</v>
      </c>
      <c r="B42" s="3">
        <f>STDEV(B25:B39)</f>
        <v>27.917919987174191</v>
      </c>
      <c r="C42" s="3">
        <f>STDEV(C25:C39)</f>
        <v>20.834512787126123</v>
      </c>
      <c r="D42" s="3">
        <f>STDEV(D25:D39)</f>
        <v>5.8068663640294815</v>
      </c>
      <c r="F42" t="str">
        <f>C24</f>
        <v>After</v>
      </c>
      <c r="G42">
        <f>G41</f>
        <v>12</v>
      </c>
      <c r="H42">
        <f>SUMPRODUCT(ISNUMBER(B25:B39)*ISNUMBER(C25:C39),C25:C39)/G42</f>
        <v>197.16666666666666</v>
      </c>
      <c r="I42">
        <f>SQRT(SUMPRODUCT(ISNUMBER(B25:B39)*ISNUMBER(C25:C39),(C25:C39-H42)^2)/(G42-1))</f>
        <v>21.758314328647852</v>
      </c>
    </row>
    <row r="43" spans="1:14" x14ac:dyDescent="0.35">
      <c r="F43" s="13" t="s">
        <v>4</v>
      </c>
      <c r="G43" s="13">
        <f>G42</f>
        <v>12</v>
      </c>
      <c r="H43" s="13">
        <f>H41-H42</f>
        <v>9.9166666666666856</v>
      </c>
      <c r="I43" s="13">
        <f>SQRT(SUMPRODUCT(ISNUMBER(B25:B39)*ISNUMBER(C25:C39),(B25:B39-C25:C39-H43)^2)/(G43-1))</f>
        <v>5.8068663640294815</v>
      </c>
      <c r="J43" s="13">
        <f>I43/SQRT(G43)</f>
        <v>1.6762979292103024</v>
      </c>
      <c r="K43" s="13">
        <f>(H41-H42-M39)/J43</f>
        <v>5.915813945638166</v>
      </c>
      <c r="L43" s="13">
        <f>G43-1</f>
        <v>11</v>
      </c>
      <c r="M43" s="13">
        <f>ABS(H41-H42-M39)/I43</f>
        <v>1.7077483869949686</v>
      </c>
      <c r="N43" s="13">
        <f>SQRT(K43^2/(K43^2+L43))</f>
        <v>0.87226900264819296</v>
      </c>
    </row>
    <row r="45" spans="1:14" ht="15" thickBot="1" x14ac:dyDescent="0.4">
      <c r="F45" t="s">
        <v>49</v>
      </c>
    </row>
    <row r="46" spans="1:14" ht="15" thickTop="1" x14ac:dyDescent="0.35">
      <c r="F46" s="12" t="s">
        <v>50</v>
      </c>
      <c r="G46" s="12" t="s">
        <v>33</v>
      </c>
      <c r="H46" s="12" t="s">
        <v>34</v>
      </c>
      <c r="I46" s="12" t="s">
        <v>51</v>
      </c>
      <c r="J46" s="12" t="s">
        <v>52</v>
      </c>
      <c r="K46" s="12" t="s">
        <v>53</v>
      </c>
    </row>
    <row r="47" spans="1:14" x14ac:dyDescent="0.35">
      <c r="F47" t="s">
        <v>54</v>
      </c>
      <c r="G47">
        <f>_xlfn.T.DIST.RT(ABS(K43),L43)</f>
        <v>5.0390875731102472E-5</v>
      </c>
      <c r="H47">
        <f>_xlfn.T.INV.2T(J39*2,L43)</f>
        <v>1.7958848187040437</v>
      </c>
      <c r="K47" s="3" t="str">
        <f>IF(G47&lt;J39,"yes","no")</f>
        <v>yes</v>
      </c>
    </row>
    <row r="48" spans="1:14" x14ac:dyDescent="0.35">
      <c r="F48" t="s">
        <v>55</v>
      </c>
      <c r="G48">
        <f>_xlfn.T.DIST.2T(ABS(K43),L43)</f>
        <v>1.0078175146220494E-4</v>
      </c>
      <c r="H48">
        <f>_xlfn.T.INV.2T(J39,L43)</f>
        <v>2.2009851600916384</v>
      </c>
      <c r="I48">
        <f>(H41-H42)-J43*H48</f>
        <v>6.2271598005824664</v>
      </c>
      <c r="J48">
        <f>(H41-H42)+J43*H48</f>
        <v>13.606173532750905</v>
      </c>
      <c r="K48" s="3" t="str">
        <f>IF(G48&lt;J39,"yes","no")</f>
        <v>yes</v>
      </c>
    </row>
    <row r="49" spans="6:11" x14ac:dyDescent="0.35">
      <c r="F49" s="13"/>
      <c r="G49" s="13"/>
      <c r="H49" s="13"/>
      <c r="I49" s="13"/>
      <c r="J49" s="13"/>
      <c r="K49" s="1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A9B1-D71F-4C2C-AC3F-8C98136C17A2}">
  <sheetPr codeName="Sheet30"/>
  <dimension ref="A1:G16"/>
  <sheetViews>
    <sheetView workbookViewId="0"/>
  </sheetViews>
  <sheetFormatPr defaultRowHeight="14.5" x14ac:dyDescent="0.35"/>
  <cols>
    <col min="2" max="2" width="11" customWidth="1"/>
    <col min="4" max="4" width="6.54296875" customWidth="1"/>
    <col min="5" max="5" width="27.08984375" customWidth="1"/>
    <col min="6" max="6" width="10.453125" customWidth="1"/>
  </cols>
  <sheetData>
    <row r="1" spans="1:7" x14ac:dyDescent="0.35">
      <c r="A1" s="1" t="s">
        <v>64</v>
      </c>
      <c r="B1" s="3"/>
    </row>
    <row r="2" spans="1:7" x14ac:dyDescent="0.35">
      <c r="A2" s="3"/>
      <c r="B2" s="3"/>
    </row>
    <row r="3" spans="1:7" x14ac:dyDescent="0.35">
      <c r="E3" t="s">
        <v>5</v>
      </c>
    </row>
    <row r="4" spans="1:7" ht="15" thickBot="1" x14ac:dyDescent="0.4">
      <c r="A4" s="21" t="s">
        <v>65</v>
      </c>
      <c r="B4" s="21" t="s">
        <v>66</v>
      </c>
      <c r="C4" s="21" t="s">
        <v>67</v>
      </c>
    </row>
    <row r="5" spans="1:7" x14ac:dyDescent="0.35">
      <c r="A5" s="22">
        <v>1</v>
      </c>
      <c r="B5" s="23">
        <v>23</v>
      </c>
      <c r="C5" s="23">
        <v>0</v>
      </c>
      <c r="E5" s="4"/>
      <c r="F5" s="4" t="s">
        <v>66</v>
      </c>
      <c r="G5" s="4" t="s">
        <v>67</v>
      </c>
    </row>
    <row r="6" spans="1:7" x14ac:dyDescent="0.35">
      <c r="A6" s="22">
        <f t="shared" ref="A6:A16" si="0">A5+1</f>
        <v>2</v>
      </c>
      <c r="B6" s="23">
        <v>15</v>
      </c>
      <c r="C6" s="23">
        <f>C5</f>
        <v>0</v>
      </c>
      <c r="E6" t="s">
        <v>7</v>
      </c>
      <c r="F6">
        <v>4.666666666666667</v>
      </c>
      <c r="G6">
        <v>0</v>
      </c>
    </row>
    <row r="7" spans="1:7" x14ac:dyDescent="0.35">
      <c r="A7" s="22">
        <f t="shared" si="0"/>
        <v>3</v>
      </c>
      <c r="B7" s="23">
        <v>-5</v>
      </c>
      <c r="C7" s="23">
        <f t="shared" ref="C7:C15" si="1">C6</f>
        <v>0</v>
      </c>
      <c r="E7" t="s">
        <v>9</v>
      </c>
      <c r="F7">
        <v>124.42424242424244</v>
      </c>
      <c r="G7">
        <v>0</v>
      </c>
    </row>
    <row r="8" spans="1:7" x14ac:dyDescent="0.35">
      <c r="A8" s="22">
        <f t="shared" si="0"/>
        <v>4</v>
      </c>
      <c r="B8" s="23">
        <v>7</v>
      </c>
      <c r="C8" s="23">
        <f t="shared" si="1"/>
        <v>0</v>
      </c>
      <c r="E8" t="s">
        <v>11</v>
      </c>
      <c r="F8">
        <v>12</v>
      </c>
      <c r="G8">
        <v>12</v>
      </c>
    </row>
    <row r="9" spans="1:7" x14ac:dyDescent="0.35">
      <c r="A9" s="22">
        <f t="shared" si="0"/>
        <v>5</v>
      </c>
      <c r="B9" s="23">
        <v>1</v>
      </c>
      <c r="C9" s="23">
        <f t="shared" si="1"/>
        <v>0</v>
      </c>
      <c r="E9" t="s">
        <v>13</v>
      </c>
      <c r="F9" t="e">
        <v>#DIV/0!</v>
      </c>
    </row>
    <row r="10" spans="1:7" x14ac:dyDescent="0.35">
      <c r="A10" s="22">
        <f t="shared" si="0"/>
        <v>6</v>
      </c>
      <c r="B10" s="23">
        <v>-10</v>
      </c>
      <c r="C10" s="23">
        <f t="shared" si="1"/>
        <v>0</v>
      </c>
      <c r="E10" t="s">
        <v>15</v>
      </c>
      <c r="F10">
        <v>0</v>
      </c>
    </row>
    <row r="11" spans="1:7" x14ac:dyDescent="0.35">
      <c r="A11" s="22">
        <f t="shared" si="0"/>
        <v>7</v>
      </c>
      <c r="B11" s="23">
        <v>12</v>
      </c>
      <c r="C11" s="23">
        <f t="shared" si="1"/>
        <v>0</v>
      </c>
      <c r="E11" t="s">
        <v>17</v>
      </c>
      <c r="F11">
        <v>11</v>
      </c>
    </row>
    <row r="12" spans="1:7" x14ac:dyDescent="0.35">
      <c r="A12" s="22">
        <f t="shared" si="0"/>
        <v>8</v>
      </c>
      <c r="B12" s="23">
        <v>-8</v>
      </c>
      <c r="C12" s="23">
        <f t="shared" si="1"/>
        <v>0</v>
      </c>
      <c r="E12" t="s">
        <v>18</v>
      </c>
      <c r="F12">
        <v>1.4492553137533359</v>
      </c>
    </row>
    <row r="13" spans="1:7" x14ac:dyDescent="0.35">
      <c r="A13" s="22">
        <f t="shared" si="0"/>
        <v>9</v>
      </c>
      <c r="B13" s="23">
        <v>20</v>
      </c>
      <c r="C13" s="23">
        <f t="shared" si="1"/>
        <v>0</v>
      </c>
      <c r="E13" t="s">
        <v>19</v>
      </c>
      <c r="F13">
        <v>8.758472781818466E-2</v>
      </c>
    </row>
    <row r="14" spans="1:7" x14ac:dyDescent="0.35">
      <c r="A14" s="22">
        <f t="shared" si="0"/>
        <v>10</v>
      </c>
      <c r="B14" s="23">
        <v>8</v>
      </c>
      <c r="C14" s="23">
        <f t="shared" si="1"/>
        <v>0</v>
      </c>
      <c r="E14" t="s">
        <v>20</v>
      </c>
      <c r="F14">
        <v>1.7958848142321888</v>
      </c>
    </row>
    <row r="15" spans="1:7" x14ac:dyDescent="0.35">
      <c r="A15" s="22">
        <f t="shared" si="0"/>
        <v>11</v>
      </c>
      <c r="B15" s="23">
        <v>-2</v>
      </c>
      <c r="C15" s="23">
        <f t="shared" si="1"/>
        <v>0</v>
      </c>
      <c r="E15" t="s">
        <v>21</v>
      </c>
      <c r="F15">
        <v>0.17516945563636932</v>
      </c>
    </row>
    <row r="16" spans="1:7" ht="15" thickBot="1" x14ac:dyDescent="0.4">
      <c r="A16" s="24">
        <f t="shared" si="0"/>
        <v>12</v>
      </c>
      <c r="B16" s="25">
        <v>-5</v>
      </c>
      <c r="C16" s="25">
        <f>C15</f>
        <v>0</v>
      </c>
      <c r="E16" s="9" t="s">
        <v>22</v>
      </c>
      <c r="F16" s="9">
        <v>2.2009851587218421</v>
      </c>
      <c r="G1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Paired Test</vt:lpstr>
      <vt:lpstr>Missing</vt:lpstr>
      <vt:lpstr>One 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2022-06-04T12:46:24Z</dcterms:created>
  <dcterms:modified xsi:type="dcterms:W3CDTF">2022-06-05T15:53:23Z</dcterms:modified>
</cp:coreProperties>
</file>