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7C4F887-901B-438D-A6D1-89D87DCED1D6}" xr6:coauthVersionLast="47" xr6:coauthVersionMax="47" xr10:uidLastSave="{00000000-0000-0000-0000-000000000000}"/>
  <bookViews>
    <workbookView xWindow="-110" yWindow="-110" windowWidth="19420" windowHeight="10300" xr2:uid="{D3731406-DFB4-45D4-93A3-25BE4D090BA5}"/>
  </bookViews>
  <sheets>
    <sheet name="Title" sheetId="1" r:id="rId1"/>
    <sheet name="Example 1" sheetId="2" r:id="rId2"/>
    <sheet name="Example 2" sheetId="3" r:id="rId3"/>
    <sheet name="Extra Example" sheetId="4" r:id="rId4"/>
  </sheets>
  <externalReferences>
    <externalReference r:id="rId5"/>
    <externalReference r:id="rId6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E54" i="4"/>
  <c r="E53" i="4"/>
  <c r="E52" i="4"/>
  <c r="E48" i="4"/>
  <c r="E47" i="4"/>
  <c r="E46" i="4"/>
  <c r="E45" i="4"/>
  <c r="J35" i="4"/>
  <c r="I35" i="4"/>
  <c r="J34" i="4"/>
  <c r="I34" i="4"/>
  <c r="O52" i="3"/>
  <c r="N52" i="3"/>
  <c r="N51" i="3"/>
  <c r="Y19" i="2"/>
  <c r="X19" i="2"/>
  <c r="Y18" i="2"/>
  <c r="X18" i="2"/>
  <c r="AG13" i="2"/>
  <c r="AE13" i="2"/>
  <c r="AG12" i="2"/>
  <c r="AE12" i="2"/>
  <c r="AG11" i="2"/>
  <c r="AE11" i="2"/>
  <c r="AG10" i="2"/>
  <c r="AE10" i="2"/>
  <c r="AG6" i="2"/>
  <c r="AG5" i="2"/>
  <c r="E41" i="4"/>
  <c r="E40" i="4"/>
  <c r="J32" i="4"/>
  <c r="H30" i="4"/>
  <c r="J30" i="4" s="1"/>
  <c r="H29" i="4"/>
  <c r="J29" i="4" s="1"/>
  <c r="H24" i="4"/>
  <c r="G24" i="4"/>
  <c r="F24" i="4"/>
  <c r="E24" i="4"/>
  <c r="H23" i="4"/>
  <c r="F34" i="4" s="1"/>
  <c r="G23" i="4"/>
  <c r="F23" i="4"/>
  <c r="H25" i="4" s="1"/>
  <c r="F29" i="4" s="1"/>
  <c r="E23" i="4"/>
  <c r="B17" i="4"/>
  <c r="A17" i="4"/>
  <c r="B16" i="4"/>
  <c r="A16" i="4"/>
  <c r="B15" i="4"/>
  <c r="A15" i="4"/>
  <c r="M11" i="4"/>
  <c r="L11" i="4"/>
  <c r="M10" i="4"/>
  <c r="L10" i="4"/>
  <c r="M9" i="4"/>
  <c r="L9" i="4"/>
  <c r="M8" i="4"/>
  <c r="L8" i="4"/>
  <c r="M7" i="4"/>
  <c r="M6" i="4"/>
  <c r="L6" i="4"/>
  <c r="L7" i="4" s="1"/>
  <c r="M5" i="4"/>
  <c r="L5" i="4"/>
  <c r="O49" i="3"/>
  <c r="O51" i="3" s="1"/>
  <c r="M41" i="3"/>
  <c r="L41" i="3"/>
  <c r="K41" i="3"/>
  <c r="J41" i="3"/>
  <c r="M40" i="3"/>
  <c r="L40" i="3"/>
  <c r="K40" i="3"/>
  <c r="M42" i="3" s="1"/>
  <c r="K46" i="3" s="1"/>
  <c r="K47" i="3" s="1"/>
  <c r="J40" i="3"/>
  <c r="D5" i="3"/>
  <c r="D6" i="3" s="1"/>
  <c r="D7" i="3" s="1"/>
  <c r="D8" i="3" s="1"/>
  <c r="M18" i="2"/>
  <c r="L18" i="2"/>
  <c r="B18" i="2"/>
  <c r="A18" i="2"/>
  <c r="B17" i="2"/>
  <c r="A17" i="2"/>
  <c r="Y16" i="2"/>
  <c r="M16" i="2"/>
  <c r="M17" i="2" s="1" a="1"/>
  <c r="M17" i="2" s="1"/>
  <c r="M10" i="2" s="1"/>
  <c r="L16" i="2"/>
  <c r="L9" i="2" s="1"/>
  <c r="B16" i="2"/>
  <c r="A16" i="2"/>
  <c r="M15" i="2"/>
  <c r="L15" i="2"/>
  <c r="M14" i="2"/>
  <c r="M8" i="2" s="1"/>
  <c r="L14" i="2"/>
  <c r="L13" i="2" s="1" a="1"/>
  <c r="L13" i="2" s="1"/>
  <c r="W13" i="2"/>
  <c r="W14" i="2" s="1"/>
  <c r="Y14" i="2" s="1"/>
  <c r="W9" i="2"/>
  <c r="X9" i="2" s="1"/>
  <c r="W8" i="2"/>
  <c r="V8" i="2"/>
  <c r="U8" i="2"/>
  <c r="T8" i="2"/>
  <c r="L8" i="2"/>
  <c r="W7" i="2"/>
  <c r="W18" i="2" s="1"/>
  <c r="W19" i="2" s="1"/>
  <c r="V7" i="2"/>
  <c r="V18" i="2" s="1"/>
  <c r="U7" i="2"/>
  <c r="U18" i="2" s="1"/>
  <c r="U19" i="2" s="1"/>
  <c r="T7" i="2"/>
  <c r="AE6" i="2"/>
  <c r="AE5" i="2"/>
  <c r="M5" i="2"/>
  <c r="L5" i="2"/>
  <c r="K51" i="3" l="1"/>
  <c r="K52" i="3" s="1"/>
  <c r="AB18" i="2"/>
  <c r="Z19" i="2"/>
  <c r="AA19" i="2"/>
  <c r="L7" i="2"/>
  <c r="F35" i="4"/>
  <c r="G34" i="4"/>
  <c r="N42" i="3"/>
  <c r="V19" i="2"/>
  <c r="AC18" i="2"/>
  <c r="AC19" i="2" s="1"/>
  <c r="G29" i="4"/>
  <c r="F30" i="4"/>
  <c r="I25" i="4"/>
  <c r="Y13" i="2"/>
  <c r="M46" i="3"/>
  <c r="H34" i="4"/>
  <c r="L17" i="2" a="1"/>
  <c r="L17" i="2" s="1"/>
  <c r="L10" i="2" s="1"/>
  <c r="M51" i="3"/>
  <c r="K30" i="4"/>
  <c r="M13" i="2" a="1"/>
  <c r="M13" i="2" s="1"/>
  <c r="L30" i="4"/>
  <c r="L46" i="3"/>
  <c r="M9" i="2"/>
  <c r="U13" i="2"/>
  <c r="L51" i="3" l="1"/>
  <c r="L52" i="3" s="1"/>
  <c r="M34" i="4"/>
  <c r="AB19" i="2"/>
  <c r="R51" i="3"/>
  <c r="V13" i="2"/>
  <c r="U14" i="2"/>
  <c r="N34" i="4"/>
  <c r="N35" i="4" s="1"/>
  <c r="G35" i="4"/>
  <c r="H35" i="4"/>
  <c r="M6" i="2"/>
  <c r="S51" i="3"/>
  <c r="S52" i="3" s="1"/>
  <c r="L20" i="2"/>
  <c r="O46" i="3"/>
  <c r="M47" i="3"/>
  <c r="O47" i="3" s="1"/>
  <c r="S46" i="3"/>
  <c r="S47" i="3" s="1"/>
  <c r="N46" i="3"/>
  <c r="R46" i="3" s="1"/>
  <c r="L47" i="3"/>
  <c r="M52" i="3"/>
  <c r="M7" i="2"/>
  <c r="G30" i="4"/>
  <c r="I30" i="4" s="1"/>
  <c r="M30" i="4" s="1"/>
  <c r="N29" i="4"/>
  <c r="N30" i="4" s="1"/>
  <c r="I29" i="4"/>
  <c r="M29" i="4" s="1"/>
  <c r="K35" i="4" l="1"/>
  <c r="L35" i="4"/>
  <c r="M35" i="4"/>
  <c r="Q52" i="3"/>
  <c r="P52" i="3"/>
  <c r="R52" i="3"/>
  <c r="Z14" i="2"/>
  <c r="AA14" i="2"/>
  <c r="Q47" i="3"/>
  <c r="P47" i="3"/>
  <c r="AC13" i="2"/>
  <c r="AC14" i="2" s="1"/>
  <c r="X13" i="2"/>
  <c r="AB13" i="2" s="1"/>
  <c r="V14" i="2"/>
  <c r="X14" i="2" s="1"/>
  <c r="AB14" i="2" s="1"/>
  <c r="M11" i="2"/>
  <c r="L11" i="2"/>
  <c r="L6" i="2"/>
  <c r="N47" i="3"/>
  <c r="R47" i="3" s="1"/>
</calcChain>
</file>

<file path=xl/sharedStrings.xml><?xml version="1.0" encoding="utf-8"?>
<sst xmlns="http://schemas.openxmlformats.org/spreadsheetml/2006/main" count="282" uniqueCount="85">
  <si>
    <t>T test: two independent samples</t>
  </si>
  <si>
    <t>New</t>
  </si>
  <si>
    <t>Old</t>
  </si>
  <si>
    <t>Box Plot</t>
  </si>
  <si>
    <t>t-Test: Two-Sample Assuming Equal Variances</t>
  </si>
  <si>
    <t>T Test: Two Independent Samples</t>
  </si>
  <si>
    <t>T.TEST</t>
  </si>
  <si>
    <t>SUMMARY</t>
  </si>
  <si>
    <t>Hyp Mean Diff</t>
  </si>
  <si>
    <t>Min</t>
  </si>
  <si>
    <t>Mean</t>
  </si>
  <si>
    <t>Groups</t>
  </si>
  <si>
    <t>Count</t>
  </si>
  <si>
    <t>Variance</t>
  </si>
  <si>
    <t>Cohen d</t>
  </si>
  <si>
    <t>Q1-Min</t>
  </si>
  <si>
    <t>Med-Q1</t>
  </si>
  <si>
    <t>Observations</t>
  </si>
  <si>
    <t>Pooled values</t>
  </si>
  <si>
    <t>Q3-Med</t>
  </si>
  <si>
    <t>Pooled Variance</t>
  </si>
  <si>
    <t>Pooled</t>
  </si>
  <si>
    <t>Max-Q3</t>
  </si>
  <si>
    <t>Hypothesized Mean Difference</t>
  </si>
  <si>
    <t>df</t>
  </si>
  <si>
    <t>T TEST: Equal Variances</t>
  </si>
  <si>
    <t>Alpha</t>
  </si>
  <si>
    <t>t Stat</t>
  </si>
  <si>
    <t xml:space="preserve"> </t>
  </si>
  <si>
    <t>std err</t>
  </si>
  <si>
    <t>t-stat</t>
  </si>
  <si>
    <t>p-value</t>
  </si>
  <si>
    <t>t-crit</t>
  </si>
  <si>
    <t>lower</t>
  </si>
  <si>
    <t>upper</t>
  </si>
  <si>
    <t>sig</t>
  </si>
  <si>
    <t>effect r</t>
  </si>
  <si>
    <t>P(T&lt;=t) one-tail</t>
  </si>
  <si>
    <t>One Tail</t>
  </si>
  <si>
    <t>Q1</t>
  </si>
  <si>
    <t>t Critical one-tail</t>
  </si>
  <si>
    <t>Two Tail</t>
  </si>
  <si>
    <t>Median</t>
  </si>
  <si>
    <t>P(T&lt;=t) two-tail</t>
  </si>
  <si>
    <t>size</t>
  </si>
  <si>
    <t>Q3</t>
  </si>
  <si>
    <t>t Critical two-tail</t>
  </si>
  <si>
    <t>T TEST: Unequal Variances</t>
  </si>
  <si>
    <t>mean</t>
  </si>
  <si>
    <t>Max</t>
  </si>
  <si>
    <t>variance</t>
  </si>
  <si>
    <t>t-Test: Two-Sample Assuming Unequal Variances</t>
  </si>
  <si>
    <t>Grand Min</t>
  </si>
  <si>
    <t>Control</t>
  </si>
  <si>
    <t>Drug</t>
  </si>
  <si>
    <t>Bins</t>
  </si>
  <si>
    <t>Frequency</t>
  </si>
  <si>
    <t>Standard Error</t>
  </si>
  <si>
    <t>Mode</t>
  </si>
  <si>
    <t>Standard Deviation</t>
  </si>
  <si>
    <t>More</t>
  </si>
  <si>
    <t>Sample Variance</t>
  </si>
  <si>
    <t>Kurtosis</t>
  </si>
  <si>
    <t>Skewness</t>
  </si>
  <si>
    <t>Range</t>
  </si>
  <si>
    <t>Minimum</t>
  </si>
  <si>
    <t>Maximum</t>
  </si>
  <si>
    <t>Sum</t>
  </si>
  <si>
    <t>TTEST</t>
  </si>
  <si>
    <t>=T.TEST(A4:A13,B4:B13,2,3)</t>
  </si>
  <si>
    <t>=T.TEST(A4:A13,B4:B13,2,2)</t>
  </si>
  <si>
    <t>Pooled values - equal sample size</t>
  </si>
  <si>
    <t>=VAR_POOLED(A4:A13,B4:B13)</t>
  </si>
  <si>
    <t>=STDEV_POOLED(A4:A13,B4:B13)</t>
  </si>
  <si>
    <t>=STDERR_POOLED(A4:A13,B4:B13)</t>
  </si>
  <si>
    <t>=DF_POOLED(A4:A13,B4:B13)</t>
  </si>
  <si>
    <t>Pooled values - unequal sample size</t>
  </si>
  <si>
    <t>=VAR_POOLED(A4:A13,B4:B12)</t>
  </si>
  <si>
    <t>=STDEV_POOLED(A4:A13,B4:B12)</t>
  </si>
  <si>
    <t>=STDERR_POOLED(A4:A13,B4:B12)</t>
  </si>
  <si>
    <t>=DF_POOLED(A4:A13,B4:B12)</t>
  </si>
  <si>
    <t>Real Statistics Using Excel</t>
  </si>
  <si>
    <t>Updated</t>
  </si>
  <si>
    <t>Copyright © 2013 - 2022 Charles Zaiontz</t>
  </si>
  <si>
    <t>Two Sample t-Test Equal 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</si>
</sst>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Continuous"/>
    </xf>
    <xf numFmtId="0" fontId="0" fillId="0" borderId="0" xfId="0" quotePrefix="1"/>
    <xf numFmtId="0" fontId="0" fillId="0" borderId="14" xfId="0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9" xfId="0" quotePrefix="1" applyBorder="1"/>
    <xf numFmtId="0" fontId="0" fillId="0" borderId="13" xfId="0" quotePrefix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1'!$K$6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1'!$L$6:$M$6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8-4394-8137-7AF2D970233A}"/>
            </c:ext>
          </c:extLst>
        </c:ser>
        <c:ser>
          <c:idx val="1"/>
          <c:order val="1"/>
          <c:tx>
            <c:strRef>
              <c:f>'Example 1'!$K$7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1'!$L$7:$M$7</c:f>
              <c:numCache>
                <c:formatCode>General</c:formatCode>
                <c:ptCount val="2"/>
                <c:pt idx="0">
                  <c:v>3.5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8-4394-8137-7AF2D970233A}"/>
            </c:ext>
          </c:extLst>
        </c:ser>
        <c:ser>
          <c:idx val="2"/>
          <c:order val="2"/>
          <c:tx>
            <c:strRef>
              <c:f>'Example 1'!$K$8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1'!$L$8:$M$8</c:f>
              <c:numCache>
                <c:formatCode>General</c:formatCode>
                <c:ptCount val="2"/>
                <c:pt idx="0">
                  <c:v>2.5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8-4394-8137-7AF2D970233A}"/>
            </c:ext>
          </c:extLst>
        </c:ser>
        <c:ser>
          <c:idx val="3"/>
          <c:order val="3"/>
          <c:tx>
            <c:strRef>
              <c:f>'Example 1'!$K$9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 1'!$L$10:$M$10</c:f>
                <c:numCache>
                  <c:formatCode>General</c:formatCode>
                  <c:ptCount val="2"/>
                  <c:pt idx="0">
                    <c:v>2.5</c:v>
                  </c:pt>
                  <c:pt idx="1">
                    <c:v>4.5</c:v>
                  </c:pt>
                </c:numCache>
              </c:numRef>
            </c:plus>
          </c:errBars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1'!$L$9:$M$9</c:f>
              <c:numCache>
                <c:formatCode>General</c:formatCode>
                <c:ptCount val="2"/>
                <c:pt idx="0">
                  <c:v>2.5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8-4394-8137-7AF2D970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67648"/>
        <c:axId val="13267353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'Example 1'!$L$11:$M$11</c:f>
              <c:numCache>
                <c:formatCode>General</c:formatCode>
                <c:ptCount val="2"/>
                <c:pt idx="0">
                  <c:v>14.909090909090908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8-4394-8137-7AF2D970233A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'Example 1'!$B$14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38-4394-8137-7AF2D970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67648"/>
        <c:axId val="132673536"/>
      </c:scatterChart>
      <c:catAx>
        <c:axId val="132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73536"/>
        <c:crosses val="autoZero"/>
        <c:auto val="1"/>
        <c:lblAlgn val="ctr"/>
        <c:lblOffset val="100"/>
        <c:noMultiLvlLbl val="0"/>
      </c:catAx>
      <c:valAx>
        <c:axId val="1326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Control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'Example 2'!$N$4:$N$9</c:f>
              <c:strCache>
                <c:ptCount val="6"/>
                <c:pt idx="0">
                  <c:v>10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  <c:pt idx="5">
                  <c:v>More</c:v>
                </c:pt>
              </c:strCache>
            </c:strRef>
          </c:cat>
          <c:val>
            <c:numRef>
              <c:f>'Example 2'!$O$4:$O$9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4A2-B063-B0B92A11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22688"/>
        <c:axId val="132724608"/>
      </c:barChart>
      <c:catAx>
        <c:axId val="1327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2724608"/>
        <c:crosses val="autoZero"/>
        <c:auto val="1"/>
        <c:lblAlgn val="ctr"/>
        <c:lblOffset val="100"/>
        <c:noMultiLvlLbl val="0"/>
      </c:catAx>
      <c:valAx>
        <c:axId val="132724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2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Drug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'Example 2'!$N$16:$N$21</c:f>
              <c:strCache>
                <c:ptCount val="6"/>
                <c:pt idx="0">
                  <c:v>10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  <c:pt idx="5">
                  <c:v>More</c:v>
                </c:pt>
              </c:strCache>
            </c:strRef>
          </c:cat>
          <c:val>
            <c:numRef>
              <c:f>'Example 2'!$O$16:$O$21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1-48E3-8B3D-B51AED12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57376"/>
        <c:axId val="132771840"/>
      </c:barChart>
      <c:catAx>
        <c:axId val="1327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2771840"/>
        <c:crosses val="autoZero"/>
        <c:auto val="1"/>
        <c:lblAlgn val="ctr"/>
        <c:lblOffset val="100"/>
        <c:noMultiLvlLbl val="0"/>
      </c:catAx>
      <c:valAx>
        <c:axId val="13277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5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'Extra Example'!$K$6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'Extra Example'!$L$5:$M$5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'Extra Example'!$L$6:$M$6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F-4121-93EE-B1F24FCE6707}"/>
            </c:ext>
          </c:extLst>
        </c:ser>
        <c:ser>
          <c:idx val="1"/>
          <c:order val="1"/>
          <c:tx>
            <c:strRef>
              <c:f>'Extra Example'!$K$7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'Extra Example'!$L$5:$M$5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'Extra Example'!$L$7:$M$7</c:f>
              <c:numCache>
                <c:formatCode>General</c:formatCode>
                <c:ptCount val="2"/>
                <c:pt idx="0">
                  <c:v>7.75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F-4121-93EE-B1F24FCE6707}"/>
            </c:ext>
          </c:extLst>
        </c:ser>
        <c:ser>
          <c:idx val="2"/>
          <c:order val="2"/>
          <c:tx>
            <c:strRef>
              <c:f>'Extra Example'!$K$8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'Extra Example'!$L$5:$M$5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'Extra Example'!$L$8:$M$8</c:f>
              <c:numCache>
                <c:formatCode>General</c:formatCode>
                <c:ptCount val="2"/>
                <c:pt idx="0">
                  <c:v>10.75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F-4121-93EE-B1F24FCE6707}"/>
            </c:ext>
          </c:extLst>
        </c:ser>
        <c:ser>
          <c:idx val="3"/>
          <c:order val="3"/>
          <c:tx>
            <c:strRef>
              <c:f>'Extra Example'!$K$9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'Extra Example'!$L$10:$M$10</c:f>
                <c:numCache>
                  <c:formatCode>General</c:formatCode>
                  <c:ptCount val="2"/>
                  <c:pt idx="0">
                    <c:v>12.75</c:v>
                  </c:pt>
                  <c:pt idx="1">
                    <c:v>4.5</c:v>
                  </c:pt>
                </c:numCache>
              </c:numRef>
            </c:plus>
          </c:errBars>
          <c:cat>
            <c:strRef>
              <c:f>'Extra Example'!$L$5:$M$5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'Extra Example'!$L$9:$M$9</c:f>
              <c:numCache>
                <c:formatCode>General</c:formatCode>
                <c:ptCount val="2"/>
                <c:pt idx="0">
                  <c:v>6.75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F-4121-93EE-B1F24FCE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46176"/>
        <c:axId val="13296435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'Extra Example'!$L$11:$M$11</c:f>
              <c:numCache>
                <c:formatCode>General</c:formatCode>
                <c:ptCount val="2"/>
                <c:pt idx="0">
                  <c:v>19.8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5F-4121-93EE-B1F24FCE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6176"/>
        <c:axId val="132964352"/>
      </c:scatterChart>
      <c:catAx>
        <c:axId val="1329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64352"/>
        <c:crosses val="autoZero"/>
        <c:auto val="1"/>
        <c:lblAlgn val="ctr"/>
        <c:lblOffset val="100"/>
        <c:noMultiLvlLbl val="0"/>
      </c:catAx>
      <c:valAx>
        <c:axId val="1329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4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379412</xdr:colOff>
      <xdr:row>1</xdr:row>
      <xdr:rowOff>176212</xdr:rowOff>
    </xdr:from>
    <xdr:to>
      <xdr:col>9</xdr:col>
      <xdr:colOff>409575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B5F79-A374-4D6E-AC93-93F1FC08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0</xdr:rowOff>
    </xdr:from>
    <xdr:to>
      <xdr:col>22</xdr:col>
      <xdr:colOff>9525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40167B-6232-4930-B06E-8C72F7A38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600075</xdr:colOff>
      <xdr:row>13</xdr:row>
      <xdr:rowOff>190500</xdr:rowOff>
    </xdr:from>
    <xdr:to>
      <xdr:col>21</xdr:col>
      <xdr:colOff>600075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076072-664B-4DCE-BE02-4E0FD7CA8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80961</xdr:colOff>
      <xdr:row>2</xdr:row>
      <xdr:rowOff>42862</xdr:rowOff>
    </xdr:from>
    <xdr:to>
      <xdr:col>9</xdr:col>
      <xdr:colOff>542924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CF24DE-CEBD-4F65-BDF7-08DF96D7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0">
          <cell r="B20">
            <v>-4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5">
          <cell r="L5" t="str">
            <v>New</v>
          </cell>
          <cell r="M5" t="str">
            <v>Old</v>
          </cell>
        </row>
        <row r="6">
          <cell r="K6" t="str">
            <v>Min</v>
          </cell>
          <cell r="L6">
            <v>9</v>
          </cell>
          <cell r="M6">
            <v>4</v>
          </cell>
        </row>
        <row r="7">
          <cell r="K7" t="str">
            <v>Q1-Min</v>
          </cell>
          <cell r="L7">
            <v>3.5</v>
          </cell>
          <cell r="M7">
            <v>4.5</v>
          </cell>
        </row>
        <row r="8">
          <cell r="K8" t="str">
            <v>Med-Q1</v>
          </cell>
          <cell r="L8">
            <v>2.5</v>
          </cell>
          <cell r="M8">
            <v>3</v>
          </cell>
        </row>
        <row r="9">
          <cell r="K9" t="str">
            <v>Q3-Med</v>
          </cell>
          <cell r="L9">
            <v>2.5</v>
          </cell>
          <cell r="M9">
            <v>2</v>
          </cell>
        </row>
        <row r="10">
          <cell r="L10">
            <v>2.5</v>
          </cell>
          <cell r="M10">
            <v>4.5</v>
          </cell>
        </row>
        <row r="11">
          <cell r="L11">
            <v>14.909090909090908</v>
          </cell>
          <cell r="M11">
            <v>11.1</v>
          </cell>
        </row>
      </sheetData>
      <sheetData sheetId="108">
        <row r="4">
          <cell r="N4">
            <v>10</v>
          </cell>
          <cell r="O4">
            <v>0</v>
          </cell>
        </row>
        <row r="5">
          <cell r="N5">
            <v>13</v>
          </cell>
          <cell r="O5">
            <v>1</v>
          </cell>
        </row>
        <row r="6">
          <cell r="N6">
            <v>16</v>
          </cell>
          <cell r="O6">
            <v>3</v>
          </cell>
        </row>
        <row r="7">
          <cell r="N7">
            <v>19</v>
          </cell>
          <cell r="O7">
            <v>3</v>
          </cell>
        </row>
        <row r="8">
          <cell r="N8">
            <v>22</v>
          </cell>
          <cell r="O8">
            <v>3</v>
          </cell>
        </row>
        <row r="9">
          <cell r="N9" t="str">
            <v>More</v>
          </cell>
          <cell r="O9">
            <v>2</v>
          </cell>
        </row>
        <row r="16">
          <cell r="N16">
            <v>10</v>
          </cell>
          <cell r="O16">
            <v>0</v>
          </cell>
        </row>
        <row r="17">
          <cell r="N17">
            <v>13</v>
          </cell>
          <cell r="O17">
            <v>2</v>
          </cell>
        </row>
        <row r="18">
          <cell r="N18">
            <v>16</v>
          </cell>
          <cell r="O18">
            <v>3</v>
          </cell>
        </row>
        <row r="19">
          <cell r="N19">
            <v>19</v>
          </cell>
          <cell r="O19">
            <v>2</v>
          </cell>
        </row>
        <row r="20">
          <cell r="N20">
            <v>22</v>
          </cell>
          <cell r="O20">
            <v>3</v>
          </cell>
        </row>
        <row r="21">
          <cell r="N21" t="str">
            <v>More</v>
          </cell>
          <cell r="O21">
            <v>2</v>
          </cell>
        </row>
      </sheetData>
      <sheetData sheetId="109">
        <row r="5">
          <cell r="L5" t="str">
            <v>New</v>
          </cell>
          <cell r="M5" t="str">
            <v>Old</v>
          </cell>
        </row>
        <row r="6">
          <cell r="K6" t="str">
            <v>Min</v>
          </cell>
          <cell r="L6">
            <v>2</v>
          </cell>
          <cell r="M6">
            <v>4</v>
          </cell>
        </row>
        <row r="7">
          <cell r="K7" t="str">
            <v>Q1-Min</v>
          </cell>
          <cell r="L7">
            <v>7.75</v>
          </cell>
          <cell r="M7">
            <v>4.5</v>
          </cell>
        </row>
        <row r="8">
          <cell r="K8" t="str">
            <v>Med-Q1</v>
          </cell>
          <cell r="L8">
            <v>10.75</v>
          </cell>
          <cell r="M8">
            <v>3</v>
          </cell>
        </row>
        <row r="9">
          <cell r="K9" t="str">
            <v>Q3-Med</v>
          </cell>
          <cell r="L9">
            <v>6.75</v>
          </cell>
          <cell r="M9">
            <v>2</v>
          </cell>
        </row>
        <row r="10">
          <cell r="L10">
            <v>12.75</v>
          </cell>
          <cell r="M10">
            <v>4.5</v>
          </cell>
        </row>
        <row r="11">
          <cell r="L11">
            <v>19.8</v>
          </cell>
          <cell r="M11">
            <v>11.1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4A33-C493-4A0B-8C12-6BE69BF87F87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81</v>
      </c>
    </row>
    <row r="2" spans="1:2" x14ac:dyDescent="0.35">
      <c r="A2" t="s">
        <v>84</v>
      </c>
    </row>
    <row r="4" spans="1:2" x14ac:dyDescent="0.35">
      <c r="A4" t="s">
        <v>82</v>
      </c>
      <c r="B4" s="31">
        <v>44726</v>
      </c>
    </row>
    <row r="6" spans="1:2" x14ac:dyDescent="0.35">
      <c r="A6" s="32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D121-CC85-4F6E-9523-855120861005}">
  <sheetPr codeName="Sheet60"/>
  <dimension ref="A1:AG31"/>
  <sheetViews>
    <sheetView topLeftCell="J1" workbookViewId="0"/>
  </sheetViews>
  <sheetFormatPr defaultRowHeight="14.5" x14ac:dyDescent="0.35"/>
  <cols>
    <col min="3" max="3" width="8.1796875" customWidth="1"/>
    <col min="11" max="11" width="10.453125" customWidth="1"/>
    <col min="15" max="15" width="18.26953125" customWidth="1"/>
    <col min="32" max="32" width="3.7265625" customWidth="1"/>
    <col min="33" max="33" width="36.1796875" customWidth="1"/>
  </cols>
  <sheetData>
    <row r="1" spans="1:33" x14ac:dyDescent="0.35">
      <c r="A1" s="1" t="s">
        <v>0</v>
      </c>
    </row>
    <row r="3" spans="1:33" x14ac:dyDescent="0.35">
      <c r="A3" s="2" t="s">
        <v>1</v>
      </c>
      <c r="B3" s="2" t="s">
        <v>2</v>
      </c>
      <c r="K3" t="s">
        <v>3</v>
      </c>
      <c r="O3" t="s">
        <v>4</v>
      </c>
      <c r="T3" t="s">
        <v>5</v>
      </c>
      <c r="AE3" t="s">
        <v>6</v>
      </c>
    </row>
    <row r="4" spans="1:33" ht="15" thickBot="1" x14ac:dyDescent="0.4">
      <c r="A4" s="3">
        <v>13</v>
      </c>
      <c r="B4" s="3">
        <v>12</v>
      </c>
    </row>
    <row r="5" spans="1:33" ht="15" thickBot="1" x14ac:dyDescent="0.4">
      <c r="A5" s="4">
        <v>17</v>
      </c>
      <c r="B5" s="4">
        <v>8</v>
      </c>
      <c r="L5" s="5" t="str">
        <f>A3</f>
        <v>New</v>
      </c>
      <c r="M5" s="5" t="str">
        <f>B3</f>
        <v>Old</v>
      </c>
      <c r="O5" s="6"/>
      <c r="P5" s="6" t="s">
        <v>1</v>
      </c>
      <c r="Q5" s="6" t="s">
        <v>2</v>
      </c>
      <c r="T5" t="s">
        <v>7</v>
      </c>
      <c r="W5" t="s">
        <v>8</v>
      </c>
      <c r="X5">
        <v>0</v>
      </c>
      <c r="AE5" s="7">
        <f>TTEST(A4:A14,B4:B14,2,3)</f>
        <v>4.2977447702173807E-2</v>
      </c>
      <c r="AG5" t="e">
        <f ca="1">FTEXT(AE5)</f>
        <v>#NAME?</v>
      </c>
    </row>
    <row r="6" spans="1:33" ht="15" thickTop="1" x14ac:dyDescent="0.35">
      <c r="A6" s="4">
        <v>19</v>
      </c>
      <c r="B6" s="4">
        <v>6</v>
      </c>
      <c r="K6" t="s">
        <v>9</v>
      </c>
      <c r="L6" s="8">
        <f>L13-$L20</f>
        <v>9</v>
      </c>
      <c r="M6" s="9">
        <f>M13-$L20</f>
        <v>4</v>
      </c>
      <c r="O6" t="s">
        <v>10</v>
      </c>
      <c r="P6">
        <v>14.909090909090908</v>
      </c>
      <c r="Q6">
        <v>11.1</v>
      </c>
      <c r="T6" s="10" t="s">
        <v>11</v>
      </c>
      <c r="U6" s="10" t="s">
        <v>12</v>
      </c>
      <c r="V6" s="10" t="s">
        <v>10</v>
      </c>
      <c r="W6" s="10" t="s">
        <v>13</v>
      </c>
      <c r="X6" s="10" t="s">
        <v>14</v>
      </c>
      <c r="AE6" s="11">
        <f>TTEST(A4:A14,B4:B14,2,2)</f>
        <v>4.0219171898502742E-2</v>
      </c>
      <c r="AG6" t="e">
        <f ca="1">FTEXT(AE6)</f>
        <v>#NAME?</v>
      </c>
    </row>
    <row r="7" spans="1:33" x14ac:dyDescent="0.35">
      <c r="A7" s="4">
        <v>10</v>
      </c>
      <c r="B7" s="4">
        <v>16</v>
      </c>
      <c r="K7" t="s">
        <v>15</v>
      </c>
      <c r="L7" s="12">
        <f>L14-L13</f>
        <v>3.5</v>
      </c>
      <c r="M7" s="13">
        <f>M14-M13</f>
        <v>4.5</v>
      </c>
      <c r="O7" t="s">
        <v>13</v>
      </c>
      <c r="P7">
        <v>12.8909090909091</v>
      </c>
      <c r="Q7">
        <v>18.766666666666676</v>
      </c>
      <c r="T7" t="str">
        <f>A3</f>
        <v>New</v>
      </c>
      <c r="U7">
        <f>COUNT(A4:A14)</f>
        <v>11</v>
      </c>
      <c r="V7">
        <f>AVERAGE(A4:A14)</f>
        <v>14.909090909090908</v>
      </c>
      <c r="W7">
        <f>VAR(A4:A14)</f>
        <v>12.8909090909091</v>
      </c>
    </row>
    <row r="8" spans="1:33" x14ac:dyDescent="0.35">
      <c r="A8" s="4">
        <v>20</v>
      </c>
      <c r="B8" s="4">
        <v>12</v>
      </c>
      <c r="K8" t="s">
        <v>16</v>
      </c>
      <c r="L8" s="12">
        <f t="shared" ref="L8:M10" si="0">L15-L14</f>
        <v>2.5</v>
      </c>
      <c r="M8" s="13">
        <f t="shared" si="0"/>
        <v>3</v>
      </c>
      <c r="O8" t="s">
        <v>17</v>
      </c>
      <c r="P8">
        <v>11</v>
      </c>
      <c r="Q8">
        <v>10</v>
      </c>
      <c r="T8" t="str">
        <f>B3</f>
        <v>Old</v>
      </c>
      <c r="U8">
        <f>COUNT(B4:B13)</f>
        <v>10</v>
      </c>
      <c r="V8">
        <f>AVERAGE(B4:B13)</f>
        <v>11.1</v>
      </c>
      <c r="W8">
        <f>VAR(B4:B13)</f>
        <v>18.766666666666676</v>
      </c>
      <c r="AE8" t="s">
        <v>18</v>
      </c>
    </row>
    <row r="9" spans="1:33" x14ac:dyDescent="0.35">
      <c r="A9" s="4">
        <v>15</v>
      </c>
      <c r="B9" s="4">
        <v>14</v>
      </c>
      <c r="K9" t="s">
        <v>19</v>
      </c>
      <c r="L9" s="12">
        <f t="shared" si="0"/>
        <v>2.5</v>
      </c>
      <c r="M9" s="13">
        <f t="shared" si="0"/>
        <v>2</v>
      </c>
      <c r="O9" t="s">
        <v>20</v>
      </c>
      <c r="P9">
        <v>15.674162679425846</v>
      </c>
      <c r="T9" s="14" t="s">
        <v>21</v>
      </c>
      <c r="U9" s="14"/>
      <c r="V9" s="14"/>
      <c r="W9" s="14">
        <f>((U7-1)*W7+(U8-1)*W8)/(U7+U8-2)</f>
        <v>15.674162679425846</v>
      </c>
      <c r="X9" s="14">
        <f>ABS(V7-V8-X5)/SQRT(W9)</f>
        <v>0.96211982330182055</v>
      </c>
    </row>
    <row r="10" spans="1:33" x14ac:dyDescent="0.35">
      <c r="A10" s="4">
        <v>18</v>
      </c>
      <c r="B10" s="4">
        <v>10</v>
      </c>
      <c r="K10" t="s">
        <v>22</v>
      </c>
      <c r="L10" s="12">
        <f t="shared" si="0"/>
        <v>2.5</v>
      </c>
      <c r="M10" s="13">
        <f t="shared" si="0"/>
        <v>4.5</v>
      </c>
      <c r="O10" t="s">
        <v>23</v>
      </c>
      <c r="P10">
        <v>0</v>
      </c>
      <c r="AE10" s="7" t="e">
        <f ca="1">VAR_POOLED(A4:A14,B4:B14)</f>
        <v>#NAME?</v>
      </c>
      <c r="AG10" t="e">
        <f ca="1">FTEXT(AE10)</f>
        <v>#NAME?</v>
      </c>
    </row>
    <row r="11" spans="1:33" ht="15" thickBot="1" x14ac:dyDescent="0.4">
      <c r="A11" s="4">
        <v>9</v>
      </c>
      <c r="B11" s="4">
        <v>18</v>
      </c>
      <c r="K11" t="s">
        <v>10</v>
      </c>
      <c r="L11" s="15">
        <f>L18-$L20</f>
        <v>14.909090909090908</v>
      </c>
      <c r="M11" s="16">
        <f>M18-$L20</f>
        <v>11.1</v>
      </c>
      <c r="O11" t="s">
        <v>24</v>
      </c>
      <c r="P11">
        <v>19</v>
      </c>
      <c r="T11" t="s">
        <v>25</v>
      </c>
      <c r="X11" t="s">
        <v>26</v>
      </c>
      <c r="Y11">
        <v>0.05</v>
      </c>
      <c r="AE11" s="17" t="e">
        <f ca="1">STDEV_POOLED(A4:A14,B4:B14)</f>
        <v>#NAME?</v>
      </c>
      <c r="AG11" t="e">
        <f ca="1">FTEXT(AE11)</f>
        <v>#NAME?</v>
      </c>
    </row>
    <row r="12" spans="1:33" ht="15" thickTop="1" x14ac:dyDescent="0.35">
      <c r="A12" s="4">
        <v>12</v>
      </c>
      <c r="B12" s="4">
        <v>4</v>
      </c>
      <c r="O12" t="s">
        <v>27</v>
      </c>
      <c r="P12">
        <v>2.2019926147419069</v>
      </c>
      <c r="T12" s="10" t="s">
        <v>28</v>
      </c>
      <c r="U12" s="10" t="s">
        <v>29</v>
      </c>
      <c r="V12" s="10" t="s">
        <v>30</v>
      </c>
      <c r="W12" s="10" t="s">
        <v>24</v>
      </c>
      <c r="X12" s="10" t="s">
        <v>31</v>
      </c>
      <c r="Y12" s="10" t="s">
        <v>32</v>
      </c>
      <c r="Z12" s="10" t="s">
        <v>33</v>
      </c>
      <c r="AA12" s="10" t="s">
        <v>34</v>
      </c>
      <c r="AB12" s="10" t="s">
        <v>35</v>
      </c>
      <c r="AC12" s="10" t="s">
        <v>36</v>
      </c>
      <c r="AE12" s="17" t="e">
        <f ca="1">STDERR_POOLED(A4:A14,B4:B13)</f>
        <v>#NAME?</v>
      </c>
      <c r="AG12" t="e">
        <f ca="1">FTEXT(AE12)</f>
        <v>#NAME?</v>
      </c>
    </row>
    <row r="13" spans="1:33" x14ac:dyDescent="0.35">
      <c r="A13" s="4">
        <v>15</v>
      </c>
      <c r="B13" s="4">
        <v>11</v>
      </c>
      <c r="K13" t="s">
        <v>9</v>
      </c>
      <c r="L13" s="8">
        <f t="array" ref="L13">MIN(IF(A4:A14&gt;=L14-3*(L16-L14)/2,A4:A14,""))</f>
        <v>9</v>
      </c>
      <c r="M13" s="9">
        <f t="array" ref="M13">MIN(IF(B4:B14&gt;=M14-3*(M16-M14)/2,B4:B14,""))</f>
        <v>4</v>
      </c>
      <c r="O13" t="s">
        <v>37</v>
      </c>
      <c r="P13">
        <v>2.0109585949251368E-2</v>
      </c>
      <c r="T13" t="s">
        <v>38</v>
      </c>
      <c r="U13">
        <f>SQRT(W9*(1/U7+1/U8))</f>
        <v>1.7298381854642904</v>
      </c>
      <c r="V13">
        <f>(ABS(V7-V8-X5))/U13</f>
        <v>2.2019926147419069</v>
      </c>
      <c r="W13">
        <f>U7+U8-2</f>
        <v>19</v>
      </c>
      <c r="X13">
        <f>TDIST(V13,W13,1)</f>
        <v>2.0109585949251368E-2</v>
      </c>
      <c r="Y13">
        <f>TINV(Y11*2,W13)</f>
        <v>1.7291328115213698</v>
      </c>
      <c r="AB13" s="4" t="str">
        <f>IF(X13&lt;Y11,"yes","no")</f>
        <v>yes</v>
      </c>
      <c r="AC13">
        <f>SQRT(V13^2/(V13^2+W13))</f>
        <v>0.45090271676761834</v>
      </c>
      <c r="AE13" s="11" t="e">
        <f ca="1">STDERR_POOLED(A4:A14,B4:B13,FALSE)</f>
        <v>#NAME?</v>
      </c>
      <c r="AG13" t="e">
        <f ca="1">FTEXT(AE13)</f>
        <v>#NAME?</v>
      </c>
    </row>
    <row r="14" spans="1:33" x14ac:dyDescent="0.35">
      <c r="A14" s="18">
        <v>16</v>
      </c>
      <c r="B14" s="18"/>
      <c r="K14" t="s">
        <v>39</v>
      </c>
      <c r="L14" s="12">
        <f>QUARTILE(A4:A14,1)</f>
        <v>12.5</v>
      </c>
      <c r="M14" s="13">
        <f>QUARTILE(B4:B14,1)</f>
        <v>8.5</v>
      </c>
      <c r="O14" t="s">
        <v>40</v>
      </c>
      <c r="P14">
        <v>1.7291328115213698</v>
      </c>
      <c r="T14" t="s">
        <v>41</v>
      </c>
      <c r="U14">
        <f>U13</f>
        <v>1.7298381854642904</v>
      </c>
      <c r="V14">
        <f>V13</f>
        <v>2.2019926147419069</v>
      </c>
      <c r="W14">
        <f>W13</f>
        <v>19</v>
      </c>
      <c r="X14">
        <f>TDIST(V14,W14,2)</f>
        <v>4.0219171898502735E-2</v>
      </c>
      <c r="Y14">
        <f>TINV(Y11,W14)</f>
        <v>2.0930240544083096</v>
      </c>
      <c r="Z14">
        <f>(V7-V8)-Y14*U14</f>
        <v>0.18849797668012602</v>
      </c>
      <c r="AA14">
        <f>(V7-V8)+Y14*U14</f>
        <v>7.4296838415016913</v>
      </c>
      <c r="AB14" s="4" t="str">
        <f>IF(X14&lt;Y11,"yes","no")</f>
        <v>yes</v>
      </c>
      <c r="AC14">
        <f>AC13</f>
        <v>0.45090271676761834</v>
      </c>
    </row>
    <row r="15" spans="1:33" x14ac:dyDescent="0.35">
      <c r="A15" s="4"/>
      <c r="B15" s="4"/>
      <c r="K15" t="s">
        <v>42</v>
      </c>
      <c r="L15" s="12">
        <f>MEDIAN(A4:A14)</f>
        <v>15</v>
      </c>
      <c r="M15" s="13">
        <f>MEDIAN(B4:B14)</f>
        <v>11.5</v>
      </c>
      <c r="O15" t="s">
        <v>43</v>
      </c>
      <c r="P15">
        <v>4.0219171898502735E-2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33" ht="15" thickBot="1" x14ac:dyDescent="0.4">
      <c r="A16" s="4">
        <f>COUNT(A4:A14)</f>
        <v>11</v>
      </c>
      <c r="B16" s="4">
        <f>COUNT(B4:B14)</f>
        <v>10</v>
      </c>
      <c r="C16" t="s">
        <v>44</v>
      </c>
      <c r="K16" t="s">
        <v>45</v>
      </c>
      <c r="L16" s="12">
        <f>QUARTILE(A4:A14,3)</f>
        <v>17.5</v>
      </c>
      <c r="M16" s="13">
        <f>QUARTILE(B4:B14,3)</f>
        <v>13.5</v>
      </c>
      <c r="O16" s="19" t="s">
        <v>46</v>
      </c>
      <c r="P16" s="19">
        <v>2.0930240544083096</v>
      </c>
      <c r="Q16" s="19"/>
      <c r="T16" t="s">
        <v>47</v>
      </c>
      <c r="X16" t="s">
        <v>26</v>
      </c>
      <c r="Y16">
        <f>Y11</f>
        <v>0.05</v>
      </c>
    </row>
    <row r="17" spans="1:29" ht="15" thickTop="1" x14ac:dyDescent="0.35">
      <c r="A17" s="4">
        <f>AVERAGE(A4:A14)</f>
        <v>14.909090909090908</v>
      </c>
      <c r="B17" s="4">
        <f>AVERAGE(B4:B14)</f>
        <v>11.1</v>
      </c>
      <c r="C17" t="s">
        <v>48</v>
      </c>
      <c r="K17" t="s">
        <v>49</v>
      </c>
      <c r="L17" s="12">
        <f t="array" ref="L17">MAX(IF(A4:A14&lt;=L16+3*(L16-L14)/2,A4:A14,""))</f>
        <v>20</v>
      </c>
      <c r="M17" s="13">
        <f t="array" ref="M17">MAX(IF(B4:B14&lt;=M16+3*(M16-M14)/2,B4:B14,""))</f>
        <v>18</v>
      </c>
      <c r="T17" s="10" t="s">
        <v>28</v>
      </c>
      <c r="U17" s="10" t="s">
        <v>29</v>
      </c>
      <c r="V17" s="10" t="s">
        <v>30</v>
      </c>
      <c r="W17" s="10" t="s">
        <v>24</v>
      </c>
      <c r="X17" s="10" t="s">
        <v>31</v>
      </c>
      <c r="Y17" s="10" t="s">
        <v>32</v>
      </c>
      <c r="Z17" s="10" t="s">
        <v>33</v>
      </c>
      <c r="AA17" s="10" t="s">
        <v>34</v>
      </c>
      <c r="AB17" s="10" t="s">
        <v>35</v>
      </c>
      <c r="AC17" s="10" t="s">
        <v>36</v>
      </c>
    </row>
    <row r="18" spans="1:29" x14ac:dyDescent="0.35">
      <c r="A18">
        <f>VAR(A4:A14)</f>
        <v>12.8909090909091</v>
      </c>
      <c r="B18">
        <f>VAR(B4:B14)</f>
        <v>18.766666666666676</v>
      </c>
      <c r="C18" t="s">
        <v>50</v>
      </c>
      <c r="K18" t="s">
        <v>10</v>
      </c>
      <c r="L18" s="15">
        <f>AVERAGE(A4:A14)</f>
        <v>14.909090909090908</v>
      </c>
      <c r="M18" s="16">
        <f>AVERAGE(B4:B14)</f>
        <v>11.1</v>
      </c>
      <c r="T18" t="s">
        <v>38</v>
      </c>
      <c r="U18">
        <f>SQRT(W7/U7+W8/U8)</f>
        <v>1.7460147459609123</v>
      </c>
      <c r="V18">
        <f>(ABS(V7-V8-X5))/U18</f>
        <v>2.1815914887904286</v>
      </c>
      <c r="W18">
        <f>(W7/U7+W8/U8)^2/((W7/U7)^2/(U7-1)+(W8/U8)^2/(U8-1))</f>
        <v>17.580019826042967</v>
      </c>
      <c r="X18" t="e">
        <f ca="1">T_DIST_RT(V18,W18)</f>
        <v>#NAME?</v>
      </c>
      <c r="Y18" t="e">
        <f ca="1">T_INV(1-Y16,W18)</f>
        <v>#NAME?</v>
      </c>
      <c r="AB18" s="4" t="e">
        <f ca="1">IF(X18&lt;Y16,"yes","no")</f>
        <v>#NAME?</v>
      </c>
      <c r="AC18">
        <f>SQRT(V18^2/(V18^2+W18))</f>
        <v>0.46157051137579624</v>
      </c>
    </row>
    <row r="19" spans="1:29" x14ac:dyDescent="0.35">
      <c r="O19" t="s">
        <v>51</v>
      </c>
      <c r="T19" t="s">
        <v>41</v>
      </c>
      <c r="U19">
        <f>U18</f>
        <v>1.7460147459609123</v>
      </c>
      <c r="V19">
        <f>V18</f>
        <v>2.1815914887904286</v>
      </c>
      <c r="W19">
        <f>W18</f>
        <v>17.580019826042967</v>
      </c>
      <c r="X19" t="e">
        <f ca="1">T_DIST_2T(V19,W19)</f>
        <v>#NAME?</v>
      </c>
      <c r="Y19" t="e">
        <f ca="1">T_INV_2T(Y16,W19)</f>
        <v>#NAME?</v>
      </c>
      <c r="Z19" t="e">
        <f ca="1">(V7-V8)-Y19*U19</f>
        <v>#NAME?</v>
      </c>
      <c r="AA19" t="e">
        <f ca="1">(V7-V8)+Y19*U19</f>
        <v>#NAME?</v>
      </c>
      <c r="AB19" s="4" t="e">
        <f ca="1">IF(X19&lt;Y16,"yes","no")</f>
        <v>#NAME?</v>
      </c>
      <c r="AC19">
        <f>AC18</f>
        <v>0.46157051137579624</v>
      </c>
    </row>
    <row r="20" spans="1:29" ht="15" thickBot="1" x14ac:dyDescent="0.4">
      <c r="K20" t="s">
        <v>52</v>
      </c>
      <c r="L20" s="20">
        <f>IF(MIN(L13:M13)&gt;=0,0,MIN(L13:M13))</f>
        <v>0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x14ac:dyDescent="0.35">
      <c r="O21" s="6"/>
      <c r="P21" s="6" t="s">
        <v>1</v>
      </c>
      <c r="Q21" s="6" t="s">
        <v>2</v>
      </c>
    </row>
    <row r="22" spans="1:29" x14ac:dyDescent="0.35">
      <c r="O22" t="s">
        <v>10</v>
      </c>
      <c r="P22">
        <v>14.909090909090908</v>
      </c>
      <c r="Q22">
        <v>11.1</v>
      </c>
    </row>
    <row r="23" spans="1:29" x14ac:dyDescent="0.35">
      <c r="O23" t="s">
        <v>13</v>
      </c>
      <c r="P23">
        <v>12.8909090909091</v>
      </c>
      <c r="Q23">
        <v>18.766666666666676</v>
      </c>
    </row>
    <row r="24" spans="1:29" x14ac:dyDescent="0.35">
      <c r="O24" t="s">
        <v>17</v>
      </c>
      <c r="P24">
        <v>11</v>
      </c>
      <c r="Q24">
        <v>10</v>
      </c>
    </row>
    <row r="25" spans="1:29" x14ac:dyDescent="0.35">
      <c r="O25" t="s">
        <v>23</v>
      </c>
      <c r="P25">
        <v>0</v>
      </c>
    </row>
    <row r="26" spans="1:29" x14ac:dyDescent="0.35">
      <c r="O26" t="s">
        <v>24</v>
      </c>
      <c r="P26">
        <v>18</v>
      </c>
    </row>
    <row r="27" spans="1:29" x14ac:dyDescent="0.35">
      <c r="O27" t="s">
        <v>27</v>
      </c>
      <c r="P27">
        <v>2.1815914887904286</v>
      </c>
    </row>
    <row r="28" spans="1:29" x14ac:dyDescent="0.35">
      <c r="O28" t="s">
        <v>37</v>
      </c>
      <c r="P28">
        <v>2.1321125482647356E-2</v>
      </c>
    </row>
    <row r="29" spans="1:29" x14ac:dyDescent="0.35">
      <c r="O29" t="s">
        <v>40</v>
      </c>
      <c r="P29">
        <v>1.7340636066175394</v>
      </c>
    </row>
    <row r="30" spans="1:29" x14ac:dyDescent="0.35">
      <c r="O30" t="s">
        <v>43</v>
      </c>
      <c r="P30">
        <v>4.2642250965294712E-2</v>
      </c>
    </row>
    <row r="31" spans="1:29" ht="15" thickBot="1" x14ac:dyDescent="0.4">
      <c r="O31" s="19" t="s">
        <v>46</v>
      </c>
      <c r="P31" s="19">
        <v>2.1009220402410378</v>
      </c>
      <c r="Q31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1C58-09C9-42FD-814B-EB51F788CBEF}">
  <sheetPr codeName="Sheet27"/>
  <dimension ref="A1:T53"/>
  <sheetViews>
    <sheetView zoomScaleNormal="100" workbookViewId="0">
      <selection activeCell="X1" sqref="X1:BA1048576"/>
    </sheetView>
  </sheetViews>
  <sheetFormatPr defaultRowHeight="14.5" x14ac:dyDescent="0.35"/>
  <cols>
    <col min="3" max="3" width="5.7265625" customWidth="1"/>
    <col min="5" max="5" width="5.81640625" customWidth="1"/>
    <col min="6" max="6" width="28.453125" customWidth="1"/>
    <col min="8" max="8" width="10.1796875" customWidth="1"/>
    <col min="10" max="10" width="28.26953125" customWidth="1"/>
    <col min="12" max="13" width="9.81640625" customWidth="1"/>
    <col min="17" max="17" width="9.81640625" customWidth="1"/>
  </cols>
  <sheetData>
    <row r="1" spans="1:15" x14ac:dyDescent="0.35">
      <c r="A1" s="1" t="s">
        <v>0</v>
      </c>
    </row>
    <row r="2" spans="1:15" ht="15" thickBot="1" x14ac:dyDescent="0.4"/>
    <row r="3" spans="1:15" x14ac:dyDescent="0.35">
      <c r="A3" s="21" t="s">
        <v>53</v>
      </c>
      <c r="B3" s="21" t="s">
        <v>54</v>
      </c>
      <c r="C3" s="22"/>
      <c r="D3" s="22" t="s">
        <v>55</v>
      </c>
      <c r="F3" s="23" t="s">
        <v>53</v>
      </c>
      <c r="G3" s="23"/>
      <c r="J3" s="23" t="s">
        <v>54</v>
      </c>
      <c r="K3" s="23"/>
      <c r="N3" s="6" t="s">
        <v>55</v>
      </c>
      <c r="O3" s="6" t="s">
        <v>56</v>
      </c>
    </row>
    <row r="4" spans="1:15" x14ac:dyDescent="0.35">
      <c r="A4">
        <v>23</v>
      </c>
      <c r="B4">
        <v>16</v>
      </c>
      <c r="D4">
        <v>10</v>
      </c>
      <c r="N4">
        <v>10</v>
      </c>
      <c r="O4">
        <v>0</v>
      </c>
    </row>
    <row r="5" spans="1:15" x14ac:dyDescent="0.35">
      <c r="A5">
        <v>15</v>
      </c>
      <c r="B5">
        <v>21</v>
      </c>
      <c r="D5">
        <f>D4+3</f>
        <v>13</v>
      </c>
      <c r="F5" t="s">
        <v>10</v>
      </c>
      <c r="G5">
        <v>18.5</v>
      </c>
      <c r="J5" t="s">
        <v>10</v>
      </c>
      <c r="K5">
        <v>18.333333333333332</v>
      </c>
      <c r="N5">
        <v>13</v>
      </c>
      <c r="O5">
        <v>1</v>
      </c>
    </row>
    <row r="6" spans="1:15" x14ac:dyDescent="0.35">
      <c r="A6">
        <v>16</v>
      </c>
      <c r="B6">
        <v>16</v>
      </c>
      <c r="D6">
        <f>D5+3</f>
        <v>16</v>
      </c>
      <c r="F6" t="s">
        <v>57</v>
      </c>
      <c r="G6">
        <v>1.1247895426040888</v>
      </c>
      <c r="J6" t="s">
        <v>57</v>
      </c>
      <c r="K6">
        <v>1.2206141855225954</v>
      </c>
      <c r="N6">
        <v>16</v>
      </c>
      <c r="O6">
        <v>3</v>
      </c>
    </row>
    <row r="7" spans="1:15" x14ac:dyDescent="0.35">
      <c r="A7">
        <v>25</v>
      </c>
      <c r="B7">
        <v>11</v>
      </c>
      <c r="D7">
        <f>D6+3</f>
        <v>19</v>
      </c>
      <c r="F7" t="s">
        <v>42</v>
      </c>
      <c r="G7">
        <v>18.5</v>
      </c>
      <c r="J7" t="s">
        <v>42</v>
      </c>
      <c r="K7">
        <v>18.5</v>
      </c>
      <c r="N7">
        <v>19</v>
      </c>
      <c r="O7">
        <v>3</v>
      </c>
    </row>
    <row r="8" spans="1:15" x14ac:dyDescent="0.35">
      <c r="A8">
        <v>20</v>
      </c>
      <c r="B8">
        <v>24</v>
      </c>
      <c r="D8">
        <f>D7+3</f>
        <v>22</v>
      </c>
      <c r="F8" t="s">
        <v>58</v>
      </c>
      <c r="G8" t="e">
        <v>#N/A</v>
      </c>
      <c r="J8" t="s">
        <v>58</v>
      </c>
      <c r="K8">
        <v>16</v>
      </c>
      <c r="N8">
        <v>22</v>
      </c>
      <c r="O8">
        <v>3</v>
      </c>
    </row>
    <row r="9" spans="1:15" ht="15" thickBot="1" x14ac:dyDescent="0.4">
      <c r="A9">
        <v>17</v>
      </c>
      <c r="B9">
        <v>21</v>
      </c>
      <c r="F9" t="s">
        <v>59</v>
      </c>
      <c r="G9">
        <v>3.8963852712248799</v>
      </c>
      <c r="J9" t="s">
        <v>59</v>
      </c>
      <c r="K9">
        <v>4.2283315715288774</v>
      </c>
      <c r="N9" s="19" t="s">
        <v>60</v>
      </c>
      <c r="O9" s="19">
        <v>2</v>
      </c>
    </row>
    <row r="10" spans="1:15" x14ac:dyDescent="0.35">
      <c r="A10">
        <v>18</v>
      </c>
      <c r="B10">
        <v>18</v>
      </c>
      <c r="F10" t="s">
        <v>61</v>
      </c>
      <c r="G10">
        <v>15.181818181818182</v>
      </c>
      <c r="J10" t="s">
        <v>61</v>
      </c>
      <c r="K10">
        <v>17.878787878787865</v>
      </c>
    </row>
    <row r="11" spans="1:15" x14ac:dyDescent="0.35">
      <c r="A11">
        <v>14</v>
      </c>
      <c r="B11">
        <v>15</v>
      </c>
      <c r="F11" t="s">
        <v>62</v>
      </c>
      <c r="G11">
        <v>-0.76628061242783874</v>
      </c>
      <c r="J11" t="s">
        <v>62</v>
      </c>
      <c r="K11">
        <v>-0.96305774202815364</v>
      </c>
    </row>
    <row r="12" spans="1:15" x14ac:dyDescent="0.35">
      <c r="A12">
        <v>12</v>
      </c>
      <c r="B12">
        <v>19</v>
      </c>
      <c r="F12" t="s">
        <v>63</v>
      </c>
      <c r="G12">
        <v>1.2111523905001707E-17</v>
      </c>
      <c r="J12" t="s">
        <v>63</v>
      </c>
      <c r="K12">
        <v>-0.22671922756757223</v>
      </c>
    </row>
    <row r="13" spans="1:15" x14ac:dyDescent="0.35">
      <c r="A13">
        <v>19</v>
      </c>
      <c r="B13">
        <v>22</v>
      </c>
      <c r="F13" t="s">
        <v>64</v>
      </c>
      <c r="G13">
        <v>13</v>
      </c>
      <c r="J13" t="s">
        <v>64</v>
      </c>
      <c r="K13">
        <v>13</v>
      </c>
    </row>
    <row r="14" spans="1:15" ht="15" thickBot="1" x14ac:dyDescent="0.4">
      <c r="A14">
        <v>21</v>
      </c>
      <c r="B14">
        <v>13</v>
      </c>
      <c r="F14" t="s">
        <v>65</v>
      </c>
      <c r="G14">
        <v>12</v>
      </c>
      <c r="J14" t="s">
        <v>65</v>
      </c>
      <c r="K14">
        <v>11</v>
      </c>
    </row>
    <row r="15" spans="1:15" x14ac:dyDescent="0.35">
      <c r="A15" s="25">
        <v>22</v>
      </c>
      <c r="B15" s="25">
        <v>24</v>
      </c>
      <c r="F15" t="s">
        <v>66</v>
      </c>
      <c r="G15">
        <v>25</v>
      </c>
      <c r="J15" t="s">
        <v>66</v>
      </c>
      <c r="K15">
        <v>24</v>
      </c>
      <c r="N15" s="6" t="s">
        <v>55</v>
      </c>
      <c r="O15" s="6" t="s">
        <v>56</v>
      </c>
    </row>
    <row r="16" spans="1:15" x14ac:dyDescent="0.35">
      <c r="F16" t="s">
        <v>67</v>
      </c>
      <c r="G16">
        <v>222</v>
      </c>
      <c r="J16" t="s">
        <v>67</v>
      </c>
      <c r="K16">
        <v>220</v>
      </c>
      <c r="N16">
        <v>10</v>
      </c>
      <c r="O16">
        <v>0</v>
      </c>
    </row>
    <row r="17" spans="6:15" ht="15" thickBot="1" x14ac:dyDescent="0.4">
      <c r="F17" s="19" t="s">
        <v>12</v>
      </c>
      <c r="G17" s="19">
        <v>12</v>
      </c>
      <c r="J17" s="19" t="s">
        <v>12</v>
      </c>
      <c r="K17" s="19">
        <v>12</v>
      </c>
      <c r="N17">
        <v>13</v>
      </c>
      <c r="O17">
        <v>2</v>
      </c>
    </row>
    <row r="18" spans="6:15" x14ac:dyDescent="0.35">
      <c r="N18">
        <v>16</v>
      </c>
      <c r="O18">
        <v>3</v>
      </c>
    </row>
    <row r="19" spans="6:15" x14ac:dyDescent="0.35">
      <c r="N19">
        <v>19</v>
      </c>
      <c r="O19">
        <v>2</v>
      </c>
    </row>
    <row r="20" spans="6:15" x14ac:dyDescent="0.35">
      <c r="F20" t="s">
        <v>4</v>
      </c>
      <c r="J20" t="s">
        <v>51</v>
      </c>
      <c r="N20">
        <v>22</v>
      </c>
      <c r="O20">
        <v>3</v>
      </c>
    </row>
    <row r="21" spans="6:15" ht="15" thickBot="1" x14ac:dyDescent="0.4">
      <c r="N21" s="19" t="s">
        <v>60</v>
      </c>
      <c r="O21" s="19">
        <v>2</v>
      </c>
    </row>
    <row r="22" spans="6:15" x14ac:dyDescent="0.35">
      <c r="F22" s="6"/>
      <c r="G22" s="6" t="s">
        <v>53</v>
      </c>
      <c r="H22" s="6" t="s">
        <v>54</v>
      </c>
      <c r="J22" s="6"/>
      <c r="K22" s="6" t="s">
        <v>53</v>
      </c>
      <c r="L22" s="6" t="s">
        <v>54</v>
      </c>
      <c r="M22" s="5"/>
    </row>
    <row r="23" spans="6:15" x14ac:dyDescent="0.35">
      <c r="F23" t="s">
        <v>10</v>
      </c>
      <c r="G23">
        <v>18.5</v>
      </c>
      <c r="H23">
        <v>18.333333333333332</v>
      </c>
      <c r="J23" t="s">
        <v>10</v>
      </c>
      <c r="K23">
        <v>18.5</v>
      </c>
      <c r="L23">
        <v>18.333333333333332</v>
      </c>
    </row>
    <row r="24" spans="6:15" x14ac:dyDescent="0.35">
      <c r="F24" t="s">
        <v>13</v>
      </c>
      <c r="G24">
        <v>15.181818181818182</v>
      </c>
      <c r="H24">
        <v>17.878787878787865</v>
      </c>
      <c r="J24" t="s">
        <v>13</v>
      </c>
      <c r="K24">
        <v>15.181818181818182</v>
      </c>
      <c r="L24">
        <v>17.878787878787865</v>
      </c>
    </row>
    <row r="25" spans="6:15" x14ac:dyDescent="0.35">
      <c r="F25" t="s">
        <v>17</v>
      </c>
      <c r="G25">
        <v>12</v>
      </c>
      <c r="H25">
        <v>12</v>
      </c>
      <c r="J25" t="s">
        <v>17</v>
      </c>
      <c r="K25">
        <v>12</v>
      </c>
      <c r="L25">
        <v>12</v>
      </c>
    </row>
    <row r="26" spans="6:15" x14ac:dyDescent="0.35">
      <c r="F26" t="s">
        <v>20</v>
      </c>
      <c r="G26">
        <v>16.530303030303024</v>
      </c>
      <c r="J26" t="s">
        <v>23</v>
      </c>
      <c r="K26">
        <v>0</v>
      </c>
    </row>
    <row r="27" spans="6:15" x14ac:dyDescent="0.35">
      <c r="F27" t="s">
        <v>23</v>
      </c>
      <c r="G27">
        <v>0</v>
      </c>
      <c r="J27" t="s">
        <v>24</v>
      </c>
      <c r="K27">
        <v>22</v>
      </c>
    </row>
    <row r="28" spans="6:15" x14ac:dyDescent="0.35">
      <c r="F28" t="s">
        <v>24</v>
      </c>
      <c r="G28">
        <v>22</v>
      </c>
      <c r="J28" t="s">
        <v>27</v>
      </c>
      <c r="K28">
        <v>0.1004116184790038</v>
      </c>
    </row>
    <row r="29" spans="6:15" x14ac:dyDescent="0.35">
      <c r="F29" t="s">
        <v>27</v>
      </c>
      <c r="G29">
        <v>0.1004116184790038</v>
      </c>
      <c r="J29" t="s">
        <v>37</v>
      </c>
      <c r="K29">
        <v>0.46046349851742818</v>
      </c>
    </row>
    <row r="30" spans="6:15" x14ac:dyDescent="0.35">
      <c r="F30" t="s">
        <v>37</v>
      </c>
      <c r="G30">
        <v>0.46046349851742818</v>
      </c>
      <c r="J30" t="s">
        <v>40</v>
      </c>
      <c r="K30">
        <v>1.7171443354398259</v>
      </c>
    </row>
    <row r="31" spans="6:15" x14ac:dyDescent="0.35">
      <c r="F31" t="s">
        <v>40</v>
      </c>
      <c r="G31">
        <v>1.7171443354398259</v>
      </c>
      <c r="J31" t="s">
        <v>43</v>
      </c>
      <c r="K31">
        <v>0.92092699703485636</v>
      </c>
    </row>
    <row r="32" spans="6:15" ht="15" thickBot="1" x14ac:dyDescent="0.4">
      <c r="F32" t="s">
        <v>43</v>
      </c>
      <c r="G32">
        <v>0.92092699703485636</v>
      </c>
      <c r="J32" s="19" t="s">
        <v>46</v>
      </c>
      <c r="K32" s="19">
        <v>2.0738730583156064</v>
      </c>
      <c r="L32" s="19"/>
    </row>
    <row r="33" spans="6:20" ht="15" thickBot="1" x14ac:dyDescent="0.4">
      <c r="F33" s="19" t="s">
        <v>46</v>
      </c>
      <c r="G33" s="19">
        <v>2.0738730583156064</v>
      </c>
      <c r="H33" s="19"/>
    </row>
    <row r="36" spans="6:20" s="1" customFormat="1" x14ac:dyDescent="0.35">
      <c r="J36" t="s">
        <v>5</v>
      </c>
      <c r="K36"/>
      <c r="L36"/>
      <c r="M36"/>
      <c r="N36"/>
      <c r="O36"/>
      <c r="P36"/>
      <c r="Q36"/>
      <c r="R36"/>
      <c r="S36"/>
      <c r="T36"/>
    </row>
    <row r="38" spans="6:20" ht="15" thickBot="1" x14ac:dyDescent="0.4">
      <c r="J38" t="s">
        <v>7</v>
      </c>
      <c r="M38" t="s">
        <v>8</v>
      </c>
      <c r="N38">
        <v>0</v>
      </c>
    </row>
    <row r="39" spans="6:20" ht="15" thickTop="1" x14ac:dyDescent="0.35">
      <c r="J39" s="10" t="s">
        <v>11</v>
      </c>
      <c r="K39" s="10" t="s">
        <v>12</v>
      </c>
      <c r="L39" s="10" t="s">
        <v>10</v>
      </c>
      <c r="M39" s="10" t="s">
        <v>13</v>
      </c>
      <c r="N39" s="10" t="s">
        <v>14</v>
      </c>
    </row>
    <row r="40" spans="6:20" x14ac:dyDescent="0.35">
      <c r="J40" t="str">
        <f>A3</f>
        <v>Control</v>
      </c>
      <c r="K40">
        <f>COUNT(A4:A15)</f>
        <v>12</v>
      </c>
      <c r="L40">
        <f>AVERAGE(A4:A15)</f>
        <v>18.5</v>
      </c>
      <c r="M40">
        <f>VAR(A4:A15)</f>
        <v>15.181818181818182</v>
      </c>
    </row>
    <row r="41" spans="6:20" x14ac:dyDescent="0.35">
      <c r="J41" t="str">
        <f>B3</f>
        <v>Drug</v>
      </c>
      <c r="K41">
        <f>COUNT(B4:B15)</f>
        <v>12</v>
      </c>
      <c r="L41">
        <f>AVERAGE(B4:B15)</f>
        <v>18.333333333333332</v>
      </c>
      <c r="M41">
        <f>VAR(B4:B15)</f>
        <v>17.878787878787865</v>
      </c>
    </row>
    <row r="42" spans="6:20" x14ac:dyDescent="0.35">
      <c r="J42" s="26" t="s">
        <v>21</v>
      </c>
      <c r="K42" s="26"/>
      <c r="L42" s="26"/>
      <c r="M42" s="26">
        <f>((K40-1)*M40+(K41-1)*M41)/(K40+K41-2)</f>
        <v>16.530303030303024</v>
      </c>
      <c r="N42" s="26">
        <f>ABS(L40-L41-N38)/SQRT(M42)</f>
        <v>4.099287158676293E-2</v>
      </c>
    </row>
    <row r="44" spans="6:20" ht="15" thickBot="1" x14ac:dyDescent="0.4">
      <c r="J44" t="s">
        <v>25</v>
      </c>
      <c r="N44" t="s">
        <v>26</v>
      </c>
      <c r="O44">
        <v>0.05</v>
      </c>
    </row>
    <row r="45" spans="6:20" ht="15" thickTop="1" x14ac:dyDescent="0.35">
      <c r="J45" s="10" t="s">
        <v>28</v>
      </c>
      <c r="K45" s="10" t="s">
        <v>29</v>
      </c>
      <c r="L45" s="10" t="s">
        <v>30</v>
      </c>
      <c r="M45" s="10" t="s">
        <v>24</v>
      </c>
      <c r="N45" s="10" t="s">
        <v>31</v>
      </c>
      <c r="O45" s="10" t="s">
        <v>32</v>
      </c>
      <c r="P45" s="10" t="s">
        <v>33</v>
      </c>
      <c r="Q45" s="10" t="s">
        <v>34</v>
      </c>
      <c r="R45" s="10" t="s">
        <v>35</v>
      </c>
      <c r="S45" s="10" t="s">
        <v>36</v>
      </c>
    </row>
    <row r="46" spans="6:20" x14ac:dyDescent="0.35">
      <c r="J46" t="s">
        <v>38</v>
      </c>
      <c r="K46">
        <f>SQRT(M42*(1/K40+1/K41))</f>
        <v>1.6598344812210957</v>
      </c>
      <c r="L46">
        <f>(ABS(L40-L41-N38))/K46</f>
        <v>0.1004116184790038</v>
      </c>
      <c r="M46">
        <f>K40+K41-2</f>
        <v>22</v>
      </c>
      <c r="N46">
        <f>TDIST(L46,M46,1)</f>
        <v>0.46046349851481477</v>
      </c>
      <c r="O46">
        <f>TINV(O44*2,M46)</f>
        <v>1.7171443743802424</v>
      </c>
      <c r="R46" s="4" t="str">
        <f>IF(N46&lt;O44,"yes","no")</f>
        <v>no</v>
      </c>
      <c r="S46">
        <f>SQRT(L46^2/(L46^2+M46))</f>
        <v>2.1402925123634911E-2</v>
      </c>
    </row>
    <row r="47" spans="6:20" x14ac:dyDescent="0.35">
      <c r="J47" t="s">
        <v>41</v>
      </c>
      <c r="K47">
        <f>K46</f>
        <v>1.6598344812210957</v>
      </c>
      <c r="L47">
        <f>L46</f>
        <v>0.1004116184790038</v>
      </c>
      <c r="M47">
        <f>M46</f>
        <v>22</v>
      </c>
      <c r="N47">
        <f>TDIST(L47,M47,2)</f>
        <v>0.92092699702962955</v>
      </c>
      <c r="O47">
        <f>TINV(O44,M47)</f>
        <v>2.0738730679040258</v>
      </c>
      <c r="P47">
        <f>(L40-L41)-O47*K47</f>
        <v>-3.2756193611162128</v>
      </c>
      <c r="Q47">
        <f>(L40-L41)+O47*K47</f>
        <v>3.6089526944495485</v>
      </c>
      <c r="R47" s="4" t="str">
        <f>IF(N47&lt;O44,"yes","no")</f>
        <v>no</v>
      </c>
      <c r="S47">
        <f>S46</f>
        <v>2.1402925123634911E-2</v>
      </c>
    </row>
    <row r="48" spans="6:20" x14ac:dyDescent="0.35"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0:19" ht="15" thickBot="1" x14ac:dyDescent="0.4">
      <c r="J49" t="s">
        <v>47</v>
      </c>
      <c r="N49" t="s">
        <v>26</v>
      </c>
      <c r="O49">
        <f>O44</f>
        <v>0.05</v>
      </c>
    </row>
    <row r="50" spans="10:19" ht="15" thickTop="1" x14ac:dyDescent="0.35">
      <c r="J50" s="10" t="s">
        <v>28</v>
      </c>
      <c r="K50" s="10" t="s">
        <v>29</v>
      </c>
      <c r="L50" s="10" t="s">
        <v>30</v>
      </c>
      <c r="M50" s="10" t="s">
        <v>24</v>
      </c>
      <c r="N50" s="10" t="s">
        <v>31</v>
      </c>
      <c r="O50" s="10" t="s">
        <v>32</v>
      </c>
      <c r="P50" s="10" t="s">
        <v>33</v>
      </c>
      <c r="Q50" s="10" t="s">
        <v>34</v>
      </c>
      <c r="R50" s="10" t="s">
        <v>35</v>
      </c>
      <c r="S50" s="10" t="s">
        <v>36</v>
      </c>
    </row>
    <row r="51" spans="10:19" x14ac:dyDescent="0.35">
      <c r="J51" t="s">
        <v>38</v>
      </c>
      <c r="K51">
        <f>SQRT(M40/K40+M41/K41)</f>
        <v>1.6598344812210957</v>
      </c>
      <c r="L51">
        <f>(ABS(L40-L41-N38))/K51</f>
        <v>0.1004116184790038</v>
      </c>
      <c r="M51">
        <f>(M40/K40+M41/K41)^2/((M40/K40)^2/(K40-1)+(M41/K41)^2/(K41-1))</f>
        <v>21.854563754692446</v>
      </c>
      <c r="N51" t="e">
        <f ca="1">T_DIST_RT(L51,M51)</f>
        <v>#NAME?</v>
      </c>
      <c r="O51" t="e">
        <f ca="1">T_INV(1-O49,M51)</f>
        <v>#NAME?</v>
      </c>
      <c r="R51" s="4" t="e">
        <f ca="1">IF(N51&lt;O49,"yes","no")</f>
        <v>#NAME?</v>
      </c>
      <c r="S51">
        <f>SQRT(L51^2/(L51^2+M51))</f>
        <v>2.1473989661303275E-2</v>
      </c>
    </row>
    <row r="52" spans="10:19" x14ac:dyDescent="0.35">
      <c r="J52" t="s">
        <v>41</v>
      </c>
      <c r="K52">
        <f>K51</f>
        <v>1.6598344812210957</v>
      </c>
      <c r="L52">
        <f>L51</f>
        <v>0.1004116184790038</v>
      </c>
      <c r="M52">
        <f>M51</f>
        <v>21.854563754692446</v>
      </c>
      <c r="N52" t="e">
        <f ca="1">T_DIST_2T(L52,M52)</f>
        <v>#NAME?</v>
      </c>
      <c r="O52" t="e">
        <f ca="1">T_INV_2T(O49,M52)</f>
        <v>#NAME?</v>
      </c>
      <c r="P52" t="e">
        <f ca="1">(L40-L41)-O52*K52</f>
        <v>#NAME?</v>
      </c>
      <c r="Q52" t="e">
        <f ca="1">(L40-L41)+O52*K52</f>
        <v>#NAME?</v>
      </c>
      <c r="R52" s="4" t="e">
        <f ca="1">IF(N52&lt;O49,"yes","no")</f>
        <v>#NAME?</v>
      </c>
      <c r="S52">
        <f>S51</f>
        <v>2.1473989661303275E-2</v>
      </c>
    </row>
    <row r="53" spans="10:19" x14ac:dyDescent="0.35">
      <c r="J53" s="26"/>
      <c r="K53" s="26"/>
      <c r="L53" s="26"/>
      <c r="M53" s="26"/>
      <c r="N53" s="26"/>
      <c r="O53" s="26"/>
      <c r="P53" s="26"/>
      <c r="Q53" s="26"/>
      <c r="R53" s="26"/>
      <c r="S53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C6FD-B9AE-49F7-974D-DBFF14FA784F}">
  <sheetPr codeName="Sheet28"/>
  <dimension ref="A1:R55"/>
  <sheetViews>
    <sheetView workbookViewId="0"/>
  </sheetViews>
  <sheetFormatPr defaultRowHeight="14.5" x14ac:dyDescent="0.35"/>
  <cols>
    <col min="16" max="16" width="28.81640625" customWidth="1"/>
    <col min="19" max="19" width="10.1796875" customWidth="1"/>
  </cols>
  <sheetData>
    <row r="1" spans="1:15" x14ac:dyDescent="0.35">
      <c r="A1" s="1" t="s">
        <v>0</v>
      </c>
    </row>
    <row r="3" spans="1:15" x14ac:dyDescent="0.35">
      <c r="A3" s="27" t="s">
        <v>1</v>
      </c>
      <c r="B3" s="27" t="s">
        <v>2</v>
      </c>
      <c r="K3" t="s">
        <v>3</v>
      </c>
      <c r="O3" s="4"/>
    </row>
    <row r="4" spans="1:15" x14ac:dyDescent="0.35">
      <c r="A4" s="4">
        <v>20</v>
      </c>
      <c r="B4" s="4">
        <v>12</v>
      </c>
    </row>
    <row r="5" spans="1:15" x14ac:dyDescent="0.35">
      <c r="A5" s="4">
        <v>32</v>
      </c>
      <c r="B5" s="4">
        <v>8</v>
      </c>
      <c r="L5" s="5" t="str">
        <f>A3</f>
        <v>New</v>
      </c>
      <c r="M5" s="5" t="str">
        <f>B3</f>
        <v>Old</v>
      </c>
    </row>
    <row r="6" spans="1:15" x14ac:dyDescent="0.35">
      <c r="A6" s="4">
        <v>2</v>
      </c>
      <c r="B6" s="4">
        <v>6</v>
      </c>
      <c r="K6" t="s">
        <v>9</v>
      </c>
      <c r="L6" s="8">
        <f>MIN(A4:A13)</f>
        <v>2</v>
      </c>
      <c r="M6" s="9">
        <f>MIN(B4:B13)</f>
        <v>4</v>
      </c>
    </row>
    <row r="7" spans="1:15" x14ac:dyDescent="0.35">
      <c r="A7" s="4">
        <v>25</v>
      </c>
      <c r="B7" s="4">
        <v>16</v>
      </c>
      <c r="K7" t="s">
        <v>15</v>
      </c>
      <c r="L7" s="12">
        <f>QUARTILE(A4:A13,1)-L6</f>
        <v>7.75</v>
      </c>
      <c r="M7" s="13">
        <f>QUARTILE(B4:B13,1)-M6</f>
        <v>4.5</v>
      </c>
    </row>
    <row r="8" spans="1:15" x14ac:dyDescent="0.35">
      <c r="A8" s="4">
        <v>5</v>
      </c>
      <c r="B8" s="4">
        <v>12</v>
      </c>
      <c r="K8" t="s">
        <v>16</v>
      </c>
      <c r="L8" s="12">
        <f>MEDIAN(A4:A13)-QUARTILE(A4:A13,1)</f>
        <v>10.75</v>
      </c>
      <c r="M8" s="13">
        <f>MEDIAN(B4:B13)-QUARTILE(B4:B13,1)</f>
        <v>3</v>
      </c>
    </row>
    <row r="9" spans="1:15" x14ac:dyDescent="0.35">
      <c r="A9" s="4">
        <v>18</v>
      </c>
      <c r="B9" s="4">
        <v>14</v>
      </c>
      <c r="K9" t="s">
        <v>19</v>
      </c>
      <c r="L9" s="12">
        <f>QUARTILE(A4:A13,3)-MEDIAN(A4:A13)</f>
        <v>6.75</v>
      </c>
      <c r="M9" s="13">
        <f>QUARTILE(B4:B13,3)-MEDIAN(B4:B13)</f>
        <v>2</v>
      </c>
    </row>
    <row r="10" spans="1:15" x14ac:dyDescent="0.35">
      <c r="A10" s="4">
        <v>21</v>
      </c>
      <c r="B10" s="4">
        <v>10</v>
      </c>
      <c r="K10" t="s">
        <v>22</v>
      </c>
      <c r="L10" s="12">
        <f>MAX(A4:A13)-QUARTILE(A4:A13,3)</f>
        <v>12.75</v>
      </c>
      <c r="M10" s="13">
        <f>MAX(B4:B13)-QUARTILE(B4:B13,3)</f>
        <v>4.5</v>
      </c>
    </row>
    <row r="11" spans="1:15" x14ac:dyDescent="0.35">
      <c r="A11" s="4">
        <v>7</v>
      </c>
      <c r="B11" s="4">
        <v>18</v>
      </c>
      <c r="K11" t="s">
        <v>10</v>
      </c>
      <c r="L11" s="15">
        <f>AVERAGE(A4:A13)</f>
        <v>19.8</v>
      </c>
      <c r="M11" s="16">
        <f>AVERAGE(B4:B13)</f>
        <v>11.1</v>
      </c>
    </row>
    <row r="12" spans="1:15" x14ac:dyDescent="0.35">
      <c r="A12" s="4">
        <v>28</v>
      </c>
      <c r="B12" s="4">
        <v>4</v>
      </c>
    </row>
    <row r="13" spans="1:15" x14ac:dyDescent="0.35">
      <c r="A13" s="18">
        <v>40</v>
      </c>
      <c r="B13" s="18">
        <v>11</v>
      </c>
    </row>
    <row r="14" spans="1:15" x14ac:dyDescent="0.35">
      <c r="A14" s="4"/>
      <c r="B14" s="4"/>
    </row>
    <row r="15" spans="1:15" x14ac:dyDescent="0.35">
      <c r="A15" s="4">
        <f>COUNT(A4:A13)</f>
        <v>10</v>
      </c>
      <c r="B15" s="4">
        <f>COUNT(B4:B13)</f>
        <v>10</v>
      </c>
      <c r="C15" t="s">
        <v>44</v>
      </c>
    </row>
    <row r="16" spans="1:15" x14ac:dyDescent="0.35">
      <c r="A16" s="4">
        <f>AVERAGE(A4:A13)</f>
        <v>19.8</v>
      </c>
      <c r="B16" s="4">
        <f>AVERAGE(B4:B13)</f>
        <v>11.1</v>
      </c>
      <c r="C16" t="s">
        <v>48</v>
      </c>
    </row>
    <row r="17" spans="1:18" x14ac:dyDescent="0.35">
      <c r="A17">
        <f>VAR(A4:A13)</f>
        <v>150.62222222222221</v>
      </c>
      <c r="B17">
        <f>VAR(B4:B13)</f>
        <v>18.766666666666676</v>
      </c>
      <c r="C17" t="s">
        <v>50</v>
      </c>
    </row>
    <row r="19" spans="1:18" x14ac:dyDescent="0.35">
      <c r="E19" t="s">
        <v>5</v>
      </c>
      <c r="P19" t="s">
        <v>4</v>
      </c>
    </row>
    <row r="20" spans="1:18" ht="15" thickBot="1" x14ac:dyDescent="0.4"/>
    <row r="21" spans="1:18" ht="15" thickBot="1" x14ac:dyDescent="0.4">
      <c r="E21" t="s">
        <v>7</v>
      </c>
      <c r="H21" t="s">
        <v>8</v>
      </c>
      <c r="I21">
        <v>0</v>
      </c>
      <c r="P21" s="6"/>
      <c r="Q21" s="6" t="s">
        <v>1</v>
      </c>
      <c r="R21" s="6" t="s">
        <v>2</v>
      </c>
    </row>
    <row r="22" spans="1:18" ht="15" thickTop="1" x14ac:dyDescent="0.35">
      <c r="E22" s="10" t="s">
        <v>11</v>
      </c>
      <c r="F22" s="10" t="s">
        <v>12</v>
      </c>
      <c r="G22" s="10" t="s">
        <v>10</v>
      </c>
      <c r="H22" s="10" t="s">
        <v>13</v>
      </c>
      <c r="I22" s="10" t="s">
        <v>14</v>
      </c>
      <c r="P22" t="s">
        <v>10</v>
      </c>
      <c r="Q22">
        <v>19.8</v>
      </c>
      <c r="R22">
        <v>11.1</v>
      </c>
    </row>
    <row r="23" spans="1:18" x14ac:dyDescent="0.35">
      <c r="E23" t="str">
        <f>A3</f>
        <v>New</v>
      </c>
      <c r="F23">
        <f>COUNT(A4:A13)</f>
        <v>10</v>
      </c>
      <c r="G23">
        <f>AVERAGE(A4:A13)</f>
        <v>19.8</v>
      </c>
      <c r="H23">
        <f>VAR(A4:A13)</f>
        <v>150.62222222222221</v>
      </c>
      <c r="P23" t="s">
        <v>13</v>
      </c>
      <c r="Q23">
        <v>150.62222222222221</v>
      </c>
      <c r="R23">
        <v>18.766666666666676</v>
      </c>
    </row>
    <row r="24" spans="1:18" x14ac:dyDescent="0.35">
      <c r="E24" t="str">
        <f>B3</f>
        <v>Old</v>
      </c>
      <c r="F24">
        <f>COUNT(B4:B13)</f>
        <v>10</v>
      </c>
      <c r="G24">
        <f>AVERAGE(B4:B13)</f>
        <v>11.1</v>
      </c>
      <c r="H24">
        <f>VAR(B4:B13)</f>
        <v>18.766666666666676</v>
      </c>
      <c r="P24" t="s">
        <v>17</v>
      </c>
      <c r="Q24">
        <v>10</v>
      </c>
      <c r="R24">
        <v>10</v>
      </c>
    </row>
    <row r="25" spans="1:18" x14ac:dyDescent="0.35">
      <c r="E25" s="26" t="s">
        <v>21</v>
      </c>
      <c r="F25" s="26"/>
      <c r="G25" s="26"/>
      <c r="H25" s="26">
        <f>((F23-1)*H23+(F24-1)*H24)/(F23+F24-2)</f>
        <v>84.694444444444443</v>
      </c>
      <c r="I25" s="26">
        <f>ABS(G23-G24-I21)/SQRT(H25)</f>
        <v>0.945348176499756</v>
      </c>
      <c r="P25" t="s">
        <v>20</v>
      </c>
      <c r="Q25">
        <v>84.694444444444443</v>
      </c>
    </row>
    <row r="26" spans="1:18" x14ac:dyDescent="0.35">
      <c r="P26" t="s">
        <v>23</v>
      </c>
      <c r="Q26">
        <v>0</v>
      </c>
    </row>
    <row r="27" spans="1:18" ht="15" thickBot="1" x14ac:dyDescent="0.4">
      <c r="E27" t="s">
        <v>25</v>
      </c>
      <c r="I27" t="s">
        <v>26</v>
      </c>
      <c r="J27">
        <v>0.05</v>
      </c>
      <c r="P27" t="s">
        <v>24</v>
      </c>
      <c r="Q27">
        <v>18</v>
      </c>
    </row>
    <row r="28" spans="1:18" ht="15" thickTop="1" x14ac:dyDescent="0.35">
      <c r="E28" s="10" t="s">
        <v>28</v>
      </c>
      <c r="F28" s="10" t="s">
        <v>29</v>
      </c>
      <c r="G28" s="10" t="s">
        <v>30</v>
      </c>
      <c r="H28" s="10" t="s">
        <v>24</v>
      </c>
      <c r="I28" s="10" t="s">
        <v>31</v>
      </c>
      <c r="J28" s="10" t="s">
        <v>32</v>
      </c>
      <c r="K28" s="10" t="s">
        <v>33</v>
      </c>
      <c r="L28" s="10" t="s">
        <v>34</v>
      </c>
      <c r="M28" s="10" t="s">
        <v>35</v>
      </c>
      <c r="N28" s="10" t="s">
        <v>36</v>
      </c>
      <c r="P28" t="s">
        <v>27</v>
      </c>
      <c r="Q28">
        <v>2.1138627850589233</v>
      </c>
    </row>
    <row r="29" spans="1:18" x14ac:dyDescent="0.35">
      <c r="E29" t="s">
        <v>38</v>
      </c>
      <c r="F29">
        <f>SQRT(H25*(1/F23+1/F24))</f>
        <v>4.1156881428126804</v>
      </c>
      <c r="G29">
        <f>(ABS(G23-G24-I21))/F29</f>
        <v>2.1138627850589233</v>
      </c>
      <c r="H29">
        <f>F23+F24-2</f>
        <v>18</v>
      </c>
      <c r="I29">
        <f>TDIST(G29,H29,1)</f>
        <v>2.4373360730381408E-2</v>
      </c>
      <c r="J29">
        <f>TINV(J27*2,H29)</f>
        <v>1.7340636066175394</v>
      </c>
      <c r="M29" s="4" t="str">
        <f>IF(I29&lt;J27,"yes","no")</f>
        <v>yes</v>
      </c>
      <c r="N29">
        <f>SQRT(G29^2/(G29^2+H29))</f>
        <v>0.44595451590159751</v>
      </c>
      <c r="P29" t="s">
        <v>37</v>
      </c>
      <c r="Q29">
        <v>2.4373360730381408E-2</v>
      </c>
    </row>
    <row r="30" spans="1:18" x14ac:dyDescent="0.35">
      <c r="E30" t="s">
        <v>41</v>
      </c>
      <c r="F30">
        <f>F29</f>
        <v>4.1156881428126804</v>
      </c>
      <c r="G30">
        <f>G29</f>
        <v>2.1138627850589233</v>
      </c>
      <c r="H30">
        <f>H29</f>
        <v>18</v>
      </c>
      <c r="I30">
        <f>TDIST(G30,H30,2)</f>
        <v>4.8746721460762817E-2</v>
      </c>
      <c r="J30">
        <f>TINV(J27,H30)</f>
        <v>2.1009220402410378</v>
      </c>
      <c r="K30">
        <f>(G23-G24)-J30*F30</f>
        <v>5.3260070006137639E-2</v>
      </c>
      <c r="L30">
        <f>(G23-G24)+J30*F30</f>
        <v>17.346739929993866</v>
      </c>
      <c r="M30" s="4" t="str">
        <f>IF(I30&lt;J27,"yes","no")</f>
        <v>yes</v>
      </c>
      <c r="N30">
        <f>N29</f>
        <v>0.44595451590159751</v>
      </c>
      <c r="P30" t="s">
        <v>40</v>
      </c>
      <c r="Q30">
        <v>1.7340636066175394</v>
      </c>
    </row>
    <row r="31" spans="1:18" x14ac:dyDescent="0.35">
      <c r="E31" s="26"/>
      <c r="F31" s="26"/>
      <c r="G31" s="26"/>
      <c r="H31" s="26"/>
      <c r="I31" s="26"/>
      <c r="J31" s="26"/>
      <c r="K31" s="26"/>
      <c r="L31" s="26"/>
      <c r="M31" s="26"/>
      <c r="N31" s="26"/>
      <c r="P31" t="s">
        <v>43</v>
      </c>
      <c r="Q31">
        <v>4.8746721460762817E-2</v>
      </c>
    </row>
    <row r="32" spans="1:18" ht="15" thickBot="1" x14ac:dyDescent="0.4">
      <c r="E32" t="s">
        <v>47</v>
      </c>
      <c r="I32" t="s">
        <v>26</v>
      </c>
      <c r="J32">
        <f>J27</f>
        <v>0.05</v>
      </c>
      <c r="P32" s="19" t="s">
        <v>46</v>
      </c>
      <c r="Q32" s="19">
        <v>2.1009220402410378</v>
      </c>
      <c r="R32" s="19"/>
    </row>
    <row r="33" spans="5:18" ht="15" thickTop="1" x14ac:dyDescent="0.35">
      <c r="E33" s="10" t="s">
        <v>28</v>
      </c>
      <c r="F33" s="10" t="s">
        <v>29</v>
      </c>
      <c r="G33" s="10" t="s">
        <v>30</v>
      </c>
      <c r="H33" s="10" t="s">
        <v>24</v>
      </c>
      <c r="I33" s="10" t="s">
        <v>31</v>
      </c>
      <c r="J33" s="10" t="s">
        <v>32</v>
      </c>
      <c r="K33" s="10" t="s">
        <v>33</v>
      </c>
      <c r="L33" s="10" t="s">
        <v>34</v>
      </c>
      <c r="M33" s="10" t="s">
        <v>35</v>
      </c>
      <c r="N33" s="10" t="s">
        <v>36</v>
      </c>
    </row>
    <row r="34" spans="5:18" x14ac:dyDescent="0.35">
      <c r="E34" t="s">
        <v>38</v>
      </c>
      <c r="F34">
        <f>SQRT(H23/F23+H24/F24)</f>
        <v>4.1156881428126804</v>
      </c>
      <c r="G34">
        <f>(ABS(G23-G24-I21))/F34</f>
        <v>2.1138627850589233</v>
      </c>
      <c r="H34">
        <f>(H23/F23+H24/F24)^2/((H23/F23)^2/(F23-1)+(H24/F24)^2/(F24-1))</f>
        <v>11.208414128343572</v>
      </c>
      <c r="I34" t="e">
        <f ca="1">T_DIST_RT(G34,H34)</f>
        <v>#NAME?</v>
      </c>
      <c r="J34" t="e">
        <f ca="1">T_INV(1-J32,H34)</f>
        <v>#NAME?</v>
      </c>
      <c r="M34" s="4" t="e">
        <f ca="1">IF(I34&lt;J32,"yes","no")</f>
        <v>#NAME?</v>
      </c>
      <c r="N34">
        <f>SQRT(G34^2/(G34^2+H34))</f>
        <v>0.53388493780051027</v>
      </c>
    </row>
    <row r="35" spans="5:18" x14ac:dyDescent="0.35">
      <c r="E35" t="s">
        <v>41</v>
      </c>
      <c r="F35">
        <f>F34</f>
        <v>4.1156881428126804</v>
      </c>
      <c r="G35">
        <f>G34</f>
        <v>2.1138627850589233</v>
      </c>
      <c r="H35">
        <f>H34</f>
        <v>11.208414128343572</v>
      </c>
      <c r="I35" t="e">
        <f ca="1">T_DIST_2T(G35,H35)</f>
        <v>#NAME?</v>
      </c>
      <c r="J35" t="e">
        <f ca="1">T_INV_2T(J32,H35)</f>
        <v>#NAME?</v>
      </c>
      <c r="K35" t="e">
        <f ca="1">(G23-G24)-J35*F35</f>
        <v>#NAME?</v>
      </c>
      <c r="L35" t="e">
        <f ca="1">(G23-G24)+J35*F35</f>
        <v>#NAME?</v>
      </c>
      <c r="M35" s="4" t="e">
        <f ca="1">IF(I35&lt;J32,"yes","no")</f>
        <v>#NAME?</v>
      </c>
      <c r="N35">
        <f>N34</f>
        <v>0.53388493780051027</v>
      </c>
      <c r="P35" t="s">
        <v>51</v>
      </c>
    </row>
    <row r="36" spans="5:18" ht="15" thickBot="1" x14ac:dyDescent="0.4"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5:18" x14ac:dyDescent="0.35">
      <c r="P37" s="6"/>
      <c r="Q37" s="6" t="s">
        <v>1</v>
      </c>
      <c r="R37" s="6" t="s">
        <v>2</v>
      </c>
    </row>
    <row r="38" spans="5:18" x14ac:dyDescent="0.35">
      <c r="E38" t="s">
        <v>68</v>
      </c>
      <c r="P38" t="s">
        <v>10</v>
      </c>
      <c r="Q38">
        <v>19.8</v>
      </c>
      <c r="R38">
        <v>11.1</v>
      </c>
    </row>
    <row r="39" spans="5:18" x14ac:dyDescent="0.35">
      <c r="P39" t="s">
        <v>13</v>
      </c>
      <c r="Q39">
        <v>150.62222222222221</v>
      </c>
      <c r="R39">
        <v>18.766666666666676</v>
      </c>
    </row>
    <row r="40" spans="5:18" x14ac:dyDescent="0.35">
      <c r="E40" s="28">
        <f>TTEST(A4:A13,B4:B13,2,3)</f>
        <v>5.7729713764594112E-2</v>
      </c>
      <c r="G40" s="24" t="s">
        <v>69</v>
      </c>
      <c r="P40" t="s">
        <v>17</v>
      </c>
      <c r="Q40">
        <v>10</v>
      </c>
      <c r="R40">
        <v>10</v>
      </c>
    </row>
    <row r="41" spans="5:18" x14ac:dyDescent="0.35">
      <c r="E41" s="11">
        <f>TTEST(A4:A13,B4:B13,2,2)</f>
        <v>4.8746721460762824E-2</v>
      </c>
      <c r="G41" s="24" t="s">
        <v>70</v>
      </c>
      <c r="P41" t="s">
        <v>23</v>
      </c>
      <c r="Q41">
        <v>0</v>
      </c>
    </row>
    <row r="42" spans="5:18" x14ac:dyDescent="0.35">
      <c r="P42" t="s">
        <v>24</v>
      </c>
      <c r="Q42">
        <v>11</v>
      </c>
    </row>
    <row r="43" spans="5:18" x14ac:dyDescent="0.35">
      <c r="E43" t="s">
        <v>71</v>
      </c>
      <c r="P43" t="s">
        <v>27</v>
      </c>
      <c r="Q43">
        <v>2.1138627850589233</v>
      </c>
    </row>
    <row r="44" spans="5:18" x14ac:dyDescent="0.35">
      <c r="P44" t="s">
        <v>37</v>
      </c>
      <c r="Q44">
        <v>2.9092986286339117E-2</v>
      </c>
    </row>
    <row r="45" spans="5:18" x14ac:dyDescent="0.35">
      <c r="E45" s="28" t="e">
        <f ca="1">VAR_POOLED(A4:A13,B4:B13)</f>
        <v>#NAME?</v>
      </c>
      <c r="G45" s="24" t="s">
        <v>72</v>
      </c>
      <c r="P45" t="s">
        <v>40</v>
      </c>
      <c r="Q45">
        <v>1.7958848187040437</v>
      </c>
    </row>
    <row r="46" spans="5:18" x14ac:dyDescent="0.35">
      <c r="E46" s="17" t="e">
        <f ca="1">STDEV_POOLED(A4:A13,B4:B13)</f>
        <v>#NAME?</v>
      </c>
      <c r="G46" s="24" t="s">
        <v>73</v>
      </c>
      <c r="P46" t="s">
        <v>43</v>
      </c>
      <c r="Q46">
        <v>5.8185972572678234E-2</v>
      </c>
    </row>
    <row r="47" spans="5:18" ht="15" thickBot="1" x14ac:dyDescent="0.4">
      <c r="E47" s="17" t="e">
        <f ca="1">STDERR_POOLED(A4:A13,B4:B13)</f>
        <v>#NAME?</v>
      </c>
      <c r="G47" s="24" t="s">
        <v>74</v>
      </c>
      <c r="P47" s="19" t="s">
        <v>46</v>
      </c>
      <c r="Q47" s="19">
        <v>2.2009851600916384</v>
      </c>
      <c r="R47" s="19"/>
    </row>
    <row r="48" spans="5:18" x14ac:dyDescent="0.35">
      <c r="E48" s="11" t="e">
        <f ca="1">DF_POOLED(A4:A13,B4:B13)</f>
        <v>#NAME?</v>
      </c>
      <c r="G48" s="24" t="s">
        <v>75</v>
      </c>
    </row>
    <row r="50" spans="5:7" x14ac:dyDescent="0.35">
      <c r="E50" t="s">
        <v>76</v>
      </c>
    </row>
    <row r="52" spans="5:7" x14ac:dyDescent="0.35">
      <c r="E52" s="29" t="e">
        <f ca="1">VAR_POOLED(A4:A13,B4:B12)</f>
        <v>#NAME?</v>
      </c>
      <c r="G52" s="24" t="s">
        <v>77</v>
      </c>
    </row>
    <row r="53" spans="5:7" x14ac:dyDescent="0.35">
      <c r="E53" s="30" t="e">
        <f ca="1">STDEV_POOLED(A4:A13,B4:B12)</f>
        <v>#NAME?</v>
      </c>
      <c r="G53" s="24" t="s">
        <v>78</v>
      </c>
    </row>
    <row r="54" spans="5:7" x14ac:dyDescent="0.35">
      <c r="E54" s="17" t="e">
        <f ca="1">STDERR_POOLED(A4:A13,B4:B12)</f>
        <v>#NAME?</v>
      </c>
      <c r="G54" s="24" t="s">
        <v>79</v>
      </c>
    </row>
    <row r="55" spans="5:7" x14ac:dyDescent="0.35">
      <c r="E55" s="11" t="e">
        <f ca="1">DF_POOLED(A4:A13,B4:B12)</f>
        <v>#NAME?</v>
      </c>
      <c r="G55" s="24" t="s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 1</vt:lpstr>
      <vt:lpstr>Example 2</vt:lpstr>
      <vt:lpstr>Extra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2022-06-14T13:45:59Z</dcterms:created>
  <dcterms:modified xsi:type="dcterms:W3CDTF">2022-06-14T16:41:17Z</dcterms:modified>
</cp:coreProperties>
</file>