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EC2DB7E5-483B-4EF1-B356-81A5AB6D2DCF}" xr6:coauthVersionLast="47" xr6:coauthVersionMax="47" xr10:uidLastSave="{00000000-0000-0000-0000-000000000000}"/>
  <bookViews>
    <workbookView xWindow="-110" yWindow="-110" windowWidth="19420" windowHeight="10300" xr2:uid="{760914D3-63DE-4916-B507-EB3B6AACAEAA}"/>
  </bookViews>
  <sheets>
    <sheet name="Title" sheetId="4" r:id="rId1"/>
    <sheet name="Cramer" sheetId="1" r:id="rId2"/>
    <sheet name="Odds" sheetId="2" r:id="rId3"/>
    <sheet name="Fisher" sheetId="3" r:id="rId4"/>
  </sheets>
  <externalReferences>
    <externalReference r:id="rId5"/>
    <externalReference r:id="rId6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C19" i="3"/>
  <c r="B19" i="3"/>
  <c r="E19" i="3" s="1"/>
  <c r="N18" i="3"/>
  <c r="M18" i="3"/>
  <c r="L18" i="3"/>
  <c r="K18" i="3"/>
  <c r="O18" i="3" s="1"/>
  <c r="H18" i="3"/>
  <c r="E18" i="3"/>
  <c r="R17" i="3"/>
  <c r="O17" i="3"/>
  <c r="E17" i="3"/>
  <c r="O16" i="3"/>
  <c r="E16" i="3"/>
  <c r="H13" i="3"/>
  <c r="L12" i="3"/>
  <c r="M12" i="3" s="1"/>
  <c r="L11" i="3"/>
  <c r="AA9" i="3"/>
  <c r="X9" i="3" a="1"/>
  <c r="Y12" i="3" s="1"/>
  <c r="I9" i="3"/>
  <c r="K7" i="3" s="1"/>
  <c r="H9" i="3"/>
  <c r="G9" i="3"/>
  <c r="I8" i="3"/>
  <c r="F8" i="3"/>
  <c r="AA7" i="3"/>
  <c r="M7" i="3"/>
  <c r="L7" i="3"/>
  <c r="N7" i="3" s="1"/>
  <c r="I7" i="3"/>
  <c r="F7" i="3"/>
  <c r="D7" i="3"/>
  <c r="C7" i="3"/>
  <c r="B7" i="3"/>
  <c r="AA6" i="3"/>
  <c r="I6" i="3"/>
  <c r="G6" i="3" a="1"/>
  <c r="H6" i="3" s="1"/>
  <c r="F6" i="3"/>
  <c r="D6" i="3"/>
  <c r="H5" i="3"/>
  <c r="G5" i="3"/>
  <c r="F5" i="3"/>
  <c r="D5" i="3"/>
  <c r="AA4" i="3"/>
  <c r="Y4" i="3"/>
  <c r="D4" i="3"/>
  <c r="AA3" i="3"/>
  <c r="Y3" i="3"/>
  <c r="AA2" i="3"/>
  <c r="Y2" i="3"/>
  <c r="Y5" i="3" s="1"/>
  <c r="Y7" i="3" s="1"/>
  <c r="Y6" i="3" s="1"/>
  <c r="C7" i="2"/>
  <c r="B7" i="2"/>
  <c r="H6" i="2"/>
  <c r="H7" i="2" s="1"/>
  <c r="G6" i="2"/>
  <c r="D6" i="2"/>
  <c r="H5" i="2"/>
  <c r="G5" i="2"/>
  <c r="G7" i="2" s="1"/>
  <c r="D5" i="2"/>
  <c r="D7" i="2" s="1"/>
  <c r="A24" i="1"/>
  <c r="A23" i="1"/>
  <c r="A22" i="1"/>
  <c r="U21" i="1"/>
  <c r="T21" i="1"/>
  <c r="D21" i="1"/>
  <c r="C21" i="1"/>
  <c r="B21" i="1"/>
  <c r="U20" i="1"/>
  <c r="T20" i="1"/>
  <c r="I17" i="1"/>
  <c r="H17" i="1"/>
  <c r="G17" i="1"/>
  <c r="K16" i="1"/>
  <c r="G16" i="1"/>
  <c r="K15" i="1"/>
  <c r="G15" i="1"/>
  <c r="G14" i="1"/>
  <c r="K13" i="1"/>
  <c r="J13" i="1"/>
  <c r="I13" i="1"/>
  <c r="H13" i="1"/>
  <c r="T12" i="1"/>
  <c r="T11" i="1"/>
  <c r="P9" i="1"/>
  <c r="O9" i="1"/>
  <c r="N9" i="1"/>
  <c r="I9" i="1"/>
  <c r="H9" i="1"/>
  <c r="G9" i="1"/>
  <c r="D9" i="1"/>
  <c r="E9" i="1" s="1"/>
  <c r="C9" i="1"/>
  <c r="B9" i="1"/>
  <c r="Q8" i="1"/>
  <c r="M8" i="1"/>
  <c r="K8" i="1"/>
  <c r="G8" i="1"/>
  <c r="E8" i="1"/>
  <c r="U7" i="1"/>
  <c r="V7" i="1" s="1"/>
  <c r="T7" i="1"/>
  <c r="Q7" i="1"/>
  <c r="M7" i="1"/>
  <c r="G7" i="1"/>
  <c r="E7" i="1"/>
  <c r="K7" i="1" s="1"/>
  <c r="Q6" i="1"/>
  <c r="Q9" i="1" s="1"/>
  <c r="S7" i="1" s="1"/>
  <c r="M6" i="1"/>
  <c r="G6" i="1"/>
  <c r="E6" i="1"/>
  <c r="K14" i="1" s="1"/>
  <c r="P5" i="1"/>
  <c r="O5" i="1"/>
  <c r="N5" i="1"/>
  <c r="X10" i="3" l="1"/>
  <c r="Y11" i="3"/>
  <c r="X12" i="3"/>
  <c r="Y9" i="3"/>
  <c r="Y13" i="3"/>
  <c r="X14" i="3"/>
  <c r="P12" i="3"/>
  <c r="K17" i="1"/>
  <c r="K9" i="1"/>
  <c r="H8" i="1" s="1"/>
  <c r="B24" i="1" s="1"/>
  <c r="X12" i="1"/>
  <c r="X11" i="1"/>
  <c r="V12" i="1"/>
  <c r="W12" i="1" s="1"/>
  <c r="V11" i="1"/>
  <c r="W11" i="1" s="1"/>
  <c r="U11" i="1"/>
  <c r="H7" i="1"/>
  <c r="B23" i="1" s="1"/>
  <c r="I7" i="1"/>
  <c r="C23" i="1" s="1"/>
  <c r="N11" i="3"/>
  <c r="O11" i="3" s="1"/>
  <c r="N12" i="3"/>
  <c r="O12" i="3" s="1"/>
  <c r="M11" i="3"/>
  <c r="I8" i="1"/>
  <c r="C24" i="1" s="1"/>
  <c r="U12" i="1"/>
  <c r="I6" i="1"/>
  <c r="C22" i="1" s="1"/>
  <c r="G7" i="3"/>
  <c r="X9" i="3"/>
  <c r="X13" i="3"/>
  <c r="H7" i="3"/>
  <c r="P11" i="3"/>
  <c r="K6" i="1"/>
  <c r="H6" i="1" s="1"/>
  <c r="J9" i="1"/>
  <c r="J17" i="1"/>
  <c r="H14" i="1" s="1" a="1"/>
  <c r="H8" i="3"/>
  <c r="Y10" i="3"/>
  <c r="Y14" i="3"/>
  <c r="G8" i="3"/>
  <c r="N6" i="1" a="1"/>
  <c r="X11" i="3"/>
  <c r="G6" i="3"/>
  <c r="H16" i="1" l="1"/>
  <c r="H15" i="1"/>
  <c r="H14" i="1"/>
  <c r="I15" i="1"/>
  <c r="J14" i="1"/>
  <c r="I14" i="1"/>
  <c r="J16" i="1"/>
  <c r="I16" i="1"/>
  <c r="J15" i="1"/>
  <c r="J8" i="1"/>
  <c r="D24" i="1" s="1"/>
  <c r="J7" i="1"/>
  <c r="D23" i="1" s="1"/>
  <c r="J6" i="1"/>
  <c r="D22" i="1" s="1"/>
  <c r="P6" i="1"/>
  <c r="P8" i="1"/>
  <c r="O8" i="1"/>
  <c r="P7" i="1"/>
  <c r="N6" i="1"/>
  <c r="N8" i="1"/>
  <c r="O7" i="1"/>
  <c r="N7" i="1"/>
  <c r="O6" i="1"/>
  <c r="B14" i="1"/>
  <c r="B28" i="1" s="1"/>
  <c r="B30" i="1" s="1"/>
  <c r="B15" i="1"/>
  <c r="B22" i="1"/>
  <c r="B27" i="1" s="1"/>
  <c r="B29" i="1" s="1"/>
</calcChain>
</file>

<file path=xl/sharedStrings.xml><?xml version="1.0" encoding="utf-8"?>
<sst xmlns="http://schemas.openxmlformats.org/spreadsheetml/2006/main" count="131" uniqueCount="66">
  <si>
    <t>Chi-square Test</t>
  </si>
  <si>
    <t>Real Statistics data analysis tool</t>
  </si>
  <si>
    <t>Observed Values</t>
  </si>
  <si>
    <t>Expected Values</t>
  </si>
  <si>
    <t>Chi-Square Test</t>
  </si>
  <si>
    <t>Univ</t>
  </si>
  <si>
    <t>High Sch</t>
  </si>
  <si>
    <t>None</t>
  </si>
  <si>
    <t>Total</t>
  </si>
  <si>
    <t>SUMMARY</t>
  </si>
  <si>
    <t>Alpha</t>
  </si>
  <si>
    <t>Wealthy</t>
  </si>
  <si>
    <t>Count</t>
  </si>
  <si>
    <t>Rows</t>
  </si>
  <si>
    <t>Cols</t>
  </si>
  <si>
    <t>df</t>
  </si>
  <si>
    <t>Middle Class</t>
  </si>
  <si>
    <t>Poor</t>
  </si>
  <si>
    <t>CHI-SQUARE</t>
  </si>
  <si>
    <t xml:space="preserve"> </t>
  </si>
  <si>
    <t>chi-sq</t>
  </si>
  <si>
    <t>p-value</t>
  </si>
  <si>
    <t>x-crit</t>
  </si>
  <si>
    <t>sig</t>
  </si>
  <si>
    <t>Cramer V</t>
  </si>
  <si>
    <t>Expected Values (using MMULT)</t>
  </si>
  <si>
    <t>Pearson's</t>
  </si>
  <si>
    <t>Max likelihood</t>
  </si>
  <si>
    <t>α</t>
  </si>
  <si>
    <t>Real Statistics functions</t>
  </si>
  <si>
    <t>We can also calculate χ2 as follows:</t>
  </si>
  <si>
    <t>(Observed - Expected) ^ 2 / Expected</t>
  </si>
  <si>
    <t>χ2</t>
  </si>
  <si>
    <t>χ2-crit</t>
  </si>
  <si>
    <t>Odds Ratio</t>
  </si>
  <si>
    <t>Observed</t>
  </si>
  <si>
    <t>Effect size</t>
  </si>
  <si>
    <t>Therapy 1</t>
  </si>
  <si>
    <t>Therapy 2</t>
  </si>
  <si>
    <t>Risk %</t>
  </si>
  <si>
    <t>Odds</t>
  </si>
  <si>
    <t>Cured</t>
  </si>
  <si>
    <t>Not Cured</t>
  </si>
  <si>
    <t>Ratio</t>
  </si>
  <si>
    <t>Fisher Exact Test</t>
  </si>
  <si>
    <t>Pro Life</t>
  </si>
  <si>
    <t>Pro Choice</t>
  </si>
  <si>
    <t>A</t>
  </si>
  <si>
    <t>B</t>
  </si>
  <si>
    <t>size</t>
  </si>
  <si>
    <t>Democrat</t>
  </si>
  <si>
    <t>X</t>
  </si>
  <si>
    <t>Republican</t>
  </si>
  <si>
    <t>Y</t>
  </si>
  <si>
    <t>chi-square</t>
  </si>
  <si>
    <t>=CHISQ.INV.RT(Y2,Y4)</t>
  </si>
  <si>
    <t>Independent</t>
  </si>
  <si>
    <t>Z</t>
  </si>
  <si>
    <t>V effect</t>
  </si>
  <si>
    <t>w effect</t>
  </si>
  <si>
    <t>C</t>
  </si>
  <si>
    <t>D</t>
  </si>
  <si>
    <t>Real Statistics Using Excel</t>
  </si>
  <si>
    <t>Updated</t>
  </si>
  <si>
    <t>Copyright © 2013 - 2022 Charles Zaiontz</t>
  </si>
  <si>
    <t>Effect Size for Chi-square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</si>
</sst>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16" xfId="0" applyBorder="1"/>
    <xf numFmtId="0" fontId="0" fillId="0" borderId="1" xfId="0" applyBorder="1"/>
    <xf numFmtId="0" fontId="0" fillId="0" borderId="3" xfId="0" applyBorder="1"/>
    <xf numFmtId="0" fontId="0" fillId="0" borderId="13" xfId="0" applyBorder="1"/>
    <xf numFmtId="0" fontId="0" fillId="0" borderId="22" xfId="0" applyBorder="1"/>
    <xf numFmtId="0" fontId="0" fillId="0" borderId="15" xfId="0" applyBorder="1"/>
    <xf numFmtId="0" fontId="0" fillId="0" borderId="17" xfId="0" applyBorder="1"/>
    <xf numFmtId="0" fontId="3" fillId="0" borderId="0" xfId="0" applyFont="1"/>
    <xf numFmtId="10" fontId="0" fillId="0" borderId="1" xfId="0" applyNumberFormat="1" applyBorder="1"/>
    <xf numFmtId="164" fontId="0" fillId="0" borderId="3" xfId="0" applyNumberFormat="1" applyBorder="1"/>
    <xf numFmtId="10" fontId="0" fillId="0" borderId="15" xfId="0" applyNumberFormat="1" applyBorder="1"/>
    <xf numFmtId="164" fontId="0" fillId="0" borderId="17" xfId="0" applyNumberFormat="1" applyBorder="1"/>
    <xf numFmtId="2" fontId="0" fillId="0" borderId="0" xfId="0" applyNumberFormat="1"/>
    <xf numFmtId="0" fontId="0" fillId="0" borderId="22" xfId="0" applyBorder="1" applyAlignment="1">
      <alignment horizontal="center"/>
    </xf>
    <xf numFmtId="0" fontId="0" fillId="0" borderId="0" xfId="0" quotePrefix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0" fillId="0" borderId="23" xfId="0" applyBorder="1"/>
    <xf numFmtId="0" fontId="0" fillId="0" borderId="30" xfId="0" applyBorder="1"/>
    <xf numFmtId="0" fontId="0" fillId="0" borderId="24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CHI_MAX"/>
      <definedName name="CHI_MAX_TEST"/>
      <definedName name="CHI_MAX2"/>
      <definedName name="CHI_STAT"/>
      <definedName name="CHI_STAT2"/>
      <definedName name="CHI_TEST"/>
      <definedName name="FISHER_TEST"/>
      <definedName name="FISHERTEST"/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D4AB-6224-46AE-AE18-76D5B5D2CB99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62</v>
      </c>
    </row>
    <row r="2" spans="1:2" x14ac:dyDescent="0.35">
      <c r="A2" t="s">
        <v>65</v>
      </c>
    </row>
    <row r="4" spans="1:2" x14ac:dyDescent="0.35">
      <c r="A4" t="s">
        <v>63</v>
      </c>
      <c r="B4" s="52">
        <v>44759</v>
      </c>
    </row>
    <row r="6" spans="1:2" x14ac:dyDescent="0.35">
      <c r="A6" s="53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0432-8369-4F3B-9C04-11323FEA3785}">
  <sheetPr codeName="Sheet36"/>
  <dimension ref="A1:X30"/>
  <sheetViews>
    <sheetView topLeftCell="G1" workbookViewId="0">
      <selection activeCell="S1" sqref="S1"/>
    </sheetView>
  </sheetViews>
  <sheetFormatPr defaultRowHeight="14.5" x14ac:dyDescent="0.35"/>
  <cols>
    <col min="1" max="1" width="12.26953125" customWidth="1"/>
    <col min="6" max="6" width="4.54296875" customWidth="1"/>
    <col min="7" max="7" width="12.26953125" customWidth="1"/>
    <col min="13" max="13" width="12.26953125" customWidth="1"/>
    <col min="17" max="17" width="6.54296875" customWidth="1"/>
    <col min="18" max="18" width="6.7265625" customWidth="1"/>
    <col min="19" max="19" width="14.7265625" customWidth="1"/>
  </cols>
  <sheetData>
    <row r="1" spans="1:24" x14ac:dyDescent="0.35">
      <c r="A1" s="1" t="s">
        <v>0</v>
      </c>
      <c r="M1" s="1" t="s">
        <v>1</v>
      </c>
    </row>
    <row r="2" spans="1:24" x14ac:dyDescent="0.35">
      <c r="A2" s="1"/>
    </row>
    <row r="3" spans="1:24" x14ac:dyDescent="0.35">
      <c r="A3" s="1" t="s">
        <v>2</v>
      </c>
      <c r="G3" s="1" t="s">
        <v>3</v>
      </c>
      <c r="M3" t="s">
        <v>3</v>
      </c>
      <c r="S3" t="s">
        <v>4</v>
      </c>
    </row>
    <row r="5" spans="1:24" ht="15" thickBot="1" x14ac:dyDescent="0.4">
      <c r="B5" s="2" t="s">
        <v>5</v>
      </c>
      <c r="C5" s="2" t="s">
        <v>6</v>
      </c>
      <c r="D5" s="2" t="s">
        <v>7</v>
      </c>
      <c r="E5" s="2" t="s">
        <v>8</v>
      </c>
      <c r="H5" s="2" t="s">
        <v>5</v>
      </c>
      <c r="I5" s="2" t="s">
        <v>6</v>
      </c>
      <c r="J5" s="2" t="s">
        <v>7</v>
      </c>
      <c r="K5" s="2" t="s">
        <v>8</v>
      </c>
      <c r="N5" t="str">
        <f>B5</f>
        <v>Univ</v>
      </c>
      <c r="O5" t="str">
        <f>C5</f>
        <v>High Sch</v>
      </c>
      <c r="P5" t="str">
        <f>D5</f>
        <v>None</v>
      </c>
      <c r="Q5" t="s">
        <v>8</v>
      </c>
      <c r="S5" t="s">
        <v>9</v>
      </c>
      <c r="U5" t="s">
        <v>10</v>
      </c>
      <c r="V5">
        <v>0.05</v>
      </c>
    </row>
    <row r="6" spans="1:24" ht="15" thickTop="1" x14ac:dyDescent="0.35">
      <c r="A6" t="s">
        <v>11</v>
      </c>
      <c r="B6" s="3">
        <v>20</v>
      </c>
      <c r="C6" s="4">
        <v>15</v>
      </c>
      <c r="D6" s="5">
        <v>10</v>
      </c>
      <c r="E6" s="2">
        <f>SUM(B6:D6)</f>
        <v>45</v>
      </c>
      <c r="G6" t="str">
        <f>A6</f>
        <v>Wealthy</v>
      </c>
      <c r="H6" s="3">
        <f t="shared" ref="H6:J8" si="0">H$9*$K6/$K$9</f>
        <v>17.485714285714284</v>
      </c>
      <c r="I6" s="4">
        <f t="shared" si="0"/>
        <v>13.885714285714286</v>
      </c>
      <c r="J6" s="5">
        <f t="shared" si="0"/>
        <v>13.628571428571428</v>
      </c>
      <c r="K6" s="2">
        <f>E6</f>
        <v>45</v>
      </c>
      <c r="M6" t="str">
        <f>A6</f>
        <v>Wealthy</v>
      </c>
      <c r="N6" s="6">
        <f t="array" ref="N6:P8">MMULT(Q6:Q8,N9:P9)/Q9</f>
        <v>17.485714285714284</v>
      </c>
      <c r="O6" s="7">
        <v>13.885714285714286</v>
      </c>
      <c r="P6" s="8">
        <v>13.628571428571428</v>
      </c>
      <c r="Q6">
        <f>SUM(A6:D6)</f>
        <v>45</v>
      </c>
      <c r="S6" s="14" t="s">
        <v>12</v>
      </c>
      <c r="T6" s="14" t="s">
        <v>13</v>
      </c>
      <c r="U6" s="14" t="s">
        <v>14</v>
      </c>
      <c r="V6" s="14" t="s">
        <v>15</v>
      </c>
    </row>
    <row r="7" spans="1:24" x14ac:dyDescent="0.35">
      <c r="A7" t="s">
        <v>16</v>
      </c>
      <c r="B7" s="15">
        <v>40</v>
      </c>
      <c r="C7" s="2">
        <v>25</v>
      </c>
      <c r="D7" s="16">
        <v>20</v>
      </c>
      <c r="E7" s="2">
        <f>SUM(B7:D7)</f>
        <v>85</v>
      </c>
      <c r="G7" t="str">
        <f>A7</f>
        <v>Middle Class</v>
      </c>
      <c r="H7" s="15">
        <f t="shared" si="0"/>
        <v>33.028571428571432</v>
      </c>
      <c r="I7" s="2">
        <f t="shared" si="0"/>
        <v>26.228571428571428</v>
      </c>
      <c r="J7" s="16">
        <f t="shared" si="0"/>
        <v>25.742857142857144</v>
      </c>
      <c r="K7" s="2">
        <f>E7</f>
        <v>85</v>
      </c>
      <c r="M7" t="str">
        <f>A7</f>
        <v>Middle Class</v>
      </c>
      <c r="N7" s="9">
        <v>33.028571428571432</v>
      </c>
      <c r="O7">
        <v>26.228571428571428</v>
      </c>
      <c r="P7" s="10">
        <v>25.742857142857144</v>
      </c>
      <c r="Q7">
        <f>SUM(A7:D7)</f>
        <v>85</v>
      </c>
      <c r="S7">
        <f>Q9</f>
        <v>175</v>
      </c>
      <c r="T7">
        <f>COUNT(B6:B8)</f>
        <v>3</v>
      </c>
      <c r="U7">
        <f>COUNT(B6:D6)</f>
        <v>3</v>
      </c>
      <c r="V7">
        <f>(T7-1)*(U7-1)</f>
        <v>4</v>
      </c>
    </row>
    <row r="8" spans="1:24" x14ac:dyDescent="0.35">
      <c r="A8" t="s">
        <v>17</v>
      </c>
      <c r="B8" s="17">
        <v>8</v>
      </c>
      <c r="C8" s="18">
        <v>14</v>
      </c>
      <c r="D8" s="19">
        <v>23</v>
      </c>
      <c r="E8" s="2">
        <f>SUM(B8:D8)</f>
        <v>45</v>
      </c>
      <c r="G8" t="str">
        <f>A8</f>
        <v>Poor</v>
      </c>
      <c r="H8" s="17">
        <f t="shared" si="0"/>
        <v>17.485714285714284</v>
      </c>
      <c r="I8" s="18">
        <f t="shared" si="0"/>
        <v>13.885714285714286</v>
      </c>
      <c r="J8" s="19">
        <f t="shared" si="0"/>
        <v>13.628571428571428</v>
      </c>
      <c r="K8" s="2">
        <f>E8</f>
        <v>45</v>
      </c>
      <c r="M8" t="str">
        <f>A8</f>
        <v>Poor</v>
      </c>
      <c r="N8" s="11">
        <v>17.485714285714284</v>
      </c>
      <c r="O8" s="12">
        <v>13.885714285714286</v>
      </c>
      <c r="P8" s="13">
        <v>13.628571428571428</v>
      </c>
      <c r="Q8">
        <f>SUM(A8:D8)</f>
        <v>45</v>
      </c>
    </row>
    <row r="9" spans="1:24" ht="15" thickBot="1" x14ac:dyDescent="0.4">
      <c r="A9" t="s">
        <v>8</v>
      </c>
      <c r="B9" s="2">
        <f>SUM(B6:B8)</f>
        <v>68</v>
      </c>
      <c r="C9" s="2">
        <f>SUM(C6:C8)</f>
        <v>54</v>
      </c>
      <c r="D9" s="2">
        <f>SUM(D6:D8)</f>
        <v>53</v>
      </c>
      <c r="E9" s="2">
        <f>SUM(B9:D9)</f>
        <v>175</v>
      </c>
      <c r="G9" t="str">
        <f>A9</f>
        <v>Total</v>
      </c>
      <c r="H9" s="2">
        <f>B9</f>
        <v>68</v>
      </c>
      <c r="I9" s="2">
        <f>C9</f>
        <v>54</v>
      </c>
      <c r="J9" s="2">
        <f>D9</f>
        <v>53</v>
      </c>
      <c r="K9" s="2">
        <f>E9</f>
        <v>175</v>
      </c>
      <c r="M9" t="s">
        <v>8</v>
      </c>
      <c r="N9">
        <f>SUM(B5:B8)</f>
        <v>68</v>
      </c>
      <c r="O9">
        <f>SUM(C5:C8)</f>
        <v>54</v>
      </c>
      <c r="P9">
        <f>SUM(D5:D8)</f>
        <v>53</v>
      </c>
      <c r="Q9">
        <f>SUM(Q6:Q8)</f>
        <v>175</v>
      </c>
      <c r="S9" t="s">
        <v>18</v>
      </c>
    </row>
    <row r="10" spans="1:24" ht="15" thickTop="1" x14ac:dyDescent="0.35">
      <c r="S10" s="14" t="s">
        <v>19</v>
      </c>
      <c r="T10" s="14" t="s">
        <v>20</v>
      </c>
      <c r="U10" s="14" t="s">
        <v>21</v>
      </c>
      <c r="V10" s="14" t="s">
        <v>22</v>
      </c>
      <c r="W10" s="14" t="s">
        <v>23</v>
      </c>
      <c r="X10" s="14" t="s">
        <v>24</v>
      </c>
    </row>
    <row r="11" spans="1:24" x14ac:dyDescent="0.35">
      <c r="A11" s="1" t="s">
        <v>4</v>
      </c>
      <c r="G11" s="1" t="s">
        <v>25</v>
      </c>
      <c r="S11" t="s">
        <v>26</v>
      </c>
      <c r="T11" t="e">
        <f ca="1">[1]!CHI_STAT2(B6:D8,N6:P8)</f>
        <v>#NAME?</v>
      </c>
      <c r="U11" t="e">
        <f ca="1">CHIDIST(T11,V7)</f>
        <v>#NAME?</v>
      </c>
      <c r="V11">
        <f>CHIINV(V5,V7)</f>
        <v>9.4877290367811575</v>
      </c>
      <c r="W11" s="2" t="e">
        <f ca="1">IF(V11&lt;T11,"yes","no")</f>
        <v>#NAME?</v>
      </c>
      <c r="X11" t="e">
        <f ca="1">SQRT(T11/(S7*(MIN(T7,U7)-1)))</f>
        <v>#NAME?</v>
      </c>
    </row>
    <row r="12" spans="1:24" x14ac:dyDescent="0.35">
      <c r="S12" t="s">
        <v>27</v>
      </c>
      <c r="T12" t="e">
        <f ca="1">[1]!CHI_MAX2(B6:D8,N6:P8)</f>
        <v>#NAME?</v>
      </c>
      <c r="U12" t="e">
        <f ca="1">CHIDIST(T12,V7)</f>
        <v>#NAME?</v>
      </c>
      <c r="V12">
        <f>CHIINV(V5,V7)</f>
        <v>9.4877290367811575</v>
      </c>
      <c r="W12" s="2" t="e">
        <f ca="1">IF(V12&lt;T12,"yes","no")</f>
        <v>#NAME?</v>
      </c>
      <c r="X12" t="e">
        <f ca="1">SQRT(T12/(S7*(MIN(T7,U7)-1)))</f>
        <v>#NAME?</v>
      </c>
    </row>
    <row r="13" spans="1:24" x14ac:dyDescent="0.35">
      <c r="A13" t="s">
        <v>28</v>
      </c>
      <c r="B13" s="20">
        <v>0.05</v>
      </c>
      <c r="H13" s="2" t="str">
        <f>B5</f>
        <v>Univ</v>
      </c>
      <c r="I13" s="2" t="str">
        <f>C5</f>
        <v>High Sch</v>
      </c>
      <c r="J13" s="2" t="str">
        <f>D5</f>
        <v>None</v>
      </c>
      <c r="K13" s="2" t="str">
        <f>E5</f>
        <v>Total</v>
      </c>
      <c r="S13" s="21"/>
      <c r="T13" s="21"/>
      <c r="U13" s="21"/>
      <c r="V13" s="21"/>
      <c r="W13" s="21"/>
      <c r="X13" s="21"/>
    </row>
    <row r="14" spans="1:24" x14ac:dyDescent="0.35">
      <c r="A14" t="s">
        <v>15</v>
      </c>
      <c r="B14" s="22">
        <f>(COUNT(H6:J6)-1)*(COUNT(H6:H8)-1)</f>
        <v>4</v>
      </c>
      <c r="G14" t="str">
        <f>A6</f>
        <v>Wealthy</v>
      </c>
      <c r="H14" s="3">
        <f t="array" ref="H14:J16">MMULT(K14:K16,H17:J17)/K17</f>
        <v>17.485714285714284</v>
      </c>
      <c r="I14" s="4">
        <v>13.885714285714286</v>
      </c>
      <c r="J14" s="5">
        <v>13.628571428571428</v>
      </c>
      <c r="K14" s="2">
        <f>E6</f>
        <v>45</v>
      </c>
    </row>
    <row r="15" spans="1:24" x14ac:dyDescent="0.35">
      <c r="A15" t="s">
        <v>21</v>
      </c>
      <c r="B15" s="23">
        <f>CHITEST(B6:D8,H6:J8)</f>
        <v>3.2732287902881591E-3</v>
      </c>
      <c r="G15" t="str">
        <f>A7</f>
        <v>Middle Class</v>
      </c>
      <c r="H15" s="15">
        <v>33.028571428571432</v>
      </c>
      <c r="I15" s="2">
        <v>26.228571428571428</v>
      </c>
      <c r="J15" s="16">
        <v>25.742857142857144</v>
      </c>
      <c r="K15" s="2">
        <f>E7</f>
        <v>85</v>
      </c>
    </row>
    <row r="16" spans="1:24" x14ac:dyDescent="0.35">
      <c r="G16" t="str">
        <f>A8</f>
        <v>Poor</v>
      </c>
      <c r="H16" s="17">
        <v>17.485714285714284</v>
      </c>
      <c r="I16" s="18">
        <v>13.885714285714286</v>
      </c>
      <c r="J16" s="19">
        <v>13.628571428571428</v>
      </c>
      <c r="K16" s="2">
        <f>E8</f>
        <v>45</v>
      </c>
      <c r="S16" t="s">
        <v>29</v>
      </c>
    </row>
    <row r="17" spans="1:21" x14ac:dyDescent="0.35">
      <c r="A17" t="s">
        <v>30</v>
      </c>
      <c r="G17" t="str">
        <f>A9</f>
        <v>Total</v>
      </c>
      <c r="H17" s="2">
        <f>B9</f>
        <v>68</v>
      </c>
      <c r="I17" s="2">
        <f>C9</f>
        <v>54</v>
      </c>
      <c r="J17" s="2">
        <f>D9</f>
        <v>53</v>
      </c>
      <c r="K17" s="2">
        <f>E9</f>
        <v>175</v>
      </c>
    </row>
    <row r="18" spans="1:21" ht="15" thickBot="1" x14ac:dyDescent="0.4">
      <c r="S18" t="s">
        <v>18</v>
      </c>
    </row>
    <row r="19" spans="1:21" ht="15" thickTop="1" x14ac:dyDescent="0.35">
      <c r="A19" t="s">
        <v>31</v>
      </c>
      <c r="S19" s="14" t="s">
        <v>19</v>
      </c>
      <c r="T19" s="14" t="s">
        <v>20</v>
      </c>
      <c r="U19" s="14" t="s">
        <v>21</v>
      </c>
    </row>
    <row r="20" spans="1:21" x14ac:dyDescent="0.35">
      <c r="S20" s="24" t="s">
        <v>26</v>
      </c>
      <c r="T20" s="24" t="e">
        <f ca="1">[1]!CHI_STAT(B6:D8)</f>
        <v>#NAME?</v>
      </c>
      <c r="U20" s="24" t="e">
        <f ca="1">[1]!CHI_TEST(B6:D8)</f>
        <v>#NAME?</v>
      </c>
    </row>
    <row r="21" spans="1:21" x14ac:dyDescent="0.35">
      <c r="B21" s="25" t="str">
        <f>B5</f>
        <v>Univ</v>
      </c>
      <c r="C21" s="25" t="str">
        <f>C5</f>
        <v>High Sch</v>
      </c>
      <c r="D21" s="25" t="str">
        <f>D5</f>
        <v>None</v>
      </c>
      <c r="S21" s="26" t="s">
        <v>27</v>
      </c>
      <c r="T21" s="26" t="e">
        <f ca="1">[1]!CHI_MAX(B6:D8)</f>
        <v>#NAME?</v>
      </c>
      <c r="U21" s="26" t="e">
        <f ca="1">[1]!CHI_MAX_TEST(B6:D8)</f>
        <v>#NAME?</v>
      </c>
    </row>
    <row r="22" spans="1:21" x14ac:dyDescent="0.35">
      <c r="A22" t="str">
        <f>A6</f>
        <v>Wealthy</v>
      </c>
      <c r="B22" s="27">
        <f t="shared" ref="B22:D24" si="1">(B6-H6)^2/H6</f>
        <v>0.36153127917833849</v>
      </c>
      <c r="C22" s="24">
        <f t="shared" si="1"/>
        <v>8.9417989417989355E-2</v>
      </c>
      <c r="D22" s="28">
        <f t="shared" si="1"/>
        <v>0.96609763402216209</v>
      </c>
    </row>
    <row r="23" spans="1:21" x14ac:dyDescent="0.35">
      <c r="A23" t="str">
        <f>A7</f>
        <v>Middle Class</v>
      </c>
      <c r="B23" s="29">
        <f t="shared" si="1"/>
        <v>1.4714780029658905</v>
      </c>
      <c r="C23">
        <f t="shared" si="1"/>
        <v>5.7547463429816301E-2</v>
      </c>
      <c r="D23" s="30">
        <f t="shared" si="1"/>
        <v>1.2811479308704619</v>
      </c>
    </row>
    <row r="24" spans="1:21" x14ac:dyDescent="0.35">
      <c r="A24" t="str">
        <f>A8</f>
        <v>Poor</v>
      </c>
      <c r="B24" s="31">
        <f t="shared" si="1"/>
        <v>5.1458450046685327</v>
      </c>
      <c r="C24" s="26">
        <f t="shared" si="1"/>
        <v>9.4062316284537837E-4</v>
      </c>
      <c r="D24" s="32">
        <f t="shared" si="1"/>
        <v>6.4440850554058118</v>
      </c>
    </row>
    <row r="26" spans="1:21" x14ac:dyDescent="0.35">
      <c r="A26" t="s">
        <v>28</v>
      </c>
      <c r="B26" s="20">
        <v>0.05</v>
      </c>
    </row>
    <row r="27" spans="1:21" x14ac:dyDescent="0.35">
      <c r="A27" s="33" t="s">
        <v>32</v>
      </c>
      <c r="B27" s="22">
        <f>SUM(B22:D24)</f>
        <v>15.818090983121849</v>
      </c>
    </row>
    <row r="28" spans="1:21" x14ac:dyDescent="0.35">
      <c r="A28" t="s">
        <v>15</v>
      </c>
      <c r="B28" s="22">
        <f>B14</f>
        <v>4</v>
      </c>
    </row>
    <row r="29" spans="1:21" x14ac:dyDescent="0.35">
      <c r="A29" t="s">
        <v>21</v>
      </c>
      <c r="B29" s="22">
        <f>CHIDIST(B27,B28)</f>
        <v>3.2732287902881591E-3</v>
      </c>
    </row>
    <row r="30" spans="1:21" x14ac:dyDescent="0.35">
      <c r="A30" s="33" t="s">
        <v>33</v>
      </c>
      <c r="B30" s="23">
        <f>CHIINV(B26,B28)</f>
        <v>9.4877290367811575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6719-D5F0-4E99-89BF-F13C2F2B9CFC}">
  <sheetPr codeName="Sheet38"/>
  <dimension ref="A1:H7"/>
  <sheetViews>
    <sheetView workbookViewId="0"/>
  </sheetViews>
  <sheetFormatPr defaultRowHeight="14.5" x14ac:dyDescent="0.35"/>
  <cols>
    <col min="1" max="1" width="9.81640625" customWidth="1"/>
    <col min="4" max="4" width="9.1796875" customWidth="1"/>
    <col min="6" max="6" width="10" customWidth="1"/>
    <col min="7" max="7" width="9.54296875" customWidth="1"/>
    <col min="12" max="12" width="10.1796875" customWidth="1"/>
  </cols>
  <sheetData>
    <row r="1" spans="1:8" x14ac:dyDescent="0.35">
      <c r="A1" s="1" t="s">
        <v>34</v>
      </c>
    </row>
    <row r="2" spans="1:8" x14ac:dyDescent="0.35">
      <c r="A2" s="1"/>
    </row>
    <row r="3" spans="1:8" x14ac:dyDescent="0.35">
      <c r="A3" s="1" t="s">
        <v>35</v>
      </c>
      <c r="F3" s="1" t="s">
        <v>36</v>
      </c>
    </row>
    <row r="4" spans="1:8" x14ac:dyDescent="0.35">
      <c r="B4" s="25" t="s">
        <v>37</v>
      </c>
      <c r="C4" s="25" t="s">
        <v>38</v>
      </c>
      <c r="G4" s="25" t="s">
        <v>39</v>
      </c>
      <c r="H4" s="25" t="s">
        <v>40</v>
      </c>
    </row>
    <row r="5" spans="1:8" x14ac:dyDescent="0.35">
      <c r="A5" t="s">
        <v>41</v>
      </c>
      <c r="B5" s="27">
        <v>31</v>
      </c>
      <c r="C5" s="28">
        <v>57</v>
      </c>
      <c r="D5">
        <f>SUM(B5:C5)</f>
        <v>88</v>
      </c>
      <c r="F5" t="s">
        <v>37</v>
      </c>
      <c r="G5" s="34">
        <f>B6/B7</f>
        <v>0.26190476190476192</v>
      </c>
      <c r="H5" s="35">
        <f>B6/B5</f>
        <v>0.35483870967741937</v>
      </c>
    </row>
    <row r="6" spans="1:8" x14ac:dyDescent="0.35">
      <c r="A6" t="s">
        <v>42</v>
      </c>
      <c r="B6" s="31">
        <v>11</v>
      </c>
      <c r="C6" s="32">
        <v>51</v>
      </c>
      <c r="D6">
        <f>SUM(B6:C6)</f>
        <v>62</v>
      </c>
      <c r="F6" t="s">
        <v>38</v>
      </c>
      <c r="G6" s="36">
        <f>C6/C7</f>
        <v>0.47222222222222221</v>
      </c>
      <c r="H6" s="37">
        <f>C6/C5</f>
        <v>0.89473684210526316</v>
      </c>
    </row>
    <row r="7" spans="1:8" x14ac:dyDescent="0.35">
      <c r="B7">
        <f>SUM(B5:B6)</f>
        <v>42</v>
      </c>
      <c r="C7">
        <f>SUM(C5:C6)</f>
        <v>108</v>
      </c>
      <c r="D7">
        <f>SUM(D5:D6)</f>
        <v>150</v>
      </c>
      <c r="F7" t="s">
        <v>43</v>
      </c>
      <c r="G7" s="38">
        <f>G6/G5</f>
        <v>1.803030303030303</v>
      </c>
      <c r="H7" s="38">
        <f>H6/H5</f>
        <v>2.5215311004784686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ACD8-38E4-4998-A72E-0B56AE81AEF0}">
  <sheetPr codeName="Sheet76"/>
  <dimension ref="A1:AA19"/>
  <sheetViews>
    <sheetView topLeftCell="D1" workbookViewId="0">
      <selection activeCell="T1" sqref="T1"/>
    </sheetView>
  </sheetViews>
  <sheetFormatPr defaultRowHeight="14.5" x14ac:dyDescent="0.35"/>
  <cols>
    <col min="1" max="1" width="13.26953125" customWidth="1"/>
    <col min="2" max="5" width="9.81640625" customWidth="1"/>
    <col min="6" max="6" width="13.1796875" customWidth="1"/>
    <col min="7" max="8" width="10.26953125" customWidth="1"/>
    <col min="9" max="10" width="9.81640625" customWidth="1"/>
    <col min="11" max="11" width="9.1796875" customWidth="1"/>
    <col min="18" max="18" width="11" bestFit="1" customWidth="1"/>
    <col min="20" max="20" width="4.26953125" customWidth="1"/>
    <col min="21" max="22" width="7.54296875" customWidth="1"/>
    <col min="23" max="23" width="5.1796875" customWidth="1"/>
    <col min="24" max="24" width="10.453125" customWidth="1"/>
    <col min="26" max="26" width="3" customWidth="1"/>
    <col min="27" max="27" width="45.81640625" customWidth="1"/>
  </cols>
  <sheetData>
    <row r="1" spans="1:27" x14ac:dyDescent="0.35">
      <c r="A1" s="1" t="s">
        <v>44</v>
      </c>
      <c r="T1" t="s">
        <v>36</v>
      </c>
    </row>
    <row r="2" spans="1:27" x14ac:dyDescent="0.35">
      <c r="X2" t="s">
        <v>21</v>
      </c>
      <c r="Y2" s="20" t="e">
        <f ca="1">[1]!FISHERTEST(U4:V6)</f>
        <v>#NAME?</v>
      </c>
      <c r="AA2" t="e">
        <f ca="1">[1]!FTEXT(Y2)</f>
        <v>#NAME?</v>
      </c>
    </row>
    <row r="3" spans="1:27" x14ac:dyDescent="0.35">
      <c r="B3" s="2" t="s">
        <v>45</v>
      </c>
      <c r="C3" s="2" t="s">
        <v>46</v>
      </c>
      <c r="F3" t="s">
        <v>3</v>
      </c>
      <c r="K3" t="s">
        <v>4</v>
      </c>
      <c r="U3" s="2" t="s">
        <v>47</v>
      </c>
      <c r="V3" s="2" t="s">
        <v>48</v>
      </c>
      <c r="X3" t="s">
        <v>49</v>
      </c>
      <c r="Y3" s="22">
        <f>SUM(U4:V6)</f>
        <v>171</v>
      </c>
      <c r="AA3" t="e">
        <f ca="1">[1]!FTEXT(Y3)</f>
        <v>#NAME?</v>
      </c>
    </row>
    <row r="4" spans="1:27" x14ac:dyDescent="0.35">
      <c r="A4" t="s">
        <v>50</v>
      </c>
      <c r="B4" s="27">
        <v>32</v>
      </c>
      <c r="C4" s="28">
        <v>63</v>
      </c>
      <c r="D4">
        <f>SUM(B4:C4)</f>
        <v>95</v>
      </c>
      <c r="T4" s="2" t="s">
        <v>51</v>
      </c>
      <c r="U4" s="3">
        <v>34</v>
      </c>
      <c r="V4" s="5">
        <v>12</v>
      </c>
      <c r="X4" t="s">
        <v>15</v>
      </c>
      <c r="Y4" s="22">
        <f>(COUNT(U4:U6)-1)*(COUNT(U4:V4)-1)</f>
        <v>2</v>
      </c>
      <c r="AA4" t="e">
        <f ca="1">[1]!FTEXT(Y4)</f>
        <v>#NAME?</v>
      </c>
    </row>
    <row r="5" spans="1:27" ht="15" thickBot="1" x14ac:dyDescent="0.4">
      <c r="A5" t="s">
        <v>52</v>
      </c>
      <c r="B5" s="29">
        <v>44</v>
      </c>
      <c r="C5" s="30">
        <v>19</v>
      </c>
      <c r="D5">
        <f>SUM(B5:C5)</f>
        <v>63</v>
      </c>
      <c r="F5" t="str">
        <f>IF(A3="","",A3)</f>
        <v/>
      </c>
      <c r="G5" s="2" t="str">
        <f>IF(B3="","",B3)</f>
        <v>Pro Life</v>
      </c>
      <c r="H5" s="2" t="str">
        <f>IF(C3="","",C3)</f>
        <v>Pro Choice</v>
      </c>
      <c r="I5" s="25" t="s">
        <v>8</v>
      </c>
      <c r="K5" t="s">
        <v>9</v>
      </c>
      <c r="M5" t="s">
        <v>10</v>
      </c>
      <c r="N5">
        <v>0.05</v>
      </c>
      <c r="T5" s="2" t="s">
        <v>53</v>
      </c>
      <c r="U5" s="15">
        <v>56</v>
      </c>
      <c r="V5" s="39">
        <v>34</v>
      </c>
      <c r="X5" t="s">
        <v>54</v>
      </c>
      <c r="Y5" s="22" t="e">
        <f ca="1">CHIINV(Y2,Y4)</f>
        <v>#NAME?</v>
      </c>
      <c r="AA5" s="40" t="s">
        <v>55</v>
      </c>
    </row>
    <row r="6" spans="1:27" ht="15" thickTop="1" x14ac:dyDescent="0.35">
      <c r="A6" t="s">
        <v>56</v>
      </c>
      <c r="B6" s="31">
        <v>49</v>
      </c>
      <c r="C6" s="32">
        <v>51</v>
      </c>
      <c r="D6">
        <f>SUM(B6:C6)</f>
        <v>100</v>
      </c>
      <c r="F6" t="str">
        <f>IF(A4="","",A4)</f>
        <v>Democrat</v>
      </c>
      <c r="G6" s="6">
        <f t="array" ref="G6:H8">MMULT(I6:I8,G9:H9)/I9</f>
        <v>46.027131782945737</v>
      </c>
      <c r="H6" s="8">
        <v>48.972868217054263</v>
      </c>
      <c r="I6">
        <f>SUM(B4:C4)</f>
        <v>95</v>
      </c>
      <c r="K6" s="14" t="s">
        <v>12</v>
      </c>
      <c r="L6" s="14" t="s">
        <v>13</v>
      </c>
      <c r="M6" s="14" t="s">
        <v>14</v>
      </c>
      <c r="N6" s="14" t="s">
        <v>15</v>
      </c>
      <c r="T6" s="2" t="s">
        <v>57</v>
      </c>
      <c r="U6" s="41">
        <v>12</v>
      </c>
      <c r="V6" s="42">
        <v>23</v>
      </c>
      <c r="X6" t="s">
        <v>58</v>
      </c>
      <c r="Y6" s="22" t="e">
        <f ca="1">Y7/SQRT(MIN(COUNT(U4:U6),COUNT(U4:V4))-1)</f>
        <v>#NAME?</v>
      </c>
      <c r="AA6" t="e">
        <f ca="1">[1]!FTEXT(Y6)</f>
        <v>#NAME?</v>
      </c>
    </row>
    <row r="7" spans="1:27" x14ac:dyDescent="0.35">
      <c r="B7">
        <f>SUM(B4:B6)</f>
        <v>125</v>
      </c>
      <c r="C7">
        <f>SUM(C4:C6)</f>
        <v>133</v>
      </c>
      <c r="D7">
        <f>SUM(B7:C7)</f>
        <v>258</v>
      </c>
      <c r="F7" t="str">
        <f>IF(A5="","",A5)</f>
        <v>Republican</v>
      </c>
      <c r="G7" s="9">
        <v>30.523255813953487</v>
      </c>
      <c r="H7" s="10">
        <v>32.47674418604651</v>
      </c>
      <c r="I7">
        <f>SUM(B5:C5)</f>
        <v>63</v>
      </c>
      <c r="K7">
        <f>I9</f>
        <v>258</v>
      </c>
      <c r="L7">
        <f>COUNT(B4:B6)</f>
        <v>3</v>
      </c>
      <c r="M7">
        <f>COUNT(B4:C4)</f>
        <v>2</v>
      </c>
      <c r="N7">
        <f>(L7-1)*(M7-1)</f>
        <v>2</v>
      </c>
      <c r="X7" t="s">
        <v>59</v>
      </c>
      <c r="Y7" s="23" t="e">
        <f ca="1">SQRT(Y5/Y3)</f>
        <v>#NAME?</v>
      </c>
      <c r="AA7" t="e">
        <f ca="1">[1]!FTEXT(Y7)</f>
        <v>#NAME?</v>
      </c>
    </row>
    <row r="8" spans="1:27" x14ac:dyDescent="0.35">
      <c r="F8" t="str">
        <f>IF(A6="","",A6)</f>
        <v>Independent</v>
      </c>
      <c r="G8" s="11">
        <v>48.449612403100772</v>
      </c>
      <c r="H8" s="13">
        <v>51.550387596899228</v>
      </c>
      <c r="I8">
        <f>SUM(B6:C6)</f>
        <v>100</v>
      </c>
    </row>
    <row r="9" spans="1:27" ht="15" thickBot="1" x14ac:dyDescent="0.4">
      <c r="F9" t="s">
        <v>8</v>
      </c>
      <c r="G9">
        <f>SUM(B4:B6)</f>
        <v>125</v>
      </c>
      <c r="H9">
        <f>SUM(C4:C6)</f>
        <v>133</v>
      </c>
      <c r="I9">
        <f>SUM(I6:I8)</f>
        <v>258</v>
      </c>
      <c r="K9" t="s">
        <v>18</v>
      </c>
      <c r="U9" s="2" t="s">
        <v>47</v>
      </c>
      <c r="V9" s="2" t="s">
        <v>48</v>
      </c>
      <c r="X9" t="e">
        <f t="array" aca="1" ref="X9:Y14" ca="1">[1]!FISHER_TEST(U4:V6,TRUE)</f>
        <v>#NAME?</v>
      </c>
      <c r="Y9" s="43" t="e">
        <f ca="1"/>
        <v>#NAME?</v>
      </c>
      <c r="AA9" t="e">
        <f ca="1">[1]!FTEXT(Y9)</f>
        <v>#NAME?</v>
      </c>
    </row>
    <row r="10" spans="1:27" ht="15" thickTop="1" x14ac:dyDescent="0.35">
      <c r="K10" s="14" t="s">
        <v>19</v>
      </c>
      <c r="L10" s="14" t="s">
        <v>20</v>
      </c>
      <c r="M10" s="14" t="s">
        <v>21</v>
      </c>
      <c r="N10" s="14" t="s">
        <v>22</v>
      </c>
      <c r="O10" s="14" t="s">
        <v>23</v>
      </c>
      <c r="P10" s="14" t="s">
        <v>24</v>
      </c>
      <c r="T10" s="2" t="s">
        <v>51</v>
      </c>
      <c r="U10" s="3">
        <v>34</v>
      </c>
      <c r="V10" s="5">
        <v>12</v>
      </c>
      <c r="X10" t="e">
        <f ca="1"/>
        <v>#NAME?</v>
      </c>
      <c r="Y10" s="22" t="e">
        <f ca="1"/>
        <v>#NAME?</v>
      </c>
    </row>
    <row r="11" spans="1:27" x14ac:dyDescent="0.35">
      <c r="G11" t="s">
        <v>44</v>
      </c>
      <c r="K11" t="s">
        <v>26</v>
      </c>
      <c r="L11" t="e">
        <f ca="1">[1]!CHI_STAT2(B4:C6,G6:H8)</f>
        <v>#NAME?</v>
      </c>
      <c r="M11" t="e">
        <f ca="1">CHIDIST(L11,N7)</f>
        <v>#NAME?</v>
      </c>
      <c r="N11">
        <f>CHIINV(N5,N7)</f>
        <v>5.9914645471079817</v>
      </c>
      <c r="O11" s="2" t="e">
        <f ca="1">IF(N11&lt;L11,"yes","no")</f>
        <v>#NAME?</v>
      </c>
      <c r="P11" t="e">
        <f ca="1">SQRT(L11/(K7*(MIN(L7,M7)-1)))</f>
        <v>#NAME?</v>
      </c>
      <c r="T11" s="2" t="s">
        <v>53</v>
      </c>
      <c r="U11" s="44">
        <v>56</v>
      </c>
      <c r="V11" s="39">
        <v>34</v>
      </c>
      <c r="X11" t="e">
        <f ca="1"/>
        <v>#NAME?</v>
      </c>
      <c r="Y11" s="22" t="e">
        <f ca="1"/>
        <v>#NAME?</v>
      </c>
    </row>
    <row r="12" spans="1:27" x14ac:dyDescent="0.35">
      <c r="K12" t="s">
        <v>27</v>
      </c>
      <c r="L12" t="e">
        <f ca="1">[1]!CHI_MAX2(B4:C6,G6:H8)</f>
        <v>#NAME?</v>
      </c>
      <c r="M12" t="e">
        <f ca="1">CHIDIST(L12,N7)</f>
        <v>#NAME?</v>
      </c>
      <c r="N12">
        <f>CHIINV(N5,N7)</f>
        <v>5.9914645471079817</v>
      </c>
      <c r="O12" s="2" t="e">
        <f ca="1">IF(N12&lt;L12,"yes","no")</f>
        <v>#NAME?</v>
      </c>
      <c r="P12" t="e">
        <f ca="1">SQRT(L12/(K7*(MIN(L7,M7)-1)))</f>
        <v>#NAME?</v>
      </c>
      <c r="T12" s="2" t="s">
        <v>57</v>
      </c>
      <c r="U12" s="41">
        <v>12</v>
      </c>
      <c r="V12" s="42">
        <v>23</v>
      </c>
      <c r="X12" t="e">
        <f ca="1"/>
        <v>#NAME?</v>
      </c>
      <c r="Y12" s="22" t="e">
        <f ca="1"/>
        <v>#NAME?</v>
      </c>
    </row>
    <row r="13" spans="1:27" x14ac:dyDescent="0.35">
      <c r="G13" t="s">
        <v>21</v>
      </c>
      <c r="H13" s="45" t="e">
        <f ca="1">[1]!FISHERTEST(B4:C6)</f>
        <v>#NAME?</v>
      </c>
      <c r="K13" s="21"/>
      <c r="L13" s="21"/>
      <c r="M13" s="21"/>
      <c r="N13" s="21"/>
      <c r="O13" s="21"/>
      <c r="P13" s="21"/>
      <c r="X13" t="e">
        <f ca="1"/>
        <v>#NAME?</v>
      </c>
      <c r="Y13" s="22" t="e">
        <f ca="1"/>
        <v>#NAME?</v>
      </c>
    </row>
    <row r="14" spans="1:27" x14ac:dyDescent="0.35">
      <c r="X14" t="e">
        <f ca="1"/>
        <v>#NAME?</v>
      </c>
      <c r="Y14" s="23" t="e">
        <f ca="1"/>
        <v>#NAME?</v>
      </c>
    </row>
    <row r="15" spans="1:27" x14ac:dyDescent="0.35">
      <c r="B15" s="2" t="s">
        <v>47</v>
      </c>
      <c r="C15" s="2" t="s">
        <v>48</v>
      </c>
      <c r="D15" s="2" t="s">
        <v>60</v>
      </c>
      <c r="K15" s="2" t="s">
        <v>47</v>
      </c>
      <c r="L15" s="2" t="s">
        <v>48</v>
      </c>
      <c r="M15" s="2" t="s">
        <v>60</v>
      </c>
      <c r="N15" s="2" t="s">
        <v>61</v>
      </c>
      <c r="Q15" t="s">
        <v>44</v>
      </c>
    </row>
    <row r="16" spans="1:27" x14ac:dyDescent="0.35">
      <c r="A16" s="2" t="s">
        <v>51</v>
      </c>
      <c r="B16" s="46">
        <v>25</v>
      </c>
      <c r="C16" s="21">
        <v>22</v>
      </c>
      <c r="D16" s="47">
        <v>32</v>
      </c>
      <c r="E16">
        <f>SUM(B16:D16)</f>
        <v>79</v>
      </c>
      <c r="G16" t="s">
        <v>44</v>
      </c>
      <c r="J16" s="2" t="s">
        <v>51</v>
      </c>
      <c r="K16" s="46">
        <v>134</v>
      </c>
      <c r="L16" s="21">
        <v>200</v>
      </c>
      <c r="M16" s="21">
        <v>91</v>
      </c>
      <c r="N16" s="47">
        <v>86</v>
      </c>
      <c r="O16">
        <f>SUM(K16:N16)</f>
        <v>511</v>
      </c>
    </row>
    <row r="17" spans="1:18" x14ac:dyDescent="0.35">
      <c r="A17" s="2" t="s">
        <v>53</v>
      </c>
      <c r="B17" s="48">
        <v>15</v>
      </c>
      <c r="C17">
        <v>4</v>
      </c>
      <c r="D17" s="30">
        <v>19</v>
      </c>
      <c r="E17">
        <f>SUM(B17:D17)</f>
        <v>38</v>
      </c>
      <c r="J17" s="2" t="s">
        <v>53</v>
      </c>
      <c r="K17" s="49">
        <v>178</v>
      </c>
      <c r="L17" s="50">
        <v>203</v>
      </c>
      <c r="M17" s="50">
        <v>70</v>
      </c>
      <c r="N17" s="51">
        <v>145</v>
      </c>
      <c r="O17">
        <f>SUM(K17:N17)</f>
        <v>596</v>
      </c>
      <c r="Q17" t="s">
        <v>21</v>
      </c>
      <c r="R17" s="45" t="e">
        <f ca="1">[1]!FISHERTEST(K16:N17)</f>
        <v>#NAME?</v>
      </c>
    </row>
    <row r="18" spans="1:18" x14ac:dyDescent="0.35">
      <c r="A18" s="2" t="s">
        <v>57</v>
      </c>
      <c r="B18" s="49">
        <v>35</v>
      </c>
      <c r="C18" s="50">
        <v>14</v>
      </c>
      <c r="D18" s="51">
        <v>23</v>
      </c>
      <c r="E18">
        <f>SUM(B18:D18)</f>
        <v>72</v>
      </c>
      <c r="G18" t="s">
        <v>21</v>
      </c>
      <c r="H18" s="45" t="e">
        <f ca="1">[1]!FISHERTEST(B16:D18)</f>
        <v>#NAME?</v>
      </c>
      <c r="K18">
        <f>SUM(K16:K17)</f>
        <v>312</v>
      </c>
      <c r="L18">
        <f>SUM(L16:L17)</f>
        <v>403</v>
      </c>
      <c r="M18">
        <f>SUM(M16:M17)</f>
        <v>161</v>
      </c>
      <c r="N18">
        <f>SUM(N16:N17)</f>
        <v>231</v>
      </c>
      <c r="O18">
        <f>SUM(K18:N18)</f>
        <v>1107</v>
      </c>
    </row>
    <row r="19" spans="1:18" x14ac:dyDescent="0.35">
      <c r="B19">
        <f>SUM(B16:B18)</f>
        <v>75</v>
      </c>
      <c r="C19">
        <f>SUM(C16:C18)</f>
        <v>40</v>
      </c>
      <c r="D19">
        <f>SUM(D16:D18)</f>
        <v>74</v>
      </c>
      <c r="E19">
        <f>SUM(B19:D19)</f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Cramer</vt:lpstr>
      <vt:lpstr>Odds</vt:lpstr>
      <vt:lpstr>Fisher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2022-07-17T07:27:48Z</dcterms:created>
  <dcterms:modified xsi:type="dcterms:W3CDTF">2022-07-17T07:30:02Z</dcterms:modified>
</cp:coreProperties>
</file>