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62F0857F-7659-452A-9588-E231BB7CDBE4}" xr6:coauthVersionLast="47" xr6:coauthVersionMax="47" xr10:uidLastSave="{00000000-0000-0000-0000-000000000000}"/>
  <bookViews>
    <workbookView xWindow="-110" yWindow="-110" windowWidth="19420" windowHeight="10300" xr2:uid="{E6936574-338B-4E61-A059-51A0B30D4930}"/>
  </bookViews>
  <sheets>
    <sheet name="Title" sheetId="3" r:id="rId1"/>
    <sheet name="Fisher 1" sheetId="1" r:id="rId2"/>
    <sheet name="Fisher 2" sheetId="2" r:id="rId3"/>
  </sheets>
  <externalReferences>
    <externalReference r:id="rId4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2" l="1"/>
  <c r="R17" i="2"/>
  <c r="H13" i="2"/>
  <c r="L12" i="2"/>
  <c r="L11" i="2"/>
  <c r="AA9" i="2"/>
  <c r="X14" i="2"/>
  <c r="X10" i="2"/>
  <c r="X9" i="2" a="1"/>
  <c r="Y13" i="2" s="1"/>
  <c r="AA7" i="2"/>
  <c r="AA6" i="2"/>
  <c r="AA4" i="2"/>
  <c r="AA3" i="2"/>
  <c r="AA2" i="2"/>
  <c r="Y2" i="2"/>
  <c r="Q21" i="1" a="1"/>
  <c r="Q21" i="1" s="1"/>
  <c r="O21" i="1" a="1"/>
  <c r="O21" i="1" s="1"/>
  <c r="Q20" i="1"/>
  <c r="Q20" i="1" a="1"/>
  <c r="O20" i="1" a="1"/>
  <c r="O20" i="1" s="1"/>
  <c r="Q18" i="1" a="1"/>
  <c r="Q18" i="1" s="1"/>
  <c r="O18" i="1"/>
  <c r="Q17" i="1" a="1"/>
  <c r="Q17" i="1" s="1"/>
  <c r="O17" i="1"/>
  <c r="D19" i="2"/>
  <c r="C19" i="2"/>
  <c r="B19" i="2"/>
  <c r="E19" i="2" s="1"/>
  <c r="N18" i="2"/>
  <c r="M18" i="2"/>
  <c r="L18" i="2"/>
  <c r="K18" i="2"/>
  <c r="E18" i="2"/>
  <c r="O17" i="2"/>
  <c r="E17" i="2"/>
  <c r="O16" i="2"/>
  <c r="E16" i="2"/>
  <c r="H9" i="2"/>
  <c r="G9" i="2"/>
  <c r="I8" i="2"/>
  <c r="F8" i="2"/>
  <c r="M7" i="2"/>
  <c r="N7" i="2" s="1"/>
  <c r="L7" i="2"/>
  <c r="I7" i="2"/>
  <c r="I9" i="2" s="1"/>
  <c r="K7" i="2" s="1"/>
  <c r="F7" i="2"/>
  <c r="C7" i="2"/>
  <c r="B7" i="2"/>
  <c r="D7" i="2" s="1"/>
  <c r="I6" i="2"/>
  <c r="G6" i="2" s="1" a="1"/>
  <c r="F6" i="2"/>
  <c r="D6" i="2"/>
  <c r="H5" i="2"/>
  <c r="G5" i="2"/>
  <c r="F5" i="2"/>
  <c r="D5" i="2"/>
  <c r="Y4" i="2"/>
  <c r="D4" i="2"/>
  <c r="Y3" i="2"/>
  <c r="G13" i="1"/>
  <c r="G16" i="1" s="1"/>
  <c r="H8" i="1"/>
  <c r="G8" i="1"/>
  <c r="D8" i="1"/>
  <c r="I8" i="1" s="1"/>
  <c r="H6" i="1" s="1"/>
  <c r="C13" i="1" s="1"/>
  <c r="C8" i="1"/>
  <c r="B8" i="1"/>
  <c r="O6" i="1" s="1"/>
  <c r="K7" i="1"/>
  <c r="O7" i="1" s="1"/>
  <c r="I7" i="1"/>
  <c r="D7" i="1"/>
  <c r="I6" i="1"/>
  <c r="D6" i="1"/>
  <c r="X11" i="2" l="1"/>
  <c r="Y11" i="2"/>
  <c r="X13" i="2"/>
  <c r="X9" i="2"/>
  <c r="Y10" i="2"/>
  <c r="Y14" i="2"/>
  <c r="X12" i="2"/>
  <c r="Y12" i="2"/>
  <c r="Y9" i="2"/>
  <c r="O18" i="2"/>
  <c r="Y5" i="2"/>
  <c r="Y7" i="2" s="1"/>
  <c r="Y6" i="2" s="1"/>
  <c r="H6" i="2"/>
  <c r="G6" i="2"/>
  <c r="H8" i="2"/>
  <c r="G8" i="2"/>
  <c r="H7" i="2"/>
  <c r="G7" i="2"/>
  <c r="G6" i="1"/>
  <c r="B13" i="1" s="1"/>
  <c r="D13" i="1" s="1"/>
  <c r="D15" i="1" s="1"/>
  <c r="G14" i="1" s="1"/>
  <c r="G15" i="1" s="1"/>
  <c r="G17" i="1" s="1"/>
  <c r="H7" i="1"/>
  <c r="C14" i="1" s="1"/>
  <c r="N11" i="2"/>
  <c r="N12" i="2"/>
  <c r="G7" i="1"/>
  <c r="B14" i="1" s="1"/>
  <c r="D14" i="1" s="1"/>
  <c r="L6" i="1"/>
  <c r="L7" i="1"/>
  <c r="K8" i="1"/>
  <c r="P12" i="2" l="1"/>
  <c r="M12" i="2"/>
  <c r="M11" i="2"/>
  <c r="P11" i="2"/>
  <c r="O12" i="2"/>
  <c r="L8" i="1"/>
  <c r="M8" i="1" s="1"/>
  <c r="K9" i="1"/>
  <c r="O8" i="1"/>
  <c r="O11" i="2"/>
  <c r="M7" i="1"/>
  <c r="M6" i="1"/>
  <c r="K10" i="1" l="1"/>
  <c r="O9" i="1"/>
  <c r="L9" i="1"/>
  <c r="M9" i="1" s="1"/>
  <c r="L17" i="1"/>
  <c r="L20" i="1"/>
  <c r="L10" i="1" l="1"/>
  <c r="M10" i="1" s="1"/>
  <c r="K11" i="1"/>
  <c r="O10" i="1"/>
  <c r="L11" i="1" l="1"/>
  <c r="M11" i="1" s="1"/>
  <c r="K12" i="1"/>
  <c r="O11" i="1"/>
  <c r="L12" i="1" l="1"/>
  <c r="M12" i="1" s="1"/>
  <c r="K13" i="1"/>
  <c r="O12" i="1"/>
  <c r="L13" i="1" l="1"/>
  <c r="M13" i="1" s="1"/>
  <c r="L21" i="1" s="1"/>
  <c r="K14" i="1"/>
  <c r="O13" i="1"/>
  <c r="L14" i="1" l="1"/>
  <c r="K15" i="1"/>
  <c r="O14" i="1"/>
  <c r="O15" i="1" l="1"/>
  <c r="L15" i="1"/>
  <c r="M15" i="1" s="1"/>
  <c r="M14" i="1"/>
  <c r="L1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<sst xmlns="http://schemas.openxmlformats.org/spreadsheetml/2006/main" count="102" uniqueCount="57">
  <si>
    <t>Fisher Exact Test</t>
  </si>
  <si>
    <t>Observed Values</t>
  </si>
  <si>
    <t>Expected Values</t>
  </si>
  <si>
    <t>Fisher exact test</t>
  </si>
  <si>
    <t>Therapy 1</t>
  </si>
  <si>
    <t>Therapy 2</t>
  </si>
  <si>
    <t>Total</t>
  </si>
  <si>
    <t>count</t>
  </si>
  <si>
    <t>prob</t>
  </si>
  <si>
    <t>cum</t>
  </si>
  <si>
    <t>Cured</t>
  </si>
  <si>
    <t>Not Cured</t>
  </si>
  <si>
    <t>Chi-square Test</t>
  </si>
  <si>
    <t>α</t>
  </si>
  <si>
    <t>df</t>
  </si>
  <si>
    <t>χ2</t>
  </si>
  <si>
    <t>χ2 =</t>
  </si>
  <si>
    <t>p-value</t>
  </si>
  <si>
    <t>χ2-crit</t>
  </si>
  <si>
    <t>sig</t>
  </si>
  <si>
    <t>one-tail</t>
  </si>
  <si>
    <t>two-tail</t>
  </si>
  <si>
    <t>Effect size</t>
  </si>
  <si>
    <t>Pro Life</t>
  </si>
  <si>
    <t>Pro Choice</t>
  </si>
  <si>
    <t>Chi-Square Test</t>
  </si>
  <si>
    <t>A</t>
  </si>
  <si>
    <t>B</t>
  </si>
  <si>
    <t>size</t>
  </si>
  <si>
    <t>Democrat</t>
  </si>
  <si>
    <t>X</t>
  </si>
  <si>
    <t>Republican</t>
  </si>
  <si>
    <t>SUMMARY</t>
  </si>
  <si>
    <t>Alpha</t>
  </si>
  <si>
    <t>Y</t>
  </si>
  <si>
    <t>chi-square</t>
  </si>
  <si>
    <t>=CHISQ.INV.RT(Y2,Y4)</t>
  </si>
  <si>
    <t>Independent</t>
  </si>
  <si>
    <t>Count</t>
  </si>
  <si>
    <t>Rows</t>
  </si>
  <si>
    <t>Cols</t>
  </si>
  <si>
    <t>Z</t>
  </si>
  <si>
    <t>V effect</t>
  </si>
  <si>
    <t>w effect</t>
  </si>
  <si>
    <t>CHI-SQUARE</t>
  </si>
  <si>
    <t xml:space="preserve"> </t>
  </si>
  <si>
    <t>chi-sq</t>
  </si>
  <si>
    <t>x-crit</t>
  </si>
  <si>
    <t>Cramer V</t>
  </si>
  <si>
    <t>Pearson's</t>
  </si>
  <si>
    <t>Max likelihood</t>
  </si>
  <si>
    <t>C</t>
  </si>
  <si>
    <t>D</t>
  </si>
  <si>
    <t>Real Statistics Using Excel</t>
  </si>
  <si>
    <t>Updated</t>
  </si>
  <si>
    <t>Copyright © 2013 - 2022 Charles Zaiontz</t>
  </si>
  <si>
    <t>Fisher's Exact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</si>
</sst>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0" xfId="0" quotePrefix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1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19" xfId="0" applyBorder="1"/>
    <xf numFmtId="0" fontId="0" fillId="0" borderId="20" xfId="0" applyBorder="1"/>
    <xf numFmtId="15" fontId="0" fillId="0" borderId="0" xfId="0" applyNumberFormat="1"/>
    <xf numFmtId="0" fontId="4" fillId="0" borderId="0" xfId="0" applyFont="1"/>
    <xf numFmtId="0" fontId="0" fillId="0" borderId="2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FAC16-81E7-497E-9372-79E4D7BA229E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53</v>
      </c>
    </row>
    <row r="2" spans="1:2" x14ac:dyDescent="0.35">
      <c r="A2" t="s">
        <v>56</v>
      </c>
    </row>
    <row r="4" spans="1:2" x14ac:dyDescent="0.35">
      <c r="A4" t="s">
        <v>54</v>
      </c>
      <c r="B4" s="38">
        <v>44784</v>
      </c>
    </row>
    <row r="6" spans="1:2" x14ac:dyDescent="0.35">
      <c r="A6" s="39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CFE0-C473-4016-B70B-1ECEDEC60382}">
  <sheetPr codeName="Sheet208"/>
  <dimension ref="A1:Q21"/>
  <sheetViews>
    <sheetView workbookViewId="0"/>
  </sheetViews>
  <sheetFormatPr defaultRowHeight="14.5" x14ac:dyDescent="0.35"/>
  <cols>
    <col min="1" max="1" width="10.81640625" customWidth="1"/>
    <col min="6" max="6" width="10.26953125" customWidth="1"/>
    <col min="10" max="10" width="9.1796875" customWidth="1"/>
    <col min="11" max="11" width="8.1796875" customWidth="1"/>
    <col min="12" max="12" width="9.54296875" customWidth="1"/>
    <col min="13" max="13" width="9.7265625" customWidth="1"/>
    <col min="14" max="14" width="5.81640625" customWidth="1"/>
    <col min="15" max="15" width="12" bestFit="1" customWidth="1"/>
    <col min="16" max="16" width="3.453125" customWidth="1"/>
    <col min="17" max="17" width="20.453125" customWidth="1"/>
  </cols>
  <sheetData>
    <row r="1" spans="1:15" x14ac:dyDescent="0.35">
      <c r="A1" s="1" t="s">
        <v>0</v>
      </c>
    </row>
    <row r="3" spans="1:15" x14ac:dyDescent="0.35">
      <c r="A3" s="2" t="s">
        <v>1</v>
      </c>
      <c r="F3" s="1" t="s">
        <v>2</v>
      </c>
      <c r="K3" s="1" t="s">
        <v>3</v>
      </c>
    </row>
    <row r="5" spans="1:15" x14ac:dyDescent="0.35">
      <c r="B5" s="3" t="s">
        <v>4</v>
      </c>
      <c r="C5" s="3" t="s">
        <v>5</v>
      </c>
      <c r="D5" s="3" t="s">
        <v>6</v>
      </c>
      <c r="G5" s="3" t="s">
        <v>4</v>
      </c>
      <c r="H5" s="3" t="s">
        <v>5</v>
      </c>
      <c r="I5" s="3" t="s">
        <v>6</v>
      </c>
      <c r="K5" s="4" t="s">
        <v>7</v>
      </c>
      <c r="L5" s="4" t="s">
        <v>8</v>
      </c>
      <c r="M5" s="4" t="s">
        <v>9</v>
      </c>
      <c r="N5" s="3"/>
      <c r="O5" s="4" t="s">
        <v>9</v>
      </c>
    </row>
    <row r="6" spans="1:15" x14ac:dyDescent="0.35">
      <c r="A6" t="s">
        <v>10</v>
      </c>
      <c r="B6" s="5">
        <v>2</v>
      </c>
      <c r="C6" s="6">
        <v>7</v>
      </c>
      <c r="D6">
        <f>SUM(B6:C6)</f>
        <v>9</v>
      </c>
      <c r="F6" t="s">
        <v>10</v>
      </c>
      <c r="G6" s="5">
        <f>I6*G8/I8</f>
        <v>4.7142857142857144</v>
      </c>
      <c r="H6" s="6">
        <f>I6*H8/I8</f>
        <v>4.2857142857142856</v>
      </c>
      <c r="I6">
        <f>D6</f>
        <v>9</v>
      </c>
      <c r="K6" s="7">
        <v>0</v>
      </c>
      <c r="L6">
        <f>HYPGEOMDIST(K6,$B$8,$D$6,$D$8)</f>
        <v>3.4021705848331273E-5</v>
      </c>
      <c r="M6">
        <f>L6</f>
        <v>3.4021705848331273E-5</v>
      </c>
      <c r="O6">
        <f>_xlfn.HYPGEOM.DIST(K6,$B$8,$D$6,$D$8,TRUE)</f>
        <v>3.4021705848331273E-5</v>
      </c>
    </row>
    <row r="7" spans="1:15" x14ac:dyDescent="0.35">
      <c r="A7" t="s">
        <v>11</v>
      </c>
      <c r="B7" s="8">
        <v>9</v>
      </c>
      <c r="C7" s="9">
        <v>3</v>
      </c>
      <c r="D7">
        <f>SUM(B7:C7)</f>
        <v>12</v>
      </c>
      <c r="F7" t="s">
        <v>11</v>
      </c>
      <c r="G7" s="8">
        <f>I7*G8/I8</f>
        <v>6.2857142857142856</v>
      </c>
      <c r="H7" s="9">
        <f>I7*H8/I8</f>
        <v>5.7142857142857144</v>
      </c>
      <c r="I7">
        <f>D7</f>
        <v>12</v>
      </c>
      <c r="K7" s="7">
        <f>K6+1</f>
        <v>1</v>
      </c>
      <c r="L7">
        <f>HYPGEOMDIST(K7,$B$8,$D$6,$D$8)</f>
        <v>1.6840744394923967E-3</v>
      </c>
      <c r="M7">
        <f>L7+M6</f>
        <v>1.7180961453407281E-3</v>
      </c>
      <c r="O7">
        <f t="shared" ref="O7:O15" si="0">_xlfn.HYPGEOM.DIST(K7,$B$8,$D$6,$D$8,TRUE)</f>
        <v>1.7180961453407279E-3</v>
      </c>
    </row>
    <row r="8" spans="1:15" x14ac:dyDescent="0.35">
      <c r="A8" t="s">
        <v>6</v>
      </c>
      <c r="B8">
        <f>SUM(B6:B7)</f>
        <v>11</v>
      </c>
      <c r="C8">
        <f>SUM(C6:C7)</f>
        <v>10</v>
      </c>
      <c r="D8">
        <f>SUM(D6:D7)</f>
        <v>21</v>
      </c>
      <c r="F8" t="s">
        <v>6</v>
      </c>
      <c r="G8">
        <f>B8</f>
        <v>11</v>
      </c>
      <c r="H8">
        <f>C8</f>
        <v>10</v>
      </c>
      <c r="I8">
        <f>D8</f>
        <v>21</v>
      </c>
      <c r="K8" s="7">
        <f t="shared" ref="K8:K14" si="1">K7+1</f>
        <v>2</v>
      </c>
      <c r="L8">
        <f t="shared" ref="L8:L15" si="2">HYPGEOMDIST(K8,$B$8,$D$6,$D$8)</f>
        <v>2.2454325859898601E-2</v>
      </c>
      <c r="M8">
        <f t="shared" ref="M8:M15" si="3">L8+M7</f>
        <v>2.4172422005239329E-2</v>
      </c>
      <c r="O8">
        <f t="shared" si="0"/>
        <v>2.4172422005239325E-2</v>
      </c>
    </row>
    <row r="9" spans="1:15" x14ac:dyDescent="0.35">
      <c r="K9" s="7">
        <f t="shared" si="1"/>
        <v>3</v>
      </c>
      <c r="L9">
        <f t="shared" si="2"/>
        <v>0.11788521076446791</v>
      </c>
      <c r="M9">
        <f t="shared" si="3"/>
        <v>0.14205763276970723</v>
      </c>
      <c r="O9">
        <f t="shared" si="0"/>
        <v>0.14205763276970729</v>
      </c>
    </row>
    <row r="10" spans="1:15" x14ac:dyDescent="0.35">
      <c r="A10" s="1" t="s">
        <v>12</v>
      </c>
      <c r="K10" s="7">
        <f t="shared" si="1"/>
        <v>4</v>
      </c>
      <c r="L10">
        <f t="shared" si="2"/>
        <v>0.28292450583472312</v>
      </c>
      <c r="M10">
        <f t="shared" si="3"/>
        <v>0.42498213860443035</v>
      </c>
      <c r="O10">
        <f t="shared" si="0"/>
        <v>0.42498213860443051</v>
      </c>
    </row>
    <row r="11" spans="1:15" x14ac:dyDescent="0.35">
      <c r="K11" s="7">
        <f t="shared" si="1"/>
        <v>5</v>
      </c>
      <c r="L11">
        <f>HYPGEOMDIST(K11,$B$8,$D$6,$D$8)</f>
        <v>0.33007859014050955</v>
      </c>
      <c r="M11">
        <f t="shared" si="3"/>
        <v>0.7550607287449399</v>
      </c>
      <c r="O11">
        <f t="shared" si="0"/>
        <v>0.75506072874493957</v>
      </c>
    </row>
    <row r="12" spans="1:15" x14ac:dyDescent="0.35">
      <c r="B12" s="3" t="s">
        <v>4</v>
      </c>
      <c r="C12" s="3" t="s">
        <v>5</v>
      </c>
      <c r="D12" s="3" t="s">
        <v>6</v>
      </c>
      <c r="F12" t="s">
        <v>13</v>
      </c>
      <c r="G12" s="10">
        <v>0.05</v>
      </c>
      <c r="K12" s="7">
        <f t="shared" si="1"/>
        <v>6</v>
      </c>
      <c r="L12">
        <f t="shared" si="2"/>
        <v>0.18861633722314811</v>
      </c>
      <c r="M12">
        <f t="shared" si="3"/>
        <v>0.94367706596808798</v>
      </c>
      <c r="O12">
        <f t="shared" si="0"/>
        <v>0.94367706596808765</v>
      </c>
    </row>
    <row r="13" spans="1:15" x14ac:dyDescent="0.35">
      <c r="A13" t="s">
        <v>10</v>
      </c>
      <c r="B13" s="5">
        <f>(B6-G6)^2/G6</f>
        <v>1.5627705627705628</v>
      </c>
      <c r="C13" s="6">
        <f>(C6-H6)^2/H6</f>
        <v>1.7190476190476194</v>
      </c>
      <c r="D13">
        <f>SUM(B13:C13)</f>
        <v>3.2818181818181822</v>
      </c>
      <c r="F13" t="s">
        <v>14</v>
      </c>
      <c r="G13" s="11">
        <f>(COUNT(B6:C6)-1)*(COUNT(B6:B7)-1)</f>
        <v>1</v>
      </c>
      <c r="K13" s="7">
        <f t="shared" si="1"/>
        <v>7</v>
      </c>
      <c r="L13">
        <f t="shared" si="2"/>
        <v>5.0522233184771913E-2</v>
      </c>
      <c r="M13">
        <f t="shared" si="3"/>
        <v>0.99419929915285987</v>
      </c>
      <c r="O13">
        <f t="shared" si="0"/>
        <v>0.99419929915285954</v>
      </c>
    </row>
    <row r="14" spans="1:15" x14ac:dyDescent="0.35">
      <c r="A14" t="s">
        <v>11</v>
      </c>
      <c r="B14" s="8">
        <f>(B7-G7)^2/G7</f>
        <v>1.1720779220779223</v>
      </c>
      <c r="C14" s="9">
        <f>(C7-H7)^2/H7</f>
        <v>1.2892857142857144</v>
      </c>
      <c r="D14">
        <f>SUM(B14:C14)</f>
        <v>2.4613636363636369</v>
      </c>
      <c r="F14" t="s">
        <v>15</v>
      </c>
      <c r="G14" s="11">
        <f>D15</f>
        <v>5.7431818181818191</v>
      </c>
      <c r="K14" s="7">
        <f t="shared" si="1"/>
        <v>8</v>
      </c>
      <c r="L14">
        <f t="shared" si="2"/>
        <v>5.6135814649746546E-3</v>
      </c>
      <c r="M14">
        <f t="shared" si="3"/>
        <v>0.99981288061783458</v>
      </c>
      <c r="O14">
        <f t="shared" si="0"/>
        <v>0.99981288061783413</v>
      </c>
    </row>
    <row r="15" spans="1:15" x14ac:dyDescent="0.35">
      <c r="C15" s="3" t="s">
        <v>16</v>
      </c>
      <c r="D15">
        <f>SUM(D13:D14)</f>
        <v>5.7431818181818191</v>
      </c>
      <c r="F15" t="s">
        <v>17</v>
      </c>
      <c r="G15" s="11">
        <f>CHIDIST(G14,G13)</f>
        <v>1.6552780261048484E-2</v>
      </c>
      <c r="K15" s="12">
        <f>K14+1</f>
        <v>9</v>
      </c>
      <c r="L15" s="13">
        <f t="shared" si="2"/>
        <v>1.8711938216582169E-4</v>
      </c>
      <c r="M15" s="13">
        <f t="shared" si="3"/>
        <v>1.0000000000000004</v>
      </c>
      <c r="O15" s="13">
        <f t="shared" si="0"/>
        <v>1</v>
      </c>
    </row>
    <row r="16" spans="1:15" x14ac:dyDescent="0.35">
      <c r="F16" t="s">
        <v>18</v>
      </c>
      <c r="G16" s="11">
        <f>CHIINV(G12,G13)</f>
        <v>3.8414588206941236</v>
      </c>
    </row>
    <row r="17" spans="6:17" x14ac:dyDescent="0.35">
      <c r="F17" t="s">
        <v>19</v>
      </c>
      <c r="G17" s="14" t="str">
        <f>IF(G15&lt;G12,"yes","no")</f>
        <v>yes</v>
      </c>
      <c r="K17" t="s">
        <v>20</v>
      </c>
      <c r="L17" s="10">
        <f>SUM(L6:L8)</f>
        <v>2.4172422005239329E-2</v>
      </c>
      <c r="O17" s="10" t="e">
        <f ca="1">FISHERTEST(B6:C7,1)</f>
        <v>#NAME?</v>
      </c>
      <c r="Q17" s="15" t="e" cm="1">
        <f t="array" aca="1" ref="Q17" ca="1">FTEXT(O17)</f>
        <v>#NAME?</v>
      </c>
    </row>
    <row r="18" spans="6:17" x14ac:dyDescent="0.35">
      <c r="K18" t="s">
        <v>21</v>
      </c>
      <c r="L18" s="16">
        <f>L17+SUM(L14:L15)</f>
        <v>2.9973122852379804E-2</v>
      </c>
      <c r="O18" s="16" t="e">
        <f ca="1">FISHERTEST(B6:C7,2)</f>
        <v>#NAME?</v>
      </c>
      <c r="Q18" s="15" t="e" cm="1">
        <f t="array" aca="1" ref="Q18" ca="1">FTEXT(O18)</f>
        <v>#NAME?</v>
      </c>
    </row>
    <row r="20" spans="6:17" x14ac:dyDescent="0.35">
      <c r="K20" t="s">
        <v>20</v>
      </c>
      <c r="L20" s="10">
        <f>MIN(M8,1-M7)</f>
        <v>2.4172422005239329E-2</v>
      </c>
      <c r="O20" s="40" t="e" cm="1">
        <f t="array" aca="1" ref="O20" ca="1">FISHER_MIDP(B6:C7,1)</f>
        <v>#NAME?</v>
      </c>
      <c r="Q20" t="e" cm="1">
        <f t="array" aca="1" ref="Q20" ca="1">FTEXT(O20)</f>
        <v>#NAME?</v>
      </c>
    </row>
    <row r="21" spans="6:17" x14ac:dyDescent="0.35">
      <c r="K21" t="s">
        <v>21</v>
      </c>
      <c r="L21" s="16">
        <f>L20+1-M13</f>
        <v>2.9973122852379408E-2</v>
      </c>
      <c r="O21" s="16" t="e" cm="1">
        <f t="array" aca="1" ref="O21" ca="1">FISHER_MIDP(B6:C7,2)</f>
        <v>#NAME?</v>
      </c>
      <c r="Q21" t="e" cm="1">
        <f t="array" aca="1" ref="Q21" ca="1">FTEXT(O21)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B1234-1948-4AB1-92FF-74FFAD7C97BF}">
  <sheetPr codeName="Sheet76"/>
  <dimension ref="A1:AA19"/>
  <sheetViews>
    <sheetView workbookViewId="0"/>
  </sheetViews>
  <sheetFormatPr defaultRowHeight="14.5" x14ac:dyDescent="0.35"/>
  <cols>
    <col min="1" max="1" width="13.26953125" customWidth="1"/>
    <col min="2" max="5" width="9.81640625" customWidth="1"/>
    <col min="6" max="6" width="13.1796875" customWidth="1"/>
    <col min="7" max="8" width="10.26953125" customWidth="1"/>
    <col min="9" max="10" width="9.81640625" customWidth="1"/>
    <col min="11" max="11" width="9.1796875" customWidth="1"/>
    <col min="18" max="18" width="11" bestFit="1" customWidth="1"/>
    <col min="20" max="20" width="4.26953125" customWidth="1"/>
    <col min="21" max="22" width="7.54296875" customWidth="1"/>
    <col min="23" max="23" width="5.1796875" customWidth="1"/>
    <col min="24" max="24" width="10.453125" customWidth="1"/>
    <col min="26" max="26" width="3" customWidth="1"/>
    <col min="27" max="27" width="45.81640625" customWidth="1"/>
  </cols>
  <sheetData>
    <row r="1" spans="1:27" x14ac:dyDescent="0.35">
      <c r="A1" s="1" t="s">
        <v>0</v>
      </c>
      <c r="T1" t="s">
        <v>22</v>
      </c>
    </row>
    <row r="2" spans="1:27" x14ac:dyDescent="0.35">
      <c r="X2" t="s">
        <v>17</v>
      </c>
      <c r="Y2" s="10" t="e">
        <f ca="1">FISHERTEST(U4:V6)</f>
        <v>#NAME?</v>
      </c>
      <c r="AA2" t="e">
        <f ca="1">FTEXT(Y2)</f>
        <v>#NAME?</v>
      </c>
    </row>
    <row r="3" spans="1:27" x14ac:dyDescent="0.35">
      <c r="B3" s="7" t="s">
        <v>23</v>
      </c>
      <c r="C3" s="7" t="s">
        <v>24</v>
      </c>
      <c r="F3" t="s">
        <v>2</v>
      </c>
      <c r="K3" t="s">
        <v>25</v>
      </c>
      <c r="U3" s="7" t="s">
        <v>26</v>
      </c>
      <c r="V3" s="7" t="s">
        <v>27</v>
      </c>
      <c r="X3" t="s">
        <v>28</v>
      </c>
      <c r="Y3" s="11">
        <f>SUM(U4:V6)</f>
        <v>171</v>
      </c>
      <c r="AA3" t="e">
        <f ca="1">FTEXT(Y3)</f>
        <v>#NAME?</v>
      </c>
    </row>
    <row r="4" spans="1:27" x14ac:dyDescent="0.35">
      <c r="A4" t="s">
        <v>29</v>
      </c>
      <c r="B4" s="5">
        <v>32</v>
      </c>
      <c r="C4" s="6">
        <v>63</v>
      </c>
      <c r="D4">
        <f>SUM(B4:C4)</f>
        <v>95</v>
      </c>
      <c r="T4" s="7" t="s">
        <v>30</v>
      </c>
      <c r="U4" s="17">
        <v>34</v>
      </c>
      <c r="V4" s="18">
        <v>12</v>
      </c>
      <c r="X4" t="s">
        <v>14</v>
      </c>
      <c r="Y4" s="11">
        <f>(COUNT(U4:U6)-1)*(COUNT(U4:V4)-1)</f>
        <v>2</v>
      </c>
      <c r="AA4" t="e">
        <f ca="1">FTEXT(Y4)</f>
        <v>#NAME?</v>
      </c>
    </row>
    <row r="5" spans="1:27" ht="15" thickBot="1" x14ac:dyDescent="0.4">
      <c r="A5" t="s">
        <v>31</v>
      </c>
      <c r="B5" s="19">
        <v>44</v>
      </c>
      <c r="C5" s="20">
        <v>19</v>
      </c>
      <c r="D5">
        <f>SUM(B5:C5)</f>
        <v>63</v>
      </c>
      <c r="F5" t="str">
        <f>IF(A3="","",A3)</f>
        <v/>
      </c>
      <c r="G5" s="7" t="str">
        <f>IF(B3="","",B3)</f>
        <v>Pro Life</v>
      </c>
      <c r="H5" s="7" t="str">
        <f>IF(C3="","",C3)</f>
        <v>Pro Choice</v>
      </c>
      <c r="I5" s="3" t="s">
        <v>6</v>
      </c>
      <c r="K5" t="s">
        <v>32</v>
      </c>
      <c r="M5" t="s">
        <v>33</v>
      </c>
      <c r="N5">
        <v>0.05</v>
      </c>
      <c r="T5" s="7" t="s">
        <v>34</v>
      </c>
      <c r="U5" s="21">
        <v>56</v>
      </c>
      <c r="V5" s="22">
        <v>34</v>
      </c>
      <c r="X5" t="s">
        <v>35</v>
      </c>
      <c r="Y5" s="11" t="e">
        <f ca="1">CHIINV(Y2,Y4)</f>
        <v>#NAME?</v>
      </c>
      <c r="AA5" s="15" t="s">
        <v>36</v>
      </c>
    </row>
    <row r="6" spans="1:27" ht="15" thickTop="1" x14ac:dyDescent="0.35">
      <c r="A6" t="s">
        <v>37</v>
      </c>
      <c r="B6" s="8">
        <v>49</v>
      </c>
      <c r="C6" s="9">
        <v>51</v>
      </c>
      <c r="D6">
        <f>SUM(B6:C6)</f>
        <v>100</v>
      </c>
      <c r="F6" t="str">
        <f>IF(A4="","",A4)</f>
        <v>Democrat</v>
      </c>
      <c r="G6" s="23">
        <f t="array" ref="G6:H8">MMULT(I6:I8,G9:H9)/I9</f>
        <v>46.027131782945737</v>
      </c>
      <c r="H6" s="24">
        <v>48.972868217054263</v>
      </c>
      <c r="I6">
        <f>SUM(B4:C4)</f>
        <v>95</v>
      </c>
      <c r="K6" s="29" t="s">
        <v>38</v>
      </c>
      <c r="L6" s="29" t="s">
        <v>39</v>
      </c>
      <c r="M6" s="29" t="s">
        <v>40</v>
      </c>
      <c r="N6" s="29" t="s">
        <v>14</v>
      </c>
      <c r="T6" s="7" t="s">
        <v>41</v>
      </c>
      <c r="U6" s="30">
        <v>12</v>
      </c>
      <c r="V6" s="31">
        <v>23</v>
      </c>
      <c r="X6" t="s">
        <v>42</v>
      </c>
      <c r="Y6" s="11" t="e">
        <f ca="1">Y7/SQRT(MIN(COUNT(U4:U6),COUNT(U4:V4))-1)</f>
        <v>#NAME?</v>
      </c>
      <c r="AA6" t="e">
        <f ca="1">FTEXT(Y6)</f>
        <v>#NAME?</v>
      </c>
    </row>
    <row r="7" spans="1:27" x14ac:dyDescent="0.35">
      <c r="B7">
        <f>SUM(B4:B6)</f>
        <v>125</v>
      </c>
      <c r="C7">
        <f>SUM(C4:C6)</f>
        <v>133</v>
      </c>
      <c r="D7">
        <f>SUM(B7:C7)</f>
        <v>258</v>
      </c>
      <c r="F7" t="str">
        <f>IF(A5="","",A5)</f>
        <v>Republican</v>
      </c>
      <c r="G7" s="25">
        <v>30.523255813953487</v>
      </c>
      <c r="H7" s="26">
        <v>32.47674418604651</v>
      </c>
      <c r="I7">
        <f>SUM(B5:C5)</f>
        <v>63</v>
      </c>
      <c r="K7">
        <f>I9</f>
        <v>258</v>
      </c>
      <c r="L7">
        <f>COUNT(B4:B6)</f>
        <v>3</v>
      </c>
      <c r="M7">
        <f>COUNT(B4:C4)</f>
        <v>2</v>
      </c>
      <c r="N7">
        <f>(L7-1)*(M7-1)</f>
        <v>2</v>
      </c>
      <c r="X7" t="s">
        <v>43</v>
      </c>
      <c r="Y7" s="16" t="e">
        <f ca="1">SQRT(Y5/Y3)</f>
        <v>#NAME?</v>
      </c>
      <c r="AA7" t="e">
        <f ca="1">FTEXT(Y7)</f>
        <v>#NAME?</v>
      </c>
    </row>
    <row r="8" spans="1:27" x14ac:dyDescent="0.35">
      <c r="F8" t="str">
        <f>IF(A6="","",A6)</f>
        <v>Independent</v>
      </c>
      <c r="G8" s="27">
        <v>48.449612403100772</v>
      </c>
      <c r="H8" s="28">
        <v>51.550387596899228</v>
      </c>
      <c r="I8">
        <f>SUM(B6:C6)</f>
        <v>100</v>
      </c>
    </row>
    <row r="9" spans="1:27" ht="15" thickBot="1" x14ac:dyDescent="0.4">
      <c r="F9" t="s">
        <v>6</v>
      </c>
      <c r="G9">
        <f>SUM(B4:B6)</f>
        <v>125</v>
      </c>
      <c r="H9">
        <f>SUM(C4:C6)</f>
        <v>133</v>
      </c>
      <c r="I9">
        <f>SUM(I6:I8)</f>
        <v>258</v>
      </c>
      <c r="K9" t="s">
        <v>44</v>
      </c>
      <c r="U9" s="7" t="s">
        <v>26</v>
      </c>
      <c r="V9" s="7" t="s">
        <v>27</v>
      </c>
      <c r="X9" t="e">
        <f t="array" aca="1" ref="X9:Y14" ca="1">FISHER_TEST(U4:V6,TRUE)</f>
        <v>#NAME?</v>
      </c>
      <c r="Y9" s="10" t="e">
        <f ca="1"/>
        <v>#NAME?</v>
      </c>
      <c r="AA9" t="e">
        <f ca="1">FTEXT(Y9)</f>
        <v>#NAME?</v>
      </c>
    </row>
    <row r="10" spans="1:27" ht="15" thickTop="1" x14ac:dyDescent="0.35">
      <c r="K10" s="29" t="s">
        <v>45</v>
      </c>
      <c r="L10" s="29" t="s">
        <v>46</v>
      </c>
      <c r="M10" s="29" t="s">
        <v>17</v>
      </c>
      <c r="N10" s="29" t="s">
        <v>47</v>
      </c>
      <c r="O10" s="29" t="s">
        <v>19</v>
      </c>
      <c r="P10" s="29" t="s">
        <v>48</v>
      </c>
      <c r="T10" s="7" t="s">
        <v>30</v>
      </c>
      <c r="U10" s="32">
        <v>34</v>
      </c>
      <c r="V10" s="33">
        <v>12</v>
      </c>
      <c r="X10" t="e">
        <f ca="1"/>
        <v>#NAME?</v>
      </c>
      <c r="Y10" s="11" t="e">
        <f ca="1"/>
        <v>#NAME?</v>
      </c>
    </row>
    <row r="11" spans="1:27" x14ac:dyDescent="0.35">
      <c r="G11" t="s">
        <v>0</v>
      </c>
      <c r="K11" t="s">
        <v>49</v>
      </c>
      <c r="L11" t="e">
        <f ca="1">CHI_STAT2(B4:C6,G6:H8)</f>
        <v>#NAME?</v>
      </c>
      <c r="M11" t="e">
        <f ca="1">CHIDIST(L11,N7)</f>
        <v>#NAME?</v>
      </c>
      <c r="N11">
        <f>CHIINV(N5,N7)</f>
        <v>5.9914645471079817</v>
      </c>
      <c r="O11" s="7" t="e">
        <f ca="1">IF(N11&lt;L11,"yes","no")</f>
        <v>#NAME?</v>
      </c>
      <c r="P11" t="e">
        <f ca="1">SQRT(L11/(K7*(MIN(L7,M7)-1)))</f>
        <v>#NAME?</v>
      </c>
      <c r="T11" s="7" t="s">
        <v>34</v>
      </c>
      <c r="U11" s="21">
        <v>56</v>
      </c>
      <c r="V11" s="22">
        <v>34</v>
      </c>
      <c r="X11" t="e">
        <f ca="1"/>
        <v>#NAME?</v>
      </c>
      <c r="Y11" s="11" t="e">
        <f ca="1"/>
        <v>#NAME?</v>
      </c>
    </row>
    <row r="12" spans="1:27" x14ac:dyDescent="0.35">
      <c r="K12" t="s">
        <v>50</v>
      </c>
      <c r="L12" t="e">
        <f ca="1">CHI_MAX2(B4:C6,G6:H8)</f>
        <v>#NAME?</v>
      </c>
      <c r="M12" t="e">
        <f ca="1">CHIDIST(L12,N7)</f>
        <v>#NAME?</v>
      </c>
      <c r="N12">
        <f>CHIINV(N5,N7)</f>
        <v>5.9914645471079817</v>
      </c>
      <c r="O12" s="7" t="e">
        <f ca="1">IF(N12&lt;L12,"yes","no")</f>
        <v>#NAME?</v>
      </c>
      <c r="P12" t="e">
        <f ca="1">SQRT(L12/(K7*(MIN(L7,M7)-1)))</f>
        <v>#NAME?</v>
      </c>
      <c r="T12" s="7" t="s">
        <v>41</v>
      </c>
      <c r="U12" s="30">
        <v>12</v>
      </c>
      <c r="V12" s="31">
        <v>23</v>
      </c>
      <c r="X12" t="e">
        <f ca="1"/>
        <v>#NAME?</v>
      </c>
      <c r="Y12" s="11" t="e">
        <f ca="1"/>
        <v>#NAME?</v>
      </c>
    </row>
    <row r="13" spans="1:27" x14ac:dyDescent="0.35">
      <c r="G13" t="s">
        <v>17</v>
      </c>
      <c r="H13" s="34" t="e">
        <f ca="1">FISHERTEST(B4:C6)</f>
        <v>#NAME?</v>
      </c>
      <c r="K13" s="35"/>
      <c r="L13" s="35"/>
      <c r="M13" s="35"/>
      <c r="N13" s="35"/>
      <c r="O13" s="35"/>
      <c r="P13" s="35"/>
      <c r="X13" t="e">
        <f ca="1"/>
        <v>#NAME?</v>
      </c>
      <c r="Y13" s="11" t="e">
        <f ca="1"/>
        <v>#NAME?</v>
      </c>
    </row>
    <row r="14" spans="1:27" x14ac:dyDescent="0.35">
      <c r="X14" t="e">
        <f ca="1"/>
        <v>#NAME?</v>
      </c>
      <c r="Y14" s="16" t="e">
        <f ca="1"/>
        <v>#NAME?</v>
      </c>
    </row>
    <row r="15" spans="1:27" x14ac:dyDescent="0.35">
      <c r="B15" s="7" t="s">
        <v>26</v>
      </c>
      <c r="C15" s="7" t="s">
        <v>27</v>
      </c>
      <c r="D15" s="7" t="s">
        <v>51</v>
      </c>
      <c r="K15" s="7" t="s">
        <v>26</v>
      </c>
      <c r="L15" s="7" t="s">
        <v>27</v>
      </c>
      <c r="M15" s="7" t="s">
        <v>51</v>
      </c>
      <c r="N15" s="7" t="s">
        <v>52</v>
      </c>
      <c r="Q15" t="s">
        <v>0</v>
      </c>
    </row>
    <row r="16" spans="1:27" x14ac:dyDescent="0.35">
      <c r="A16" s="7" t="s">
        <v>30</v>
      </c>
      <c r="B16" s="36">
        <v>25</v>
      </c>
      <c r="C16" s="35">
        <v>22</v>
      </c>
      <c r="D16" s="37">
        <v>32</v>
      </c>
      <c r="E16">
        <f>SUM(B16:D16)</f>
        <v>79</v>
      </c>
      <c r="G16" t="s">
        <v>0</v>
      </c>
      <c r="J16" s="7" t="s">
        <v>30</v>
      </c>
      <c r="K16" s="36">
        <v>134</v>
      </c>
      <c r="L16" s="35">
        <v>200</v>
      </c>
      <c r="M16" s="35">
        <v>91</v>
      </c>
      <c r="N16" s="37">
        <v>86</v>
      </c>
      <c r="O16">
        <f>SUM(K16:N16)</f>
        <v>511</v>
      </c>
    </row>
    <row r="17" spans="1:18" x14ac:dyDescent="0.35">
      <c r="A17" s="7" t="s">
        <v>34</v>
      </c>
      <c r="B17" s="19">
        <v>15</v>
      </c>
      <c r="C17">
        <v>4</v>
      </c>
      <c r="D17" s="20">
        <v>19</v>
      </c>
      <c r="E17">
        <f>SUM(B17:D17)</f>
        <v>38</v>
      </c>
      <c r="J17" s="7" t="s">
        <v>34</v>
      </c>
      <c r="K17" s="8">
        <v>178</v>
      </c>
      <c r="L17" s="13">
        <v>203</v>
      </c>
      <c r="M17" s="13">
        <v>70</v>
      </c>
      <c r="N17" s="9">
        <v>145</v>
      </c>
      <c r="O17">
        <f>SUM(K17:N17)</f>
        <v>596</v>
      </c>
      <c r="Q17" t="s">
        <v>17</v>
      </c>
      <c r="R17" s="34" t="e">
        <f ca="1">FISHERTEST(K16:N17)</f>
        <v>#NAME?</v>
      </c>
    </row>
    <row r="18" spans="1:18" x14ac:dyDescent="0.35">
      <c r="A18" s="7" t="s">
        <v>41</v>
      </c>
      <c r="B18" s="8">
        <v>35</v>
      </c>
      <c r="C18" s="13">
        <v>14</v>
      </c>
      <c r="D18" s="9">
        <v>23</v>
      </c>
      <c r="E18">
        <f>SUM(B18:D18)</f>
        <v>72</v>
      </c>
      <c r="G18" t="s">
        <v>17</v>
      </c>
      <c r="H18" s="34" t="e">
        <f ca="1">FISHERTEST(B16:D18)</f>
        <v>#NAME?</v>
      </c>
      <c r="K18">
        <f>SUM(K16:K17)</f>
        <v>312</v>
      </c>
      <c r="L18">
        <f>SUM(L16:L17)</f>
        <v>403</v>
      </c>
      <c r="M18">
        <f>SUM(M16:M17)</f>
        <v>161</v>
      </c>
      <c r="N18">
        <f>SUM(N16:N17)</f>
        <v>231</v>
      </c>
      <c r="O18">
        <f>SUM(K18:N18)</f>
        <v>1107</v>
      </c>
    </row>
    <row r="19" spans="1:18" x14ac:dyDescent="0.35">
      <c r="B19">
        <f>SUM(B16:B18)</f>
        <v>75</v>
      </c>
      <c r="C19">
        <f>SUM(C16:C18)</f>
        <v>40</v>
      </c>
      <c r="D19">
        <f>SUM(D16:D18)</f>
        <v>74</v>
      </c>
      <c r="E19">
        <f>SUM(B19:D19)</f>
        <v>189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Fisher 1</vt:lpstr>
      <vt:lpstr>Fisher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2022-07-16T16:25:17Z</dcterms:created>
  <dcterms:modified xsi:type="dcterms:W3CDTF">2022-08-11T13:33:35Z</dcterms:modified>
</cp:coreProperties>
</file>