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13_ncr:1_{E8251C62-F780-4C12-8C8C-BCDBF4440CF3}" xr6:coauthVersionLast="47" xr6:coauthVersionMax="47" xr10:uidLastSave="{00000000-0000-0000-0000-000000000000}"/>
  <bookViews>
    <workbookView xWindow="-110" yWindow="-110" windowWidth="19420" windowHeight="10300" xr2:uid="{A165BA2E-507C-4AF7-BCC0-C59FD6536894}"/>
  </bookViews>
  <sheets>
    <sheet name="Title" sheetId="3" r:id="rId1"/>
    <sheet name="Ellipse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 a="1"/>
  <c r="H5" i="1" s="1"/>
  <c r="D4" i="1" a="1"/>
  <c r="D4" i="1" s="1"/>
  <c r="N12" i="1"/>
  <c r="V11" i="1"/>
  <c r="N11" i="1"/>
  <c r="N10" i="1"/>
  <c r="N9" i="1"/>
  <c r="H9" i="1"/>
  <c r="V8" i="1"/>
  <c r="N8" i="1"/>
  <c r="E8" i="1"/>
  <c r="N13" i="1" s="1"/>
  <c r="D8" i="1"/>
  <c r="M12" i="1" s="1"/>
  <c r="V7" i="1"/>
  <c r="Q7" i="1"/>
  <c r="Q8" i="1" s="1"/>
  <c r="Q9" i="1" s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N7" i="1"/>
  <c r="H7" i="1"/>
  <c r="Q6" i="1"/>
  <c r="M6" i="1"/>
  <c r="Q5" i="1"/>
  <c r="N5" i="1"/>
  <c r="E4" i="1" l="1"/>
  <c r="D5" i="1"/>
  <c r="E5" i="1"/>
  <c r="G4" i="1"/>
  <c r="H4" i="1"/>
  <c r="G5" i="1"/>
  <c r="M5" i="1"/>
  <c r="N6" i="1"/>
  <c r="M8" i="1"/>
  <c r="M9" i="1"/>
  <c r="M4" i="1"/>
  <c r="N4" i="1"/>
  <c r="M11" i="1"/>
  <c r="M13" i="1"/>
  <c r="M7" i="1"/>
  <c r="M10" i="1"/>
  <c r="K5" i="1" l="1"/>
  <c r="K4" i="1"/>
  <c r="D11" i="1" a="1"/>
  <c r="H12" i="1"/>
  <c r="H11" i="1"/>
  <c r="K6" i="1"/>
  <c r="D12" i="1" l="1"/>
  <c r="E11" i="1"/>
  <c r="D11" i="1"/>
  <c r="E12" i="1"/>
  <c r="K8" i="1"/>
  <c r="J12" i="1"/>
  <c r="J11" i="1"/>
  <c r="H13" i="1"/>
  <c r="H14" i="1" s="1"/>
  <c r="K12" i="1" l="1"/>
  <c r="S17" i="1" s="1"/>
  <c r="O13" i="1"/>
  <c r="O11" i="1"/>
  <c r="O4" i="1"/>
  <c r="O9" i="1"/>
  <c r="O8" i="1"/>
  <c r="O5" i="1"/>
  <c r="O6" i="1"/>
  <c r="O12" i="1"/>
  <c r="O10" i="1"/>
  <c r="O7" i="1"/>
  <c r="K11" i="1"/>
  <c r="R20" i="1" s="1"/>
  <c r="S20" i="1"/>
  <c r="S7" i="1" l="1"/>
  <c r="S12" i="1"/>
  <c r="S5" i="1"/>
  <c r="S9" i="1"/>
  <c r="S19" i="1"/>
  <c r="S11" i="1"/>
  <c r="R10" i="1"/>
  <c r="R9" i="1"/>
  <c r="S10" i="1"/>
  <c r="S8" i="1"/>
  <c r="R12" i="1"/>
  <c r="R19" i="1"/>
  <c r="R11" i="1"/>
  <c r="S15" i="1"/>
  <c r="S21" i="1"/>
  <c r="S4" i="1"/>
  <c r="R23" i="1"/>
  <c r="R16" i="1"/>
  <c r="R14" i="1"/>
  <c r="R4" i="1"/>
  <c r="R15" i="1"/>
  <c r="S23" i="1"/>
  <c r="S6" i="1"/>
  <c r="S14" i="1"/>
  <c r="R13" i="1"/>
  <c r="R24" i="1"/>
  <c r="R22" i="1"/>
  <c r="R6" i="1"/>
  <c r="S13" i="1"/>
  <c r="S16" i="1"/>
  <c r="S22" i="1"/>
  <c r="R18" i="1"/>
  <c r="R5" i="1"/>
  <c r="R17" i="1"/>
  <c r="R21" i="1"/>
  <c r="S18" i="1"/>
  <c r="S24" i="1"/>
  <c r="R7" i="1"/>
  <c r="R8" i="1"/>
</calcChain>
</file>

<file path=xl/sharedStrings.xml><?xml version="1.0" encoding="utf-8"?>
<sst xmlns="http://schemas.openxmlformats.org/spreadsheetml/2006/main" count="31" uniqueCount="24">
  <si>
    <t>Confidence Ellipse</t>
  </si>
  <si>
    <t>X</t>
  </si>
  <si>
    <t>Y</t>
  </si>
  <si>
    <t>cov</t>
  </si>
  <si>
    <t>eval</t>
  </si>
  <si>
    <t>X-Xbar</t>
  </si>
  <si>
    <t>Y-Ybar</t>
  </si>
  <si>
    <t>a</t>
  </si>
  <si>
    <t>b</t>
  </si>
  <si>
    <t>θ (rad)</t>
  </si>
  <si>
    <t>mean</t>
  </si>
  <si>
    <t>n</t>
  </si>
  <si>
    <t>chi-sq</t>
  </si>
  <si>
    <t>θ (deg)</t>
  </si>
  <si>
    <t>% inside</t>
  </si>
  <si>
    <t>inv cov</t>
  </si>
  <si>
    <t>Q</t>
  </si>
  <si>
    <t>trace</t>
  </si>
  <si>
    <t>det</t>
  </si>
  <si>
    <t>eig1</t>
  </si>
  <si>
    <t>eig2</t>
  </si>
  <si>
    <t>Real Statistics Using Excel</t>
  </si>
  <si>
    <t>Updated</t>
  </si>
  <si>
    <t>Copyright © 2013 - 2022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</si>
</sst>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12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2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center"/>
    </xf>
    <xf numFmtId="2" fontId="3" fillId="0" borderId="0" xfId="0" applyNumberFormat="1" applyFont="1" applyAlignment="1" applyProtection="1">
      <alignment horizontal="center"/>
      <protection locked="0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2" fontId="0" fillId="0" borderId="0" xfId="0" applyNumberFormat="1" applyAlignment="1">
      <alignment horizontal="right"/>
    </xf>
    <xf numFmtId="2" fontId="3" fillId="0" borderId="0" xfId="0" applyNumberFormat="1" applyFont="1" applyAlignment="1" applyProtection="1">
      <alignment horizontal="right"/>
      <protection locked="0"/>
    </xf>
    <xf numFmtId="0" fontId="0" fillId="0" borderId="10" xfId="0" applyBorder="1"/>
    <xf numFmtId="0" fontId="0" fillId="0" borderId="11" xfId="0" applyBorder="1"/>
    <xf numFmtId="2" fontId="0" fillId="0" borderId="7" xfId="0" applyNumberFormat="1" applyBorder="1"/>
    <xf numFmtId="2" fontId="0" fillId="0" borderId="8" xfId="0" applyNumberFormat="1" applyBorder="1"/>
    <xf numFmtId="0" fontId="0" fillId="0" borderId="12" xfId="0" applyBorder="1"/>
    <xf numFmtId="164" fontId="0" fillId="0" borderId="11" xfId="1" applyNumberFormat="1" applyFont="1" applyBorder="1"/>
    <xf numFmtId="2" fontId="3" fillId="0" borderId="2" xfId="0" applyNumberFormat="1" applyFont="1" applyBorder="1" applyAlignment="1" applyProtection="1">
      <alignment horizontal="center"/>
      <protection locked="0"/>
    </xf>
    <xf numFmtId="2" fontId="4" fillId="0" borderId="0" xfId="0" applyNumberFormat="1" applyFont="1" applyProtection="1">
      <protection locked="0"/>
    </xf>
    <xf numFmtId="2" fontId="3" fillId="0" borderId="2" xfId="0" applyNumberFormat="1" applyFont="1" applyBorder="1" applyAlignment="1" applyProtection="1">
      <alignment horizontal="right"/>
      <protection locked="0"/>
    </xf>
    <xf numFmtId="0" fontId="0" fillId="0" borderId="2" xfId="0" applyBorder="1"/>
    <xf numFmtId="15" fontId="0" fillId="0" borderId="0" xfId="0" applyNumberFormat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v>Ellipse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Ellipse!$R$4:$R$24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xVal>
          <c:yVal>
            <c:numRef>
              <c:f>Ellipse!$S$4:$S$24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D4-4222-85B8-91C56A764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2495480"/>
        <c:axId val="512496656"/>
      </c:scatterChart>
      <c:scatterChart>
        <c:scatterStyle val="lineMarker"/>
        <c:varyColors val="0"/>
        <c:ser>
          <c:idx val="1"/>
          <c:order val="1"/>
          <c:tx>
            <c:v>Data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Ellipse!$A$4:$A$13</c:f>
              <c:numCache>
                <c:formatCode>0.00</c:formatCode>
                <c:ptCount val="10"/>
                <c:pt idx="0">
                  <c:v>27.11</c:v>
                </c:pt>
                <c:pt idx="1">
                  <c:v>26.77</c:v>
                </c:pt>
                <c:pt idx="2">
                  <c:v>27.35</c:v>
                </c:pt>
                <c:pt idx="3">
                  <c:v>29.2</c:v>
                </c:pt>
                <c:pt idx="4">
                  <c:v>27.44</c:v>
                </c:pt>
                <c:pt idx="5">
                  <c:v>26.16</c:v>
                </c:pt>
                <c:pt idx="6">
                  <c:v>26.25</c:v>
                </c:pt>
                <c:pt idx="7">
                  <c:v>31.21</c:v>
                </c:pt>
                <c:pt idx="8">
                  <c:v>29.34</c:v>
                </c:pt>
                <c:pt idx="9">
                  <c:v>30.06</c:v>
                </c:pt>
              </c:numCache>
            </c:numRef>
          </c:xVal>
          <c:yVal>
            <c:numRef>
              <c:f>Ellipse!$B$4:$B$13</c:f>
              <c:numCache>
                <c:formatCode>0.00</c:formatCode>
                <c:ptCount val="10"/>
                <c:pt idx="0">
                  <c:v>13.8</c:v>
                </c:pt>
                <c:pt idx="1">
                  <c:v>13.42</c:v>
                </c:pt>
                <c:pt idx="2">
                  <c:v>12.76</c:v>
                </c:pt>
                <c:pt idx="3">
                  <c:v>14.88</c:v>
                </c:pt>
                <c:pt idx="4">
                  <c:v>14.56</c:v>
                </c:pt>
                <c:pt idx="5">
                  <c:v>14.35</c:v>
                </c:pt>
                <c:pt idx="6">
                  <c:v>13.86</c:v>
                </c:pt>
                <c:pt idx="7">
                  <c:v>17.61</c:v>
                </c:pt>
                <c:pt idx="8">
                  <c:v>16.559999999999999</c:v>
                </c:pt>
                <c:pt idx="9">
                  <c:v>14.77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BD4-4222-85B8-91C56A7643B3}"/>
            </c:ext>
          </c:extLst>
        </c:ser>
        <c:ser>
          <c:idx val="2"/>
          <c:order val="2"/>
          <c:tx>
            <c:v>Mean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Ellipse!$D$8</c:f>
              <c:numCache>
                <c:formatCode>0.00</c:formatCode>
                <c:ptCount val="1"/>
                <c:pt idx="0">
                  <c:v>28.088999999999999</c:v>
                </c:pt>
              </c:numCache>
            </c:numRef>
          </c:xVal>
          <c:yVal>
            <c:numRef>
              <c:f>Ellipse!$E$8</c:f>
              <c:numCache>
                <c:formatCode>0.00</c:formatCode>
                <c:ptCount val="1"/>
                <c:pt idx="0">
                  <c:v>14.657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BD4-4222-85B8-91C56A764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2495480"/>
        <c:axId val="512496656"/>
      </c:scatterChart>
      <c:valAx>
        <c:axId val="512495480"/>
        <c:scaling>
          <c:orientation val="minMax"/>
          <c:max val="32"/>
          <c:min val="2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2496656"/>
        <c:crosses val="autoZero"/>
        <c:crossBetween val="midCat"/>
      </c:valAx>
      <c:valAx>
        <c:axId val="512496656"/>
        <c:scaling>
          <c:orientation val="minMax"/>
          <c:max val="18"/>
          <c:min val="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2495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</xdr:colOff>
      <xdr:row>14</xdr:row>
      <xdr:rowOff>166687</xdr:rowOff>
    </xdr:from>
    <xdr:to>
      <xdr:col>13</xdr:col>
      <xdr:colOff>333375</xdr:colOff>
      <xdr:row>29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91A9DEA-D8D2-4778-8553-5C0E8E2DD0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83070-1270-4F31-B0E7-7AF1121E7C93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21</v>
      </c>
    </row>
    <row r="2" spans="1:2" x14ac:dyDescent="0.35">
      <c r="A2" t="s">
        <v>0</v>
      </c>
    </row>
    <row r="4" spans="1:2" x14ac:dyDescent="0.35">
      <c r="A4" t="s">
        <v>22</v>
      </c>
      <c r="B4" s="26">
        <v>44826</v>
      </c>
    </row>
    <row r="6" spans="1:2" x14ac:dyDescent="0.35">
      <c r="A6" s="27" t="s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4DB06-DE99-4D38-A7E9-E06AC7A2F45F}">
  <sheetPr codeName="Sheet73"/>
  <dimension ref="A1:V24"/>
  <sheetViews>
    <sheetView workbookViewId="0"/>
  </sheetViews>
  <sheetFormatPr defaultRowHeight="14.5" x14ac:dyDescent="0.35"/>
  <cols>
    <col min="3" max="3" width="3.54296875" customWidth="1"/>
    <col min="6" max="6" width="3.54296875" customWidth="1"/>
    <col min="9" max="9" width="2.26953125" customWidth="1"/>
    <col min="12" max="12" width="3.54296875" customWidth="1"/>
    <col min="13" max="13" width="9.1796875" customWidth="1"/>
  </cols>
  <sheetData>
    <row r="1" spans="1:22" x14ac:dyDescent="0.35">
      <c r="A1" s="1" t="s">
        <v>0</v>
      </c>
    </row>
    <row r="3" spans="1:22" x14ac:dyDescent="0.35">
      <c r="A3" s="2" t="s">
        <v>1</v>
      </c>
      <c r="B3" s="2" t="s">
        <v>2</v>
      </c>
      <c r="D3" t="s">
        <v>3</v>
      </c>
      <c r="G3" t="s">
        <v>4</v>
      </c>
      <c r="M3" s="3" t="s">
        <v>5</v>
      </c>
      <c r="N3" s="3" t="s">
        <v>6</v>
      </c>
      <c r="O3" s="3"/>
      <c r="Q3" s="4"/>
      <c r="R3" s="5" t="s">
        <v>1</v>
      </c>
      <c r="S3" s="5" t="s">
        <v>2</v>
      </c>
    </row>
    <row r="4" spans="1:22" x14ac:dyDescent="0.35">
      <c r="A4" s="6">
        <v>27.11</v>
      </c>
      <c r="B4" s="6">
        <v>13.8</v>
      </c>
      <c r="D4" s="7" t="e">
        <f t="array" aca="1" ref="D4:E5" ca="1">COV(A4:B13)</f>
        <v>#NAME?</v>
      </c>
      <c r="E4" s="8" t="e">
        <f ca="1"/>
        <v>#NAME?</v>
      </c>
      <c r="G4" s="11" t="e">
        <f t="array" aca="1" ref="G4:H5" ca="1">eVALUES(D4:E5)</f>
        <v>#NAME?</v>
      </c>
      <c r="H4" s="12" t="e">
        <f ca="1"/>
        <v>#NAME?</v>
      </c>
      <c r="J4" t="s">
        <v>7</v>
      </c>
      <c r="K4" s="13" t="e">
        <f ca="1">SQRT(G4)*SQRT(H8)</f>
        <v>#NAME?</v>
      </c>
      <c r="M4" s="14">
        <f t="shared" ref="M4:N13" si="0">A4-D$8</f>
        <v>-0.9789999999999992</v>
      </c>
      <c r="N4" s="14">
        <f t="shared" si="0"/>
        <v>-0.85699999999999932</v>
      </c>
      <c r="O4" s="15" t="e">
        <f ca="1">IF((D$11*M4 + E$11*N4)*M4 + (D$12*M4 + E$12*N4)*N4&gt;=H$8,"outside","inside")</f>
        <v>#NAME?</v>
      </c>
      <c r="Q4">
        <v>0</v>
      </c>
      <c r="R4" t="e">
        <f t="shared" ref="R4:R24" ca="1" si="1">(J$11*K$4*COS(Q4)+K$11*K$5*SIN(Q4))+D$8</f>
        <v>#NAME?</v>
      </c>
      <c r="S4" t="e">
        <f t="shared" ref="S4:S24" ca="1" si="2">(J$12*K$4*COS(Q4)+K$12*K$5*SIN(Q4))+E$8</f>
        <v>#NAME?</v>
      </c>
    </row>
    <row r="5" spans="1:22" x14ac:dyDescent="0.35">
      <c r="A5" s="6">
        <v>26.77</v>
      </c>
      <c r="B5" s="6">
        <v>13.42</v>
      </c>
      <c r="D5" s="9" t="e">
        <f ca="1"/>
        <v>#NAME?</v>
      </c>
      <c r="E5" s="10" t="e">
        <f ca="1"/>
        <v>#NAME?</v>
      </c>
      <c r="G5" t="e">
        <f ca="1"/>
        <v>#NAME?</v>
      </c>
      <c r="H5" t="e">
        <f ca="1"/>
        <v>#NAME?</v>
      </c>
      <c r="J5" t="s">
        <v>8</v>
      </c>
      <c r="K5" s="16" t="e">
        <f ca="1">SQRT(H4)*SQRT(H8)</f>
        <v>#NAME?</v>
      </c>
      <c r="M5" s="14">
        <f t="shared" si="0"/>
        <v>-1.3189999999999991</v>
      </c>
      <c r="N5" s="14">
        <f t="shared" si="0"/>
        <v>-1.2370000000000001</v>
      </c>
      <c r="O5" s="15" t="e">
        <f ca="1">IF((D$11*M5 + E$11*N5)*M5 + (D$12*M5 + E$12*N5)*N5&gt;=H$8,"outside","inside")</f>
        <v>#NAME?</v>
      </c>
      <c r="Q5">
        <f>PI()/10</f>
        <v>0.31415926535897931</v>
      </c>
      <c r="R5" t="e">
        <f t="shared" ca="1" si="1"/>
        <v>#NAME?</v>
      </c>
      <c r="S5" t="e">
        <f t="shared" ca="1" si="2"/>
        <v>#NAME?</v>
      </c>
    </row>
    <row r="6" spans="1:22" x14ac:dyDescent="0.35">
      <c r="A6" s="6">
        <v>27.35</v>
      </c>
      <c r="B6" s="6">
        <v>12.76</v>
      </c>
      <c r="J6" t="s">
        <v>9</v>
      </c>
      <c r="K6" s="17" t="e">
        <f ca="1">ATAN2(E4,G4-D4)</f>
        <v>#NAME?</v>
      </c>
      <c r="M6" s="14">
        <f t="shared" si="0"/>
        <v>-0.73899999999999721</v>
      </c>
      <c r="N6" s="14">
        <f t="shared" si="0"/>
        <v>-1.8970000000000002</v>
      </c>
      <c r="O6" s="15" t="e">
        <f t="shared" ref="O6:O12" ca="1" si="3">IF((D$11*M6 + E$11*N6)*M6 + (D$12*M6 + E$12*N6)*N6&gt;=H$8,"outside","inside")</f>
        <v>#NAME?</v>
      </c>
      <c r="Q6">
        <f t="shared" ref="Q6:Q24" si="4">Q5+Q$5</f>
        <v>0.62831853071795862</v>
      </c>
      <c r="R6" t="e">
        <f t="shared" ca="1" si="1"/>
        <v>#NAME?</v>
      </c>
      <c r="S6" t="e">
        <f t="shared" ca="1" si="2"/>
        <v>#NAME?</v>
      </c>
    </row>
    <row r="7" spans="1:22" x14ac:dyDescent="0.35">
      <c r="A7" s="6">
        <v>29.2</v>
      </c>
      <c r="B7" s="6">
        <v>14.88</v>
      </c>
      <c r="D7" t="s">
        <v>10</v>
      </c>
      <c r="G7" t="s">
        <v>11</v>
      </c>
      <c r="H7" s="13">
        <f>COUNT(A4:A13)</f>
        <v>10</v>
      </c>
      <c r="M7" s="14">
        <f t="shared" si="0"/>
        <v>1.1110000000000007</v>
      </c>
      <c r="N7" s="14">
        <f t="shared" si="0"/>
        <v>0.22300000000000075</v>
      </c>
      <c r="O7" s="15" t="e">
        <f t="shared" ca="1" si="3"/>
        <v>#NAME?</v>
      </c>
      <c r="Q7">
        <f t="shared" si="4"/>
        <v>0.94247779607693793</v>
      </c>
      <c r="R7" t="e">
        <f t="shared" ca="1" si="1"/>
        <v>#NAME?</v>
      </c>
      <c r="S7" t="e">
        <f t="shared" ca="1" si="2"/>
        <v>#NAME?</v>
      </c>
      <c r="U7" t="s">
        <v>11</v>
      </c>
      <c r="V7" s="13">
        <f>COUNT(A4:A13)</f>
        <v>10</v>
      </c>
    </row>
    <row r="8" spans="1:22" x14ac:dyDescent="0.35">
      <c r="A8" s="6">
        <v>27.44</v>
      </c>
      <c r="B8" s="6">
        <v>14.56</v>
      </c>
      <c r="D8" s="18">
        <f>AVERAGE(A4:A13)</f>
        <v>28.088999999999999</v>
      </c>
      <c r="E8" s="19">
        <f>AVERAGE(B4:B13)</f>
        <v>14.657</v>
      </c>
      <c r="G8" t="s">
        <v>12</v>
      </c>
      <c r="H8" s="16">
        <v>2.25</v>
      </c>
      <c r="J8" t="s">
        <v>13</v>
      </c>
      <c r="K8" s="20" t="e">
        <f ca="1">K6*180/PI()</f>
        <v>#NAME?</v>
      </c>
      <c r="M8" s="14">
        <f t="shared" si="0"/>
        <v>-0.64899999999999736</v>
      </c>
      <c r="N8" s="14">
        <f t="shared" si="0"/>
        <v>-9.6999999999999531E-2</v>
      </c>
      <c r="O8" s="15" t="e">
        <f t="shared" ca="1" si="3"/>
        <v>#NAME?</v>
      </c>
      <c r="Q8">
        <f>Q7+Q$5</f>
        <v>1.2566370614359172</v>
      </c>
      <c r="R8" t="e">
        <f t="shared" ca="1" si="1"/>
        <v>#NAME?</v>
      </c>
      <c r="S8" t="e">
        <f t="shared" ca="1" si="2"/>
        <v>#NAME?</v>
      </c>
      <c r="U8" t="s">
        <v>12</v>
      </c>
      <c r="V8" s="16">
        <f>CHIINV(1-V9,2)</f>
        <v>5.9914645471079799</v>
      </c>
    </row>
    <row r="9" spans="1:22" x14ac:dyDescent="0.35">
      <c r="A9" s="6">
        <v>26.16</v>
      </c>
      <c r="B9" s="6">
        <v>14.35</v>
      </c>
      <c r="G9" t="s">
        <v>14</v>
      </c>
      <c r="H9" s="21">
        <f>1-CHIDIST(H8,2)</f>
        <v>0.67534753264165026</v>
      </c>
      <c r="M9" s="14">
        <f t="shared" si="0"/>
        <v>-1.9289999999999985</v>
      </c>
      <c r="N9" s="14">
        <f t="shared" si="0"/>
        <v>-0.30700000000000038</v>
      </c>
      <c r="O9" s="15" t="e">
        <f t="shared" ca="1" si="3"/>
        <v>#NAME?</v>
      </c>
      <c r="Q9">
        <f t="shared" si="4"/>
        <v>1.5707963267948966</v>
      </c>
      <c r="R9" t="e">
        <f t="shared" ca="1" si="1"/>
        <v>#NAME?</v>
      </c>
      <c r="S9" t="e">
        <f t="shared" ca="1" si="2"/>
        <v>#NAME?</v>
      </c>
      <c r="U9" t="s">
        <v>14</v>
      </c>
      <c r="V9" s="21">
        <v>0.95</v>
      </c>
    </row>
    <row r="10" spans="1:22" x14ac:dyDescent="0.35">
      <c r="A10" s="6">
        <v>26.25</v>
      </c>
      <c r="B10" s="6">
        <v>13.86</v>
      </c>
      <c r="D10" t="s">
        <v>15</v>
      </c>
      <c r="J10" t="s">
        <v>16</v>
      </c>
      <c r="M10" s="14">
        <f t="shared" si="0"/>
        <v>-1.8389999999999986</v>
      </c>
      <c r="N10" s="14">
        <f t="shared" si="0"/>
        <v>-0.7970000000000006</v>
      </c>
      <c r="O10" s="15" t="e">
        <f t="shared" ca="1" si="3"/>
        <v>#NAME?</v>
      </c>
      <c r="Q10">
        <f t="shared" si="4"/>
        <v>1.8849555921538759</v>
      </c>
      <c r="R10" t="e">
        <f t="shared" ca="1" si="1"/>
        <v>#NAME?</v>
      </c>
      <c r="S10" t="e">
        <f t="shared" ca="1" si="2"/>
        <v>#NAME?</v>
      </c>
    </row>
    <row r="11" spans="1:22" x14ac:dyDescent="0.35">
      <c r="A11" s="6">
        <v>31.21</v>
      </c>
      <c r="B11" s="6">
        <v>17.61</v>
      </c>
      <c r="D11" s="7" t="e">
        <f t="array" aca="1" ref="D11:E12" ca="1">MINVERSE(D4:E5)</f>
        <v>#NAME?</v>
      </c>
      <c r="E11" s="8" t="e">
        <f ca="1"/>
        <v>#NAME?</v>
      </c>
      <c r="G11" t="s">
        <v>17</v>
      </c>
      <c r="H11" s="13" t="e">
        <f ca="1">D4+E5</f>
        <v>#NAME?</v>
      </c>
      <c r="J11" s="7" t="e">
        <f ca="1">COS(K6)</f>
        <v>#NAME?</v>
      </c>
      <c r="K11" s="8" t="e">
        <f ca="1">-J12</f>
        <v>#NAME?</v>
      </c>
      <c r="M11" s="14">
        <f t="shared" si="0"/>
        <v>3.1210000000000022</v>
      </c>
      <c r="N11" s="14">
        <f t="shared" si="0"/>
        <v>2.9529999999999994</v>
      </c>
      <c r="O11" s="15" t="e">
        <f t="shared" ca="1" si="3"/>
        <v>#NAME?</v>
      </c>
      <c r="Q11">
        <f t="shared" si="4"/>
        <v>2.1991148575128552</v>
      </c>
      <c r="R11" t="e">
        <f t="shared" ca="1" si="1"/>
        <v>#NAME?</v>
      </c>
      <c r="S11" t="e">
        <f t="shared" ca="1" si="2"/>
        <v>#NAME?</v>
      </c>
      <c r="U11" t="s">
        <v>12</v>
      </c>
      <c r="V11" s="20">
        <f>_xlfn.CHISQ.INV(V9,2)</f>
        <v>5.9914645471079799</v>
      </c>
    </row>
    <row r="12" spans="1:22" x14ac:dyDescent="0.35">
      <c r="A12" s="6">
        <v>29.34</v>
      </c>
      <c r="B12" s="6">
        <v>16.559999999999999</v>
      </c>
      <c r="D12" s="9" t="e">
        <f ca="1"/>
        <v>#NAME?</v>
      </c>
      <c r="E12" s="10" t="e">
        <f ca="1"/>
        <v>#NAME?</v>
      </c>
      <c r="G12" t="s">
        <v>18</v>
      </c>
      <c r="H12" s="16" t="e">
        <f ca="1">D4*E5-E4^2</f>
        <v>#NAME?</v>
      </c>
      <c r="J12" s="9" t="e">
        <f ca="1">SIN(K6)</f>
        <v>#NAME?</v>
      </c>
      <c r="K12" s="10" t="e">
        <f ca="1">J11</f>
        <v>#NAME?</v>
      </c>
      <c r="M12" s="14">
        <f t="shared" si="0"/>
        <v>1.2510000000000012</v>
      </c>
      <c r="N12" s="14">
        <f t="shared" si="0"/>
        <v>1.9029999999999987</v>
      </c>
      <c r="O12" s="15" t="e">
        <f t="shared" ca="1" si="3"/>
        <v>#NAME?</v>
      </c>
      <c r="Q12">
        <f t="shared" si="4"/>
        <v>2.5132741228718345</v>
      </c>
      <c r="R12" t="e">
        <f t="shared" ca="1" si="1"/>
        <v>#NAME?</v>
      </c>
      <c r="S12" t="e">
        <f t="shared" ca="1" si="2"/>
        <v>#NAME?</v>
      </c>
    </row>
    <row r="13" spans="1:22" x14ac:dyDescent="0.35">
      <c r="A13" s="22">
        <v>30.06</v>
      </c>
      <c r="B13" s="22">
        <v>14.77</v>
      </c>
      <c r="D13" s="23"/>
      <c r="G13" t="s">
        <v>19</v>
      </c>
      <c r="H13" s="16" t="e">
        <f ca="1">(H11+SQRT(H11^2-4*H12))/2</f>
        <v>#NAME?</v>
      </c>
      <c r="M13" s="3">
        <f t="shared" si="0"/>
        <v>1.9710000000000001</v>
      </c>
      <c r="N13" s="3">
        <f t="shared" si="0"/>
        <v>0.11299999999999955</v>
      </c>
      <c r="O13" s="24" t="e">
        <f ca="1">IF((D$11*M13 + E$11*N13)*M13 + (D$12*M13 + E$12*N13)*N13&gt;=H$8,"outside","inside")</f>
        <v>#NAME?</v>
      </c>
      <c r="Q13">
        <f t="shared" si="4"/>
        <v>2.8274333882308138</v>
      </c>
      <c r="R13" t="e">
        <f t="shared" ca="1" si="1"/>
        <v>#NAME?</v>
      </c>
      <c r="S13" t="e">
        <f t="shared" ca="1" si="2"/>
        <v>#NAME?</v>
      </c>
    </row>
    <row r="14" spans="1:22" x14ac:dyDescent="0.35">
      <c r="G14" t="s">
        <v>20</v>
      </c>
      <c r="H14" s="17" t="e">
        <f ca="1">H11-H13</f>
        <v>#NAME?</v>
      </c>
      <c r="Q14">
        <f t="shared" si="4"/>
        <v>3.1415926535897931</v>
      </c>
      <c r="R14" t="e">
        <f t="shared" ca="1" si="1"/>
        <v>#NAME?</v>
      </c>
      <c r="S14" t="e">
        <f t="shared" ca="1" si="2"/>
        <v>#NAME?</v>
      </c>
    </row>
    <row r="15" spans="1:22" x14ac:dyDescent="0.35">
      <c r="Q15">
        <f t="shared" si="4"/>
        <v>3.4557519189487724</v>
      </c>
      <c r="R15" t="e">
        <f t="shared" ca="1" si="1"/>
        <v>#NAME?</v>
      </c>
      <c r="S15" t="e">
        <f t="shared" ca="1" si="2"/>
        <v>#NAME?</v>
      </c>
    </row>
    <row r="16" spans="1:22" x14ac:dyDescent="0.35">
      <c r="Q16">
        <f t="shared" si="4"/>
        <v>3.7699111843077517</v>
      </c>
      <c r="R16" t="e">
        <f t="shared" ca="1" si="1"/>
        <v>#NAME?</v>
      </c>
      <c r="S16" t="e">
        <f t="shared" ca="1" si="2"/>
        <v>#NAME?</v>
      </c>
    </row>
    <row r="17" spans="17:19" x14ac:dyDescent="0.35">
      <c r="Q17">
        <f t="shared" si="4"/>
        <v>4.0840704496667311</v>
      </c>
      <c r="R17" t="e">
        <f t="shared" ca="1" si="1"/>
        <v>#NAME?</v>
      </c>
      <c r="S17" t="e">
        <f t="shared" ca="1" si="2"/>
        <v>#NAME?</v>
      </c>
    </row>
    <row r="18" spans="17:19" x14ac:dyDescent="0.35">
      <c r="Q18">
        <f t="shared" si="4"/>
        <v>4.3982297150257104</v>
      </c>
      <c r="R18" t="e">
        <f t="shared" ca="1" si="1"/>
        <v>#NAME?</v>
      </c>
      <c r="S18" t="e">
        <f t="shared" ca="1" si="2"/>
        <v>#NAME?</v>
      </c>
    </row>
    <row r="19" spans="17:19" x14ac:dyDescent="0.35">
      <c r="Q19">
        <f t="shared" si="4"/>
        <v>4.7123889803846897</v>
      </c>
      <c r="R19" t="e">
        <f t="shared" ca="1" si="1"/>
        <v>#NAME?</v>
      </c>
      <c r="S19" t="e">
        <f t="shared" ca="1" si="2"/>
        <v>#NAME?</v>
      </c>
    </row>
    <row r="20" spans="17:19" x14ac:dyDescent="0.35">
      <c r="Q20">
        <f t="shared" si="4"/>
        <v>5.026548245743669</v>
      </c>
      <c r="R20" t="e">
        <f t="shared" ca="1" si="1"/>
        <v>#NAME?</v>
      </c>
      <c r="S20" t="e">
        <f t="shared" ca="1" si="2"/>
        <v>#NAME?</v>
      </c>
    </row>
    <row r="21" spans="17:19" x14ac:dyDescent="0.35">
      <c r="Q21">
        <f t="shared" si="4"/>
        <v>5.3407075111026483</v>
      </c>
      <c r="R21" t="e">
        <f t="shared" ca="1" si="1"/>
        <v>#NAME?</v>
      </c>
      <c r="S21" t="e">
        <f t="shared" ca="1" si="2"/>
        <v>#NAME?</v>
      </c>
    </row>
    <row r="22" spans="17:19" x14ac:dyDescent="0.35">
      <c r="Q22">
        <f t="shared" si="4"/>
        <v>5.6548667764616276</v>
      </c>
      <c r="R22" t="e">
        <f t="shared" ca="1" si="1"/>
        <v>#NAME?</v>
      </c>
      <c r="S22" t="e">
        <f t="shared" ca="1" si="2"/>
        <v>#NAME?</v>
      </c>
    </row>
    <row r="23" spans="17:19" x14ac:dyDescent="0.35">
      <c r="Q23">
        <f t="shared" si="4"/>
        <v>5.9690260418206069</v>
      </c>
      <c r="R23" t="e">
        <f t="shared" ca="1" si="1"/>
        <v>#NAME?</v>
      </c>
      <c r="S23" t="e">
        <f t="shared" ca="1" si="2"/>
        <v>#NAME?</v>
      </c>
    </row>
    <row r="24" spans="17:19" x14ac:dyDescent="0.35">
      <c r="Q24" s="25">
        <f t="shared" si="4"/>
        <v>6.2831853071795862</v>
      </c>
      <c r="R24" s="25" t="e">
        <f t="shared" ca="1" si="1"/>
        <v>#NAME?</v>
      </c>
      <c r="S24" s="25" t="e">
        <f t="shared" ca="1" si="2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Ellipse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2022-09-22T19:00:32Z</dcterms:created>
  <dcterms:modified xsi:type="dcterms:W3CDTF">2022-09-22T21:34:33Z</dcterms:modified>
</cp:coreProperties>
</file>