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28E3404-CDF5-43D5-81C4-F7EF3570C379}" xr6:coauthVersionLast="47" xr6:coauthVersionMax="47" xr10:uidLastSave="{00000000-0000-0000-0000-000000000000}"/>
  <bookViews>
    <workbookView xWindow="-110" yWindow="-110" windowWidth="19420" windowHeight="10300" xr2:uid="{099D2509-1A11-425A-BECA-41925814C0D6}"/>
  </bookViews>
  <sheets>
    <sheet name="Title" sheetId="3" r:id="rId1"/>
    <sheet name="Example" sheetId="1" r:id="rId2"/>
    <sheet name="Extra Example" sheetId="2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 a="1"/>
  <c r="F20" i="2" s="1"/>
  <c r="P6" i="2" a="1"/>
  <c r="Q11" i="2" s="1"/>
  <c r="G6" i="2" a="1"/>
  <c r="G6" i="2" s="1"/>
  <c r="H19" i="1" a="1"/>
  <c r="I19" i="1" s="1"/>
  <c r="S6" i="1" a="1"/>
  <c r="T10" i="1" s="1"/>
  <c r="J6" i="1" a="1"/>
  <c r="L8" i="1" s="1"/>
  <c r="D20" i="2" a="1"/>
  <c r="D20" i="2" s="1"/>
  <c r="F16" i="2"/>
  <c r="E16" i="2"/>
  <c r="E15" i="2" s="1"/>
  <c r="M9" i="2" s="1"/>
  <c r="E14" i="2"/>
  <c r="E10" i="2"/>
  <c r="N6" i="2"/>
  <c r="G20" i="1" a="1"/>
  <c r="G21" i="1" s="1"/>
  <c r="I16" i="1"/>
  <c r="H16" i="1"/>
  <c r="H15" i="1" s="1"/>
  <c r="P9" i="1" s="1"/>
  <c r="H14" i="1"/>
  <c r="H10" i="1"/>
  <c r="Q6" i="1"/>
  <c r="H20" i="1" l="1"/>
  <c r="K8" i="1"/>
  <c r="M8" i="1"/>
  <c r="H19" i="1"/>
  <c r="I14" i="1" s="1"/>
  <c r="H7" i="1" s="1"/>
  <c r="H8" i="1" s="1"/>
  <c r="J6" i="1"/>
  <c r="I21" i="1"/>
  <c r="L9" i="1"/>
  <c r="K6" i="1"/>
  <c r="S7" i="1"/>
  <c r="M6" i="1"/>
  <c r="T8" i="1"/>
  <c r="H6" i="2"/>
  <c r="L7" i="1"/>
  <c r="S11" i="1"/>
  <c r="J8" i="1"/>
  <c r="T12" i="1"/>
  <c r="P12" i="2"/>
  <c r="J7" i="1"/>
  <c r="J9" i="1"/>
  <c r="T7" i="1"/>
  <c r="T11" i="1"/>
  <c r="I20" i="1"/>
  <c r="G7" i="2"/>
  <c r="Q8" i="2"/>
  <c r="Q12" i="2"/>
  <c r="P8" i="2"/>
  <c r="K7" i="1"/>
  <c r="K9" i="1"/>
  <c r="S8" i="1"/>
  <c r="S12" i="1"/>
  <c r="H21" i="1"/>
  <c r="H7" i="2"/>
  <c r="P9" i="2"/>
  <c r="M7" i="1"/>
  <c r="M9" i="1"/>
  <c r="S9" i="1"/>
  <c r="H22" i="1"/>
  <c r="P6" i="2"/>
  <c r="P10" i="2"/>
  <c r="E19" i="2"/>
  <c r="F14" i="2" s="1"/>
  <c r="E7" i="2" s="1"/>
  <c r="E6" i="2" s="1"/>
  <c r="Q9" i="2"/>
  <c r="T9" i="1"/>
  <c r="I22" i="1"/>
  <c r="Q6" i="2"/>
  <c r="Q10" i="2"/>
  <c r="F19" i="2"/>
  <c r="S6" i="1"/>
  <c r="S10" i="1"/>
  <c r="P7" i="2"/>
  <c r="P11" i="2"/>
  <c r="E20" i="2"/>
  <c r="G20" i="2" s="1"/>
  <c r="H20" i="2" s="1"/>
  <c r="L6" i="1"/>
  <c r="T6" i="1"/>
  <c r="Q7" i="2"/>
  <c r="M10" i="2"/>
  <c r="N10" i="2" s="1"/>
  <c r="N9" i="2"/>
  <c r="P10" i="1"/>
  <c r="Q10" i="1" s="1"/>
  <c r="Q9" i="1"/>
  <c r="G22" i="1"/>
  <c r="G20" i="1"/>
  <c r="J22" i="1" l="1"/>
  <c r="K22" i="1" s="1"/>
  <c r="J14" i="1"/>
  <c r="E8" i="2"/>
  <c r="H6" i="1"/>
  <c r="I15" i="1"/>
  <c r="J15" i="1" s="1"/>
  <c r="H9" i="1" s="1"/>
  <c r="J20" i="2"/>
  <c r="L21" i="1"/>
  <c r="L22" i="1"/>
  <c r="I20" i="2"/>
  <c r="M22" i="1"/>
  <c r="G14" i="2"/>
  <c r="F15" i="2"/>
  <c r="G15" i="2" s="1"/>
  <c r="J21" i="1"/>
  <c r="K21" i="1" s="1"/>
  <c r="L19" i="1"/>
  <c r="J19" i="1"/>
  <c r="K19" i="1" s="1"/>
  <c r="M19" i="1"/>
  <c r="P7" i="1"/>
  <c r="G19" i="2"/>
  <c r="H19" i="2" s="1"/>
  <c r="M7" i="2"/>
  <c r="J19" i="2"/>
  <c r="I19" i="2"/>
  <c r="M21" i="1"/>
  <c r="L20" i="1"/>
  <c r="J20" i="1"/>
  <c r="K20" i="1" s="1"/>
  <c r="M20" i="1"/>
  <c r="K14" i="1" l="1"/>
  <c r="L14" i="1" s="1"/>
  <c r="M14" i="1" s="1"/>
  <c r="H14" i="2"/>
  <c r="I14" i="2" s="1"/>
  <c r="J14" i="2" s="1"/>
  <c r="P8" i="1"/>
  <c r="Q11" i="1" s="1" a="1"/>
  <c r="Q11" i="1" s="1"/>
  <c r="M8" i="2"/>
  <c r="E9" i="2"/>
  <c r="Q7" i="1"/>
  <c r="N7" i="2"/>
  <c r="Q8" i="1" l="1"/>
  <c r="P11" i="1" a="1"/>
  <c r="P11" i="1" s="1"/>
  <c r="P13" i="1" s="1"/>
  <c r="N8" i="2"/>
  <c r="N11" i="2" a="1"/>
  <c r="N11" i="2" s="1"/>
  <c r="N12" i="2" s="1"/>
  <c r="M11" i="2" a="1"/>
  <c r="M11" i="2" s="1"/>
  <c r="Q13" i="1"/>
  <c r="Q12" i="1"/>
  <c r="P12" i="1" l="1"/>
  <c r="N13" i="2"/>
  <c r="M13" i="2"/>
  <c r="M12" i="2"/>
</calcChain>
</file>

<file path=xl/sharedStrings.xml><?xml version="1.0" encoding="utf-8"?>
<sst xmlns="http://schemas.openxmlformats.org/spreadsheetml/2006/main" count="144" uniqueCount="102">
  <si>
    <t>Multiple Regression - confidence and prediction intervals</t>
  </si>
  <si>
    <t>Poverty</t>
  </si>
  <si>
    <t>Infant Mort</t>
  </si>
  <si>
    <t>White</t>
  </si>
  <si>
    <t>Crime</t>
  </si>
  <si>
    <t>Regression Analysis</t>
  </si>
  <si>
    <t>Confidence and prediction Intervals</t>
  </si>
  <si>
    <t>Real Statistics function</t>
  </si>
  <si>
    <t>Alabama</t>
  </si>
  <si>
    <t>Alaska</t>
  </si>
  <si>
    <t>OVERALL FIT</t>
  </si>
  <si>
    <t>Core Matrix</t>
  </si>
  <si>
    <t>Conf</t>
  </si>
  <si>
    <t>Pred</t>
  </si>
  <si>
    <t>Arizona</t>
  </si>
  <si>
    <t>Multiple R</t>
  </si>
  <si>
    <t>alpha</t>
  </si>
  <si>
    <t>Arkansas</t>
  </si>
  <si>
    <t>R Square</t>
  </si>
  <si>
    <t>poverty</t>
  </si>
  <si>
    <t>California</t>
  </si>
  <si>
    <t>Adjusted R Square</t>
  </si>
  <si>
    <t>MSRes</t>
  </si>
  <si>
    <t>Colorado</t>
  </si>
  <si>
    <t>Standard Error</t>
  </si>
  <si>
    <t>dfRes</t>
  </si>
  <si>
    <t>Connecticut</t>
  </si>
  <si>
    <t>Observations</t>
  </si>
  <si>
    <t>t-crit</t>
  </si>
  <si>
    <t>Delaware</t>
  </si>
  <si>
    <t>s.e.</t>
  </si>
  <si>
    <t>Florida</t>
  </si>
  <si>
    <t>ANOVA</t>
  </si>
  <si>
    <t>Alpha</t>
  </si>
  <si>
    <t>lower</t>
  </si>
  <si>
    <t>Georgia</t>
  </si>
  <si>
    <t>df</t>
  </si>
  <si>
    <t>SS</t>
  </si>
  <si>
    <t>MS</t>
  </si>
  <si>
    <t>F</t>
  </si>
  <si>
    <t>p-value</t>
  </si>
  <si>
    <t>sig</t>
  </si>
  <si>
    <t>upper</t>
  </si>
  <si>
    <t>Hawaii</t>
  </si>
  <si>
    <t>Regression</t>
  </si>
  <si>
    <t>Idaho</t>
  </si>
  <si>
    <t>Residual</t>
  </si>
  <si>
    <t>Illinois</t>
  </si>
  <si>
    <t>Total</t>
  </si>
  <si>
    <t>Indiana</t>
  </si>
  <si>
    <t>Iowa</t>
  </si>
  <si>
    <t>coeff</t>
  </si>
  <si>
    <t>std err</t>
  </si>
  <si>
    <t>t stat</t>
  </si>
  <si>
    <t>data</t>
  </si>
  <si>
    <t>Kansas</t>
  </si>
  <si>
    <t>Intercept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</si>
  <si>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</si>
  <si>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</si>
  <si>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</si>
  <si>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</si>
  <si>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</si>
  <si>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</si>
  <si>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</si>
  <si>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</si>
  <si>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</si>
  <si>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</si>
  <si>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</si>
  <si>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</si>
  <si>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</si>
  <si>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</si>
  <si>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</si>
  <si>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</si>
  <si>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</si>
  <si>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</si>
  <si>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</si>
  <si>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</si>
  <si>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</si>
  <si>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</si>
  <si>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</si>
  <si>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</si>
  <si>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</si>
  <si>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</si>
  <si>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</si>
  <si>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</si>
  <si>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</si>
  <si>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</si>
  <si>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</si>
  <si>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</si>
  <si>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</si>
  <si>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</si>
  <si>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Poverty - % below poverty level</t>
  </si>
  <si>
    <t>Infant Mort - infant mortality per 1,000 births, death prior to 1 yr, excludes fetal death, residents only</t>
  </si>
  <si>
    <t>White - % of the population that is white</t>
  </si>
  <si>
    <t>Crime - violent crime (murder, forcible rape, robbery, and aggravated assault) per 100,000 people</t>
  </si>
  <si>
    <t>Simple Regression - confidence and prediction intervals</t>
  </si>
  <si>
    <t>Cig (x)</t>
  </si>
  <si>
    <t>Life Exp (y)</t>
  </si>
  <si>
    <t>Real Statistics Using Excel</t>
  </si>
  <si>
    <t>Updated</t>
  </si>
  <si>
    <t>Copyright © 2013 - 2023 Charles Zaiontz</t>
  </si>
  <si>
    <t>Confidence and Prediction Intervals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</si>
</sst>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ourier New"/>
      <family val="3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0" xfId="1" applyFont="1" applyAlignment="1">
      <alignment horizontal="right"/>
    </xf>
    <xf numFmtId="164" fontId="2" fillId="0" borderId="0" xfId="1" quotePrefix="1" applyNumberFormat="1" applyFont="1" applyAlignment="1">
      <alignment horizontal="right"/>
    </xf>
    <xf numFmtId="164" fontId="2" fillId="0" borderId="0" xfId="0" applyNumberFormat="1" applyFont="1"/>
    <xf numFmtId="3" fontId="2" fillId="0" borderId="0" xfId="1" applyNumberFormat="1" applyFont="1" applyAlignment="1">
      <alignment horizontal="right"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5" fontId="2" fillId="0" borderId="0" xfId="1" applyNumberFormat="1" applyFont="1" applyAlignment="1">
      <alignment horizontal="right"/>
    </xf>
    <xf numFmtId="0" fontId="4" fillId="0" borderId="14" xfId="0" applyFont="1" applyBorder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9" xfId="0" applyFont="1" applyBorder="1"/>
    <xf numFmtId="0" fontId="2" fillId="0" borderId="9" xfId="1" applyFont="1" applyBorder="1" applyAlignment="1">
      <alignment horizontal="right"/>
    </xf>
    <xf numFmtId="164" fontId="2" fillId="0" borderId="9" xfId="1" quotePrefix="1" applyNumberFormat="1" applyFont="1" applyBorder="1" applyAlignment="1">
      <alignment horizontal="right"/>
    </xf>
    <xf numFmtId="164" fontId="2" fillId="0" borderId="9" xfId="0" applyNumberFormat="1" applyFont="1" applyBorder="1"/>
    <xf numFmtId="3" fontId="2" fillId="0" borderId="9" xfId="1" applyNumberFormat="1" applyFont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5" fontId="0" fillId="0" borderId="0" xfId="0" applyNumberFormat="1"/>
    <xf numFmtId="0" fontId="5" fillId="0" borderId="0" xfId="0" applyFont="1"/>
  </cellXfs>
  <cellStyles count="2">
    <cellStyle name="Normal" xfId="0" builtinId="0"/>
    <cellStyle name="Normal 2" xfId="1" xr:uid="{5C3ECF37-1A51-49F6-9CE7-A556935B3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EDD60-C64E-4719-AD05-6A331471E175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98</v>
      </c>
    </row>
    <row r="2" spans="1:2" x14ac:dyDescent="0.35">
      <c r="A2" t="s">
        <v>101</v>
      </c>
    </row>
    <row r="4" spans="1:2" x14ac:dyDescent="0.35">
      <c r="A4" t="s">
        <v>99</v>
      </c>
      <c r="B4" s="33">
        <v>45016</v>
      </c>
    </row>
    <row r="6" spans="1:2" x14ac:dyDescent="0.35">
      <c r="A6" s="34" t="s"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678E-2E43-4D49-A687-3B43AD6BAF0B}">
  <sheetPr codeName="Sheet381"/>
  <dimension ref="A1:T58"/>
  <sheetViews>
    <sheetView workbookViewId="0"/>
  </sheetViews>
  <sheetFormatPr defaultRowHeight="14.5" x14ac:dyDescent="0.35"/>
  <cols>
    <col min="1" max="1" width="13.1796875" customWidth="1"/>
    <col min="2" max="5" width="10.26953125" customWidth="1"/>
    <col min="7" max="7" width="17.7265625" customWidth="1"/>
    <col min="10" max="12" width="9.26953125" bestFit="1" customWidth="1"/>
    <col min="13" max="13" width="9.26953125" customWidth="1"/>
    <col min="15" max="15" width="9.1796875" customWidth="1"/>
    <col min="19" max="19" width="11.7265625" customWidth="1"/>
  </cols>
  <sheetData>
    <row r="1" spans="1:20" x14ac:dyDescent="0.35">
      <c r="A1" s="1" t="s">
        <v>0</v>
      </c>
    </row>
    <row r="3" spans="1:20" x14ac:dyDescent="0.35">
      <c r="A3" s="2"/>
      <c r="B3" s="3" t="s">
        <v>1</v>
      </c>
      <c r="C3" s="3" t="s">
        <v>2</v>
      </c>
      <c r="D3" s="3" t="s">
        <v>3</v>
      </c>
      <c r="E3" s="3" t="s">
        <v>4</v>
      </c>
      <c r="G3" t="s">
        <v>5</v>
      </c>
      <c r="O3" t="s">
        <v>6</v>
      </c>
      <c r="S3" t="s">
        <v>7</v>
      </c>
    </row>
    <row r="4" spans="1:20" x14ac:dyDescent="0.35">
      <c r="A4" s="4" t="s">
        <v>8</v>
      </c>
      <c r="B4" s="5">
        <v>15.7</v>
      </c>
      <c r="C4" s="6">
        <v>9</v>
      </c>
      <c r="D4" s="7">
        <v>71.027177760140717</v>
      </c>
      <c r="E4" s="8">
        <v>448</v>
      </c>
    </row>
    <row r="5" spans="1:20" ht="15" thickBot="1" x14ac:dyDescent="0.4">
      <c r="A5" s="4" t="s">
        <v>9</v>
      </c>
      <c r="B5" s="5">
        <v>8.4</v>
      </c>
      <c r="C5" s="6">
        <v>6.9</v>
      </c>
      <c r="D5" s="7">
        <v>70.62318863808899</v>
      </c>
      <c r="E5" s="8">
        <v>661.2</v>
      </c>
      <c r="G5" s="9" t="s">
        <v>10</v>
      </c>
      <c r="H5" s="9"/>
      <c r="J5" t="s">
        <v>11</v>
      </c>
      <c r="P5" s="10" t="s">
        <v>12</v>
      </c>
      <c r="Q5" s="10" t="s">
        <v>13</v>
      </c>
    </row>
    <row r="6" spans="1:20" ht="15" thickTop="1" x14ac:dyDescent="0.35">
      <c r="A6" s="4" t="s">
        <v>14</v>
      </c>
      <c r="B6" s="5">
        <v>14.7</v>
      </c>
      <c r="C6" s="6">
        <v>6.4</v>
      </c>
      <c r="D6" s="7">
        <v>86.505696765320337</v>
      </c>
      <c r="E6" s="8">
        <v>482.7</v>
      </c>
      <c r="G6" t="s">
        <v>15</v>
      </c>
      <c r="H6" t="e">
        <f ca="1">SQRT(H7)</f>
        <v>#NAME?</v>
      </c>
      <c r="J6" s="11" t="e">
        <f t="array" aca="1" ref="J6:M9" ca="1">CORE(C4:E53)</f>
        <v>#NAME?</v>
      </c>
      <c r="K6" s="12" t="e">
        <f ca="1"/>
        <v>#NAME?</v>
      </c>
      <c r="L6" s="12" t="e">
        <f ca="1"/>
        <v>#NAME?</v>
      </c>
      <c r="M6" s="13" t="e">
        <f ca="1"/>
        <v>#NAME?</v>
      </c>
      <c r="O6" t="s">
        <v>16</v>
      </c>
      <c r="P6" s="11">
        <v>0.05</v>
      </c>
      <c r="Q6" s="13">
        <f>P6</f>
        <v>0.05</v>
      </c>
      <c r="S6" t="e">
        <f t="array" aca="1" ref="S6:T12" ca="1">RegPred(O20:O22,C4:E53,B4:B53,TRUE)</f>
        <v>#NAME?</v>
      </c>
      <c r="T6" s="19" t="e">
        <f ca="1"/>
        <v>#NAME?</v>
      </c>
    </row>
    <row r="7" spans="1:20" x14ac:dyDescent="0.35">
      <c r="A7" s="4" t="s">
        <v>17</v>
      </c>
      <c r="B7" s="5">
        <v>17.3</v>
      </c>
      <c r="C7" s="6">
        <v>8.5</v>
      </c>
      <c r="D7" s="7">
        <v>80.783955956979611</v>
      </c>
      <c r="E7" s="8">
        <v>529.4</v>
      </c>
      <c r="G7" t="s">
        <v>18</v>
      </c>
      <c r="H7" t="e">
        <f ca="1">I14/I16</f>
        <v>#NAME?</v>
      </c>
      <c r="J7" s="14" t="e">
        <f ca="1"/>
        <v>#NAME?</v>
      </c>
      <c r="K7" t="e">
        <f ca="1"/>
        <v>#NAME?</v>
      </c>
      <c r="L7" t="e">
        <f ca="1"/>
        <v>#NAME?</v>
      </c>
      <c r="M7" s="15" t="e">
        <f ca="1"/>
        <v>#NAME?</v>
      </c>
      <c r="O7" t="s">
        <v>19</v>
      </c>
      <c r="P7" s="14" t="e">
        <f ca="1">SUMPRODUCT(H19:H22,O19:O22)</f>
        <v>#NAME?</v>
      </c>
      <c r="Q7" s="15" t="e">
        <f ca="1">P7</f>
        <v>#NAME?</v>
      </c>
      <c r="S7" t="e">
        <f ca="1"/>
        <v>#NAME?</v>
      </c>
      <c r="T7" s="20" t="e">
        <f ca="1"/>
        <v>#NAME?</v>
      </c>
    </row>
    <row r="8" spans="1:20" x14ac:dyDescent="0.35">
      <c r="A8" s="4" t="s">
        <v>20</v>
      </c>
      <c r="B8" s="5">
        <v>13.3</v>
      </c>
      <c r="C8" s="6">
        <v>5</v>
      </c>
      <c r="D8" s="7">
        <v>76.640052174481781</v>
      </c>
      <c r="E8" s="8">
        <v>522.6</v>
      </c>
      <c r="G8" t="s">
        <v>21</v>
      </c>
      <c r="H8" t="e">
        <f ca="1">1-(1-H7)*(H10-1)/(H10-H14-1)</f>
        <v>#NAME?</v>
      </c>
      <c r="J8" s="14" t="e">
        <f ca="1"/>
        <v>#NAME?</v>
      </c>
      <c r="K8" t="e">
        <f ca="1"/>
        <v>#NAME?</v>
      </c>
      <c r="L8" t="e">
        <f ca="1"/>
        <v>#NAME?</v>
      </c>
      <c r="M8" s="15" t="e">
        <f ca="1"/>
        <v>#NAME?</v>
      </c>
      <c r="O8" t="s">
        <v>22</v>
      </c>
      <c r="P8" s="14" t="e">
        <f ca="1">J15</f>
        <v>#NAME?</v>
      </c>
      <c r="Q8" s="15" t="e">
        <f ca="1">P8</f>
        <v>#NAME?</v>
      </c>
      <c r="S8" t="e">
        <f ca="1"/>
        <v>#NAME?</v>
      </c>
      <c r="T8" s="20" t="e">
        <f ca="1"/>
        <v>#NAME?</v>
      </c>
    </row>
    <row r="9" spans="1:20" x14ac:dyDescent="0.35">
      <c r="A9" s="4" t="s">
        <v>23</v>
      </c>
      <c r="B9" s="5">
        <v>11.4</v>
      </c>
      <c r="C9" s="6">
        <v>5.7</v>
      </c>
      <c r="D9" s="7">
        <v>89.734092175332663</v>
      </c>
      <c r="E9" s="8">
        <v>347.8</v>
      </c>
      <c r="G9" t="s">
        <v>24</v>
      </c>
      <c r="H9" t="e">
        <f ca="1">SQRT(J15)</f>
        <v>#NAME?</v>
      </c>
      <c r="J9" s="16" t="e">
        <f ca="1"/>
        <v>#NAME?</v>
      </c>
      <c r="K9" s="17" t="e">
        <f ca="1"/>
        <v>#NAME?</v>
      </c>
      <c r="L9" s="17" t="e">
        <f ca="1"/>
        <v>#NAME?</v>
      </c>
      <c r="M9" s="18" t="e">
        <f ca="1"/>
        <v>#NAME?</v>
      </c>
      <c r="O9" t="s">
        <v>25</v>
      </c>
      <c r="P9" s="14">
        <f>H15</f>
        <v>46</v>
      </c>
      <c r="Q9" s="15">
        <f>P9</f>
        <v>46</v>
      </c>
      <c r="S9" t="e">
        <f ca="1"/>
        <v>#NAME?</v>
      </c>
      <c r="T9" s="20" t="e">
        <f ca="1"/>
        <v>#NAME?</v>
      </c>
    </row>
    <row r="10" spans="1:20" x14ac:dyDescent="0.35">
      <c r="A10" s="4" t="s">
        <v>26</v>
      </c>
      <c r="B10" s="5">
        <v>9.3000000000000007</v>
      </c>
      <c r="C10" s="6">
        <v>6.2</v>
      </c>
      <c r="D10" s="7">
        <v>84.278652322083644</v>
      </c>
      <c r="E10" s="8">
        <v>256</v>
      </c>
      <c r="G10" s="17" t="s">
        <v>27</v>
      </c>
      <c r="H10" s="17">
        <f>COUNT(B4:B53)</f>
        <v>50</v>
      </c>
      <c r="O10" t="s">
        <v>28</v>
      </c>
      <c r="P10" s="14">
        <f>TINV(P6,P9)</f>
        <v>2.0128955989194299</v>
      </c>
      <c r="Q10" s="15">
        <f>P10</f>
        <v>2.0128955989194299</v>
      </c>
      <c r="S10" t="e">
        <f ca="1"/>
        <v>#NAME?</v>
      </c>
      <c r="T10" s="20" t="e">
        <f ca="1"/>
        <v>#NAME?</v>
      </c>
    </row>
    <row r="11" spans="1:20" x14ac:dyDescent="0.35">
      <c r="A11" s="4" t="s">
        <v>29</v>
      </c>
      <c r="B11" s="22">
        <v>10</v>
      </c>
      <c r="C11" s="6">
        <v>8.3000000000000007</v>
      </c>
      <c r="D11" s="7">
        <v>74.266056727126113</v>
      </c>
      <c r="E11" s="8">
        <v>689.2</v>
      </c>
      <c r="O11" t="s">
        <v>30</v>
      </c>
      <c r="P11" s="14" t="e">
        <f t="array" aca="1" ref="P11" ca="1">SQRT(P8*MMULT(TRANSPOSE(O19:O22),MMULT(J6:M9,O19:O22)))</f>
        <v>#NAME?</v>
      </c>
      <c r="Q11" s="15" t="e">
        <f t="array" aca="1" ref="Q11" ca="1">SQRT(P8*(1+MMULT(TRANSPOSE(O19:O22),MMULT(J6:M9,O19:O22))))</f>
        <v>#NAME?</v>
      </c>
      <c r="S11" t="e">
        <f ca="1"/>
        <v>#NAME?</v>
      </c>
      <c r="T11" s="20" t="e">
        <f ca="1"/>
        <v>#NAME?</v>
      </c>
    </row>
    <row r="12" spans="1:20" ht="15" thickBot="1" x14ac:dyDescent="0.4">
      <c r="A12" s="4" t="s">
        <v>31</v>
      </c>
      <c r="B12" s="5">
        <v>13.2</v>
      </c>
      <c r="C12" s="6">
        <v>7.3</v>
      </c>
      <c r="D12" s="7">
        <v>79.811068541941054</v>
      </c>
      <c r="E12" s="8">
        <v>722.6</v>
      </c>
      <c r="G12" t="s">
        <v>32</v>
      </c>
      <c r="K12" s="10" t="s">
        <v>33</v>
      </c>
      <c r="L12" s="10">
        <v>0.05</v>
      </c>
      <c r="O12" t="s">
        <v>34</v>
      </c>
      <c r="P12" s="14" t="e">
        <f ca="1">P7-P11*P10</f>
        <v>#NAME?</v>
      </c>
      <c r="Q12" s="15" t="e">
        <f ca="1">Q7-Q11*Q10</f>
        <v>#NAME?</v>
      </c>
      <c r="S12" t="e">
        <f ca="1"/>
        <v>#NAME?</v>
      </c>
      <c r="T12" s="21" t="e">
        <f ca="1"/>
        <v>#NAME?</v>
      </c>
    </row>
    <row r="13" spans="1:20" ht="15" thickTop="1" x14ac:dyDescent="0.35">
      <c r="A13" s="4" t="s">
        <v>35</v>
      </c>
      <c r="B13" s="5">
        <v>14.7</v>
      </c>
      <c r="C13" s="6">
        <v>8.1</v>
      </c>
      <c r="D13" s="7">
        <v>65.387718279566343</v>
      </c>
      <c r="E13" s="8">
        <v>493.2</v>
      </c>
      <c r="G13" s="23"/>
      <c r="H13" s="23" t="s">
        <v>36</v>
      </c>
      <c r="I13" s="23" t="s">
        <v>37</v>
      </c>
      <c r="J13" s="23" t="s">
        <v>38</v>
      </c>
      <c r="K13" s="23" t="s">
        <v>39</v>
      </c>
      <c r="L13" s="23" t="s">
        <v>40</v>
      </c>
      <c r="M13" s="23" t="s">
        <v>41</v>
      </c>
      <c r="O13" t="s">
        <v>42</v>
      </c>
      <c r="P13" s="16" t="e">
        <f ca="1">P7+P11*P10</f>
        <v>#NAME?</v>
      </c>
      <c r="Q13" s="18" t="e">
        <f ca="1">Q7+Q11*Q10</f>
        <v>#NAME?</v>
      </c>
    </row>
    <row r="14" spans="1:20" x14ac:dyDescent="0.35">
      <c r="A14" s="4" t="s">
        <v>43</v>
      </c>
      <c r="B14" s="5">
        <v>9.1</v>
      </c>
      <c r="C14" s="6">
        <v>5.6</v>
      </c>
      <c r="D14" s="7">
        <v>29.667333748383395</v>
      </c>
      <c r="E14" s="8">
        <v>272.8</v>
      </c>
      <c r="G14" t="s">
        <v>44</v>
      </c>
      <c r="H14">
        <f>COUNT(C4:E4)</f>
        <v>3</v>
      </c>
      <c r="I14" t="e">
        <f ca="1">DEVSQ(MMULT(DEsign(C4:E53),H19:H22))</f>
        <v>#NAME?</v>
      </c>
      <c r="J14" t="e">
        <f ca="1">I14/H14</f>
        <v>#NAME?</v>
      </c>
      <c r="K14" t="e">
        <f ca="1">J14/J15</f>
        <v>#NAME?</v>
      </c>
      <c r="L14" t="e">
        <f ca="1">FDIST(K14,H14,H15)</f>
        <v>#NAME?</v>
      </c>
      <c r="M14" s="10" t="e">
        <f ca="1">IF(L14&lt;L12,"yes","no")</f>
        <v>#NAME?</v>
      </c>
    </row>
    <row r="15" spans="1:20" x14ac:dyDescent="0.35">
      <c r="A15" s="4" t="s">
        <v>45</v>
      </c>
      <c r="B15" s="5">
        <v>12.6</v>
      </c>
      <c r="C15" s="6">
        <v>6.8</v>
      </c>
      <c r="D15" s="7">
        <v>94.600660447193093</v>
      </c>
      <c r="E15" s="8">
        <v>239.4</v>
      </c>
      <c r="G15" t="s">
        <v>46</v>
      </c>
      <c r="H15">
        <f>H16-H14</f>
        <v>46</v>
      </c>
      <c r="I15" t="e">
        <f ca="1">I16-I14</f>
        <v>#NAME?</v>
      </c>
      <c r="J15" t="e">
        <f ca="1">I15/H15</f>
        <v>#NAME?</v>
      </c>
    </row>
    <row r="16" spans="1:20" x14ac:dyDescent="0.35">
      <c r="A16" s="4" t="s">
        <v>47</v>
      </c>
      <c r="B16" s="5">
        <v>12.2</v>
      </c>
      <c r="C16" s="6">
        <v>7.3</v>
      </c>
      <c r="D16" s="7">
        <v>79.13310968601246</v>
      </c>
      <c r="E16" s="8">
        <v>533.20000000000005</v>
      </c>
      <c r="G16" s="17" t="s">
        <v>48</v>
      </c>
      <c r="H16" s="17">
        <f>H10-1</f>
        <v>49</v>
      </c>
      <c r="I16" s="17">
        <f>DEVSQ(B4:B53)</f>
        <v>423.24879999999996</v>
      </c>
      <c r="J16" s="17"/>
      <c r="K16" s="17"/>
      <c r="L16" s="17"/>
      <c r="M16" s="17"/>
    </row>
    <row r="17" spans="1:15" ht="15" thickBot="1" x14ac:dyDescent="0.4">
      <c r="A17" s="4" t="s">
        <v>49</v>
      </c>
      <c r="B17" s="5">
        <v>13.1</v>
      </c>
      <c r="C17" s="6">
        <v>8</v>
      </c>
      <c r="D17" s="7">
        <v>88.000000627274659</v>
      </c>
      <c r="E17" s="8">
        <v>333.6</v>
      </c>
    </row>
    <row r="18" spans="1:15" ht="15" thickTop="1" x14ac:dyDescent="0.35">
      <c r="A18" s="4" t="s">
        <v>50</v>
      </c>
      <c r="B18" s="5">
        <v>11.5</v>
      </c>
      <c r="C18" s="6">
        <v>5.0999999999999996</v>
      </c>
      <c r="D18" s="7">
        <v>94.170464820794294</v>
      </c>
      <c r="E18" s="8">
        <v>294.7</v>
      </c>
      <c r="G18" s="23"/>
      <c r="H18" s="23" t="s">
        <v>51</v>
      </c>
      <c r="I18" s="23" t="s">
        <v>52</v>
      </c>
      <c r="J18" s="23" t="s">
        <v>53</v>
      </c>
      <c r="K18" s="23" t="s">
        <v>40</v>
      </c>
      <c r="L18" s="23" t="s">
        <v>34</v>
      </c>
      <c r="M18" s="23" t="s">
        <v>42</v>
      </c>
      <c r="O18" s="23" t="s">
        <v>54</v>
      </c>
    </row>
    <row r="19" spans="1:15" x14ac:dyDescent="0.35">
      <c r="A19" s="4" t="s">
        <v>55</v>
      </c>
      <c r="B19" s="5">
        <v>11.3</v>
      </c>
      <c r="C19" s="6">
        <v>7.1</v>
      </c>
      <c r="D19" s="7">
        <v>88.703716524620162</v>
      </c>
      <c r="E19" s="8">
        <v>452.7</v>
      </c>
      <c r="G19" t="s">
        <v>56</v>
      </c>
      <c r="H19" t="e">
        <f t="array" aca="1" ref="H19:I22" ca="1">RegCoeff(C4:E53,B4:B53)</f>
        <v>#NAME?</v>
      </c>
      <c r="I19" t="e">
        <f ca="1"/>
        <v>#NAME?</v>
      </c>
      <c r="J19" t="e">
        <f ca="1">H19/I19</f>
        <v>#NAME?</v>
      </c>
      <c r="K19" t="e">
        <f ca="1">TDIST(ABS(J19),$H$15,2)</f>
        <v>#NAME?</v>
      </c>
      <c r="L19" t="e">
        <f ca="1">H19-TINV(L$12,$H$15)*I19</f>
        <v>#NAME?</v>
      </c>
      <c r="M19" t="e">
        <f ca="1">H19+TINV(L$12,$H$15)*I19</f>
        <v>#NAME?</v>
      </c>
      <c r="O19">
        <v>1</v>
      </c>
    </row>
    <row r="20" spans="1:15" x14ac:dyDescent="0.35">
      <c r="A20" s="4" t="s">
        <v>57</v>
      </c>
      <c r="B20" s="5">
        <v>17.3</v>
      </c>
      <c r="C20" s="6">
        <v>7.5</v>
      </c>
      <c r="D20" s="7">
        <v>89.904327345935869</v>
      </c>
      <c r="E20" s="8">
        <v>295</v>
      </c>
      <c r="G20" t="str">
        <f t="array" ref="G20:G22">TRANSPOSE(C3:E3)</f>
        <v>Infant Mort</v>
      </c>
      <c r="H20" t="e">
        <f ca="1"/>
        <v>#NAME?</v>
      </c>
      <c r="I20" t="e">
        <f ca="1"/>
        <v>#NAME?</v>
      </c>
      <c r="J20" t="e">
        <f ca="1">H20/I20</f>
        <v>#NAME?</v>
      </c>
      <c r="K20" t="e">
        <f ca="1">TDIST(ABS(J20),$H$15,2)</f>
        <v>#NAME?</v>
      </c>
      <c r="L20" t="e">
        <f ca="1">H20-TINV(L$12,$H$15)*I20</f>
        <v>#NAME?</v>
      </c>
      <c r="M20" t="e">
        <f ca="1">H20+TINV(L$12,$H$15)*I20</f>
        <v>#NAME?</v>
      </c>
      <c r="O20">
        <v>7</v>
      </c>
    </row>
    <row r="21" spans="1:15" x14ac:dyDescent="0.35">
      <c r="A21" s="4" t="s">
        <v>58</v>
      </c>
      <c r="B21" s="5">
        <v>17.3</v>
      </c>
      <c r="C21" s="6">
        <v>9.9</v>
      </c>
      <c r="D21" s="7">
        <v>64.839543701408999</v>
      </c>
      <c r="E21" s="8">
        <v>729.5</v>
      </c>
      <c r="G21" t="str">
        <v>White</v>
      </c>
      <c r="H21" t="e">
        <f ca="1"/>
        <v>#NAME?</v>
      </c>
      <c r="I21" t="e">
        <f ca="1"/>
        <v>#NAME?</v>
      </c>
      <c r="J21" t="e">
        <f ca="1">H21/I21</f>
        <v>#NAME?</v>
      </c>
      <c r="K21" t="e">
        <f ca="1">TDIST(ABS(J21),$H$15,2)</f>
        <v>#NAME?</v>
      </c>
      <c r="L21" t="e">
        <f ca="1">H21-TINV(L$12,$H$15)*I21</f>
        <v>#NAME?</v>
      </c>
      <c r="M21" t="e">
        <f ca="1">H21+TINV(L$12,$H$15)*I21</f>
        <v>#NAME?</v>
      </c>
      <c r="O21">
        <v>80</v>
      </c>
    </row>
    <row r="22" spans="1:15" x14ac:dyDescent="0.35">
      <c r="A22" s="4" t="s">
        <v>59</v>
      </c>
      <c r="B22" s="5">
        <v>12.3</v>
      </c>
      <c r="C22" s="6">
        <v>6.3</v>
      </c>
      <c r="D22" s="7">
        <v>96.389852756187835</v>
      </c>
      <c r="E22" s="8">
        <v>118</v>
      </c>
      <c r="G22" s="17" t="str">
        <v>Crime</v>
      </c>
      <c r="H22" s="17" t="e">
        <f ca="1"/>
        <v>#NAME?</v>
      </c>
      <c r="I22" s="17" t="e">
        <f ca="1"/>
        <v>#NAME?</v>
      </c>
      <c r="J22" s="17" t="e">
        <f ca="1">H22/I22</f>
        <v>#NAME?</v>
      </c>
      <c r="K22" s="17" t="e">
        <f ca="1">TDIST(ABS(J22),$H$15,2)</f>
        <v>#NAME?</v>
      </c>
      <c r="L22" s="17" t="e">
        <f ca="1">H22-TINV(L$12,$H$15)*I22</f>
        <v>#NAME?</v>
      </c>
      <c r="M22" s="17" t="e">
        <f ca="1">H22+TINV(L$12,$H$15)*I22</f>
        <v>#NAME?</v>
      </c>
      <c r="O22" s="17">
        <v>400</v>
      </c>
    </row>
    <row r="23" spans="1:15" x14ac:dyDescent="0.35">
      <c r="A23" s="4" t="s">
        <v>60</v>
      </c>
      <c r="B23" s="5">
        <v>8.1</v>
      </c>
      <c r="C23" s="6">
        <v>8</v>
      </c>
      <c r="D23" s="7">
        <v>63.398020838196281</v>
      </c>
      <c r="E23" s="8">
        <v>641.9</v>
      </c>
      <c r="N23" s="10"/>
    </row>
    <row r="24" spans="1:15" x14ac:dyDescent="0.35">
      <c r="A24" s="4" t="s">
        <v>61</v>
      </c>
      <c r="B24" s="22">
        <v>10</v>
      </c>
      <c r="C24" s="6">
        <v>4.8</v>
      </c>
      <c r="D24" s="7">
        <v>86.203669547721617</v>
      </c>
      <c r="E24" s="8">
        <v>431.5</v>
      </c>
    </row>
    <row r="25" spans="1:15" x14ac:dyDescent="0.35">
      <c r="A25" s="4" t="s">
        <v>62</v>
      </c>
      <c r="B25" s="5">
        <v>14.4</v>
      </c>
      <c r="C25" s="6">
        <v>7.4</v>
      </c>
      <c r="D25" s="7">
        <v>81.183409037427396</v>
      </c>
      <c r="E25" s="8">
        <v>536</v>
      </c>
    </row>
    <row r="26" spans="1:15" x14ac:dyDescent="0.35">
      <c r="A26" s="4" t="s">
        <v>63</v>
      </c>
      <c r="B26" s="5">
        <v>9.6</v>
      </c>
      <c r="C26" s="6">
        <v>5.2</v>
      </c>
      <c r="D26" s="7">
        <v>89.045556531854984</v>
      </c>
      <c r="E26" s="8">
        <v>288.7</v>
      </c>
    </row>
    <row r="27" spans="1:15" x14ac:dyDescent="0.35">
      <c r="A27" s="4" t="s">
        <v>64</v>
      </c>
      <c r="B27" s="5">
        <v>21.2</v>
      </c>
      <c r="C27" s="6">
        <v>10.6</v>
      </c>
      <c r="D27" s="7">
        <v>60.598179144073846</v>
      </c>
      <c r="E27" s="8">
        <v>291.3</v>
      </c>
    </row>
    <row r="28" spans="1:15" x14ac:dyDescent="0.35">
      <c r="A28" s="4" t="s">
        <v>65</v>
      </c>
      <c r="B28" s="5">
        <v>13.4</v>
      </c>
      <c r="C28" s="6">
        <v>7.4</v>
      </c>
      <c r="D28" s="7">
        <v>85.028888093842554</v>
      </c>
      <c r="E28" s="8">
        <v>504.9</v>
      </c>
    </row>
    <row r="29" spans="1:15" x14ac:dyDescent="0.35">
      <c r="A29" s="4" t="s">
        <v>66</v>
      </c>
      <c r="B29" s="5">
        <v>14.8</v>
      </c>
      <c r="C29" s="6">
        <v>5.8</v>
      </c>
      <c r="D29" s="7">
        <v>90.467729264863962</v>
      </c>
      <c r="E29" s="8">
        <v>287.5</v>
      </c>
    </row>
    <row r="30" spans="1:15" x14ac:dyDescent="0.35">
      <c r="A30" s="4" t="s">
        <v>67</v>
      </c>
      <c r="B30" s="5">
        <v>10.8</v>
      </c>
      <c r="C30" s="6">
        <v>5.6</v>
      </c>
      <c r="D30" s="7">
        <v>91.372477335833381</v>
      </c>
      <c r="E30" s="8">
        <v>302.39999999999998</v>
      </c>
    </row>
    <row r="31" spans="1:15" x14ac:dyDescent="0.35">
      <c r="A31" s="4" t="s">
        <v>68</v>
      </c>
      <c r="B31" s="5">
        <v>11.3</v>
      </c>
      <c r="C31" s="6">
        <v>6.4</v>
      </c>
      <c r="D31" s="7">
        <v>80.891227371165002</v>
      </c>
      <c r="E31" s="8">
        <v>750.6</v>
      </c>
    </row>
    <row r="32" spans="1:15" x14ac:dyDescent="0.35">
      <c r="A32" s="4" t="s">
        <v>69</v>
      </c>
      <c r="B32" s="5">
        <v>7.6</v>
      </c>
      <c r="C32" s="6">
        <v>6.1</v>
      </c>
      <c r="D32" s="7">
        <v>95.487186970145373</v>
      </c>
      <c r="E32" s="8">
        <v>137.30000000000001</v>
      </c>
    </row>
    <row r="33" spans="1:5" x14ac:dyDescent="0.35">
      <c r="A33" s="4" t="s">
        <v>70</v>
      </c>
      <c r="B33" s="5">
        <v>8.6999999999999993</v>
      </c>
      <c r="C33" s="6">
        <v>5.5</v>
      </c>
      <c r="D33" s="7">
        <v>76.032117342828414</v>
      </c>
      <c r="E33" s="8">
        <v>329.3</v>
      </c>
    </row>
    <row r="34" spans="1:5" x14ac:dyDescent="0.35">
      <c r="A34" s="4" t="s">
        <v>71</v>
      </c>
      <c r="B34" s="5">
        <v>17.100000000000001</v>
      </c>
      <c r="C34" s="6">
        <v>5.8</v>
      </c>
      <c r="D34" s="7">
        <v>83.996520785584835</v>
      </c>
      <c r="E34" s="8">
        <v>664.2</v>
      </c>
    </row>
    <row r="35" spans="1:5" x14ac:dyDescent="0.35">
      <c r="A35" s="4" t="s">
        <v>72</v>
      </c>
      <c r="B35" s="5">
        <v>13.6</v>
      </c>
      <c r="C35" s="6">
        <v>5.6</v>
      </c>
      <c r="D35" s="7">
        <v>73.422529169257928</v>
      </c>
      <c r="E35" s="8">
        <v>414.1</v>
      </c>
    </row>
    <row r="36" spans="1:5" x14ac:dyDescent="0.35">
      <c r="A36" s="4" t="s">
        <v>73</v>
      </c>
      <c r="B36" s="5">
        <v>14.6</v>
      </c>
      <c r="C36" s="6">
        <v>8.1</v>
      </c>
      <c r="D36" s="7">
        <v>73.937344387272134</v>
      </c>
      <c r="E36" s="8">
        <v>466.4</v>
      </c>
    </row>
    <row r="37" spans="1:5" x14ac:dyDescent="0.35">
      <c r="A37" s="4" t="s">
        <v>74</v>
      </c>
      <c r="B37" s="24">
        <v>12</v>
      </c>
      <c r="C37" s="6">
        <v>5.8</v>
      </c>
      <c r="D37" s="7">
        <v>91.393509706444945</v>
      </c>
      <c r="E37" s="8">
        <v>142.4</v>
      </c>
    </row>
    <row r="38" spans="1:5" x14ac:dyDescent="0.35">
      <c r="A38" s="4" t="s">
        <v>75</v>
      </c>
      <c r="B38" s="5">
        <v>13.4</v>
      </c>
      <c r="C38" s="6">
        <v>7.8</v>
      </c>
      <c r="D38" s="7">
        <v>84.764237226305966</v>
      </c>
      <c r="E38" s="8">
        <v>343.2</v>
      </c>
    </row>
    <row r="39" spans="1:5" x14ac:dyDescent="0.35">
      <c r="A39" s="4" t="s">
        <v>76</v>
      </c>
      <c r="B39" s="5">
        <v>15.9</v>
      </c>
      <c r="C39" s="6">
        <v>8</v>
      </c>
      <c r="D39" s="7">
        <v>78.141238608693655</v>
      </c>
      <c r="E39" s="8">
        <v>499.6</v>
      </c>
    </row>
    <row r="40" spans="1:5" x14ac:dyDescent="0.35">
      <c r="A40" s="4" t="s">
        <v>77</v>
      </c>
      <c r="B40" s="5">
        <v>13.6</v>
      </c>
      <c r="C40" s="6">
        <v>5.5</v>
      </c>
      <c r="D40" s="7">
        <v>90.140446325387984</v>
      </c>
      <c r="E40" s="8">
        <v>287.60000000000002</v>
      </c>
    </row>
    <row r="41" spans="1:5" x14ac:dyDescent="0.35">
      <c r="A41" s="4" t="s">
        <v>78</v>
      </c>
      <c r="B41" s="5">
        <v>12.1</v>
      </c>
      <c r="C41" s="6">
        <v>7.6</v>
      </c>
      <c r="D41" s="7">
        <v>85.424563507935517</v>
      </c>
      <c r="E41" s="8">
        <v>416.5</v>
      </c>
    </row>
    <row r="42" spans="1:5" x14ac:dyDescent="0.35">
      <c r="A42" s="4" t="s">
        <v>79</v>
      </c>
      <c r="B42" s="5">
        <v>11.7</v>
      </c>
      <c r="C42" s="6">
        <v>6.1</v>
      </c>
      <c r="D42" s="7">
        <v>88.483880668602993</v>
      </c>
      <c r="E42" s="8">
        <v>227.3</v>
      </c>
    </row>
    <row r="43" spans="1:5" x14ac:dyDescent="0.35">
      <c r="A43" s="4" t="s">
        <v>80</v>
      </c>
      <c r="B43" s="5">
        <v>15.7</v>
      </c>
      <c r="C43" s="6">
        <v>8.4</v>
      </c>
      <c r="D43" s="7">
        <v>68.748136077503446</v>
      </c>
      <c r="E43" s="8">
        <v>788.3</v>
      </c>
    </row>
    <row r="44" spans="1:5" x14ac:dyDescent="0.35">
      <c r="A44" s="4" t="s">
        <v>81</v>
      </c>
      <c r="B44" s="5">
        <v>12.5</v>
      </c>
      <c r="C44" s="6">
        <v>6.9</v>
      </c>
      <c r="D44" s="7">
        <v>88.189790025789804</v>
      </c>
      <c r="E44" s="8">
        <v>169.2</v>
      </c>
    </row>
    <row r="45" spans="1:5" x14ac:dyDescent="0.35">
      <c r="A45" s="4" t="s">
        <v>82</v>
      </c>
      <c r="B45" s="5">
        <v>15.5</v>
      </c>
      <c r="C45" s="6">
        <v>8.6999999999999993</v>
      </c>
      <c r="D45" s="7">
        <v>80.371971305033981</v>
      </c>
      <c r="E45" s="8">
        <v>753.3</v>
      </c>
    </row>
    <row r="46" spans="1:5" x14ac:dyDescent="0.35">
      <c r="A46" s="4" t="s">
        <v>83</v>
      </c>
      <c r="B46" s="5">
        <v>15.8</v>
      </c>
      <c r="C46" s="6">
        <v>6.2</v>
      </c>
      <c r="D46" s="7">
        <v>82.402677784750395</v>
      </c>
      <c r="E46" s="8">
        <v>510.6</v>
      </c>
    </row>
    <row r="47" spans="1:5" x14ac:dyDescent="0.35">
      <c r="A47" s="4" t="s">
        <v>84</v>
      </c>
      <c r="B47" s="5">
        <v>9.6</v>
      </c>
      <c r="C47" s="6">
        <v>5.0999999999999996</v>
      </c>
      <c r="D47" s="7">
        <v>92.915461931338129</v>
      </c>
      <c r="E47" s="8">
        <v>234.8</v>
      </c>
    </row>
    <row r="48" spans="1:5" x14ac:dyDescent="0.35">
      <c r="A48" s="4" t="s">
        <v>85</v>
      </c>
      <c r="B48" s="5">
        <v>10.6</v>
      </c>
      <c r="C48" s="6">
        <v>5.5</v>
      </c>
      <c r="D48" s="7">
        <v>96.408807764739961</v>
      </c>
      <c r="E48" s="8">
        <v>124.3</v>
      </c>
    </row>
    <row r="49" spans="1:5" x14ac:dyDescent="0.35">
      <c r="A49" s="4" t="s">
        <v>86</v>
      </c>
      <c r="B49" s="5">
        <v>10.199999999999999</v>
      </c>
      <c r="C49" s="6">
        <v>7.1</v>
      </c>
      <c r="D49" s="7">
        <v>73.031896017666924</v>
      </c>
      <c r="E49" s="8">
        <v>269.7</v>
      </c>
    </row>
    <row r="50" spans="1:5" x14ac:dyDescent="0.35">
      <c r="A50" s="4" t="s">
        <v>87</v>
      </c>
      <c r="B50" s="5">
        <v>11.3</v>
      </c>
      <c r="C50" s="6">
        <v>4.7</v>
      </c>
      <c r="D50" s="7">
        <v>84.290902250404002</v>
      </c>
      <c r="E50" s="8">
        <v>333.1</v>
      </c>
    </row>
    <row r="51" spans="1:5" x14ac:dyDescent="0.35">
      <c r="A51" s="4" t="s">
        <v>88</v>
      </c>
      <c r="B51" s="24">
        <v>17</v>
      </c>
      <c r="C51" s="6">
        <v>7.4</v>
      </c>
      <c r="D51" s="7">
        <v>94.524786328554711</v>
      </c>
      <c r="E51" s="8">
        <v>275.2</v>
      </c>
    </row>
    <row r="52" spans="1:5" x14ac:dyDescent="0.35">
      <c r="A52" s="4" t="s">
        <v>89</v>
      </c>
      <c r="B52" s="5">
        <v>10.4</v>
      </c>
      <c r="C52" s="6">
        <v>6.4</v>
      </c>
      <c r="D52" s="7">
        <v>89.673695670212709</v>
      </c>
      <c r="E52" s="8">
        <v>290.89999999999998</v>
      </c>
    </row>
    <row r="53" spans="1:5" x14ac:dyDescent="0.35">
      <c r="A53" s="25" t="s">
        <v>90</v>
      </c>
      <c r="B53" s="26">
        <v>9.4</v>
      </c>
      <c r="C53" s="27">
        <v>7</v>
      </c>
      <c r="D53" s="28">
        <v>93.867286940458214</v>
      </c>
      <c r="E53" s="29">
        <v>239.3</v>
      </c>
    </row>
    <row r="54" spans="1:5" x14ac:dyDescent="0.35">
      <c r="A54" s="4"/>
      <c r="B54" s="4"/>
      <c r="C54" s="4"/>
      <c r="D54" s="4"/>
      <c r="E54" s="4"/>
    </row>
    <row r="55" spans="1:5" x14ac:dyDescent="0.35">
      <c r="A55" s="4" t="s">
        <v>91</v>
      </c>
      <c r="B55" s="4"/>
      <c r="C55" s="4"/>
      <c r="D55" s="4"/>
      <c r="E55" s="4"/>
    </row>
    <row r="56" spans="1:5" x14ac:dyDescent="0.35">
      <c r="A56" s="4" t="s">
        <v>92</v>
      </c>
      <c r="B56" s="4"/>
      <c r="C56" s="4"/>
      <c r="D56" s="4"/>
      <c r="E56" s="4"/>
    </row>
    <row r="57" spans="1:5" x14ac:dyDescent="0.35">
      <c r="A57" s="4" t="s">
        <v>93</v>
      </c>
      <c r="B57" s="4"/>
      <c r="C57" s="4"/>
      <c r="D57" s="4"/>
      <c r="E57" s="4"/>
    </row>
    <row r="58" spans="1:5" x14ac:dyDescent="0.35">
      <c r="A58" s="4" t="s">
        <v>94</v>
      </c>
      <c r="B58" s="4"/>
      <c r="C58" s="4"/>
      <c r="D58" s="4"/>
      <c r="E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D034-2B02-49D2-A25C-86BFEEA4971D}">
  <sheetPr codeName="Sheet382"/>
  <dimension ref="A1:Q23"/>
  <sheetViews>
    <sheetView workbookViewId="0"/>
  </sheetViews>
  <sheetFormatPr defaultRowHeight="14.5" x14ac:dyDescent="0.35"/>
  <cols>
    <col min="1" max="1" width="10.453125" customWidth="1"/>
    <col min="2" max="2" width="10.26953125" customWidth="1"/>
    <col min="4" max="4" width="17.7265625" customWidth="1"/>
    <col min="7" max="9" width="9.26953125" bestFit="1" customWidth="1"/>
    <col min="10" max="10" width="9.26953125" customWidth="1"/>
    <col min="12" max="12" width="9.1796875" customWidth="1"/>
    <col min="16" max="16" width="12" customWidth="1"/>
  </cols>
  <sheetData>
    <row r="1" spans="1:17" x14ac:dyDescent="0.35">
      <c r="A1" s="1" t="s">
        <v>95</v>
      </c>
    </row>
    <row r="3" spans="1:17" x14ac:dyDescent="0.35">
      <c r="A3" s="30" t="s">
        <v>96</v>
      </c>
      <c r="B3" s="30" t="s">
        <v>97</v>
      </c>
      <c r="D3" t="s">
        <v>5</v>
      </c>
      <c r="L3" t="s">
        <v>6</v>
      </c>
      <c r="P3" t="s">
        <v>7</v>
      </c>
    </row>
    <row r="4" spans="1:17" x14ac:dyDescent="0.35">
      <c r="A4" s="10">
        <v>5</v>
      </c>
      <c r="B4" s="31">
        <v>80</v>
      </c>
    </row>
    <row r="5" spans="1:17" ht="15" thickBot="1" x14ac:dyDescent="0.4">
      <c r="A5" s="10">
        <v>23</v>
      </c>
      <c r="B5" s="10">
        <v>78</v>
      </c>
      <c r="D5" s="9" t="s">
        <v>10</v>
      </c>
      <c r="E5" s="9"/>
      <c r="G5" t="s">
        <v>11</v>
      </c>
      <c r="M5" s="10" t="s">
        <v>12</v>
      </c>
      <c r="N5" s="10" t="s">
        <v>13</v>
      </c>
    </row>
    <row r="6" spans="1:17" ht="15" thickTop="1" x14ac:dyDescent="0.35">
      <c r="A6" s="10">
        <v>25</v>
      </c>
      <c r="B6" s="10">
        <v>60</v>
      </c>
      <c r="D6" t="s">
        <v>15</v>
      </c>
      <c r="E6" t="e">
        <f ca="1">SQRT(E7)</f>
        <v>#NAME?</v>
      </c>
      <c r="G6" s="11" t="e">
        <f t="array" aca="1" ref="G6:H7" ca="1">CORE(A4:A18)</f>
        <v>#NAME?</v>
      </c>
      <c r="H6" s="13" t="e">
        <f ca="1"/>
        <v>#NAME?</v>
      </c>
      <c r="L6" t="s">
        <v>16</v>
      </c>
      <c r="M6" s="11">
        <v>0.05</v>
      </c>
      <c r="N6" s="13">
        <f>M6</f>
        <v>0.05</v>
      </c>
      <c r="P6" t="e">
        <f t="array" aca="1" ref="P6:Q12" ca="1">RegPred(L20,A4:A18,B4:B18,TRUE)</f>
        <v>#NAME?</v>
      </c>
      <c r="Q6" s="19" t="e">
        <f ca="1"/>
        <v>#NAME?</v>
      </c>
    </row>
    <row r="7" spans="1:17" x14ac:dyDescent="0.35">
      <c r="A7" s="10">
        <v>48</v>
      </c>
      <c r="B7" s="10">
        <v>53</v>
      </c>
      <c r="D7" t="s">
        <v>18</v>
      </c>
      <c r="E7" t="e">
        <f ca="1">F14/F16</f>
        <v>#NAME?</v>
      </c>
      <c r="G7" s="16" t="e">
        <f ca="1"/>
        <v>#NAME?</v>
      </c>
      <c r="H7" s="18" t="e">
        <f ca="1"/>
        <v>#NAME?</v>
      </c>
      <c r="L7" t="s">
        <v>19</v>
      </c>
      <c r="M7" s="14" t="e">
        <f ca="1">SUMPRODUCT(E19:E20,L19:L20)</f>
        <v>#NAME?</v>
      </c>
      <c r="N7" s="15" t="e">
        <f ca="1">M7</f>
        <v>#NAME?</v>
      </c>
      <c r="P7" t="e">
        <f ca="1"/>
        <v>#NAME?</v>
      </c>
      <c r="Q7" s="20" t="e">
        <f ca="1"/>
        <v>#NAME?</v>
      </c>
    </row>
    <row r="8" spans="1:17" x14ac:dyDescent="0.35">
      <c r="A8" s="10">
        <v>17</v>
      </c>
      <c r="B8" s="10">
        <v>85</v>
      </c>
      <c r="D8" t="s">
        <v>21</v>
      </c>
      <c r="E8" t="e">
        <f ca="1">1-(1-E7)*(E10-1)/(E10-E14-1)</f>
        <v>#NAME?</v>
      </c>
      <c r="L8" t="s">
        <v>22</v>
      </c>
      <c r="M8" s="14" t="e">
        <f ca="1">G15</f>
        <v>#NAME?</v>
      </c>
      <c r="N8" s="15" t="e">
        <f ca="1">M8</f>
        <v>#NAME?</v>
      </c>
      <c r="P8" t="e">
        <f ca="1"/>
        <v>#NAME?</v>
      </c>
      <c r="Q8" s="20" t="e">
        <f ca="1"/>
        <v>#NAME?</v>
      </c>
    </row>
    <row r="9" spans="1:17" x14ac:dyDescent="0.35">
      <c r="A9" s="10">
        <v>8</v>
      </c>
      <c r="B9" s="10">
        <v>84</v>
      </c>
      <c r="D9" t="s">
        <v>24</v>
      </c>
      <c r="E9" t="e">
        <f ca="1">SQRT(G15)</f>
        <v>#NAME?</v>
      </c>
      <c r="L9" t="s">
        <v>25</v>
      </c>
      <c r="M9" s="14">
        <f>E15</f>
        <v>13</v>
      </c>
      <c r="N9" s="15">
        <f>M9</f>
        <v>13</v>
      </c>
      <c r="P9" t="e">
        <f ca="1"/>
        <v>#NAME?</v>
      </c>
      <c r="Q9" s="20" t="e">
        <f ca="1"/>
        <v>#NAME?</v>
      </c>
    </row>
    <row r="10" spans="1:17" x14ac:dyDescent="0.35">
      <c r="A10" s="10">
        <v>4</v>
      </c>
      <c r="B10" s="10">
        <v>73</v>
      </c>
      <c r="D10" s="17" t="s">
        <v>27</v>
      </c>
      <c r="E10" s="17">
        <f>COUNT(B4:B18)</f>
        <v>15</v>
      </c>
      <c r="L10" t="s">
        <v>28</v>
      </c>
      <c r="M10" s="14">
        <f>TINV(M6,M9)</f>
        <v>2.1603686564627926</v>
      </c>
      <c r="N10" s="15">
        <f>M10</f>
        <v>2.1603686564627926</v>
      </c>
      <c r="P10" t="e">
        <f ca="1"/>
        <v>#NAME?</v>
      </c>
      <c r="Q10" s="20" t="e">
        <f ca="1"/>
        <v>#NAME?</v>
      </c>
    </row>
    <row r="11" spans="1:17" x14ac:dyDescent="0.35">
      <c r="A11" s="10">
        <v>26</v>
      </c>
      <c r="B11" s="10">
        <v>79</v>
      </c>
      <c r="L11" t="s">
        <v>30</v>
      </c>
      <c r="M11" s="14" t="e">
        <f t="array" aca="1" ref="M11" ca="1">SQRT(M8*MMULT(TRANSPOSE(L19:L20),MMULT(G6:H7,L19:L20)))</f>
        <v>#NAME?</v>
      </c>
      <c r="N11" s="15" t="e">
        <f t="array" aca="1" ref="N11" ca="1">SQRT(M8*(1+MMULT(TRANSPOSE(L19:L20),MMULT(G6:H7,L19:L20))))</f>
        <v>#NAME?</v>
      </c>
      <c r="P11" t="e">
        <f ca="1"/>
        <v>#NAME?</v>
      </c>
      <c r="Q11" s="20" t="e">
        <f ca="1"/>
        <v>#NAME?</v>
      </c>
    </row>
    <row r="12" spans="1:17" ht="15" thickBot="1" x14ac:dyDescent="0.4">
      <c r="A12" s="10">
        <v>11</v>
      </c>
      <c r="B12" s="10">
        <v>81</v>
      </c>
      <c r="D12" t="s">
        <v>32</v>
      </c>
      <c r="H12" s="10" t="s">
        <v>33</v>
      </c>
      <c r="I12" s="10">
        <v>0.05</v>
      </c>
      <c r="L12" t="s">
        <v>34</v>
      </c>
      <c r="M12" s="14" t="e">
        <f ca="1">M7-M11*M10</f>
        <v>#NAME?</v>
      </c>
      <c r="N12" s="15" t="e">
        <f ca="1">N7-N11*N10</f>
        <v>#NAME?</v>
      </c>
      <c r="P12" t="e">
        <f ca="1"/>
        <v>#NAME?</v>
      </c>
      <c r="Q12" s="21" t="e">
        <f ca="1"/>
        <v>#NAME?</v>
      </c>
    </row>
    <row r="13" spans="1:17" ht="15" thickTop="1" x14ac:dyDescent="0.35">
      <c r="A13" s="10">
        <v>19</v>
      </c>
      <c r="B13" s="10">
        <v>75</v>
      </c>
      <c r="D13" s="23"/>
      <c r="E13" s="23" t="s">
        <v>36</v>
      </c>
      <c r="F13" s="23" t="s">
        <v>37</v>
      </c>
      <c r="G13" s="23" t="s">
        <v>38</v>
      </c>
      <c r="H13" s="23" t="s">
        <v>39</v>
      </c>
      <c r="I13" s="23" t="s">
        <v>40</v>
      </c>
      <c r="J13" s="23" t="s">
        <v>41</v>
      </c>
      <c r="L13" t="s">
        <v>42</v>
      </c>
      <c r="M13" s="16" t="e">
        <f ca="1">M7+M11*M10</f>
        <v>#NAME?</v>
      </c>
      <c r="N13" s="18" t="e">
        <f ca="1">N7+N11*N10</f>
        <v>#NAME?</v>
      </c>
    </row>
    <row r="14" spans="1:17" x14ac:dyDescent="0.35">
      <c r="A14" s="10">
        <v>14</v>
      </c>
      <c r="B14" s="10">
        <v>68</v>
      </c>
      <c r="D14" t="s">
        <v>44</v>
      </c>
      <c r="E14">
        <f>COUNT(A4)</f>
        <v>1</v>
      </c>
      <c r="F14" t="e">
        <f ca="1">DEVSQ(MMULT(DEsign(A4:A18),E19:E20))</f>
        <v>#NAME?</v>
      </c>
      <c r="G14" t="e">
        <f ca="1">F14/E14</f>
        <v>#NAME?</v>
      </c>
      <c r="H14" t="e">
        <f ca="1">G14/G15</f>
        <v>#NAME?</v>
      </c>
      <c r="I14" t="e">
        <f ca="1">FDIST(H14,E14,E15)</f>
        <v>#NAME?</v>
      </c>
      <c r="J14" s="10" t="e">
        <f ca="1">IF(I14&lt;I12,"yes","no")</f>
        <v>#NAME?</v>
      </c>
    </row>
    <row r="15" spans="1:17" x14ac:dyDescent="0.35">
      <c r="A15" s="10">
        <v>35</v>
      </c>
      <c r="B15" s="10">
        <v>72</v>
      </c>
      <c r="D15" t="s">
        <v>46</v>
      </c>
      <c r="E15">
        <f>E16-E14</f>
        <v>13</v>
      </c>
      <c r="F15" t="e">
        <f ca="1">F16-F14</f>
        <v>#NAME?</v>
      </c>
      <c r="G15" t="e">
        <f ca="1">F15/E15</f>
        <v>#NAME?</v>
      </c>
    </row>
    <row r="16" spans="1:17" x14ac:dyDescent="0.35">
      <c r="A16" s="10">
        <v>29</v>
      </c>
      <c r="B16" s="10">
        <v>58</v>
      </c>
      <c r="D16" s="17" t="s">
        <v>48</v>
      </c>
      <c r="E16" s="17">
        <f>E10-1</f>
        <v>14</v>
      </c>
      <c r="F16" s="17">
        <f>DEVSQ(B4:B18)</f>
        <v>1683.7333333333333</v>
      </c>
      <c r="G16" s="17"/>
      <c r="H16" s="17"/>
      <c r="I16" s="17"/>
      <c r="J16" s="17"/>
    </row>
    <row r="17" spans="1:12" ht="15" thickBot="1" x14ac:dyDescent="0.4">
      <c r="A17" s="10">
        <v>4</v>
      </c>
      <c r="B17" s="10">
        <v>92</v>
      </c>
    </row>
    <row r="18" spans="1:12" ht="15" thickTop="1" x14ac:dyDescent="0.35">
      <c r="A18" s="32">
        <v>23</v>
      </c>
      <c r="B18" s="32">
        <v>65</v>
      </c>
      <c r="D18" s="23"/>
      <c r="E18" s="23" t="s">
        <v>51</v>
      </c>
      <c r="F18" s="23" t="s">
        <v>52</v>
      </c>
      <c r="G18" s="23" t="s">
        <v>53</v>
      </c>
      <c r="H18" s="23" t="s">
        <v>40</v>
      </c>
      <c r="I18" s="23" t="s">
        <v>34</v>
      </c>
      <c r="J18" s="23" t="s">
        <v>42</v>
      </c>
      <c r="L18" s="23" t="s">
        <v>54</v>
      </c>
    </row>
    <row r="19" spans="1:12" x14ac:dyDescent="0.35">
      <c r="D19" t="s">
        <v>56</v>
      </c>
      <c r="E19" t="e">
        <f t="array" aca="1" ref="E19:F20" ca="1">RegCoeff(A4:A18,B4:B18)</f>
        <v>#NAME?</v>
      </c>
      <c r="F19" t="e">
        <f ca="1"/>
        <v>#NAME?</v>
      </c>
      <c r="G19" t="e">
        <f ca="1">E19/F19</f>
        <v>#NAME?</v>
      </c>
      <c r="H19" t="e">
        <f ca="1">TDIST(ABS(G19),$E$15,2)</f>
        <v>#NAME?</v>
      </c>
      <c r="I19" t="e">
        <f ca="1">E19-TINV(I$12,$E$15)*F19</f>
        <v>#NAME?</v>
      </c>
      <c r="J19" t="e">
        <f ca="1">E19+TINV(I$12,$E$15)*F19</f>
        <v>#NAME?</v>
      </c>
      <c r="L19">
        <v>1</v>
      </c>
    </row>
    <row r="20" spans="1:12" x14ac:dyDescent="0.35">
      <c r="D20" s="17" t="str">
        <f t="array" ref="D20">TRANSPOSE(A3)</f>
        <v>Cig (x)</v>
      </c>
      <c r="E20" s="17" t="e">
        <f ca="1"/>
        <v>#NAME?</v>
      </c>
      <c r="F20" s="17" t="e">
        <f ca="1"/>
        <v>#NAME?</v>
      </c>
      <c r="G20" s="17" t="e">
        <f ca="1">E20/F20</f>
        <v>#NAME?</v>
      </c>
      <c r="H20" s="17" t="e">
        <f ca="1">TDIST(ABS(G20),$E$15,2)</f>
        <v>#NAME?</v>
      </c>
      <c r="I20" s="17" t="e">
        <f ca="1">E20-TINV(I$12,$E$15)*F20</f>
        <v>#NAME?</v>
      </c>
      <c r="J20" s="17" t="e">
        <f ca="1">E20+TINV(I$12,$E$15)*F20</f>
        <v>#NAME?</v>
      </c>
      <c r="L20" s="17">
        <v>20</v>
      </c>
    </row>
    <row r="23" spans="1:12" x14ac:dyDescent="0.35">
      <c r="K2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</vt:lpstr>
      <vt:lpstr>Extra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2023-03-31T08:27:40Z</dcterms:created>
  <dcterms:modified xsi:type="dcterms:W3CDTF">2023-03-31T08:30:52Z</dcterms:modified>
</cp:coreProperties>
</file>