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2B94DCD4-C69E-473C-B63B-7609D322FD45}" xr6:coauthVersionLast="47" xr6:coauthVersionMax="47" xr10:uidLastSave="{00000000-0000-0000-0000-000000000000}"/>
  <bookViews>
    <workbookView xWindow="-110" yWindow="-110" windowWidth="19420" windowHeight="10300" xr2:uid="{37097FE5-10B0-4790-8A29-F417D330A313}"/>
  </bookViews>
  <sheets>
    <sheet name="Title" sheetId="4" r:id="rId1"/>
    <sheet name="Norm" sheetId="2" r:id="rId2"/>
    <sheet name="Norm 1" sheetId="3" r:id="rId3"/>
    <sheet name="CI Med Approx" sheetId="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5" i="1" l="1"/>
  <c r="Q14" i="1"/>
  <c r="R14" i="3"/>
  <c r="R14" i="3" a="1"/>
  <c r="Q14" i="3"/>
  <c r="Q14" i="3" a="1"/>
  <c r="P14" i="3" a="1"/>
  <c r="P14" i="3" s="1"/>
  <c r="R13" i="3" a="1"/>
  <c r="R13" i="3" s="1"/>
  <c r="Q13" i="3"/>
  <c r="Q13" i="3" a="1"/>
  <c r="P13" i="3"/>
  <c r="P13" i="3" a="1"/>
  <c r="R14" i="2" a="1"/>
  <c r="R14" i="2" s="1"/>
  <c r="Q14" i="2" a="1"/>
  <c r="Q14" i="2" s="1"/>
  <c r="P14" i="2"/>
  <c r="P14" i="2" a="1"/>
  <c r="R13" i="2"/>
  <c r="R13" i="2" a="1"/>
  <c r="Q13" i="2" a="1"/>
  <c r="Q13" i="2" s="1"/>
  <c r="P13" i="2" a="1"/>
  <c r="P13" i="2" s="1"/>
  <c r="Q9" i="3" l="1"/>
  <c r="Q8" i="3"/>
  <c r="I7" i="3"/>
  <c r="I8" i="3" s="1"/>
  <c r="I5" i="3"/>
  <c r="U7" i="3" s="1"/>
  <c r="Q4" i="3"/>
  <c r="L4" i="3"/>
  <c r="K4" i="3"/>
  <c r="K5" i="3" s="1"/>
  <c r="K6" i="3" s="1"/>
  <c r="K7" i="3" s="1"/>
  <c r="K8" i="3" s="1"/>
  <c r="K9" i="3" s="1"/>
  <c r="K10" i="3" s="1"/>
  <c r="Q3" i="3"/>
  <c r="I3" i="3"/>
  <c r="R9" i="2"/>
  <c r="R10" i="2" s="1"/>
  <c r="Q9" i="2"/>
  <c r="I9" i="2"/>
  <c r="R3" i="2" s="1"/>
  <c r="R8" i="2"/>
  <c r="Q8" i="2"/>
  <c r="I8" i="2"/>
  <c r="U7" i="2"/>
  <c r="W7" i="2" s="1"/>
  <c r="L7" i="2"/>
  <c r="L8" i="2" s="1"/>
  <c r="I7" i="2"/>
  <c r="L6" i="2"/>
  <c r="M6" i="2" s="1"/>
  <c r="K6" i="2"/>
  <c r="K7" i="2" s="1"/>
  <c r="K8" i="2" s="1"/>
  <c r="K9" i="2" s="1"/>
  <c r="K10" i="2" s="1"/>
  <c r="L5" i="2"/>
  <c r="M5" i="2" s="1"/>
  <c r="K5" i="2"/>
  <c r="I5" i="2"/>
  <c r="U6" i="2" s="1"/>
  <c r="R4" i="2"/>
  <c r="R5" i="2" s="1"/>
  <c r="Q4" i="2"/>
  <c r="M4" i="2"/>
  <c r="L4" i="2"/>
  <c r="K4" i="2"/>
  <c r="Q3" i="2"/>
  <c r="M3" i="2"/>
  <c r="I3" i="2"/>
  <c r="I8" i="1"/>
  <c r="I7" i="1"/>
  <c r="M3" i="1" s="1"/>
  <c r="T5" i="1"/>
  <c r="T6" i="1" s="1"/>
  <c r="T7" i="1" s="1"/>
  <c r="T8" i="1" s="1"/>
  <c r="T9" i="1" s="1"/>
  <c r="T10" i="1" s="1"/>
  <c r="T11" i="1" s="1"/>
  <c r="T12" i="1" s="1"/>
  <c r="I5" i="1"/>
  <c r="Y4" i="1"/>
  <c r="Y5" i="1" s="1"/>
  <c r="X4" i="1"/>
  <c r="X5" i="1" s="1"/>
  <c r="X6" i="1" s="1"/>
  <c r="X7" i="1" s="1"/>
  <c r="X8" i="1" s="1"/>
  <c r="X9" i="1" s="1"/>
  <c r="X10" i="1" s="1"/>
  <c r="X11" i="1" s="1"/>
  <c r="X12" i="1" s="1"/>
  <c r="U4" i="1"/>
  <c r="V4" i="1" s="1"/>
  <c r="T4" i="1"/>
  <c r="L4" i="1"/>
  <c r="L5" i="1" s="1"/>
  <c r="K4" i="1"/>
  <c r="K5" i="1" s="1"/>
  <c r="K6" i="1" s="1"/>
  <c r="K7" i="1" s="1"/>
  <c r="Z3" i="1"/>
  <c r="V3" i="1"/>
  <c r="I3" i="1"/>
  <c r="R15" i="2" l="1"/>
  <c r="P8" i="1"/>
  <c r="Q8" i="1" s="1"/>
  <c r="R8" i="1"/>
  <c r="K8" i="1"/>
  <c r="M8" i="2"/>
  <c r="L9" i="2"/>
  <c r="L6" i="1"/>
  <c r="M5" i="1"/>
  <c r="V7" i="2"/>
  <c r="V6" i="2"/>
  <c r="W6" i="2"/>
  <c r="W8" i="2" s="1"/>
  <c r="Y6" i="1"/>
  <c r="Z5" i="1"/>
  <c r="V7" i="3"/>
  <c r="I9" i="3"/>
  <c r="M4" i="3" s="1"/>
  <c r="M7" i="2"/>
  <c r="U5" i="1"/>
  <c r="Z4" i="1"/>
  <c r="U6" i="3"/>
  <c r="M4" i="1"/>
  <c r="L5" i="3"/>
  <c r="L10" i="2" l="1"/>
  <c r="M10" i="2" s="1"/>
  <c r="M9" i="2"/>
  <c r="R3" i="3"/>
  <c r="R4" i="3"/>
  <c r="R5" i="3" s="1"/>
  <c r="R8" i="3"/>
  <c r="U6" i="1"/>
  <c r="V5" i="1"/>
  <c r="Y7" i="1"/>
  <c r="Z6" i="1"/>
  <c r="M5" i="3"/>
  <c r="L6" i="3"/>
  <c r="R9" i="3"/>
  <c r="R10" i="3" s="1"/>
  <c r="R3" i="1"/>
  <c r="P3" i="1"/>
  <c r="Q3" i="1" s="1"/>
  <c r="K9" i="1"/>
  <c r="K10" i="1" s="1"/>
  <c r="K11" i="1" s="1"/>
  <c r="K12" i="1" s="1"/>
  <c r="W6" i="3"/>
  <c r="V6" i="3"/>
  <c r="W7" i="3"/>
  <c r="W8" i="3" s="1"/>
  <c r="M3" i="3"/>
  <c r="M6" i="1"/>
  <c r="L7" i="1"/>
  <c r="R15" i="3" l="1"/>
  <c r="U7" i="1"/>
  <c r="V6" i="1"/>
  <c r="M6" i="3"/>
  <c r="L7" i="3"/>
  <c r="Z7" i="1"/>
  <c r="Y8" i="1"/>
  <c r="L8" i="1"/>
  <c r="R9" i="1"/>
  <c r="R10" i="1" s="1"/>
  <c r="M7" i="1"/>
  <c r="P9" i="1"/>
  <c r="Q9" i="1" s="1"/>
  <c r="Z8" i="1" l="1"/>
  <c r="Y9" i="1"/>
  <c r="L8" i="3"/>
  <c r="M7" i="3"/>
  <c r="V7" i="1"/>
  <c r="U8" i="1"/>
  <c r="M8" i="1"/>
  <c r="R4" i="1"/>
  <c r="R5" i="1" s="1"/>
  <c r="P4" i="1"/>
  <c r="Q4" i="1" s="1"/>
  <c r="L9" i="1"/>
  <c r="U9" i="1" l="1"/>
  <c r="V8" i="1"/>
  <c r="M8" i="3"/>
  <c r="L9" i="3"/>
  <c r="M9" i="1"/>
  <c r="L10" i="1"/>
  <c r="Y10" i="1"/>
  <c r="Z9" i="1"/>
  <c r="L11" i="1" l="1"/>
  <c r="M10" i="1"/>
  <c r="V9" i="1"/>
  <c r="U10" i="1"/>
  <c r="Y11" i="1"/>
  <c r="Z10" i="1"/>
  <c r="M9" i="3"/>
  <c r="L10" i="3"/>
  <c r="M10" i="3" s="1"/>
  <c r="L12" i="1" l="1"/>
  <c r="M12" i="1" s="1"/>
  <c r="M11" i="1"/>
  <c r="Y12" i="1"/>
  <c r="Z12" i="1" s="1"/>
  <c r="Z11" i="1"/>
  <c r="U11" i="1"/>
  <c r="V10" i="1"/>
  <c r="U12" i="1" l="1"/>
  <c r="V12" i="1" s="1"/>
  <c r="V11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<sst xmlns="http://schemas.openxmlformats.org/spreadsheetml/2006/main" count="89" uniqueCount="20">
  <si>
    <t>Confidence Interval for the Median</t>
  </si>
  <si>
    <t>lower</t>
  </si>
  <si>
    <t>upper</t>
  </si>
  <si>
    <t>size</t>
  </si>
  <si>
    <t>k</t>
  </si>
  <si>
    <t>x</t>
  </si>
  <si>
    <t>F(x)</t>
  </si>
  <si>
    <t>median</t>
  </si>
  <si>
    <t>order</t>
  </si>
  <si>
    <t>n</t>
  </si>
  <si>
    <t>p</t>
  </si>
  <si>
    <t>Interpolation</t>
  </si>
  <si>
    <t>Confidence Interval for 60% percentile</t>
  </si>
  <si>
    <t>offset</t>
  </si>
  <si>
    <t>mean</t>
  </si>
  <si>
    <t>stdev</t>
  </si>
  <si>
    <t>Real Statistics Using Excel</t>
  </si>
  <si>
    <t>Updated</t>
  </si>
  <si>
    <t>Copyright © 2013 - 2023 Charles Zaiontz</t>
  </si>
  <si>
    <t>Normal Confidence Intervals for Percentiles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</si>
</sst>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8" xfId="0" applyBorder="1"/>
    <xf numFmtId="0" fontId="0" fillId="0" borderId="9" xfId="0" applyBorder="1"/>
    <xf numFmtId="2" fontId="0" fillId="0" borderId="2" xfId="0" applyNumberFormat="1" applyBorder="1"/>
    <xf numFmtId="2" fontId="0" fillId="0" borderId="3" xfId="0" applyNumberFormat="1" applyBorder="1"/>
    <xf numFmtId="2" fontId="0" fillId="0" borderId="4" xfId="0" applyNumberFormat="1" applyBorder="1"/>
    <xf numFmtId="9" fontId="0" fillId="0" borderId="0" xfId="0" applyNumberFormat="1" applyAlignment="1">
      <alignment horizontal="left"/>
    </xf>
    <xf numFmtId="2" fontId="0" fillId="0" borderId="6" xfId="0" applyNumberFormat="1" applyBorder="1"/>
    <xf numFmtId="2" fontId="0" fillId="0" borderId="0" xfId="0" applyNumberFormat="1"/>
    <xf numFmtId="2" fontId="0" fillId="0" borderId="7" xfId="0" applyNumberFormat="1" applyBorder="1"/>
    <xf numFmtId="0" fontId="0" fillId="0" borderId="13" xfId="0" applyBorder="1"/>
    <xf numFmtId="2" fontId="0" fillId="0" borderId="8" xfId="0" applyNumberFormat="1" applyBorder="1"/>
    <xf numFmtId="2" fontId="0" fillId="0" borderId="9" xfId="0" applyNumberFormat="1" applyBorder="1"/>
    <xf numFmtId="2" fontId="0" fillId="0" borderId="10" xfId="0" applyNumberFormat="1" applyBorder="1"/>
    <xf numFmtId="0" fontId="0" fillId="0" borderId="4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0" xfId="0" applyAlignment="1">
      <alignment horizontal="right"/>
    </xf>
    <xf numFmtId="15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7BB6A-C576-4F58-ACBA-3FA401042680}">
  <sheetPr codeName="Sheet1"/>
  <dimension ref="A1:B6"/>
  <sheetViews>
    <sheetView tabSelected="1" workbookViewId="0"/>
  </sheetViews>
  <sheetFormatPr defaultRowHeight="14.5" x14ac:dyDescent="0.35"/>
  <cols>
    <col min="2" max="2" width="9.7265625" bestFit="1" customWidth="1"/>
  </cols>
  <sheetData>
    <row r="1" spans="1:2" x14ac:dyDescent="0.35">
      <c r="A1" t="s">
        <v>16</v>
      </c>
    </row>
    <row r="2" spans="1:2" x14ac:dyDescent="0.35">
      <c r="A2" t="s">
        <v>19</v>
      </c>
    </row>
    <row r="4" spans="1:2" x14ac:dyDescent="0.35">
      <c r="A4" t="s">
        <v>17</v>
      </c>
      <c r="B4" s="33">
        <v>45067</v>
      </c>
    </row>
    <row r="6" spans="1:2" x14ac:dyDescent="0.35">
      <c r="A6" s="34" t="s">
        <v>18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212B8-BB0C-4070-B64B-3A950B793826}">
  <sheetPr codeName="Sheet2"/>
  <dimension ref="B1:W15"/>
  <sheetViews>
    <sheetView workbookViewId="0"/>
  </sheetViews>
  <sheetFormatPr defaultRowHeight="14.5" x14ac:dyDescent="0.35"/>
  <cols>
    <col min="1" max="1" width="2.81640625" customWidth="1"/>
    <col min="2" max="6" width="6.6328125" customWidth="1"/>
    <col min="7" max="7" width="3.6328125" customWidth="1"/>
    <col min="8" max="8" width="7.26953125" customWidth="1"/>
    <col min="9" max="9" width="6.6328125" customWidth="1"/>
    <col min="10" max="10" width="3.6328125" customWidth="1"/>
    <col min="11" max="12" width="5.6328125" customWidth="1"/>
    <col min="14" max="14" width="3.6328125" customWidth="1"/>
    <col min="15" max="17" width="6.6328125" customWidth="1"/>
  </cols>
  <sheetData>
    <row r="1" spans="2:23" x14ac:dyDescent="0.35">
      <c r="B1" s="1" t="s">
        <v>12</v>
      </c>
    </row>
    <row r="2" spans="2:23" x14ac:dyDescent="0.35">
      <c r="K2" s="2" t="s">
        <v>1</v>
      </c>
      <c r="L2" s="2" t="s">
        <v>2</v>
      </c>
      <c r="M2" s="2" t="s">
        <v>3</v>
      </c>
      <c r="P2" s="3" t="s">
        <v>4</v>
      </c>
      <c r="Q2" s="3" t="s">
        <v>5</v>
      </c>
      <c r="R2" s="3" t="s">
        <v>6</v>
      </c>
    </row>
    <row r="3" spans="2:23" x14ac:dyDescent="0.35">
      <c r="B3" s="19">
        <v>31.67</v>
      </c>
      <c r="C3" s="20">
        <v>33.51</v>
      </c>
      <c r="D3" s="20">
        <v>11.39</v>
      </c>
      <c r="E3" s="20">
        <v>22.75</v>
      </c>
      <c r="F3" s="21">
        <v>32.56</v>
      </c>
      <c r="H3" s="22">
        <v>0.6</v>
      </c>
      <c r="I3" s="7">
        <f>_xlfn.PERCENTILE.EXC(B3:F9,0.5)</f>
        <v>19.940000000000001</v>
      </c>
      <c r="K3" s="3">
        <v>21</v>
      </c>
      <c r="L3" s="3">
        <v>22</v>
      </c>
      <c r="M3">
        <f>_xlfn.NORM.DIST(L3-0.5,I$8,I$9,TRUE)-_xlfn.NORM.DIST(K3-0.5,I$8,I$9,TRUE)</f>
        <v>0.1369684226944583</v>
      </c>
      <c r="O3" t="s">
        <v>1</v>
      </c>
      <c r="P3" s="8">
        <v>15</v>
      </c>
      <c r="Q3" s="9">
        <f>SMALL($B$3:$F$9,P3)</f>
        <v>18.170000000000002</v>
      </c>
      <c r="R3" s="6">
        <f>_xlfn.NORM.DIST(P3-0.5,I$8,I$9,TRUE)</f>
        <v>1.2457661701951088E-2</v>
      </c>
      <c r="T3" t="s">
        <v>13</v>
      </c>
      <c r="U3" s="7">
        <v>5</v>
      </c>
    </row>
    <row r="4" spans="2:23" x14ac:dyDescent="0.35">
      <c r="B4" s="23">
        <v>17.850000000000001</v>
      </c>
      <c r="C4" s="24">
        <v>24.58</v>
      </c>
      <c r="D4" s="24">
        <v>6.63</v>
      </c>
      <c r="E4" s="24">
        <v>26.37</v>
      </c>
      <c r="F4" s="25">
        <v>13.3</v>
      </c>
      <c r="K4" s="3">
        <f>K3-1</f>
        <v>20</v>
      </c>
      <c r="L4" s="3">
        <f>L3+1</f>
        <v>23</v>
      </c>
      <c r="M4">
        <f t="shared" ref="M4:M10" si="0">_xlfn.NORM.DIST(L4-0.5,I$8,I$9,TRUE)-_xlfn.NORM.DIST(K4-0.5,I$8,I$9,TRUE)</f>
        <v>0.39522714551409988</v>
      </c>
      <c r="O4" t="s">
        <v>2</v>
      </c>
      <c r="P4" s="12">
        <v>28</v>
      </c>
      <c r="Q4" s="13">
        <f>SMALL($B$3:$F$9,P4)</f>
        <v>31.67</v>
      </c>
      <c r="R4" s="14">
        <f>_xlfn.NORM.DIST(P4-0.5,I$8,I$9,TRUE)</f>
        <v>0.98754233829804894</v>
      </c>
    </row>
    <row r="5" spans="2:23" x14ac:dyDescent="0.35">
      <c r="B5" s="23">
        <v>5.99</v>
      </c>
      <c r="C5" s="24">
        <v>23.76</v>
      </c>
      <c r="D5" s="24">
        <v>26.43</v>
      </c>
      <c r="E5" s="24">
        <v>8.94</v>
      </c>
      <c r="F5" s="25">
        <v>19.940000000000001</v>
      </c>
      <c r="H5" t="s">
        <v>8</v>
      </c>
      <c r="I5" s="7">
        <f>(I7+1)*H3</f>
        <v>21.599999999999998</v>
      </c>
      <c r="K5" s="3">
        <f t="shared" ref="K5:K10" si="1">K4-1</f>
        <v>19</v>
      </c>
      <c r="L5" s="3">
        <f t="shared" ref="L5:L10" si="2">L4+1</f>
        <v>24</v>
      </c>
      <c r="M5">
        <f t="shared" si="0"/>
        <v>0.61163264153724328</v>
      </c>
      <c r="R5">
        <f>R4-R3</f>
        <v>0.97508467659609788</v>
      </c>
      <c r="U5" s="3" t="s">
        <v>4</v>
      </c>
      <c r="V5" s="3" t="s">
        <v>5</v>
      </c>
      <c r="W5" s="3" t="s">
        <v>6</v>
      </c>
    </row>
    <row r="6" spans="2:23" x14ac:dyDescent="0.35">
      <c r="B6" s="23">
        <v>28.7</v>
      </c>
      <c r="C6" s="24">
        <v>3.84</v>
      </c>
      <c r="D6" s="24">
        <v>9.02</v>
      </c>
      <c r="E6" s="24">
        <v>36.51</v>
      </c>
      <c r="F6" s="25">
        <v>36.81</v>
      </c>
      <c r="K6" s="3">
        <f t="shared" si="1"/>
        <v>18</v>
      </c>
      <c r="L6" s="3">
        <f t="shared" si="2"/>
        <v>25</v>
      </c>
      <c r="M6">
        <f t="shared" si="0"/>
        <v>0.77280450889993579</v>
      </c>
      <c r="T6" t="s">
        <v>1</v>
      </c>
      <c r="U6" s="8">
        <f>I5-U3</f>
        <v>16.599999999999998</v>
      </c>
      <c r="V6" s="9">
        <f>SMALL(B3:F9,INT(U6))*(U6-INT(U6))+SMALL(B3:F9,INT(U6)+1)*(1-U6+INT(U6))</f>
        <v>18.502000000000002</v>
      </c>
      <c r="W6" s="6">
        <f>_xlfn.NORM.DIST(U6-0.5,I$8,I$9,TRUE)</f>
        <v>4.5450819758917002E-2</v>
      </c>
    </row>
    <row r="7" spans="2:23" x14ac:dyDescent="0.35">
      <c r="B7" s="23">
        <v>26.22</v>
      </c>
      <c r="C7" s="24">
        <v>26.92</v>
      </c>
      <c r="D7" s="24">
        <v>12.67</v>
      </c>
      <c r="E7" s="24">
        <v>33.89</v>
      </c>
      <c r="F7" s="25">
        <v>10.68</v>
      </c>
      <c r="H7" t="s">
        <v>9</v>
      </c>
      <c r="I7" s="15">
        <f>COUNT(B3:F9)</f>
        <v>35</v>
      </c>
      <c r="K7" s="3">
        <f t="shared" si="1"/>
        <v>17</v>
      </c>
      <c r="L7" s="3">
        <f t="shared" si="2"/>
        <v>26</v>
      </c>
      <c r="M7">
        <f t="shared" si="0"/>
        <v>0.87949263091334573</v>
      </c>
      <c r="P7" s="3" t="s">
        <v>4</v>
      </c>
      <c r="Q7" s="3" t="s">
        <v>5</v>
      </c>
      <c r="R7" s="3" t="s">
        <v>6</v>
      </c>
      <c r="T7" t="s">
        <v>2</v>
      </c>
      <c r="U7" s="12">
        <f>I5+U3</f>
        <v>26.599999999999998</v>
      </c>
      <c r="V7" s="13">
        <f>SMALL(B3:F9,INT(U6))*(U7-INT(U7))+SMALL(B3:F9,INT(U7)+1)*(1-U7+INT(U7))</f>
        <v>22.710000000000022</v>
      </c>
      <c r="W7" s="14">
        <f>_xlfn.NORM.DIST(U7-0.5,I$8,I$9,TRUE)</f>
        <v>0.9607678728672161</v>
      </c>
    </row>
    <row r="8" spans="2:23" x14ac:dyDescent="0.35">
      <c r="B8" s="23">
        <v>18.170000000000002</v>
      </c>
      <c r="C8" s="24">
        <v>32.049999999999997</v>
      </c>
      <c r="D8" s="24">
        <v>15.07</v>
      </c>
      <c r="E8" s="24">
        <v>18.850000000000001</v>
      </c>
      <c r="F8" s="25">
        <v>18.27</v>
      </c>
      <c r="H8" t="s">
        <v>14</v>
      </c>
      <c r="I8" s="26">
        <f>H3*I7</f>
        <v>21</v>
      </c>
      <c r="K8" s="3">
        <f t="shared" si="1"/>
        <v>16</v>
      </c>
      <c r="L8" s="3">
        <f t="shared" si="2"/>
        <v>27</v>
      </c>
      <c r="M8">
        <f t="shared" si="0"/>
        <v>0.94226178923715453</v>
      </c>
      <c r="O8" t="s">
        <v>1</v>
      </c>
      <c r="P8" s="8">
        <v>16</v>
      </c>
      <c r="Q8" s="9">
        <f>SMALL($B$3:$F$9,P8)</f>
        <v>18.27</v>
      </c>
      <c r="R8" s="6">
        <f>_xlfn.NORM.DIST(P8-0.5,I$8,I$9,TRUE)</f>
        <v>2.8869105381422761E-2</v>
      </c>
      <c r="W8">
        <f>W7-W6</f>
        <v>0.91531705310829914</v>
      </c>
    </row>
    <row r="9" spans="2:23" x14ac:dyDescent="0.35">
      <c r="B9" s="27">
        <v>17.02</v>
      </c>
      <c r="C9" s="28">
        <v>37.020000000000003</v>
      </c>
      <c r="D9" s="28">
        <v>9.8800000000000008</v>
      </c>
      <c r="E9" s="28">
        <v>29.37</v>
      </c>
      <c r="F9" s="29">
        <v>13.72</v>
      </c>
      <c r="H9" t="s">
        <v>15</v>
      </c>
      <c r="I9" s="16">
        <f>SQRT(I8*(1-H3))</f>
        <v>2.8982753492378879</v>
      </c>
      <c r="K9" s="3">
        <f t="shared" si="1"/>
        <v>15</v>
      </c>
      <c r="L9" s="3">
        <f t="shared" si="2"/>
        <v>28</v>
      </c>
      <c r="M9">
        <f>_xlfn.NORM.DIST(L9-0.5,I$8,I$9,TRUE)-_xlfn.NORM.DIST(K9-0.5,I$8,I$9,TRUE)</f>
        <v>0.97508467659609788</v>
      </c>
      <c r="O9" t="s">
        <v>2</v>
      </c>
      <c r="P9" s="12">
        <v>27</v>
      </c>
      <c r="Q9" s="13">
        <f>SMALL($B$3:$F$9,P9)</f>
        <v>29.37</v>
      </c>
      <c r="R9" s="14">
        <f>_xlfn.NORM.DIST(P9-0.5,I$8,I$9,TRUE)</f>
        <v>0.97113089461857727</v>
      </c>
    </row>
    <row r="10" spans="2:23" x14ac:dyDescent="0.35">
      <c r="K10" s="13">
        <f t="shared" si="1"/>
        <v>14</v>
      </c>
      <c r="L10" s="13">
        <f t="shared" si="2"/>
        <v>29</v>
      </c>
      <c r="M10">
        <f t="shared" si="0"/>
        <v>0.99033937700251506</v>
      </c>
      <c r="R10">
        <f>R9-R8</f>
        <v>0.94226178923715453</v>
      </c>
    </row>
    <row r="12" spans="2:23" x14ac:dyDescent="0.35">
      <c r="P12" s="3" t="s">
        <v>4</v>
      </c>
      <c r="Q12" s="3" t="s">
        <v>5</v>
      </c>
      <c r="R12" s="3" t="s">
        <v>6</v>
      </c>
    </row>
    <row r="13" spans="2:23" x14ac:dyDescent="0.35">
      <c r="O13" t="s">
        <v>1</v>
      </c>
      <c r="P13" s="8" t="e" cm="1">
        <f t="array" aca="1" ref="P13" ca="1">Interpolate(0.95,R10,R5,P8,P3,0)</f>
        <v>#NAME?</v>
      </c>
      <c r="Q13" s="9" t="e" cm="1">
        <f t="array" aca="1" ref="Q13" ca="1">Interpolate(0.95,R10,R5,Q8,Q3,0)</f>
        <v>#NAME?</v>
      </c>
      <c r="R13" s="30" t="e" cm="1">
        <f t="array" aca="1" ref="R13" ca="1">Interpolate(0.95,R10,R5,R8,R3,0)</f>
        <v>#NAME?</v>
      </c>
    </row>
    <row r="14" spans="2:23" x14ac:dyDescent="0.35">
      <c r="O14" t="s">
        <v>2</v>
      </c>
      <c r="P14" s="12" t="e" cm="1">
        <f t="array" aca="1" ref="P14" ca="1">Interpolate(0.95,R10,R5,P9,P4,0)</f>
        <v>#NAME?</v>
      </c>
      <c r="Q14" s="13" t="e" cm="1">
        <f t="array" aca="1" ref="Q14" ca="1">Interpolate(0.95,R10,R5,Q9,Q4,0)</f>
        <v>#NAME?</v>
      </c>
      <c r="R14" s="31" t="e" cm="1">
        <f t="array" aca="1" ref="R14" ca="1">Interpolate(0.95,R10,R5,R9,R4,0)</f>
        <v>#NAME?</v>
      </c>
    </row>
    <row r="15" spans="2:23" x14ac:dyDescent="0.35">
      <c r="R15" s="32" t="e">
        <f ca="1">R14-R13</f>
        <v>#NAME?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206EC-319A-4EA7-85F3-B012F2314F2A}">
  <sheetPr codeName="Sheet3"/>
  <dimension ref="B1:W15"/>
  <sheetViews>
    <sheetView workbookViewId="0"/>
  </sheetViews>
  <sheetFormatPr defaultRowHeight="14.5" x14ac:dyDescent="0.35"/>
  <cols>
    <col min="1" max="1" width="2.81640625" customWidth="1"/>
    <col min="2" max="6" width="6.6328125" customWidth="1"/>
    <col min="7" max="7" width="3.6328125" customWidth="1"/>
    <col min="8" max="8" width="7.26953125" customWidth="1"/>
    <col min="9" max="9" width="6.6328125" customWidth="1"/>
    <col min="10" max="10" width="3.6328125" customWidth="1"/>
    <col min="11" max="12" width="5.6328125" customWidth="1"/>
    <col min="14" max="14" width="3.6328125" customWidth="1"/>
    <col min="15" max="17" width="6.6328125" customWidth="1"/>
  </cols>
  <sheetData>
    <row r="1" spans="2:23" x14ac:dyDescent="0.35">
      <c r="B1" s="1" t="s">
        <v>12</v>
      </c>
    </row>
    <row r="2" spans="2:23" x14ac:dyDescent="0.35">
      <c r="K2" s="2" t="s">
        <v>1</v>
      </c>
      <c r="L2" s="2" t="s">
        <v>2</v>
      </c>
      <c r="M2" s="2" t="s">
        <v>3</v>
      </c>
      <c r="P2" s="3" t="s">
        <v>4</v>
      </c>
      <c r="Q2" s="3" t="s">
        <v>5</v>
      </c>
      <c r="R2" s="3" t="s">
        <v>6</v>
      </c>
    </row>
    <row r="3" spans="2:23" x14ac:dyDescent="0.35">
      <c r="B3" s="19">
        <v>31.67</v>
      </c>
      <c r="C3" s="20">
        <v>33.51</v>
      </c>
      <c r="D3" s="20">
        <v>11.39</v>
      </c>
      <c r="E3" s="20">
        <v>22.75</v>
      </c>
      <c r="F3" s="21">
        <v>32.56</v>
      </c>
      <c r="H3" s="22">
        <v>0.6</v>
      </c>
      <c r="I3" s="7">
        <f>_xlfn.PERCENTILE.EXC(B3:F9,0.5)</f>
        <v>19.940000000000001</v>
      </c>
      <c r="K3" s="3">
        <v>21</v>
      </c>
      <c r="L3" s="3">
        <v>22</v>
      </c>
      <c r="M3">
        <f>_xlfn.NORM.DIST(L3-0.5,I$8,I$9,TRUE)-_xlfn.NORM.DIST(K3-0.5,I$8,I$9,TRUE)</f>
        <v>0.1369684226944583</v>
      </c>
      <c r="O3" t="s">
        <v>1</v>
      </c>
      <c r="P3" s="8">
        <v>15</v>
      </c>
      <c r="Q3" s="9">
        <f>SMALL($B$3:$F$9,P3)</f>
        <v>18.170000000000002</v>
      </c>
      <c r="R3" s="6">
        <f>_xlfn.NORM.DIST(P3-0.5,I$8,I$9,TRUE)</f>
        <v>1.2457661701951088E-2</v>
      </c>
      <c r="T3" t="s">
        <v>13</v>
      </c>
      <c r="U3" s="7">
        <v>5.6827860957214442</v>
      </c>
    </row>
    <row r="4" spans="2:23" x14ac:dyDescent="0.35">
      <c r="B4" s="23">
        <v>17.850000000000001</v>
      </c>
      <c r="C4" s="24">
        <v>24.58</v>
      </c>
      <c r="D4" s="24">
        <v>6.63</v>
      </c>
      <c r="E4" s="24">
        <v>26.37</v>
      </c>
      <c r="F4" s="25">
        <v>13.3</v>
      </c>
      <c r="K4" s="3">
        <f>K3-1</f>
        <v>20</v>
      </c>
      <c r="L4" s="3">
        <f>L3+1</f>
        <v>23</v>
      </c>
      <c r="M4">
        <f t="shared" ref="M4:M10" si="0">_xlfn.NORM.DIST(L4-0.5,I$8,I$9,TRUE)-_xlfn.NORM.DIST(K4-0.5,I$8,I$9,TRUE)</f>
        <v>0.39522714551409988</v>
      </c>
      <c r="O4" t="s">
        <v>2</v>
      </c>
      <c r="P4" s="12">
        <v>28</v>
      </c>
      <c r="Q4" s="13">
        <f>SMALL($B$3:$F$9,P4)</f>
        <v>31.67</v>
      </c>
      <c r="R4" s="14">
        <f>_xlfn.NORM.DIST(P4-0.5,I$8,I$9,TRUE)</f>
        <v>0.98754233829804894</v>
      </c>
    </row>
    <row r="5" spans="2:23" x14ac:dyDescent="0.35">
      <c r="B5" s="23">
        <v>5.99</v>
      </c>
      <c r="C5" s="24">
        <v>23.76</v>
      </c>
      <c r="D5" s="24">
        <v>26.43</v>
      </c>
      <c r="E5" s="24">
        <v>8.94</v>
      </c>
      <c r="F5" s="25">
        <v>19.940000000000001</v>
      </c>
      <c r="H5" t="s">
        <v>8</v>
      </c>
      <c r="I5" s="7">
        <f>(I7+1)*H3</f>
        <v>21.599999999999998</v>
      </c>
      <c r="K5" s="3">
        <f t="shared" ref="K5:K10" si="1">K4-1</f>
        <v>19</v>
      </c>
      <c r="L5" s="3">
        <f t="shared" ref="L5:L10" si="2">L4+1</f>
        <v>24</v>
      </c>
      <c r="M5">
        <f t="shared" si="0"/>
        <v>0.61163264153724328</v>
      </c>
      <c r="R5">
        <f>R4-R3</f>
        <v>0.97508467659609788</v>
      </c>
      <c r="U5" s="3" t="s">
        <v>4</v>
      </c>
      <c r="V5" s="3" t="s">
        <v>5</v>
      </c>
      <c r="W5" s="3" t="s">
        <v>6</v>
      </c>
    </row>
    <row r="6" spans="2:23" x14ac:dyDescent="0.35">
      <c r="B6" s="23">
        <v>28.7</v>
      </c>
      <c r="C6" s="24">
        <v>3.84</v>
      </c>
      <c r="D6" s="24">
        <v>9.02</v>
      </c>
      <c r="E6" s="24">
        <v>36.51</v>
      </c>
      <c r="F6" s="25">
        <v>36.81</v>
      </c>
      <c r="K6" s="3">
        <f t="shared" si="1"/>
        <v>18</v>
      </c>
      <c r="L6" s="3">
        <f t="shared" si="2"/>
        <v>25</v>
      </c>
      <c r="M6">
        <f t="shared" si="0"/>
        <v>0.77280450889993579</v>
      </c>
      <c r="T6" t="s">
        <v>1</v>
      </c>
      <c r="U6" s="8">
        <f>I5-U3</f>
        <v>15.917213904278555</v>
      </c>
      <c r="V6" s="9">
        <f>SMALL(B3:F9,INT(U6))*(U6-INT(U6))+SMALL(B3:F9,INT(U6)+1)*(1-U6+INT(U6))</f>
        <v>18.178278609572146</v>
      </c>
      <c r="W6" s="6">
        <f>_xlfn.NORM.DIST(U6-0.5,I$8,I$9,TRUE)</f>
        <v>2.7036944294389773E-2</v>
      </c>
    </row>
    <row r="7" spans="2:23" x14ac:dyDescent="0.35">
      <c r="B7" s="23">
        <v>26.22</v>
      </c>
      <c r="C7" s="24">
        <v>26.92</v>
      </c>
      <c r="D7" s="24">
        <v>12.67</v>
      </c>
      <c r="E7" s="24">
        <v>33.89</v>
      </c>
      <c r="F7" s="25">
        <v>10.68</v>
      </c>
      <c r="H7" t="s">
        <v>9</v>
      </c>
      <c r="I7" s="15">
        <f>COUNT(B3:F9)</f>
        <v>35</v>
      </c>
      <c r="K7" s="3">
        <f t="shared" si="1"/>
        <v>17</v>
      </c>
      <c r="L7" s="3">
        <f t="shared" si="2"/>
        <v>26</v>
      </c>
      <c r="M7">
        <f t="shared" si="0"/>
        <v>0.87949263091334573</v>
      </c>
      <c r="P7" s="3" t="s">
        <v>4</v>
      </c>
      <c r="Q7" s="3" t="s">
        <v>5</v>
      </c>
      <c r="R7" s="3" t="s">
        <v>6</v>
      </c>
      <c r="T7" t="s">
        <v>2</v>
      </c>
      <c r="U7" s="12">
        <f>I5+U3</f>
        <v>27.282786095721441</v>
      </c>
      <c r="V7" s="13">
        <f>SMALL(B3:F9,INT(U7))*(U7-INT(U7))+SMALL(B3:F9,INT(U7)+1)*(1-U7+INT(U7))</f>
        <v>31.01959197984069</v>
      </c>
      <c r="W7" s="14">
        <f>_xlfn.NORM.DIST(U7-0.5,I$8,I$9,TRUE)</f>
        <v>0.97699223136493041</v>
      </c>
    </row>
    <row r="8" spans="2:23" x14ac:dyDescent="0.35">
      <c r="B8" s="23">
        <v>18.170000000000002</v>
      </c>
      <c r="C8" s="24">
        <v>32.049999999999997</v>
      </c>
      <c r="D8" s="24">
        <v>15.07</v>
      </c>
      <c r="E8" s="24">
        <v>18.850000000000001</v>
      </c>
      <c r="F8" s="25">
        <v>18.27</v>
      </c>
      <c r="H8" t="s">
        <v>14</v>
      </c>
      <c r="I8" s="26">
        <f>H3*I7</f>
        <v>21</v>
      </c>
      <c r="K8" s="3">
        <f t="shared" si="1"/>
        <v>16</v>
      </c>
      <c r="L8" s="3">
        <f t="shared" si="2"/>
        <v>27</v>
      </c>
      <c r="M8">
        <f t="shared" si="0"/>
        <v>0.94226178923715453</v>
      </c>
      <c r="O8" t="s">
        <v>1</v>
      </c>
      <c r="P8" s="8">
        <v>16</v>
      </c>
      <c r="Q8" s="9">
        <f>SMALL($B$3:$F$9,P8)</f>
        <v>18.27</v>
      </c>
      <c r="R8" s="6">
        <f>_xlfn.NORM.DIST(P8-0.5,I$8,I$9,TRUE)</f>
        <v>2.8869105381422761E-2</v>
      </c>
      <c r="W8">
        <f>W7-W6</f>
        <v>0.94995528707054067</v>
      </c>
    </row>
    <row r="9" spans="2:23" x14ac:dyDescent="0.35">
      <c r="B9" s="27">
        <v>17.02</v>
      </c>
      <c r="C9" s="28">
        <v>37.020000000000003</v>
      </c>
      <c r="D9" s="28">
        <v>9.8800000000000008</v>
      </c>
      <c r="E9" s="28">
        <v>29.37</v>
      </c>
      <c r="F9" s="29">
        <v>13.72</v>
      </c>
      <c r="H9" t="s">
        <v>15</v>
      </c>
      <c r="I9" s="16">
        <f>SQRT(I8*(1-H3))</f>
        <v>2.8982753492378879</v>
      </c>
      <c r="K9" s="3">
        <f t="shared" si="1"/>
        <v>15</v>
      </c>
      <c r="L9" s="3">
        <f t="shared" si="2"/>
        <v>28</v>
      </c>
      <c r="M9">
        <f>_xlfn.NORM.DIST(L9-0.5,I$8,I$9,TRUE)-_xlfn.NORM.DIST(K9-0.5,I$8,I$9,TRUE)</f>
        <v>0.97508467659609788</v>
      </c>
      <c r="O9" t="s">
        <v>2</v>
      </c>
      <c r="P9" s="12">
        <v>27</v>
      </c>
      <c r="Q9" s="13">
        <f>SMALL($B$3:$F$9,P9)</f>
        <v>29.37</v>
      </c>
      <c r="R9" s="14">
        <f>_xlfn.NORM.DIST(P9-0.5,I$8,I$9,TRUE)</f>
        <v>0.97113089461857727</v>
      </c>
    </row>
    <row r="10" spans="2:23" x14ac:dyDescent="0.35">
      <c r="K10" s="13">
        <f t="shared" si="1"/>
        <v>14</v>
      </c>
      <c r="L10" s="13">
        <f t="shared" si="2"/>
        <v>29</v>
      </c>
      <c r="M10">
        <f t="shared" si="0"/>
        <v>0.99033937700251506</v>
      </c>
      <c r="R10">
        <f>R9-R8</f>
        <v>0.94226178923715453</v>
      </c>
    </row>
    <row r="12" spans="2:23" x14ac:dyDescent="0.35">
      <c r="P12" s="3" t="s">
        <v>4</v>
      </c>
      <c r="Q12" s="3" t="s">
        <v>5</v>
      </c>
      <c r="R12" s="3" t="s">
        <v>6</v>
      </c>
    </row>
    <row r="13" spans="2:23" x14ac:dyDescent="0.35">
      <c r="O13" t="s">
        <v>1</v>
      </c>
      <c r="P13" s="8" t="e" cm="1">
        <f t="array" aca="1" ref="P13" ca="1">Interpolate(0.95,R10,R5,P8,P3,0)</f>
        <v>#NAME?</v>
      </c>
      <c r="Q13" s="9" t="e" cm="1">
        <f t="array" aca="1" ref="Q13" ca="1">Interpolate(0.95,R10,R5,Q8,Q3,0)</f>
        <v>#NAME?</v>
      </c>
      <c r="R13" s="30" t="e" cm="1">
        <f t="array" aca="1" ref="R13" ca="1">Interpolate(0.95,R10,R5,R8,R3,0)</f>
        <v>#NAME?</v>
      </c>
    </row>
    <row r="14" spans="2:23" x14ac:dyDescent="0.35">
      <c r="O14" t="s">
        <v>2</v>
      </c>
      <c r="P14" s="12" t="e" cm="1">
        <f t="array" aca="1" ref="P14" ca="1">Interpolate(0.95,R10,R5,P9,P4,0)</f>
        <v>#NAME?</v>
      </c>
      <c r="Q14" s="13" t="e" cm="1">
        <f t="array" aca="1" ref="Q14" ca="1">Interpolate(0.95,R10,R5,Q9,Q4,0)</f>
        <v>#NAME?</v>
      </c>
      <c r="R14" s="31" t="e" cm="1">
        <f t="array" aca="1" ref="R14" ca="1">Interpolate(0.95,R10,R5,R9,R4,0)</f>
        <v>#NAME?</v>
      </c>
    </row>
    <row r="15" spans="2:23" x14ac:dyDescent="0.35">
      <c r="R15" s="32" t="e">
        <f ca="1">R14-R13</f>
        <v>#NAME?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DE426-0F78-4358-97CA-8E8D3FFC32FC}">
  <sheetPr codeName="Sheet4"/>
  <dimension ref="B1:Z15"/>
  <sheetViews>
    <sheetView workbookViewId="0"/>
  </sheetViews>
  <sheetFormatPr defaultRowHeight="14.5" x14ac:dyDescent="0.35"/>
  <cols>
    <col min="1" max="1" width="2.81640625" customWidth="1"/>
    <col min="2" max="6" width="6.6328125" customWidth="1"/>
    <col min="7" max="7" width="3.6328125" customWidth="1"/>
    <col min="8" max="8" width="7.26953125" customWidth="1"/>
    <col min="9" max="9" width="6.6328125" customWidth="1"/>
    <col min="10" max="10" width="3.6328125" customWidth="1"/>
    <col min="11" max="12" width="6.6328125" customWidth="1"/>
    <col min="14" max="14" width="3.6328125" customWidth="1"/>
    <col min="15" max="17" width="6.6328125" customWidth="1"/>
    <col min="20" max="21" width="6.6328125" customWidth="1"/>
  </cols>
  <sheetData>
    <row r="1" spans="2:26" x14ac:dyDescent="0.35">
      <c r="B1" s="1" t="s">
        <v>0</v>
      </c>
    </row>
    <row r="2" spans="2:26" x14ac:dyDescent="0.35">
      <c r="K2" s="2" t="s">
        <v>1</v>
      </c>
      <c r="L2" s="2" t="s">
        <v>2</v>
      </c>
      <c r="M2" s="2" t="s">
        <v>3</v>
      </c>
      <c r="P2" s="3" t="s">
        <v>4</v>
      </c>
      <c r="Q2" s="3" t="s">
        <v>5</v>
      </c>
      <c r="R2" s="3" t="s">
        <v>6</v>
      </c>
      <c r="T2" s="2" t="s">
        <v>1</v>
      </c>
      <c r="U2" s="2" t="s">
        <v>2</v>
      </c>
      <c r="V2" s="2" t="s">
        <v>3</v>
      </c>
      <c r="X2" s="2" t="s">
        <v>1</v>
      </c>
      <c r="Y2" s="2" t="s">
        <v>2</v>
      </c>
      <c r="Z2" s="2" t="s">
        <v>3</v>
      </c>
    </row>
    <row r="3" spans="2:26" x14ac:dyDescent="0.35">
      <c r="B3" s="4">
        <v>31.67</v>
      </c>
      <c r="C3" s="5">
        <v>33.51</v>
      </c>
      <c r="D3" s="5">
        <v>11.39</v>
      </c>
      <c r="E3" s="5">
        <v>22.75</v>
      </c>
      <c r="F3" s="6">
        <v>32.56</v>
      </c>
      <c r="H3" t="s">
        <v>7</v>
      </c>
      <c r="I3" s="7">
        <f>MEDIAN(B3:F9)</f>
        <v>19.940000000000001</v>
      </c>
      <c r="K3" s="3">
        <v>17</v>
      </c>
      <c r="L3" s="3">
        <v>19</v>
      </c>
      <c r="M3">
        <f>_xlfn.NORM.DIST(L3-1,I7*I$8,SQRT(I$7)*I$8,TRUE)-_xlfn.NORM.DIST(K3,I$7*I$8,SQRT(I$7)*I$8,TRUE)</f>
        <v>0.13422762500737861</v>
      </c>
      <c r="O3" t="s">
        <v>1</v>
      </c>
      <c r="P3" s="8">
        <f>K8</f>
        <v>12</v>
      </c>
      <c r="Q3" s="9">
        <f>SMALL($B$3:$F$9,P3)</f>
        <v>15.07</v>
      </c>
      <c r="R3" s="6">
        <f>_xlfn.NORM.DIST(K8,I$7*I$8,SQRT(I$7)*I$8,TRUE)</f>
        <v>3.1489525607227613E-2</v>
      </c>
      <c r="T3" s="3">
        <v>17</v>
      </c>
      <c r="U3" s="3">
        <v>18</v>
      </c>
      <c r="V3">
        <f>_xlfn.BINOM.DIST(U3-1,35,0.5,TRUE)-_xlfn.BINOM.DIST(T3-1,35,0.5,TRUE)</f>
        <v>0.13206059957155941</v>
      </c>
      <c r="X3" s="3">
        <v>17</v>
      </c>
      <c r="Y3" s="3">
        <v>19</v>
      </c>
      <c r="Z3">
        <f>_xlfn.NORM.S.DIST((2*Y3-35-0)/SQRT(35),TRUE)-_xlfn.NORM.S.DIST((2*X3-35-0)/SQRT(35),TRUE)</f>
        <v>0.26106887245906096</v>
      </c>
    </row>
    <row r="4" spans="2:26" x14ac:dyDescent="0.35">
      <c r="B4" s="10">
        <v>17.850000000000001</v>
      </c>
      <c r="C4">
        <v>24.58</v>
      </c>
      <c r="D4">
        <v>6.63</v>
      </c>
      <c r="E4">
        <v>26.37</v>
      </c>
      <c r="F4" s="11">
        <v>13.3</v>
      </c>
      <c r="K4" s="3">
        <f>K3-1</f>
        <v>16</v>
      </c>
      <c r="L4" s="3">
        <f>L3+1</f>
        <v>20</v>
      </c>
      <c r="M4">
        <f>_xlfn.NORM.DIST(L4-1,I8*I$8,SQRT(I$7)*I$8,TRUE)-_xlfn.NORM.DIST(K4,I$7*I$8,SQRT(I$7)*I$8,TRUE)</f>
        <v>0.69395505983948325</v>
      </c>
      <c r="O4" t="s">
        <v>2</v>
      </c>
      <c r="P4" s="12">
        <f>L8</f>
        <v>24</v>
      </c>
      <c r="Q4" s="13">
        <f>SMALL($B$3:$F$9,P4)</f>
        <v>26.43</v>
      </c>
      <c r="R4" s="14">
        <f>_xlfn.NORM.DIST(L8-1,I12*I$8,SQRT(I$7)*I$8,TRUE)</f>
        <v>0.99999999999999623</v>
      </c>
      <c r="T4" s="3">
        <f>T3-1</f>
        <v>16</v>
      </c>
      <c r="U4" s="3">
        <f>U3+1</f>
        <v>19</v>
      </c>
      <c r="V4">
        <f t="shared" ref="V4:V12" si="0">_xlfn.BINOM.DIST(U4-1,35,0.5,TRUE)-_xlfn.BINOM.DIST(T4-1,35,0.5,TRUE)</f>
        <v>0.38228068297030399</v>
      </c>
      <c r="X4" s="3">
        <f>X3-1</f>
        <v>16</v>
      </c>
      <c r="Y4" s="3">
        <f>Y3+1</f>
        <v>20</v>
      </c>
      <c r="Z4">
        <f t="shared" ref="Z4:Z12" si="1">_xlfn.NORM.S.DIST((2*Y4-35-0)/SQRT(35),TRUE)-_xlfn.NORM.S.DIST((2*X4-35-0)/SQRT(35),TRUE)</f>
        <v>0.49494270020190279</v>
      </c>
    </row>
    <row r="5" spans="2:26" x14ac:dyDescent="0.35">
      <c r="B5" s="10">
        <v>5.99</v>
      </c>
      <c r="C5">
        <v>23.76</v>
      </c>
      <c r="D5">
        <v>26.43</v>
      </c>
      <c r="E5">
        <v>8.94</v>
      </c>
      <c r="F5" s="11">
        <v>19.940000000000001</v>
      </c>
      <c r="H5" t="s">
        <v>8</v>
      </c>
      <c r="I5" s="7">
        <f>INT((COUNT(B3:F9)+1)/2)</f>
        <v>18</v>
      </c>
      <c r="K5" s="3">
        <f t="shared" ref="K5:K12" si="2">K4-1</f>
        <v>15</v>
      </c>
      <c r="L5" s="3">
        <f t="shared" ref="L5:L12" si="3">L4+1</f>
        <v>21</v>
      </c>
      <c r="M5">
        <f t="shared" ref="M5:M12" si="4">_xlfn.NORM.DIST(L5-1,I9*I$8,SQRT(I$7)*I$8,TRUE)-_xlfn.NORM.DIST(K5,I$7*I$8,SQRT(I$7)*I$8,TRUE)</f>
        <v>0.80098764023969005</v>
      </c>
      <c r="R5">
        <f>R4-R3</f>
        <v>0.96851047439276861</v>
      </c>
      <c r="T5" s="3">
        <f t="shared" ref="T5:T12" si="5">T4-1</f>
        <v>15</v>
      </c>
      <c r="U5" s="3">
        <f t="shared" ref="U5:U12" si="6">U4+1</f>
        <v>20</v>
      </c>
      <c r="V5">
        <f t="shared" si="0"/>
        <v>0.59496775385923673</v>
      </c>
      <c r="X5" s="3">
        <f t="shared" ref="X5:X12" si="7">X4-1</f>
        <v>15</v>
      </c>
      <c r="Y5" s="3">
        <f t="shared" ref="Y5:Y12" si="8">Y4+1</f>
        <v>21</v>
      </c>
      <c r="Z5">
        <f t="shared" si="1"/>
        <v>0.68262585492760242</v>
      </c>
    </row>
    <row r="6" spans="2:26" x14ac:dyDescent="0.35">
      <c r="B6" s="10">
        <v>28.7</v>
      </c>
      <c r="C6">
        <v>3.84</v>
      </c>
      <c r="D6">
        <v>9.02</v>
      </c>
      <c r="E6">
        <v>36.51</v>
      </c>
      <c r="F6" s="11">
        <v>36.81</v>
      </c>
      <c r="K6" s="3">
        <f t="shared" si="2"/>
        <v>14</v>
      </c>
      <c r="L6" s="3">
        <f t="shared" si="3"/>
        <v>22</v>
      </c>
      <c r="M6">
        <f t="shared" si="4"/>
        <v>0.88163821468044445</v>
      </c>
      <c r="T6" s="3">
        <f t="shared" si="5"/>
        <v>14</v>
      </c>
      <c r="U6" s="3">
        <f t="shared" si="6"/>
        <v>21</v>
      </c>
      <c r="V6">
        <f t="shared" si="0"/>
        <v>0.75701504596509028</v>
      </c>
      <c r="X6" s="3">
        <f t="shared" si="7"/>
        <v>14</v>
      </c>
      <c r="Y6" s="3">
        <f t="shared" si="8"/>
        <v>22</v>
      </c>
      <c r="Z6">
        <f t="shared" si="1"/>
        <v>0.81754312750851743</v>
      </c>
    </row>
    <row r="7" spans="2:26" x14ac:dyDescent="0.35">
      <c r="B7" s="10">
        <v>26.22</v>
      </c>
      <c r="C7">
        <v>26.92</v>
      </c>
      <c r="D7">
        <v>12.67</v>
      </c>
      <c r="E7">
        <v>33.89</v>
      </c>
      <c r="F7" s="11">
        <v>10.68</v>
      </c>
      <c r="H7" t="s">
        <v>9</v>
      </c>
      <c r="I7" s="15">
        <f>COUNT(B3:F9)</f>
        <v>35</v>
      </c>
      <c r="K7" s="3">
        <f t="shared" si="2"/>
        <v>13</v>
      </c>
      <c r="L7" s="3">
        <f t="shared" si="3"/>
        <v>23</v>
      </c>
      <c r="M7">
        <f t="shared" si="4"/>
        <v>0.93590491282739463</v>
      </c>
      <c r="P7" s="3" t="s">
        <v>4</v>
      </c>
      <c r="Q7" s="3" t="s">
        <v>5</v>
      </c>
      <c r="R7" s="3" t="s">
        <v>6</v>
      </c>
      <c r="T7" s="3">
        <f t="shared" si="5"/>
        <v>13</v>
      </c>
      <c r="U7" s="3">
        <f t="shared" si="6"/>
        <v>22</v>
      </c>
      <c r="V7">
        <f t="shared" si="0"/>
        <v>0.86750183603726327</v>
      </c>
      <c r="X7" s="3">
        <f t="shared" si="7"/>
        <v>13</v>
      </c>
      <c r="Y7" s="3">
        <f t="shared" si="8"/>
        <v>23</v>
      </c>
      <c r="Z7">
        <f t="shared" si="1"/>
        <v>0.90441538722021853</v>
      </c>
    </row>
    <row r="8" spans="2:26" x14ac:dyDescent="0.35">
      <c r="B8" s="10">
        <v>18.170000000000002</v>
      </c>
      <c r="C8">
        <v>32.049999999999997</v>
      </c>
      <c r="D8">
        <v>15.07</v>
      </c>
      <c r="E8">
        <v>18.850000000000001</v>
      </c>
      <c r="F8" s="11">
        <v>18.27</v>
      </c>
      <c r="H8" t="s">
        <v>10</v>
      </c>
      <c r="I8" s="16">
        <f>0.5</f>
        <v>0.5</v>
      </c>
      <c r="K8" s="3">
        <f>K7-1</f>
        <v>12</v>
      </c>
      <c r="L8" s="3">
        <f t="shared" si="3"/>
        <v>24</v>
      </c>
      <c r="M8">
        <f>_xlfn.NORM.DIST(L8-1,I12*I$8,SQRT(I$7)*I$8,TRUE)-_xlfn.NORM.DIST(K8,I$7*I$8,SQRT(I$7)*I$8,TRUE)</f>
        <v>0.96851047439276861</v>
      </c>
      <c r="O8" t="s">
        <v>1</v>
      </c>
      <c r="P8" s="8">
        <f>K7</f>
        <v>13</v>
      </c>
      <c r="Q8" s="9">
        <f>SMALL($B$3:$F$9,P8)</f>
        <v>17.02</v>
      </c>
      <c r="R8" s="6">
        <f>_xlfn.NORM.DIST(K7,I$7*I$8,SQRT(I$7)*I$8,TRUE)</f>
        <v>6.4095087172553911E-2</v>
      </c>
      <c r="T8" s="3">
        <f t="shared" si="5"/>
        <v>12</v>
      </c>
      <c r="U8" s="3">
        <f t="shared" si="6"/>
        <v>23</v>
      </c>
      <c r="V8">
        <f t="shared" si="0"/>
        <v>0.93475466477684677</v>
      </c>
      <c r="X8" s="3">
        <f t="shared" si="7"/>
        <v>12</v>
      </c>
      <c r="Y8" s="3">
        <f t="shared" si="8"/>
        <v>24</v>
      </c>
      <c r="Z8">
        <f t="shared" si="1"/>
        <v>0.9545145666499395</v>
      </c>
    </row>
    <row r="9" spans="2:26" x14ac:dyDescent="0.35">
      <c r="B9" s="17">
        <v>17.02</v>
      </c>
      <c r="C9" s="18">
        <v>37.020000000000003</v>
      </c>
      <c r="D9" s="18">
        <v>9.8800000000000008</v>
      </c>
      <c r="E9" s="18">
        <v>29.37</v>
      </c>
      <c r="F9" s="14">
        <v>13.72</v>
      </c>
      <c r="K9" s="3">
        <f t="shared" si="2"/>
        <v>11</v>
      </c>
      <c r="L9" s="3">
        <f t="shared" si="3"/>
        <v>25</v>
      </c>
      <c r="M9">
        <f t="shared" si="4"/>
        <v>0.9860040922571669</v>
      </c>
      <c r="O9" t="s">
        <v>2</v>
      </c>
      <c r="P9" s="12">
        <f>L7</f>
        <v>23</v>
      </c>
      <c r="Q9" s="13">
        <f>SMALL($B$3:$F$9,P9)</f>
        <v>26.37</v>
      </c>
      <c r="R9" s="14">
        <f>_xlfn.NORM.DIST(L7-1,I12*I$8,SQRT(I$7)*I$8,TRUE)</f>
        <v>0.9999999999999486</v>
      </c>
      <c r="T9" s="3">
        <f t="shared" si="5"/>
        <v>11</v>
      </c>
      <c r="U9" s="3">
        <f t="shared" si="6"/>
        <v>24</v>
      </c>
      <c r="V9">
        <f t="shared" si="0"/>
        <v>0.97118328034412116</v>
      </c>
      <c r="X9" s="3">
        <f t="shared" si="7"/>
        <v>11</v>
      </c>
      <c r="Y9" s="3">
        <f t="shared" si="8"/>
        <v>25</v>
      </c>
      <c r="Z9">
        <f t="shared" si="1"/>
        <v>0.98038914893070883</v>
      </c>
    </row>
    <row r="10" spans="2:26" x14ac:dyDescent="0.35">
      <c r="K10" s="3">
        <f t="shared" si="2"/>
        <v>10</v>
      </c>
      <c r="L10" s="3">
        <f t="shared" si="3"/>
        <v>26</v>
      </c>
      <c r="M10">
        <f t="shared" si="4"/>
        <v>0.99438505667354171</v>
      </c>
      <c r="R10">
        <f>R9-R8</f>
        <v>0.93590491282739463</v>
      </c>
      <c r="T10" s="3">
        <f t="shared" si="5"/>
        <v>10</v>
      </c>
      <c r="U10" s="3">
        <f t="shared" si="6"/>
        <v>25</v>
      </c>
      <c r="V10">
        <f t="shared" si="0"/>
        <v>0.98866901581641287</v>
      </c>
      <c r="X10" s="3">
        <f t="shared" si="7"/>
        <v>10</v>
      </c>
      <c r="Y10" s="3">
        <f t="shared" si="8"/>
        <v>26</v>
      </c>
      <c r="Z10">
        <f t="shared" si="1"/>
        <v>0.99235545849076423</v>
      </c>
    </row>
    <row r="11" spans="2:26" x14ac:dyDescent="0.35">
      <c r="K11" s="3">
        <f t="shared" si="2"/>
        <v>9</v>
      </c>
      <c r="L11" s="3">
        <f t="shared" si="3"/>
        <v>27</v>
      </c>
      <c r="M11">
        <f t="shared" si="4"/>
        <v>0.99797040181722252</v>
      </c>
      <c r="T11" s="3">
        <f t="shared" si="5"/>
        <v>9</v>
      </c>
      <c r="U11" s="3">
        <f t="shared" si="6"/>
        <v>26</v>
      </c>
      <c r="V11">
        <f t="shared" si="0"/>
        <v>0.99606682697776705</v>
      </c>
      <c r="X11" s="3">
        <f t="shared" si="7"/>
        <v>9</v>
      </c>
      <c r="Y11" s="3">
        <f t="shared" si="8"/>
        <v>27</v>
      </c>
      <c r="Z11">
        <f t="shared" si="1"/>
        <v>0.99731037993344196</v>
      </c>
    </row>
    <row r="12" spans="2:26" x14ac:dyDescent="0.35">
      <c r="K12" s="13">
        <f t="shared" si="2"/>
        <v>8</v>
      </c>
      <c r="L12" s="13">
        <f t="shared" si="3"/>
        <v>28</v>
      </c>
      <c r="M12" s="18">
        <f t="shared" si="4"/>
        <v>0.99933997811621944</v>
      </c>
      <c r="O12" t="s">
        <v>11</v>
      </c>
      <c r="Q12">
        <v>0.95</v>
      </c>
      <c r="T12" s="13">
        <f t="shared" si="5"/>
        <v>8</v>
      </c>
      <c r="U12" s="13">
        <f t="shared" si="6"/>
        <v>27</v>
      </c>
      <c r="V12" s="18">
        <f t="shared" si="0"/>
        <v>0.99880675703752786</v>
      </c>
      <c r="X12" s="13">
        <f t="shared" si="7"/>
        <v>8</v>
      </c>
      <c r="Y12" s="13">
        <f t="shared" si="8"/>
        <v>28</v>
      </c>
      <c r="Z12" s="18">
        <f t="shared" si="1"/>
        <v>0.99914710473837842</v>
      </c>
    </row>
    <row r="14" spans="2:26" x14ac:dyDescent="0.35">
      <c r="O14" t="s">
        <v>1</v>
      </c>
      <c r="Q14" s="15" t="e">
        <f ca="1">Interpolate(Q12,R10,R5,Q8,Q3,0)</f>
        <v>#NAME?</v>
      </c>
    </row>
    <row r="15" spans="2:26" x14ac:dyDescent="0.35">
      <c r="O15" t="s">
        <v>2</v>
      </c>
      <c r="Q15" s="16" t="e">
        <f ca="1">Interpolate(Q12,R10,R4,Q9,Q4,0)</f>
        <v>#NAME?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Title</vt:lpstr>
      <vt:lpstr>Norm</vt:lpstr>
      <vt:lpstr>Norm 1</vt:lpstr>
      <vt:lpstr>CI Med Approx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2023-05-21T08:33:38Z</dcterms:created>
  <dcterms:modified xsi:type="dcterms:W3CDTF">2023-05-21T09:19:55Z</dcterms:modified>
</cp:coreProperties>
</file>