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5948AB55-FC55-4BAC-A69E-04ECC5FAB6CC}" xr6:coauthVersionLast="47" xr6:coauthVersionMax="47" xr10:uidLastSave="{00000000-0000-0000-0000-000000000000}"/>
  <bookViews>
    <workbookView xWindow="-110" yWindow="-110" windowWidth="19420" windowHeight="10300" xr2:uid="{18A64B2B-5A28-48A4-93A6-66F520C1228E}"/>
  </bookViews>
  <sheets>
    <sheet name="Title" sheetId="3" r:id="rId1"/>
    <sheet name="No Damp" sheetId="4" r:id="rId2"/>
    <sheet name="Damp" sheetId="1" r:id="rId3"/>
    <sheet name="Opt" sheetId="2" r:id="rId4"/>
  </sheets>
  <externalReferences>
    <externalReference r:id="rId5"/>
  </externalReferences>
  <definedNames>
    <definedName name="solver_adj" localSheetId="3" hidden="1">Opt!$C$35:$D$35</definedName>
    <definedName name="solver_eng" localSheetId="3" hidden="1">1</definedName>
    <definedName name="solver_lhs1" localSheetId="3" hidden="1">Opt!$C$35</definedName>
    <definedName name="solver_lhs2" localSheetId="3" hidden="1">Opt!$D$35</definedName>
    <definedName name="solver_neg" localSheetId="3" hidden="1">1</definedName>
    <definedName name="solver_num" localSheetId="3" hidden="1">2</definedName>
    <definedName name="solver_opt" localSheetId="3" hidden="1">Opt!$F$35</definedName>
    <definedName name="solver_rel1" localSheetId="3" hidden="1">1</definedName>
    <definedName name="solver_rel2" localSheetId="3" hidden="1">1</definedName>
    <definedName name="solver_rhs1" localSheetId="3" hidden="1">1</definedName>
    <definedName name="solver_rhs2" localSheetId="3" hidden="1">1</definedName>
    <definedName name="solver_typ" localSheetId="3" hidden="1">2</definedName>
    <definedName name="solver_val" localSheetId="3" hidden="1">0</definedName>
    <definedName name="solver_ver" localSheetId="3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5" i="4" l="1"/>
  <c r="F35" i="4"/>
  <c r="E35" i="4"/>
  <c r="G7" i="4"/>
  <c r="F6" i="4"/>
  <c r="D6" i="4"/>
  <c r="D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5" i="4"/>
  <c r="C4" i="4"/>
  <c r="F30" i="1"/>
  <c r="E6" i="1"/>
  <c r="U8" i="1" a="1"/>
  <c r="U7" i="1" a="1"/>
  <c r="U6" i="1" a="1"/>
  <c r="U5" i="1" a="1"/>
  <c r="U4" i="1" a="1"/>
  <c r="U8" i="1" l="1"/>
  <c r="U7" i="1"/>
  <c r="U6" i="1"/>
  <c r="U5" i="1"/>
  <c r="U4" i="1"/>
  <c r="E6" i="4"/>
  <c r="D7" i="4" s="1"/>
  <c r="E7" i="4" l="1"/>
  <c r="D8" i="4" s="1"/>
  <c r="E8" i="4" s="1"/>
  <c r="F9" i="4" s="1"/>
  <c r="F8" i="4"/>
  <c r="F7" i="4"/>
  <c r="D9" i="4"/>
  <c r="G8" i="4" l="1"/>
  <c r="G9" i="4"/>
  <c r="H9" i="4" s="1"/>
  <c r="G10" i="4"/>
  <c r="I7" i="4"/>
  <c r="H7" i="4"/>
  <c r="H8" i="4"/>
  <c r="I8" i="4"/>
  <c r="E9" i="4"/>
  <c r="D10" i="4"/>
  <c r="F10" i="4"/>
  <c r="G11" i="4" s="1"/>
  <c r="I9" i="4" l="1"/>
  <c r="H10" i="4"/>
  <c r="I10" i="4"/>
  <c r="E10" i="4"/>
  <c r="F11" i="4" s="1"/>
  <c r="H11" i="4" l="1"/>
  <c r="I11" i="4"/>
  <c r="G12" i="4"/>
  <c r="D11" i="4"/>
  <c r="E11" i="4" s="1"/>
  <c r="F12" i="4" s="1"/>
  <c r="J30" i="2"/>
  <c r="J31" i="2" s="1"/>
  <c r="D5" i="2"/>
  <c r="D6" i="2" s="1"/>
  <c r="E6" i="2" s="1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5" i="2"/>
  <c r="C4" i="2"/>
  <c r="G35" i="1"/>
  <c r="F35" i="1"/>
  <c r="E35" i="1"/>
  <c r="J30" i="1"/>
  <c r="J31" i="1" s="1"/>
  <c r="G7" i="1"/>
  <c r="F6" i="1"/>
  <c r="D6" i="1"/>
  <c r="D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5" i="1"/>
  <c r="C4" i="1"/>
  <c r="F6" i="2" l="1"/>
  <c r="G7" i="2" s="1"/>
  <c r="H12" i="4"/>
  <c r="I12" i="4"/>
  <c r="G13" i="4"/>
  <c r="D12" i="4"/>
  <c r="E12" i="4" s="1"/>
  <c r="F13" i="4" s="1"/>
  <c r="D7" i="2"/>
  <c r="F7" i="2"/>
  <c r="J32" i="2"/>
  <c r="G32" i="2" s="1"/>
  <c r="G31" i="2"/>
  <c r="G30" i="2"/>
  <c r="G30" i="1"/>
  <c r="J32" i="1"/>
  <c r="G32" i="1" s="1"/>
  <c r="G31" i="1"/>
  <c r="F7" i="1"/>
  <c r="D7" i="1"/>
  <c r="D13" i="4" l="1"/>
  <c r="H13" i="4"/>
  <c r="I13" i="4"/>
  <c r="G14" i="4"/>
  <c r="E13" i="4"/>
  <c r="D14" i="4" s="1"/>
  <c r="E7" i="2"/>
  <c r="F8" i="2" s="1"/>
  <c r="G9" i="2" s="1"/>
  <c r="I7" i="2"/>
  <c r="H7" i="2"/>
  <c r="G8" i="2"/>
  <c r="E7" i="1"/>
  <c r="F8" i="1" s="1"/>
  <c r="H7" i="1"/>
  <c r="G8" i="1"/>
  <c r="G9" i="1"/>
  <c r="I7" i="1"/>
  <c r="E14" i="4" l="1"/>
  <c r="D15" i="4" s="1"/>
  <c r="F14" i="4"/>
  <c r="D8" i="2"/>
  <c r="H8" i="2"/>
  <c r="I8" i="2"/>
  <c r="I8" i="1"/>
  <c r="H8" i="1"/>
  <c r="D8" i="1"/>
  <c r="H14" i="4" l="1"/>
  <c r="I14" i="4"/>
  <c r="G16" i="4"/>
  <c r="G15" i="4"/>
  <c r="E15" i="4"/>
  <c r="F16" i="4" s="1"/>
  <c r="F15" i="4"/>
  <c r="E8" i="2"/>
  <c r="F9" i="2" s="1"/>
  <c r="E8" i="1"/>
  <c r="F9" i="1" s="1"/>
  <c r="H15" i="4" l="1"/>
  <c r="I15" i="4"/>
  <c r="H16" i="4"/>
  <c r="I16" i="4"/>
  <c r="G17" i="4"/>
  <c r="D16" i="4"/>
  <c r="D9" i="2"/>
  <c r="H9" i="2"/>
  <c r="I9" i="2"/>
  <c r="G10" i="2"/>
  <c r="D9" i="1"/>
  <c r="H9" i="1"/>
  <c r="I9" i="1"/>
  <c r="G10" i="1"/>
  <c r="E16" i="4" l="1"/>
  <c r="D17" i="4" s="1"/>
  <c r="E9" i="2"/>
  <c r="D10" i="2" s="1"/>
  <c r="E9" i="1"/>
  <c r="D10" i="1" s="1"/>
  <c r="E17" i="4" l="1"/>
  <c r="D18" i="4" s="1"/>
  <c r="F17" i="4"/>
  <c r="F10" i="2"/>
  <c r="H10" i="2" s="1"/>
  <c r="E10" i="2"/>
  <c r="D11" i="2" s="1"/>
  <c r="F10" i="1"/>
  <c r="E10" i="1"/>
  <c r="D11" i="1" s="1"/>
  <c r="F11" i="1"/>
  <c r="H17" i="4" l="1"/>
  <c r="I17" i="4"/>
  <c r="G18" i="4"/>
  <c r="F18" i="4"/>
  <c r="E18" i="4"/>
  <c r="F19" i="4" s="1"/>
  <c r="I10" i="2"/>
  <c r="G11" i="2"/>
  <c r="F11" i="2"/>
  <c r="E11" i="2"/>
  <c r="F12" i="2" s="1"/>
  <c r="E11" i="1"/>
  <c r="F12" i="1" s="1"/>
  <c r="H10" i="1"/>
  <c r="I10" i="1"/>
  <c r="G13" i="1"/>
  <c r="G11" i="1"/>
  <c r="I11" i="1" s="1"/>
  <c r="G12" i="1"/>
  <c r="D19" i="4" l="1"/>
  <c r="G20" i="4"/>
  <c r="H18" i="4"/>
  <c r="I18" i="4"/>
  <c r="G19" i="4"/>
  <c r="I19" i="4" s="1"/>
  <c r="E19" i="4"/>
  <c r="D20" i="4" s="1"/>
  <c r="D12" i="2"/>
  <c r="E12" i="2" s="1"/>
  <c r="D13" i="2" s="1"/>
  <c r="I11" i="2"/>
  <c r="H11" i="2"/>
  <c r="G12" i="2"/>
  <c r="H12" i="2" s="1"/>
  <c r="G13" i="2"/>
  <c r="H11" i="1"/>
  <c r="D12" i="1"/>
  <c r="I12" i="1"/>
  <c r="H12" i="1"/>
  <c r="H19" i="4" l="1"/>
  <c r="F20" i="4"/>
  <c r="E20" i="4"/>
  <c r="D21" i="4" s="1"/>
  <c r="F13" i="2"/>
  <c r="I13" i="2" s="1"/>
  <c r="I12" i="2"/>
  <c r="E13" i="2"/>
  <c r="F14" i="2" s="1"/>
  <c r="E12" i="1"/>
  <c r="F13" i="1" s="1"/>
  <c r="H20" i="4" l="1"/>
  <c r="I20" i="4"/>
  <c r="G21" i="4"/>
  <c r="F21" i="4"/>
  <c r="E21" i="4"/>
  <c r="D22" i="4" s="1"/>
  <c r="G14" i="2"/>
  <c r="H14" i="2" s="1"/>
  <c r="H13" i="2"/>
  <c r="G15" i="2"/>
  <c r="D14" i="2"/>
  <c r="E14" i="2" s="1"/>
  <c r="D15" i="2" s="1"/>
  <c r="E15" i="2" s="1"/>
  <c r="D16" i="2" s="1"/>
  <c r="D13" i="1"/>
  <c r="H13" i="1"/>
  <c r="I13" i="1"/>
  <c r="G14" i="1"/>
  <c r="H21" i="4" l="1"/>
  <c r="I21" i="4"/>
  <c r="G22" i="4"/>
  <c r="E22" i="4"/>
  <c r="D23" i="4" s="1"/>
  <c r="F22" i="4"/>
  <c r="I14" i="2"/>
  <c r="F15" i="2"/>
  <c r="I15" i="2" s="1"/>
  <c r="E16" i="2"/>
  <c r="F17" i="2" s="1"/>
  <c r="F16" i="2"/>
  <c r="E13" i="1"/>
  <c r="D14" i="1" s="1"/>
  <c r="F23" i="4" l="1"/>
  <c r="H22" i="4"/>
  <c r="I22" i="4"/>
  <c r="G23" i="4"/>
  <c r="I23" i="4" s="1"/>
  <c r="G24" i="4"/>
  <c r="E23" i="4"/>
  <c r="F24" i="4" s="1"/>
  <c r="G17" i="2"/>
  <c r="I17" i="2" s="1"/>
  <c r="H15" i="2"/>
  <c r="G16" i="2"/>
  <c r="I16" i="2" s="1"/>
  <c r="G18" i="2"/>
  <c r="D17" i="2"/>
  <c r="F14" i="1"/>
  <c r="E14" i="1"/>
  <c r="D15" i="1" s="1"/>
  <c r="H23" i="4" l="1"/>
  <c r="H24" i="4"/>
  <c r="I24" i="4"/>
  <c r="G25" i="4"/>
  <c r="D24" i="4"/>
  <c r="H16" i="2"/>
  <c r="H17" i="2"/>
  <c r="E17" i="2"/>
  <c r="D18" i="2" s="1"/>
  <c r="E15" i="1"/>
  <c r="D16" i="1" s="1"/>
  <c r="F16" i="1"/>
  <c r="F15" i="1"/>
  <c r="H14" i="1"/>
  <c r="I14" i="1"/>
  <c r="G16" i="1"/>
  <c r="G17" i="1"/>
  <c r="G15" i="1"/>
  <c r="E24" i="4" l="1"/>
  <c r="D25" i="4" s="1"/>
  <c r="E18" i="2"/>
  <c r="D19" i="2" s="1"/>
  <c r="F18" i="2"/>
  <c r="I15" i="1"/>
  <c r="H15" i="1"/>
  <c r="I16" i="1"/>
  <c r="H16" i="1"/>
  <c r="E16" i="1"/>
  <c r="F17" i="1" s="1"/>
  <c r="D17" i="1"/>
  <c r="E25" i="4" l="1"/>
  <c r="D26" i="4" s="1"/>
  <c r="F25" i="4"/>
  <c r="H18" i="2"/>
  <c r="I18" i="2"/>
  <c r="G19" i="2"/>
  <c r="F19" i="2"/>
  <c r="E19" i="2"/>
  <c r="F20" i="2" s="1"/>
  <c r="H17" i="1"/>
  <c r="I17" i="1"/>
  <c r="G18" i="1"/>
  <c r="E17" i="1"/>
  <c r="F18" i="1" s="1"/>
  <c r="H25" i="4" l="1"/>
  <c r="I25" i="4"/>
  <c r="G26" i="4"/>
  <c r="F26" i="4"/>
  <c r="E26" i="4"/>
  <c r="F27" i="4" s="1"/>
  <c r="G21" i="2"/>
  <c r="I19" i="2"/>
  <c r="H19" i="2"/>
  <c r="G20" i="2"/>
  <c r="H20" i="2" s="1"/>
  <c r="D20" i="2"/>
  <c r="H18" i="1"/>
  <c r="I18" i="1"/>
  <c r="G19" i="1"/>
  <c r="D18" i="1"/>
  <c r="H26" i="4" l="1"/>
  <c r="I26" i="4"/>
  <c r="G27" i="4"/>
  <c r="H27" i="4" s="1"/>
  <c r="G28" i="4"/>
  <c r="D27" i="4"/>
  <c r="I20" i="2"/>
  <c r="E20" i="2"/>
  <c r="D21" i="2" s="1"/>
  <c r="E18" i="1"/>
  <c r="D19" i="1" s="1"/>
  <c r="E27" i="4" l="1"/>
  <c r="D28" i="4" s="1"/>
  <c r="I27" i="4"/>
  <c r="F21" i="2"/>
  <c r="I21" i="2" s="1"/>
  <c r="E21" i="2"/>
  <c r="F22" i="2" s="1"/>
  <c r="F19" i="1"/>
  <c r="E19" i="1"/>
  <c r="D20" i="1" s="1"/>
  <c r="E28" i="4" l="1"/>
  <c r="F30" i="4" s="1"/>
  <c r="F31" i="4"/>
  <c r="F32" i="4"/>
  <c r="F29" i="4"/>
  <c r="F28" i="4"/>
  <c r="G22" i="2"/>
  <c r="H22" i="2" s="1"/>
  <c r="H21" i="2"/>
  <c r="D22" i="2"/>
  <c r="E22" i="2" s="1"/>
  <c r="D23" i="2" s="1"/>
  <c r="G23" i="2"/>
  <c r="F20" i="1"/>
  <c r="E20" i="1"/>
  <c r="F21" i="1" s="1"/>
  <c r="I19" i="1"/>
  <c r="H19" i="1"/>
  <c r="G20" i="1"/>
  <c r="H28" i="4" l="1"/>
  <c r="I28" i="4"/>
  <c r="G29" i="4"/>
  <c r="H29" i="4" s="1"/>
  <c r="I22" i="2"/>
  <c r="E23" i="2"/>
  <c r="F24" i="2" s="1"/>
  <c r="F23" i="2"/>
  <c r="D21" i="1"/>
  <c r="G22" i="1"/>
  <c r="H20" i="1"/>
  <c r="I20" i="1"/>
  <c r="G21" i="1"/>
  <c r="H21" i="1" s="1"/>
  <c r="I29" i="4" l="1"/>
  <c r="G30" i="4"/>
  <c r="D24" i="2"/>
  <c r="G25" i="2"/>
  <c r="I23" i="2"/>
  <c r="H23" i="2"/>
  <c r="G24" i="2"/>
  <c r="H24" i="2" s="1"/>
  <c r="E24" i="2"/>
  <c r="F25" i="2" s="1"/>
  <c r="I21" i="1"/>
  <c r="E21" i="1"/>
  <c r="F22" i="1" s="1"/>
  <c r="I30" i="4" l="1"/>
  <c r="H30" i="4"/>
  <c r="G31" i="4"/>
  <c r="H25" i="2"/>
  <c r="I25" i="2"/>
  <c r="G26" i="2"/>
  <c r="I24" i="2"/>
  <c r="D25" i="2"/>
  <c r="E25" i="2" s="1"/>
  <c r="F26" i="2" s="1"/>
  <c r="H22" i="1"/>
  <c r="I22" i="1"/>
  <c r="G23" i="1"/>
  <c r="D22" i="1"/>
  <c r="G32" i="4" l="1"/>
  <c r="I31" i="4"/>
  <c r="H31" i="4"/>
  <c r="H26" i="2"/>
  <c r="I26" i="2"/>
  <c r="G27" i="2"/>
  <c r="D26" i="2"/>
  <c r="E22" i="1"/>
  <c r="D23" i="1" s="1"/>
  <c r="H32" i="4" l="1"/>
  <c r="I32" i="4"/>
  <c r="E26" i="2"/>
  <c r="F27" i="2" s="1"/>
  <c r="E23" i="1"/>
  <c r="F24" i="1" s="1"/>
  <c r="D24" i="1"/>
  <c r="F23" i="1"/>
  <c r="D27" i="2" l="1"/>
  <c r="E27" i="2" s="1"/>
  <c r="F28" i="2" s="1"/>
  <c r="I27" i="2"/>
  <c r="H27" i="2"/>
  <c r="G28" i="2"/>
  <c r="I23" i="1"/>
  <c r="H23" i="1"/>
  <c r="G24" i="1"/>
  <c r="H24" i="1" s="1"/>
  <c r="E24" i="1"/>
  <c r="F25" i="1" s="1"/>
  <c r="G25" i="1"/>
  <c r="G35" i="2" l="1"/>
  <c r="E35" i="2"/>
  <c r="F35" i="2"/>
  <c r="H28" i="2"/>
  <c r="I28" i="2"/>
  <c r="G29" i="2"/>
  <c r="D28" i="2"/>
  <c r="I24" i="1"/>
  <c r="D25" i="1"/>
  <c r="H25" i="1"/>
  <c r="I25" i="1"/>
  <c r="G26" i="1"/>
  <c r="E28" i="2" l="1"/>
  <c r="F29" i="2" s="1"/>
  <c r="E25" i="1"/>
  <c r="D26" i="1" s="1"/>
  <c r="F31" i="2" l="1"/>
  <c r="H31" i="2" s="1"/>
  <c r="F30" i="2"/>
  <c r="I30" i="2" s="1"/>
  <c r="F32" i="2"/>
  <c r="I32" i="2" s="1"/>
  <c r="H29" i="2"/>
  <c r="I29" i="2"/>
  <c r="F26" i="1"/>
  <c r="E26" i="1"/>
  <c r="D27" i="1" s="1"/>
  <c r="I31" i="2" l="1"/>
  <c r="H30" i="2"/>
  <c r="H32" i="2"/>
  <c r="F27" i="1"/>
  <c r="E27" i="1"/>
  <c r="D28" i="1" s="1"/>
  <c r="G28" i="1"/>
  <c r="H26" i="1"/>
  <c r="I26" i="1"/>
  <c r="G27" i="1"/>
  <c r="I27" i="1" s="1"/>
  <c r="F28" i="1" l="1"/>
  <c r="H27" i="1"/>
  <c r="I28" i="1"/>
  <c r="H28" i="1"/>
  <c r="G29" i="1"/>
  <c r="E28" i="1"/>
  <c r="F32" i="1" s="1"/>
  <c r="F29" i="1"/>
  <c r="F31" i="1" l="1"/>
  <c r="H31" i="1" s="1"/>
  <c r="I32" i="1"/>
  <c r="H32" i="1"/>
  <c r="I31" i="1"/>
  <c r="I30" i="1"/>
  <c r="H30" i="1"/>
  <c r="H29" i="1"/>
  <c r="I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<sst xmlns="http://schemas.openxmlformats.org/spreadsheetml/2006/main" count="73" uniqueCount="30">
  <si>
    <t>Holt's Linear Trend (Damping)</t>
  </si>
  <si>
    <t>&gt;</t>
  </si>
  <si>
    <t>alpha</t>
  </si>
  <si>
    <t>data</t>
  </si>
  <si>
    <t>sig level</t>
  </si>
  <si>
    <t>u</t>
  </si>
  <si>
    <t>v</t>
  </si>
  <si>
    <t>forecast</t>
  </si>
  <si>
    <t>s.e.</t>
  </si>
  <si>
    <t>lower</t>
  </si>
  <si>
    <t>upper</t>
  </si>
  <si>
    <t>beta</t>
  </si>
  <si>
    <t>phi</t>
  </si>
  <si>
    <t>MAE</t>
  </si>
  <si>
    <t>MSE</t>
  </si>
  <si>
    <t>MAPE</t>
  </si>
  <si>
    <t>Real Statistics Using Excel</t>
  </si>
  <si>
    <t>Updated</t>
  </si>
  <si>
    <t>Copyright © 2013 - 2023 Charles Zaiontz</t>
  </si>
  <si>
    <t>Holt's Linear Trend with Damping</t>
  </si>
  <si>
    <t>Holt's Linear Trend</t>
  </si>
  <si>
    <t>D6</t>
  </si>
  <si>
    <t>E6</t>
  </si>
  <si>
    <t>F31</t>
  </si>
  <si>
    <t>G31</t>
  </si>
  <si>
    <t>J31</t>
  </si>
  <si>
    <t>Entity</t>
  </si>
  <si>
    <t>Cell</t>
  </si>
  <si>
    <t>Formula</t>
  </si>
  <si>
    <r>
      <t>(ψ/α)</t>
    </r>
    <r>
      <rPr>
        <vertAlign val="superscript"/>
        <sz val="11"/>
        <color theme="1"/>
        <rFont val="Calibri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</si>
</sst>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</fills>
  <borders count="8">
    <border>
      <left/>
      <right/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0" fontId="0" fillId="0" borderId="3" xfId="0" applyBorder="1"/>
    <xf numFmtId="2" fontId="0" fillId="0" borderId="2" xfId="0" applyNumberFormat="1" applyBorder="1"/>
    <xf numFmtId="2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4" xfId="0" applyBorder="1"/>
    <xf numFmtId="2" fontId="1" fillId="0" borderId="1" xfId="0" applyNumberFormat="1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2" borderId="6" xfId="0" applyFill="1" applyBorder="1"/>
    <xf numFmtId="15" fontId="0" fillId="0" borderId="0" xfId="0" applyNumberFormat="1"/>
    <xf numFmtId="0" fontId="2" fillId="0" borderId="0" xfId="0" applyFont="1"/>
    <xf numFmtId="0" fontId="0" fillId="0" borderId="7" xfId="0" applyBorder="1"/>
    <xf numFmtId="0" fontId="3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Forecast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actual</c:v>
          </c:tx>
          <c:marker>
            <c:symbol val="none"/>
          </c:marker>
          <c:val>
            <c:numRef>
              <c:f>'No Damp'!$C$5:$C$28</c:f>
              <c:numCache>
                <c:formatCode>0.00</c:formatCode>
                <c:ptCount val="24"/>
                <c:pt idx="0">
                  <c:v>17.59</c:v>
                </c:pt>
                <c:pt idx="1">
                  <c:v>21.93</c:v>
                </c:pt>
                <c:pt idx="2">
                  <c:v>24.01</c:v>
                </c:pt>
                <c:pt idx="3">
                  <c:v>27.14</c:v>
                </c:pt>
                <c:pt idx="4">
                  <c:v>27.03</c:v>
                </c:pt>
                <c:pt idx="5">
                  <c:v>29.029999999999998</c:v>
                </c:pt>
                <c:pt idx="6">
                  <c:v>30.259999999999998</c:v>
                </c:pt>
                <c:pt idx="7">
                  <c:v>31.07</c:v>
                </c:pt>
                <c:pt idx="8">
                  <c:v>30.400000000000002</c:v>
                </c:pt>
                <c:pt idx="9">
                  <c:v>31.81</c:v>
                </c:pt>
                <c:pt idx="10">
                  <c:v>32.6</c:v>
                </c:pt>
                <c:pt idx="11">
                  <c:v>33.69</c:v>
                </c:pt>
                <c:pt idx="12">
                  <c:v>39.110000000000007</c:v>
                </c:pt>
                <c:pt idx="13">
                  <c:v>41.62</c:v>
                </c:pt>
                <c:pt idx="14">
                  <c:v>41.800000000000004</c:v>
                </c:pt>
                <c:pt idx="15">
                  <c:v>44.87</c:v>
                </c:pt>
                <c:pt idx="16">
                  <c:v>47.050000000000004</c:v>
                </c:pt>
                <c:pt idx="17">
                  <c:v>48.879999999999995</c:v>
                </c:pt>
                <c:pt idx="18">
                  <c:v>51.65</c:v>
                </c:pt>
                <c:pt idx="19">
                  <c:v>50.04</c:v>
                </c:pt>
                <c:pt idx="20">
                  <c:v>60.84</c:v>
                </c:pt>
                <c:pt idx="21">
                  <c:v>63.53</c:v>
                </c:pt>
                <c:pt idx="22">
                  <c:v>66.459999999999994</c:v>
                </c:pt>
                <c:pt idx="23">
                  <c:v>68.350000000000009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5F-4FBE-BBE9-9595C2AA9C68}"/>
            </c:ext>
          </c:extLst>
        </c:ser>
        <c:ser>
          <c:idx val="1"/>
          <c:order val="1"/>
          <c:tx>
            <c:v>forecast</c:v>
          </c:tx>
          <c:marker>
            <c:symbol val="none"/>
          </c:marker>
          <c:val>
            <c:numRef>
              <c:f>'No Damp'!$F$5:$F$32</c:f>
              <c:numCache>
                <c:formatCode>0.00</c:formatCode>
                <c:ptCount val="28"/>
                <c:pt idx="1">
                  <c:v>17.59</c:v>
                </c:pt>
                <c:pt idx="2">
                  <c:v>21.756400000000003</c:v>
                </c:pt>
                <c:pt idx="3">
                  <c:v>24.614256000000001</c:v>
                </c:pt>
                <c:pt idx="4">
                  <c:v>28.093946240000005</c:v>
                </c:pt>
                <c:pt idx="5">
                  <c:v>28.5316528896</c:v>
                </c:pt>
                <c:pt idx="6">
                  <c:v>30.298929757183998</c:v>
                </c:pt>
                <c:pt idx="7">
                  <c:v>31.630156369551354</c:v>
                </c:pt>
                <c:pt idx="8">
                  <c:v>32.454776672896614</c:v>
                </c:pt>
                <c:pt idx="9">
                  <c:v>31.754936465902212</c:v>
                </c:pt>
                <c:pt idx="10">
                  <c:v>32.751778589958974</c:v>
                </c:pt>
                <c:pt idx="11">
                  <c:v>33.558862440376892</c:v>
                </c:pt>
                <c:pt idx="12">
                  <c:v>34.613261220000169</c:v>
                </c:pt>
                <c:pt idx="13">
                  <c:v>39.879619180724802</c:v>
                </c:pt>
                <c:pt idx="14">
                  <c:v>43.219351703953755</c:v>
                </c:pt>
                <c:pt idx="15">
                  <c:v>43.804201935966951</c:v>
                </c:pt>
                <c:pt idx="16">
                  <c:v>46.547699672614876</c:v>
                </c:pt>
                <c:pt idx="17">
                  <c:v>48.920767272326088</c:v>
                </c:pt>
                <c:pt idx="18">
                  <c:v>50.85285802869614</c:v>
                </c:pt>
                <c:pt idx="19">
                  <c:v>53.582818895378779</c:v>
                </c:pt>
                <c:pt idx="20">
                  <c:v>52.273960045454707</c:v>
                </c:pt>
                <c:pt idx="21">
                  <c:v>62.022754668197138</c:v>
                </c:pt>
                <c:pt idx="22">
                  <c:v>66.365672845834069</c:v>
                </c:pt>
                <c:pt idx="23">
                  <c:v>69.593348826028006</c:v>
                </c:pt>
                <c:pt idx="24" formatCode="General">
                  <c:v>71.551948209902321</c:v>
                </c:pt>
                <c:pt idx="25" formatCode="General">
                  <c:v>74.505226654599028</c:v>
                </c:pt>
                <c:pt idx="26" formatCode="General">
                  <c:v>77.458505099295749</c:v>
                </c:pt>
                <c:pt idx="27" formatCode="General">
                  <c:v>80.41178354399247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5F-4FBE-BBE9-9595C2AA9C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3376"/>
        <c:axId val="289763440"/>
      </c:lineChart>
      <c:catAx>
        <c:axId val="105313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</a:t>
                </a:r>
              </a:p>
            </c:rich>
          </c:tx>
          <c:overlay val="0"/>
        </c:title>
        <c:majorTickMark val="out"/>
        <c:minorTickMark val="none"/>
        <c:tickLblPos val="nextTo"/>
        <c:crossAx val="289763440"/>
        <c:crosses val="autoZero"/>
        <c:auto val="1"/>
        <c:lblAlgn val="ctr"/>
        <c:lblOffset val="100"/>
        <c:noMultiLvlLbl val="0"/>
      </c:catAx>
      <c:valAx>
        <c:axId val="289763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value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105313376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Forecast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actual</c:v>
          </c:tx>
          <c:marker>
            <c:symbol val="none"/>
          </c:marker>
          <c:val>
            <c:numRef>
              <c:f>Damp!$C$5:$C$28</c:f>
              <c:numCache>
                <c:formatCode>0.00</c:formatCode>
                <c:ptCount val="24"/>
                <c:pt idx="0">
                  <c:v>17.59</c:v>
                </c:pt>
                <c:pt idx="1">
                  <c:v>21.93</c:v>
                </c:pt>
                <c:pt idx="2">
                  <c:v>24.01</c:v>
                </c:pt>
                <c:pt idx="3">
                  <c:v>27.14</c:v>
                </c:pt>
                <c:pt idx="4">
                  <c:v>27.03</c:v>
                </c:pt>
                <c:pt idx="5">
                  <c:v>29.029999999999998</c:v>
                </c:pt>
                <c:pt idx="6">
                  <c:v>30.259999999999998</c:v>
                </c:pt>
                <c:pt idx="7">
                  <c:v>31.07</c:v>
                </c:pt>
                <c:pt idx="8">
                  <c:v>30.400000000000002</c:v>
                </c:pt>
                <c:pt idx="9">
                  <c:v>31.81</c:v>
                </c:pt>
                <c:pt idx="10">
                  <c:v>32.6</c:v>
                </c:pt>
                <c:pt idx="11">
                  <c:v>33.69</c:v>
                </c:pt>
                <c:pt idx="12">
                  <c:v>39.110000000000007</c:v>
                </c:pt>
                <c:pt idx="13">
                  <c:v>41.62</c:v>
                </c:pt>
                <c:pt idx="14">
                  <c:v>41.800000000000004</c:v>
                </c:pt>
                <c:pt idx="15">
                  <c:v>44.87</c:v>
                </c:pt>
                <c:pt idx="16">
                  <c:v>47.050000000000004</c:v>
                </c:pt>
                <c:pt idx="17">
                  <c:v>48.879999999999995</c:v>
                </c:pt>
                <c:pt idx="18">
                  <c:v>51.65</c:v>
                </c:pt>
                <c:pt idx="19">
                  <c:v>50.04</c:v>
                </c:pt>
                <c:pt idx="20">
                  <c:v>60.84</c:v>
                </c:pt>
                <c:pt idx="21">
                  <c:v>63.53</c:v>
                </c:pt>
                <c:pt idx="22">
                  <c:v>66.459999999999994</c:v>
                </c:pt>
                <c:pt idx="23">
                  <c:v>68.350000000000009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22-4CC2-8B15-4E463B3C20E6}"/>
            </c:ext>
          </c:extLst>
        </c:ser>
        <c:ser>
          <c:idx val="1"/>
          <c:order val="1"/>
          <c:tx>
            <c:v>forecast</c:v>
          </c:tx>
          <c:marker>
            <c:symbol val="none"/>
          </c:marker>
          <c:val>
            <c:numRef>
              <c:f>Damp!$F$5:$F$32</c:f>
              <c:numCache>
                <c:formatCode>0.00</c:formatCode>
                <c:ptCount val="28"/>
                <c:pt idx="1">
                  <c:v>17.59</c:v>
                </c:pt>
                <c:pt idx="2">
                  <c:v>21.756400000000003</c:v>
                </c:pt>
                <c:pt idx="3">
                  <c:v>24.542038399999999</c:v>
                </c:pt>
                <c:pt idx="4">
                  <c:v>27.929076710400004</c:v>
                </c:pt>
                <c:pt idx="5">
                  <c:v>28.256390423142406</c:v>
                </c:pt>
                <c:pt idx="6">
                  <c:v>29.960595436652135</c:v>
                </c:pt>
                <c:pt idx="7">
                  <c:v>31.239698961273806</c:v>
                </c:pt>
                <c:pt idx="8">
                  <c:v>32.028085028380374</c:v>
                </c:pt>
                <c:pt idx="9">
                  <c:v>31.312183474102358</c:v>
                </c:pt>
                <c:pt idx="10">
                  <c:v>32.332592096133382</c:v>
                </c:pt>
                <c:pt idx="11">
                  <c:v>33.157605018565093</c:v>
                </c:pt>
                <c:pt idx="12">
                  <c:v>34.227603820444216</c:v>
                </c:pt>
                <c:pt idx="13">
                  <c:v>39.502980349002961</c:v>
                </c:pt>
                <c:pt idx="14">
                  <c:v>42.774120525966865</c:v>
                </c:pt>
                <c:pt idx="15">
                  <c:v>43.277202760003796</c:v>
                </c:pt>
                <c:pt idx="16">
                  <c:v>45.98406414388959</c:v>
                </c:pt>
                <c:pt idx="17">
                  <c:v>48.314548824757772</c:v>
                </c:pt>
                <c:pt idx="18">
                  <c:v>50.207577130568289</c:v>
                </c:pt>
                <c:pt idx="19">
                  <c:v>52.910144948366892</c:v>
                </c:pt>
                <c:pt idx="20">
                  <c:v>51.568734687136462</c:v>
                </c:pt>
                <c:pt idx="21">
                  <c:v>61.352844270196414</c:v>
                </c:pt>
                <c:pt idx="22">
                  <c:v>65.581506878623202</c:v>
                </c:pt>
                <c:pt idx="23">
                  <c:v>68.695928607328426</c:v>
                </c:pt>
                <c:pt idx="24" formatCode="General">
                  <c:v>70.350062790112673</c:v>
                </c:pt>
                <c:pt idx="25" formatCode="General">
                  <c:v>72.132173924875858</c:v>
                </c:pt>
                <c:pt idx="26" formatCode="General">
                  <c:v>73.736073946162733</c:v>
                </c:pt>
                <c:pt idx="27" formatCode="General">
                  <c:v>75.179583965320916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22-4CC2-8B15-4E463B3C20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6507808"/>
        <c:axId val="341399808"/>
      </c:lineChart>
      <c:catAx>
        <c:axId val="15165078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</a:t>
                </a:r>
              </a:p>
            </c:rich>
          </c:tx>
          <c:overlay val="0"/>
        </c:title>
        <c:majorTickMark val="out"/>
        <c:minorTickMark val="none"/>
        <c:tickLblPos val="nextTo"/>
        <c:crossAx val="341399808"/>
        <c:crosses val="autoZero"/>
        <c:auto val="1"/>
        <c:lblAlgn val="ctr"/>
        <c:lblOffset val="100"/>
        <c:noMultiLvlLbl val="0"/>
      </c:catAx>
      <c:valAx>
        <c:axId val="3413998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value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1516507808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Forecast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actual</c:v>
          </c:tx>
          <c:marker>
            <c:symbol val="none"/>
          </c:marker>
          <c:val>
            <c:numRef>
              <c:f>Opt!$C$5:$C$28</c:f>
              <c:numCache>
                <c:formatCode>0.00</c:formatCode>
                <c:ptCount val="24"/>
                <c:pt idx="0">
                  <c:v>17.59</c:v>
                </c:pt>
                <c:pt idx="1">
                  <c:v>21.93</c:v>
                </c:pt>
                <c:pt idx="2">
                  <c:v>24.01</c:v>
                </c:pt>
                <c:pt idx="3">
                  <c:v>27.14</c:v>
                </c:pt>
                <c:pt idx="4">
                  <c:v>27.03</c:v>
                </c:pt>
                <c:pt idx="5">
                  <c:v>29.029999999999998</c:v>
                </c:pt>
                <c:pt idx="6">
                  <c:v>30.259999999999998</c:v>
                </c:pt>
                <c:pt idx="7">
                  <c:v>31.07</c:v>
                </c:pt>
                <c:pt idx="8">
                  <c:v>30.400000000000002</c:v>
                </c:pt>
                <c:pt idx="9">
                  <c:v>31.81</c:v>
                </c:pt>
                <c:pt idx="10">
                  <c:v>32.6</c:v>
                </c:pt>
                <c:pt idx="11">
                  <c:v>33.69</c:v>
                </c:pt>
                <c:pt idx="12">
                  <c:v>39.110000000000007</c:v>
                </c:pt>
                <c:pt idx="13">
                  <c:v>41.62</c:v>
                </c:pt>
                <c:pt idx="14">
                  <c:v>41.800000000000004</c:v>
                </c:pt>
                <c:pt idx="15">
                  <c:v>44.87</c:v>
                </c:pt>
                <c:pt idx="16">
                  <c:v>47.050000000000004</c:v>
                </c:pt>
                <c:pt idx="17">
                  <c:v>48.879999999999995</c:v>
                </c:pt>
                <c:pt idx="18">
                  <c:v>51.65</c:v>
                </c:pt>
                <c:pt idx="19">
                  <c:v>50.04</c:v>
                </c:pt>
                <c:pt idx="20">
                  <c:v>60.84</c:v>
                </c:pt>
                <c:pt idx="21">
                  <c:v>63.53</c:v>
                </c:pt>
                <c:pt idx="22">
                  <c:v>66.459999999999994</c:v>
                </c:pt>
                <c:pt idx="23">
                  <c:v>68.350000000000009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DF-40A5-8C8D-37C6A4DE3336}"/>
            </c:ext>
          </c:extLst>
        </c:ser>
        <c:ser>
          <c:idx val="1"/>
          <c:order val="1"/>
          <c:tx>
            <c:v>forecast</c:v>
          </c:tx>
          <c:marker>
            <c:symbol val="none"/>
          </c:marker>
          <c:val>
            <c:numRef>
              <c:f>Opt!$F$5:$F$32</c:f>
              <c:numCache>
                <c:formatCode>0.00</c:formatCode>
                <c:ptCount val="28"/>
                <c:pt idx="1">
                  <c:v>17.59</c:v>
                </c:pt>
                <c:pt idx="2">
                  <c:v>22.034657372500853</c:v>
                </c:pt>
                <c:pt idx="3">
                  <c:v>25.128551471422259</c:v>
                </c:pt>
                <c:pt idx="4">
                  <c:v>28.669039320670127</c:v>
                </c:pt>
                <c:pt idx="5">
                  <c:v>28.859774581084565</c:v>
                </c:pt>
                <c:pt idx="6">
                  <c:v>30.36314718122501</c:v>
                </c:pt>
                <c:pt idx="7">
                  <c:v>31.53199594343301</c:v>
                </c:pt>
                <c:pt idx="8">
                  <c:v>32.2152914537238</c:v>
                </c:pt>
                <c:pt idx="9">
                  <c:v>31.314635653773113</c:v>
                </c:pt>
                <c:pt idx="10">
                  <c:v>32.262789560865968</c:v>
                </c:pt>
                <c:pt idx="11">
                  <c:v>33.139179408844235</c:v>
                </c:pt>
                <c:pt idx="12">
                  <c:v>34.278955084486626</c:v>
                </c:pt>
                <c:pt idx="13">
                  <c:v>39.896262680482792</c:v>
                </c:pt>
                <c:pt idx="14">
                  <c:v>43.474753476311122</c:v>
                </c:pt>
                <c:pt idx="15">
                  <c:v>43.866402163748425</c:v>
                </c:pt>
                <c:pt idx="16">
                  <c:v>46.434664796199669</c:v>
                </c:pt>
                <c:pt idx="17">
                  <c:v>48.741020849737019</c:v>
                </c:pt>
                <c:pt idx="18">
                  <c:v>50.589586010181542</c:v>
                </c:pt>
                <c:pt idx="19">
                  <c:v>53.292131604097079</c:v>
                </c:pt>
                <c:pt idx="20">
                  <c:v>51.722345922805104</c:v>
                </c:pt>
                <c:pt idx="21">
                  <c:v>61.890227961639155</c:v>
                </c:pt>
                <c:pt idx="22">
                  <c:v>66.589398280110217</c:v>
                </c:pt>
                <c:pt idx="23">
                  <c:v>69.661946693257207</c:v>
                </c:pt>
                <c:pt idx="24" formatCode="General">
                  <c:v>70.992356081491053</c:v>
                </c:pt>
                <c:pt idx="25" formatCode="General">
                  <c:v>73.149197930444458</c:v>
                </c:pt>
                <c:pt idx="26" formatCode="General">
                  <c:v>75.090355594502526</c:v>
                </c:pt>
                <c:pt idx="27" formatCode="General">
                  <c:v>76.837397492154778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DF-40A5-8C8D-37C6A4DE33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2047616"/>
        <c:axId val="297820256"/>
      </c:lineChart>
      <c:catAx>
        <c:axId val="332047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</a:t>
                </a:r>
              </a:p>
            </c:rich>
          </c:tx>
          <c:overlay val="0"/>
        </c:title>
        <c:majorTickMark val="out"/>
        <c:minorTickMark val="none"/>
        <c:tickLblPos val="nextTo"/>
        <c:crossAx val="297820256"/>
        <c:crosses val="autoZero"/>
        <c:auto val="1"/>
        <c:lblAlgn val="ctr"/>
        <c:lblOffset val="100"/>
        <c:noMultiLvlLbl val="0"/>
      </c:catAx>
      <c:valAx>
        <c:axId val="2978202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value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332047616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517525</xdr:colOff>
      <xdr:row>3</xdr:row>
      <xdr:rowOff>66675</xdr:rowOff>
    </xdr:from>
    <xdr:to>
      <xdr:col>17</xdr:col>
      <xdr:colOff>212725</xdr:colOff>
      <xdr:row>18</xdr:row>
      <xdr:rowOff>41275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32E5B0-4D06-78DB-C111-101AE6151D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149225</xdr:colOff>
      <xdr:row>6</xdr:row>
      <xdr:rowOff>73025</xdr:rowOff>
    </xdr:from>
    <xdr:to>
      <xdr:col>16</xdr:col>
      <xdr:colOff>454025</xdr:colOff>
      <xdr:row>21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8AB0551-2D0D-E34D-D782-77DE23F5B7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542924</xdr:colOff>
      <xdr:row>2</xdr:row>
      <xdr:rowOff>79375</xdr:rowOff>
    </xdr:from>
    <xdr:to>
      <xdr:col>17</xdr:col>
      <xdr:colOff>469900</xdr:colOff>
      <xdr:row>19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A6F6092-16F3-7539-900B-ADC296B143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AppData\Roaming\Microsoft\AddIns\XRealStats.xlam" TargetMode="External"/><Relationship Id="rId1" Type="http://schemas.openxmlformats.org/officeDocument/2006/relationships/externalLinkPath" Target="/Users/user/AppData/Roaming/Microsoft/AddIn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</sheetNames>
    <definedNames>
      <definedName name="FTEX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D6F10-0BE6-4B31-AA1E-BBA78DCA839E}">
  <sheetPr codeName="Sheet3"/>
  <dimension ref="A1:B6"/>
  <sheetViews>
    <sheetView tabSelected="1" workbookViewId="0"/>
  </sheetViews>
  <sheetFormatPr defaultRowHeight="14.5" x14ac:dyDescent="0.35"/>
  <cols>
    <col min="2" max="2" width="9.7265625" bestFit="1" customWidth="1"/>
  </cols>
  <sheetData>
    <row r="1" spans="1:2" x14ac:dyDescent="0.35">
      <c r="A1" t="s">
        <v>16</v>
      </c>
    </row>
    <row r="2" spans="1:2" x14ac:dyDescent="0.35">
      <c r="A2" t="s">
        <v>19</v>
      </c>
    </row>
    <row r="4" spans="1:2" x14ac:dyDescent="0.35">
      <c r="A4" t="s">
        <v>17</v>
      </c>
      <c r="B4" s="14">
        <v>45142</v>
      </c>
    </row>
    <row r="6" spans="1:2" x14ac:dyDescent="0.35">
      <c r="A6" s="15" t="s">
        <v>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127BC-A261-4F63-B7C3-76B3D8BD9816}">
  <sheetPr codeName="Sheet4"/>
  <dimension ref="A1:I35"/>
  <sheetViews>
    <sheetView workbookViewId="0"/>
  </sheetViews>
  <sheetFormatPr defaultRowHeight="14.5" x14ac:dyDescent="0.35"/>
  <cols>
    <col min="1" max="1" width="6.54296875" style="7" customWidth="1"/>
    <col min="2" max="2" width="4.81640625" customWidth="1"/>
  </cols>
  <sheetData>
    <row r="1" spans="1:9" x14ac:dyDescent="0.35">
      <c r="A1" s="8" t="s">
        <v>3</v>
      </c>
    </row>
    <row r="2" spans="1:9" x14ac:dyDescent="0.35">
      <c r="A2" s="7">
        <v>17.59</v>
      </c>
      <c r="C2" t="s">
        <v>20</v>
      </c>
      <c r="G2" t="s">
        <v>4</v>
      </c>
      <c r="H2" s="9">
        <v>0.05</v>
      </c>
    </row>
    <row r="3" spans="1:9" ht="15" thickBot="1" x14ac:dyDescent="0.4">
      <c r="A3" s="7">
        <v>21.93</v>
      </c>
    </row>
    <row r="4" spans="1:9" ht="15" thickTop="1" x14ac:dyDescent="0.35">
      <c r="A4" s="7">
        <v>24.01</v>
      </c>
      <c r="C4" s="10" t="str">
        <f>A1</f>
        <v>data</v>
      </c>
      <c r="D4" s="1" t="s">
        <v>5</v>
      </c>
      <c r="E4" s="1" t="s">
        <v>6</v>
      </c>
      <c r="F4" s="1" t="s">
        <v>7</v>
      </c>
      <c r="G4" s="1" t="s">
        <v>8</v>
      </c>
      <c r="H4" s="1" t="s">
        <v>9</v>
      </c>
      <c r="I4" s="1" t="s">
        <v>10</v>
      </c>
    </row>
    <row r="5" spans="1:9" x14ac:dyDescent="0.35">
      <c r="A5" s="7">
        <v>27.14</v>
      </c>
      <c r="C5" s="7">
        <f>A2</f>
        <v>17.59</v>
      </c>
      <c r="D5" s="7">
        <f>C5</f>
        <v>17.59</v>
      </c>
      <c r="E5">
        <v>0</v>
      </c>
    </row>
    <row r="6" spans="1:9" x14ac:dyDescent="0.35">
      <c r="A6" s="7">
        <v>27.03</v>
      </c>
      <c r="C6" s="7">
        <f t="shared" ref="C6:C28" si="0">A3</f>
        <v>21.93</v>
      </c>
      <c r="D6">
        <f>$C$35*C6+(1-$C$35)*(D5+E5)</f>
        <v>21.062000000000001</v>
      </c>
      <c r="E6">
        <f>$D$35*(D6-D5)+(1-$D$35)*E5</f>
        <v>0.69440000000000035</v>
      </c>
      <c r="F6" s="7">
        <f>D5+E5</f>
        <v>17.59</v>
      </c>
    </row>
    <row r="7" spans="1:9" x14ac:dyDescent="0.35">
      <c r="A7" s="7">
        <v>29.029999999999998</v>
      </c>
      <c r="C7" s="7">
        <f t="shared" si="0"/>
        <v>24.01</v>
      </c>
      <c r="D7">
        <f t="shared" ref="D7:D28" si="1">$C$35*C7+(1-$C$35)*(D6+E6)</f>
        <v>23.559280000000001</v>
      </c>
      <c r="E7">
        <f t="shared" ref="E7:E28" si="2">$D$35*(D7-D6)+(1-$D$35)*E6</f>
        <v>1.0549760000000004</v>
      </c>
      <c r="F7" s="7">
        <f t="shared" ref="F7:F28" si="3">D6+E6</f>
        <v>21.756400000000003</v>
      </c>
      <c r="G7">
        <f>SQRT(SUMXMY2(C$6:C6,F$6:F6)/COUNT(F$6:F6))</f>
        <v>4.34</v>
      </c>
      <c r="H7">
        <f>F7-_xlfn.NORM.S.INV(1-H$2/2)*G7</f>
        <v>13.250156307096171</v>
      </c>
      <c r="I7">
        <f>F7+_xlfn.NORM.S.INV(1-H$2/2)*G7</f>
        <v>30.262643692903836</v>
      </c>
    </row>
    <row r="8" spans="1:9" x14ac:dyDescent="0.35">
      <c r="A8" s="7">
        <v>30.259999999999998</v>
      </c>
      <c r="C8" s="7">
        <f t="shared" si="0"/>
        <v>27.14</v>
      </c>
      <c r="D8">
        <f t="shared" si="1"/>
        <v>26.634851200000004</v>
      </c>
      <c r="E8">
        <f t="shared" si="2"/>
        <v>1.4590950400000007</v>
      </c>
      <c r="F8" s="7">
        <f t="shared" si="3"/>
        <v>24.614256000000001</v>
      </c>
      <c r="G8">
        <f>SQRT(SUMXMY2(C$6:C7,F$6:F7)/COUNT(F$6:F7))</f>
        <v>3.4579121562006163</v>
      </c>
      <c r="H8">
        <f t="shared" ref="H8:H32" si="4">F8-_xlfn.NORM.S.INV(1-H$2/2)*G8</f>
        <v>17.836872712143553</v>
      </c>
      <c r="I8">
        <f t="shared" ref="I8:I32" si="5">F8+_xlfn.NORM.S.INV(1-H$2/2)*G8</f>
        <v>31.391639287856449</v>
      </c>
    </row>
    <row r="9" spans="1:9" x14ac:dyDescent="0.35">
      <c r="A9" s="7">
        <v>31.07</v>
      </c>
      <c r="C9" s="7">
        <f t="shared" si="0"/>
        <v>27.03</v>
      </c>
      <c r="D9">
        <f t="shared" si="1"/>
        <v>27.242789248000001</v>
      </c>
      <c r="E9">
        <f t="shared" si="2"/>
        <v>1.2888636416000001</v>
      </c>
      <c r="F9" s="7">
        <f t="shared" si="3"/>
        <v>28.093946240000005</v>
      </c>
      <c r="G9">
        <f>SQRT(SUMXMY2(C$6:C8,F$6:F8)/COUNT(F$6:F8))</f>
        <v>3.1777190831127067</v>
      </c>
      <c r="H9">
        <f t="shared" si="4"/>
        <v>21.865731284113458</v>
      </c>
      <c r="I9">
        <f t="shared" si="5"/>
        <v>34.322161195886551</v>
      </c>
    </row>
    <row r="10" spans="1:9" x14ac:dyDescent="0.35">
      <c r="A10" s="7">
        <v>30.400000000000002</v>
      </c>
      <c r="C10" s="7">
        <f t="shared" si="0"/>
        <v>29.029999999999998</v>
      </c>
      <c r="D10">
        <f t="shared" si="1"/>
        <v>28.93033057792</v>
      </c>
      <c r="E10">
        <f t="shared" si="2"/>
        <v>1.3685991792639998</v>
      </c>
      <c r="F10" s="7">
        <f t="shared" si="3"/>
        <v>28.5316528896</v>
      </c>
      <c r="G10">
        <f>SQRT(SUMXMY2(C$6:C9,F$6:F9)/COUNT(F$6:F9))</f>
        <v>2.8029304894675025</v>
      </c>
      <c r="H10">
        <f t="shared" si="4"/>
        <v>23.038010079074471</v>
      </c>
      <c r="I10">
        <f t="shared" si="5"/>
        <v>34.025295700125525</v>
      </c>
    </row>
    <row r="11" spans="1:9" x14ac:dyDescent="0.35">
      <c r="A11" s="7">
        <v>31.81</v>
      </c>
      <c r="C11" s="7">
        <f t="shared" si="0"/>
        <v>30.259999999999998</v>
      </c>
      <c r="D11">
        <f t="shared" si="1"/>
        <v>30.267785951436796</v>
      </c>
      <c r="E11">
        <f t="shared" si="2"/>
        <v>1.3623704181145593</v>
      </c>
      <c r="F11" s="7">
        <f t="shared" si="3"/>
        <v>30.298929757183998</v>
      </c>
      <c r="G11">
        <f>SQRT(SUMXMY2(C$6:C10,F$6:F10)/COUNT(F$6:F10))</f>
        <v>2.5169039376817768</v>
      </c>
      <c r="H11">
        <f t="shared" si="4"/>
        <v>25.365888686780671</v>
      </c>
      <c r="I11">
        <f t="shared" si="5"/>
        <v>35.231970827587325</v>
      </c>
    </row>
    <row r="12" spans="1:9" x14ac:dyDescent="0.35">
      <c r="A12" s="7">
        <v>32.6</v>
      </c>
      <c r="C12" s="7">
        <f t="shared" si="0"/>
        <v>31.07</v>
      </c>
      <c r="D12">
        <f t="shared" si="1"/>
        <v>31.182031273910269</v>
      </c>
      <c r="E12">
        <f t="shared" si="2"/>
        <v>1.2727453989863422</v>
      </c>
      <c r="F12" s="7">
        <f t="shared" si="3"/>
        <v>31.630156369551354</v>
      </c>
      <c r="G12">
        <f>SQRT(SUMXMY2(C$6:C11,F$6:F11)/COUNT(F$6:F11))</f>
        <v>2.2976634030968857</v>
      </c>
      <c r="H12">
        <f t="shared" si="4"/>
        <v>27.126818850885723</v>
      </c>
      <c r="I12">
        <f t="shared" si="5"/>
        <v>36.133493888216989</v>
      </c>
    </row>
    <row r="13" spans="1:9" x14ac:dyDescent="0.35">
      <c r="A13" s="7">
        <v>33.69</v>
      </c>
      <c r="C13" s="7">
        <f t="shared" si="0"/>
        <v>30.400000000000002</v>
      </c>
      <c r="D13">
        <f t="shared" si="1"/>
        <v>30.810955334579326</v>
      </c>
      <c r="E13">
        <f t="shared" si="2"/>
        <v>0.94398113132288508</v>
      </c>
      <c r="F13" s="7">
        <f t="shared" si="3"/>
        <v>32.454776672896614</v>
      </c>
      <c r="G13">
        <f>SQRT(SUMXMY2(C$6:C12,F$6:F12)/COUNT(F$6:F12))</f>
        <v>2.1377330396585177</v>
      </c>
      <c r="H13">
        <f t="shared" si="4"/>
        <v>28.264896906604584</v>
      </c>
      <c r="I13">
        <f t="shared" si="5"/>
        <v>36.644656439188644</v>
      </c>
    </row>
    <row r="14" spans="1:9" x14ac:dyDescent="0.35">
      <c r="A14" s="7">
        <v>39.110000000000007</v>
      </c>
      <c r="C14" s="7">
        <f t="shared" si="0"/>
        <v>31.81</v>
      </c>
      <c r="D14">
        <f t="shared" si="1"/>
        <v>31.798987293180442</v>
      </c>
      <c r="E14">
        <f t="shared" si="2"/>
        <v>0.95279129677853136</v>
      </c>
      <c r="F14" s="7">
        <f t="shared" si="3"/>
        <v>31.754936465902212</v>
      </c>
      <c r="G14">
        <f>SQRT(SUMXMY2(C$6:C13,F$6:F13)/COUNT(F$6:F13))</f>
        <v>2.1275403937826183</v>
      </c>
      <c r="H14">
        <f t="shared" si="4"/>
        <v>27.585033918434117</v>
      </c>
      <c r="I14">
        <f t="shared" si="5"/>
        <v>35.92483901337031</v>
      </c>
    </row>
    <row r="15" spans="1:9" x14ac:dyDescent="0.35">
      <c r="A15" s="7">
        <v>41.62</v>
      </c>
      <c r="C15" s="7">
        <f t="shared" si="0"/>
        <v>32.6</v>
      </c>
      <c r="D15">
        <f t="shared" si="1"/>
        <v>32.630355717991797</v>
      </c>
      <c r="E15">
        <f t="shared" si="2"/>
        <v>0.92850672238509624</v>
      </c>
      <c r="F15" s="7">
        <f t="shared" si="3"/>
        <v>32.751778589958974</v>
      </c>
      <c r="G15">
        <f>SQRT(SUMXMY2(C$6:C14,F$6:F14)/COUNT(F$6:F14))</f>
        <v>2.0059482936229918</v>
      </c>
      <c r="H15">
        <f t="shared" si="4"/>
        <v>28.820192179608334</v>
      </c>
      <c r="I15">
        <f t="shared" si="5"/>
        <v>36.683365000309614</v>
      </c>
    </row>
    <row r="16" spans="1:9" x14ac:dyDescent="0.35">
      <c r="A16" s="7">
        <v>41.800000000000004</v>
      </c>
      <c r="C16" s="7">
        <f t="shared" si="0"/>
        <v>33.69</v>
      </c>
      <c r="D16">
        <f t="shared" si="1"/>
        <v>33.663772488075374</v>
      </c>
      <c r="E16">
        <f t="shared" si="2"/>
        <v>0.94948873192479222</v>
      </c>
      <c r="F16" s="7">
        <f t="shared" si="3"/>
        <v>33.558862440376892</v>
      </c>
      <c r="G16">
        <f>SQRT(SUMXMY2(C$6:C15,F$6:F15)/COUNT(F$6:F15))</f>
        <v>1.9036148179337871</v>
      </c>
      <c r="H16">
        <f t="shared" si="4"/>
        <v>29.827845956789897</v>
      </c>
      <c r="I16">
        <f t="shared" si="5"/>
        <v>37.289878923963883</v>
      </c>
    </row>
    <row r="17" spans="1:9" x14ac:dyDescent="0.35">
      <c r="A17" s="7">
        <v>44.87</v>
      </c>
      <c r="C17" s="7">
        <f t="shared" si="0"/>
        <v>39.110000000000007</v>
      </c>
      <c r="D17">
        <f t="shared" si="1"/>
        <v>38.210652244000038</v>
      </c>
      <c r="E17">
        <f t="shared" si="2"/>
        <v>1.6689669367247668</v>
      </c>
      <c r="F17" s="7">
        <f t="shared" si="3"/>
        <v>34.613261220000169</v>
      </c>
      <c r="G17">
        <f>SQRT(SUMXMY2(C$6:C16,F$6:F16)/COUNT(F$6:F16))</f>
        <v>1.815456136274767</v>
      </c>
      <c r="H17">
        <f t="shared" si="4"/>
        <v>31.055032577389387</v>
      </c>
      <c r="I17">
        <f t="shared" si="5"/>
        <v>38.171489862610954</v>
      </c>
    </row>
    <row r="18" spans="1:9" x14ac:dyDescent="0.35">
      <c r="A18" s="7">
        <v>47.050000000000004</v>
      </c>
      <c r="C18" s="7">
        <f t="shared" si="0"/>
        <v>41.62</v>
      </c>
      <c r="D18">
        <f t="shared" si="1"/>
        <v>41.271923836144957</v>
      </c>
      <c r="E18">
        <f t="shared" si="2"/>
        <v>1.9474278678087975</v>
      </c>
      <c r="F18" s="7">
        <f t="shared" si="3"/>
        <v>39.879619180724802</v>
      </c>
      <c r="G18">
        <f>SQRT(SUMXMY2(C$6:C17,F$6:F17)/COUNT(F$6:F17))</f>
        <v>2.1693960462470732</v>
      </c>
      <c r="H18">
        <f t="shared" si="4"/>
        <v>35.627681061876949</v>
      </c>
      <c r="I18">
        <f t="shared" si="5"/>
        <v>44.131557299572655</v>
      </c>
    </row>
    <row r="19" spans="1:9" x14ac:dyDescent="0.35">
      <c r="A19" s="7">
        <v>48.879999999999995</v>
      </c>
      <c r="C19" s="7">
        <f t="shared" si="0"/>
        <v>41.800000000000004</v>
      </c>
      <c r="D19">
        <f t="shared" si="1"/>
        <v>42.083870340790753</v>
      </c>
      <c r="E19">
        <f t="shared" si="2"/>
        <v>1.7203315951761973</v>
      </c>
      <c r="F19" s="7">
        <f t="shared" si="3"/>
        <v>43.219351703953755</v>
      </c>
      <c r="G19">
        <f>SQRT(SUMXMY2(C$6:C18,F$6:F18)/COUNT(F$6:F18))</f>
        <v>2.1394513290483936</v>
      </c>
      <c r="H19">
        <f t="shared" si="4"/>
        <v>39.026104152342555</v>
      </c>
      <c r="I19">
        <f t="shared" si="5"/>
        <v>47.412599255564956</v>
      </c>
    </row>
    <row r="20" spans="1:9" x14ac:dyDescent="0.35">
      <c r="A20" s="7">
        <v>51.65</v>
      </c>
      <c r="C20" s="7">
        <f t="shared" si="0"/>
        <v>44.87</v>
      </c>
      <c r="D20">
        <f t="shared" si="1"/>
        <v>44.656840387193391</v>
      </c>
      <c r="E20">
        <f t="shared" si="2"/>
        <v>1.8908592854214854</v>
      </c>
      <c r="F20" s="7">
        <f t="shared" si="3"/>
        <v>43.804201935966951</v>
      </c>
      <c r="G20">
        <f>SQRT(SUMXMY2(C$6:C19,F$6:F19)/COUNT(F$6:F19))</f>
        <v>2.0962353180555207</v>
      </c>
      <c r="H20">
        <f t="shared" si="4"/>
        <v>39.695656209457269</v>
      </c>
      <c r="I20">
        <f t="shared" si="5"/>
        <v>47.912747662476633</v>
      </c>
    </row>
    <row r="21" spans="1:9" x14ac:dyDescent="0.35">
      <c r="A21" s="7">
        <v>50.04</v>
      </c>
      <c r="C21" s="7">
        <f t="shared" si="0"/>
        <v>47.050000000000004</v>
      </c>
      <c r="D21">
        <f t="shared" si="1"/>
        <v>46.949539934522981</v>
      </c>
      <c r="E21">
        <f t="shared" si="2"/>
        <v>1.9712273378031067</v>
      </c>
      <c r="F21" s="7">
        <f t="shared" si="3"/>
        <v>46.547699672614876</v>
      </c>
      <c r="G21">
        <f>SQRT(SUMXMY2(C$6:C20,F$6:F20)/COUNT(F$6:F20))</f>
        <v>2.0437671203700156</v>
      </c>
      <c r="H21">
        <f t="shared" si="4"/>
        <v>42.54198972390251</v>
      </c>
      <c r="I21">
        <f t="shared" si="5"/>
        <v>50.553409621327241</v>
      </c>
    </row>
    <row r="22" spans="1:9" x14ac:dyDescent="0.35">
      <c r="A22" s="7">
        <v>60.84</v>
      </c>
      <c r="C22" s="7">
        <f t="shared" si="0"/>
        <v>48.879999999999995</v>
      </c>
      <c r="D22">
        <f t="shared" si="1"/>
        <v>48.888153454465211</v>
      </c>
      <c r="E22">
        <f t="shared" si="2"/>
        <v>1.9647045742309315</v>
      </c>
      <c r="F22" s="7">
        <f t="shared" si="3"/>
        <v>48.920767272326088</v>
      </c>
      <c r="G22">
        <f>SQRT(SUMXMY2(C$6:C21,F$6:F21)/COUNT(F$6:F21))</f>
        <v>1.9828493742193707</v>
      </c>
      <c r="H22">
        <f t="shared" si="4"/>
        <v>45.034453912088338</v>
      </c>
      <c r="I22">
        <f t="shared" si="5"/>
        <v>52.807080632563839</v>
      </c>
    </row>
    <row r="23" spans="1:9" x14ac:dyDescent="0.35">
      <c r="A23" s="7">
        <v>63.53</v>
      </c>
      <c r="C23" s="7">
        <f t="shared" si="0"/>
        <v>51.65</v>
      </c>
      <c r="D23">
        <f t="shared" si="1"/>
        <v>51.490571605739227</v>
      </c>
      <c r="E23">
        <f t="shared" si="2"/>
        <v>2.0922472896395483</v>
      </c>
      <c r="F23" s="7">
        <f t="shared" si="3"/>
        <v>50.85285802869614</v>
      </c>
      <c r="G23">
        <f>SQRT(SUMXMY2(C$6:C22,F$6:F22)/COUNT(F$6:F22))</f>
        <v>1.9236718599956839</v>
      </c>
      <c r="H23">
        <f t="shared" si="4"/>
        <v>47.082530465031425</v>
      </c>
      <c r="I23">
        <f t="shared" si="5"/>
        <v>54.623185592360855</v>
      </c>
    </row>
    <row r="24" spans="1:9" x14ac:dyDescent="0.35">
      <c r="A24" s="7">
        <v>66.459999999999994</v>
      </c>
      <c r="C24" s="7">
        <f t="shared" si="0"/>
        <v>50.04</v>
      </c>
      <c r="D24">
        <f t="shared" si="1"/>
        <v>50.748563779075759</v>
      </c>
      <c r="E24">
        <f t="shared" si="2"/>
        <v>1.5253962663789451</v>
      </c>
      <c r="F24" s="7">
        <f t="shared" si="3"/>
        <v>53.582818895378779</v>
      </c>
      <c r="G24">
        <f>SQRT(SUMXMY2(C$6:C23,F$6:F23)/COUNT(F$6:F23))</f>
        <v>1.8788909782454932</v>
      </c>
      <c r="H24">
        <f t="shared" si="4"/>
        <v>49.90026024714038</v>
      </c>
      <c r="I24">
        <f t="shared" si="5"/>
        <v>57.265377543617177</v>
      </c>
    </row>
    <row r="25" spans="1:9" x14ac:dyDescent="0.35">
      <c r="A25" s="6">
        <v>68.350000000000009</v>
      </c>
      <c r="C25" s="7">
        <f t="shared" si="0"/>
        <v>60.84</v>
      </c>
      <c r="D25">
        <f t="shared" si="1"/>
        <v>59.126792009090941</v>
      </c>
      <c r="E25">
        <f t="shared" si="2"/>
        <v>2.8959626591061927</v>
      </c>
      <c r="F25" s="7">
        <f t="shared" si="3"/>
        <v>52.273960045454707</v>
      </c>
      <c r="G25">
        <f>SQRT(SUMXMY2(C$6:C24,F$6:F24)/COUNT(F$6:F24))</f>
        <v>2.0012591992863213</v>
      </c>
      <c r="H25">
        <f t="shared" si="4"/>
        <v>48.351564091124054</v>
      </c>
      <c r="I25">
        <f t="shared" si="5"/>
        <v>56.196355999785361</v>
      </c>
    </row>
    <row r="26" spans="1:9" x14ac:dyDescent="0.35">
      <c r="C26" s="7">
        <f t="shared" si="0"/>
        <v>63.53</v>
      </c>
      <c r="D26">
        <f t="shared" si="1"/>
        <v>63.228550933639426</v>
      </c>
      <c r="E26">
        <f t="shared" si="2"/>
        <v>3.137121912194651</v>
      </c>
      <c r="F26" s="7">
        <f t="shared" si="3"/>
        <v>62.022754668197138</v>
      </c>
      <c r="G26">
        <f>SQRT(SUMXMY2(C$6:C25,F$6:F25)/COUNT(F$6:F25))</f>
        <v>2.7337956194154382</v>
      </c>
      <c r="H26">
        <f t="shared" si="4"/>
        <v>56.664613713049512</v>
      </c>
      <c r="I26">
        <f t="shared" si="5"/>
        <v>67.38089562334477</v>
      </c>
    </row>
    <row r="27" spans="1:9" x14ac:dyDescent="0.35">
      <c r="C27" s="7">
        <f t="shared" si="0"/>
        <v>66.459999999999994</v>
      </c>
      <c r="D27">
        <f t="shared" si="1"/>
        <v>66.441134569166806</v>
      </c>
      <c r="E27">
        <f t="shared" si="2"/>
        <v>3.1522142568611971</v>
      </c>
      <c r="F27" s="7">
        <f t="shared" si="3"/>
        <v>66.365672845834069</v>
      </c>
      <c r="G27">
        <f>SQRT(SUMXMY2(C$6:C26,F$6:F26)/COUNT(F$6:F26))</f>
        <v>2.6881092511186435</v>
      </c>
      <c r="H27">
        <f t="shared" si="4"/>
        <v>61.097075527132596</v>
      </c>
      <c r="I27">
        <f t="shared" si="5"/>
        <v>71.63427016453555</v>
      </c>
    </row>
    <row r="28" spans="1:9" x14ac:dyDescent="0.35">
      <c r="C28" s="6">
        <f t="shared" si="0"/>
        <v>68.350000000000009</v>
      </c>
      <c r="D28" s="2">
        <f t="shared" si="1"/>
        <v>68.598669765205599</v>
      </c>
      <c r="E28" s="2">
        <f t="shared" si="2"/>
        <v>2.9532784446967164</v>
      </c>
      <c r="F28" s="6">
        <f t="shared" si="3"/>
        <v>69.593348826028006</v>
      </c>
      <c r="G28" s="2">
        <f>SQRT(SUMXMY2(C$6:C27,F$6:F27)/COUNT(F$6:F27))</f>
        <v>2.626382370875084</v>
      </c>
      <c r="H28" s="2">
        <f t="shared" si="4"/>
        <v>64.445733969481921</v>
      </c>
      <c r="I28" s="2">
        <f t="shared" si="5"/>
        <v>74.74096368257409</v>
      </c>
    </row>
    <row r="29" spans="1:9" x14ac:dyDescent="0.35">
      <c r="C29" s="3" t="s">
        <v>1</v>
      </c>
      <c r="F29">
        <f>$D$28+$E$28*(ROW(D29)-ROW($D$28))</f>
        <v>71.551948209902321</v>
      </c>
      <c r="G29">
        <f>SQRT(SUMXMY2(C$6:C28,F$6:F28)/COUNT(F$6:F28))</f>
        <v>2.5817029447224793</v>
      </c>
      <c r="H29">
        <f t="shared" si="4"/>
        <v>66.49190341946526</v>
      </c>
      <c r="I29">
        <f t="shared" si="5"/>
        <v>76.611993000339382</v>
      </c>
    </row>
    <row r="30" spans="1:9" x14ac:dyDescent="0.35">
      <c r="C30" s="3" t="s">
        <v>1</v>
      </c>
      <c r="F30">
        <f t="shared" ref="F30:F32" si="6">$D$28+$E$28*(ROW(D30)-ROW($D$28))</f>
        <v>74.505226654599028</v>
      </c>
      <c r="G30">
        <f>G$29*SQRT((G29/G$29)^2-1+(C$35*(1+(ROW(F30)-ROW(F$29))*D$35))^2+1)</f>
        <v>3.5788027727364367</v>
      </c>
      <c r="H30">
        <f t="shared" si="4"/>
        <v>67.490902112263527</v>
      </c>
      <c r="I30">
        <f t="shared" si="5"/>
        <v>81.519551196934529</v>
      </c>
    </row>
    <row r="31" spans="1:9" x14ac:dyDescent="0.35">
      <c r="C31" s="3" t="s">
        <v>1</v>
      </c>
      <c r="F31">
        <f t="shared" si="6"/>
        <v>77.458505099295749</v>
      </c>
      <c r="G31">
        <f t="shared" ref="G31:G32" si="7">G$29*SQRT((G30/G$29)^2-1+(C$35*(1+(ROW(F31)-ROW(F$29))*D$35))^2+1)</f>
        <v>4.6009394411412305</v>
      </c>
      <c r="H31">
        <f t="shared" si="4"/>
        <v>68.440829499609094</v>
      </c>
      <c r="I31">
        <f t="shared" si="5"/>
        <v>86.476180698982404</v>
      </c>
    </row>
    <row r="32" spans="1:9" x14ac:dyDescent="0.35">
      <c r="C32" s="3" t="s">
        <v>1</v>
      </c>
      <c r="F32">
        <f t="shared" si="6"/>
        <v>80.41178354399247</v>
      </c>
      <c r="G32">
        <f t="shared" si="7"/>
        <v>5.6647057463164687</v>
      </c>
      <c r="H32">
        <f t="shared" si="4"/>
        <v>69.3091642981951</v>
      </c>
      <c r="I32">
        <f t="shared" si="5"/>
        <v>91.514402789789841</v>
      </c>
    </row>
    <row r="34" spans="3:7" x14ac:dyDescent="0.35">
      <c r="C34" s="4" t="s">
        <v>2</v>
      </c>
      <c r="D34" s="4" t="s">
        <v>11</v>
      </c>
      <c r="E34" s="4" t="s">
        <v>13</v>
      </c>
      <c r="F34" s="4" t="s">
        <v>14</v>
      </c>
      <c r="G34" s="4" t="s">
        <v>15</v>
      </c>
    </row>
    <row r="35" spans="3:7" x14ac:dyDescent="0.35">
      <c r="C35" s="5">
        <v>0.8</v>
      </c>
      <c r="D35" s="11">
        <v>0.2</v>
      </c>
      <c r="E35" s="5">
        <f>SUMPRODUCT(ABS(C6:C28-F6:F28))/COUNT(F6:F28)</f>
        <v>1.6821625623438958</v>
      </c>
      <c r="F35" s="12">
        <f>SUMXMY2(C6:C28,F6:F28)/COUNT(F6:F28)</f>
        <v>6.6651900947887208</v>
      </c>
      <c r="G35" s="11">
        <f>SUMPRODUCT(ABS(1-F6:F28/C6:C28))/COUNT(F6:F28)</f>
        <v>4.4996396194315065E-2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06C6A-2E4D-4F7F-B117-D5B3F2DB97B1}">
  <sheetPr codeName="Sheet1"/>
  <dimension ref="A1:U35"/>
  <sheetViews>
    <sheetView zoomScaleNormal="100" workbookViewId="0"/>
  </sheetViews>
  <sheetFormatPr defaultRowHeight="14.5" x14ac:dyDescent="0.35"/>
  <cols>
    <col min="1" max="1" width="6.54296875" style="7" customWidth="1"/>
    <col min="2" max="2" width="4.81640625" customWidth="1"/>
    <col min="21" max="21" width="59.7265625" customWidth="1"/>
  </cols>
  <sheetData>
    <row r="1" spans="1:21" x14ac:dyDescent="0.35">
      <c r="A1" s="8" t="s">
        <v>3</v>
      </c>
    </row>
    <row r="2" spans="1:21" x14ac:dyDescent="0.35">
      <c r="A2" s="7">
        <v>17.59</v>
      </c>
      <c r="C2" t="s">
        <v>0</v>
      </c>
      <c r="G2" t="s">
        <v>4</v>
      </c>
      <c r="H2" s="9">
        <v>0.05</v>
      </c>
    </row>
    <row r="3" spans="1:21" ht="15" thickBot="1" x14ac:dyDescent="0.4">
      <c r="A3" s="7">
        <v>21.93</v>
      </c>
      <c r="S3" s="16" t="s">
        <v>26</v>
      </c>
      <c r="T3" s="16" t="s">
        <v>27</v>
      </c>
      <c r="U3" s="16" t="s">
        <v>28</v>
      </c>
    </row>
    <row r="4" spans="1:21" ht="15" thickTop="1" x14ac:dyDescent="0.35">
      <c r="A4" s="7">
        <v>24.01</v>
      </c>
      <c r="C4" s="10" t="str">
        <f>A1</f>
        <v>data</v>
      </c>
      <c r="D4" s="1" t="s">
        <v>5</v>
      </c>
      <c r="E4" s="1" t="s">
        <v>6</v>
      </c>
      <c r="F4" s="1" t="s">
        <v>7</v>
      </c>
      <c r="G4" s="1" t="s">
        <v>8</v>
      </c>
      <c r="H4" s="1" t="s">
        <v>9</v>
      </c>
      <c r="I4" s="1" t="s">
        <v>10</v>
      </c>
      <c r="S4" t="s">
        <v>5</v>
      </c>
      <c r="T4" t="s">
        <v>21</v>
      </c>
      <c r="U4" t="str" cm="1">
        <f t="array" ref="U4">[1]!FTEXT(D6)</f>
        <v>=$C$35*C6+(1-$C$35)*(D5+E5*$H$35)</v>
      </c>
    </row>
    <row r="5" spans="1:21" x14ac:dyDescent="0.35">
      <c r="A5" s="7">
        <v>27.14</v>
      </c>
      <c r="C5" s="7">
        <f>A2</f>
        <v>17.59</v>
      </c>
      <c r="D5" s="7">
        <f>C5</f>
        <v>17.59</v>
      </c>
      <c r="E5">
        <v>0</v>
      </c>
      <c r="S5" t="s">
        <v>6</v>
      </c>
      <c r="T5" t="s">
        <v>22</v>
      </c>
      <c r="U5" t="str" cm="1">
        <f t="array" ref="U5">[1]!FTEXT(E6)</f>
        <v>=$D$35*(D6-D5)+(1-$D$35)*E5*$H$35</v>
      </c>
    </row>
    <row r="6" spans="1:21" x14ac:dyDescent="0.35">
      <c r="A6" s="7">
        <v>27.03</v>
      </c>
      <c r="C6" s="7">
        <f t="shared" ref="C6:C28" si="0">A3</f>
        <v>21.93</v>
      </c>
      <c r="D6">
        <f>$C$35*C6+(1-$C$35)*(D5+E5*$H$35)</f>
        <v>21.062000000000001</v>
      </c>
      <c r="E6">
        <f>$D$35*(D6-D5)+(1-$D$35)*E5*$H$35</f>
        <v>0.69440000000000035</v>
      </c>
      <c r="F6" s="7">
        <f>D5+E5</f>
        <v>17.59</v>
      </c>
      <c r="S6" t="s">
        <v>7</v>
      </c>
      <c r="T6" t="s">
        <v>23</v>
      </c>
      <c r="U6" t="str" cm="1">
        <f t="array" ref="U6">[1]!FTEXT(F31)</f>
        <v>=$D$28+$E$28*$H$35*(1-$H$35^(ROW(D31)-ROW($D$28)))/(1-$H$35)</v>
      </c>
    </row>
    <row r="7" spans="1:21" x14ac:dyDescent="0.35">
      <c r="A7" s="7">
        <v>29.029999999999998</v>
      </c>
      <c r="C7" s="7">
        <f t="shared" si="0"/>
        <v>24.01</v>
      </c>
      <c r="D7">
        <f t="shared" ref="D7:D28" si="1">$C$35*C7+(1-$C$35)*(D6+E6*$H$35)</f>
        <v>23.545392</v>
      </c>
      <c r="E7">
        <f t="shared" ref="E7:E28" si="2">$D$35*(D7-D6)+(1-$D$35)*E6*$H$35</f>
        <v>0.99664640000000004</v>
      </c>
      <c r="F7" s="7">
        <f t="shared" ref="F7:F28" si="3">D6+E6</f>
        <v>21.756400000000003</v>
      </c>
      <c r="G7">
        <f>SQRT(SUMXMY2(C$6:C6,F$6:F6)/COUNT(F$6:F6))</f>
        <v>4.34</v>
      </c>
      <c r="H7">
        <f>F7-_xlfn.NORM.S.INV(1-H$2/2)*G7</f>
        <v>13.250156307096171</v>
      </c>
      <c r="I7">
        <f>F7+_xlfn.NORM.S.INV(1-H$2/2)*G7</f>
        <v>30.262643692903836</v>
      </c>
      <c r="S7" t="s">
        <v>8</v>
      </c>
      <c r="T7" t="s">
        <v>24</v>
      </c>
      <c r="U7" t="str" cm="1">
        <f t="array" ref="U7">[1]!FTEXT(G31)</f>
        <v>=SQRT(J31*C$35^2+1)</v>
      </c>
    </row>
    <row r="8" spans="1:21" ht="14.5" customHeight="1" x14ac:dyDescent="0.35">
      <c r="A8" s="7">
        <v>30.259999999999998</v>
      </c>
      <c r="C8" s="7">
        <f t="shared" si="0"/>
        <v>27.14</v>
      </c>
      <c r="D8">
        <f t="shared" si="1"/>
        <v>26.600474752000004</v>
      </c>
      <c r="E8">
        <f t="shared" si="2"/>
        <v>1.3286019584000011</v>
      </c>
      <c r="F8" s="7">
        <f t="shared" si="3"/>
        <v>24.542038399999999</v>
      </c>
      <c r="G8">
        <f>SQRT(SUMXMY2(C$6:C7,F$6:F7)/COUNT(F$6:F7))</f>
        <v>3.4579121562006163</v>
      </c>
      <c r="H8">
        <f t="shared" ref="H8:H32" si="4">F8-_xlfn.NORM.S.INV(1-H$2/2)*G8</f>
        <v>17.764655112143551</v>
      </c>
      <c r="I8">
        <f t="shared" ref="I8:I32" si="5">F8+_xlfn.NORM.S.INV(1-H$2/2)*G8</f>
        <v>31.319421687856448</v>
      </c>
      <c r="S8" s="17" t="s">
        <v>29</v>
      </c>
      <c r="T8" s="2" t="s">
        <v>25</v>
      </c>
      <c r="U8" s="2" t="str" cm="1">
        <f t="array" ref="U8">[1]!FTEXT(J31)</f>
        <v>=(H$35*(1-H$35^(ROW(F31)-ROW(F$29)))*D$35/(1-H$35)+1)^2+J30</v>
      </c>
    </row>
    <row r="9" spans="1:21" x14ac:dyDescent="0.35">
      <c r="A9" s="7">
        <v>31.07</v>
      </c>
      <c r="C9" s="7">
        <f t="shared" si="0"/>
        <v>27.03</v>
      </c>
      <c r="D9">
        <f t="shared" si="1"/>
        <v>27.183243302912004</v>
      </c>
      <c r="E9">
        <f t="shared" si="2"/>
        <v>1.0731471202304008</v>
      </c>
      <c r="F9" s="7">
        <f t="shared" si="3"/>
        <v>27.929076710400004</v>
      </c>
      <c r="G9">
        <f>SQRT(SUMXMY2(C$6:C8,F$6:F8)/COUNT(F$6:F8))</f>
        <v>3.1970672725209979</v>
      </c>
      <c r="H9">
        <f t="shared" si="4"/>
        <v>21.662940000107149</v>
      </c>
      <c r="I9">
        <f t="shared" si="5"/>
        <v>34.195213420692859</v>
      </c>
    </row>
    <row r="10" spans="1:21" x14ac:dyDescent="0.35">
      <c r="A10" s="7">
        <v>30.400000000000002</v>
      </c>
      <c r="C10" s="7">
        <f t="shared" si="0"/>
        <v>29.029999999999998</v>
      </c>
      <c r="D10">
        <f t="shared" si="1"/>
        <v>28.853815142223873</v>
      </c>
      <c r="E10">
        <f t="shared" si="2"/>
        <v>1.1067802944282623</v>
      </c>
      <c r="F10" s="7">
        <f t="shared" si="3"/>
        <v>28.256390423142406</v>
      </c>
      <c r="G10">
        <f>SQRT(SUMXMY2(C$6:C9,F$6:F9)/COUNT(F$6:F9))</f>
        <v>2.8049980555366814</v>
      </c>
      <c r="H10">
        <f t="shared" si="4"/>
        <v>22.758695257585629</v>
      </c>
      <c r="I10">
        <f t="shared" si="5"/>
        <v>33.754085588699184</v>
      </c>
    </row>
    <row r="11" spans="1:21" x14ac:dyDescent="0.35">
      <c r="A11" s="7">
        <v>31.81</v>
      </c>
      <c r="C11" s="7">
        <f t="shared" si="0"/>
        <v>30.259999999999998</v>
      </c>
      <c r="D11">
        <f t="shared" si="1"/>
        <v>30.17798348144186</v>
      </c>
      <c r="E11">
        <f t="shared" si="2"/>
        <v>1.0617154798319464</v>
      </c>
      <c r="F11" s="7">
        <f t="shared" si="3"/>
        <v>29.960595436652135</v>
      </c>
      <c r="G11">
        <f>SQRT(SUMXMY2(C$6:C10,F$6:F10)/COUNT(F$6:F10))</f>
        <v>2.5326084633698924</v>
      </c>
      <c r="H11">
        <f t="shared" si="4"/>
        <v>24.996774061505818</v>
      </c>
      <c r="I11">
        <f t="shared" si="5"/>
        <v>34.924416811798451</v>
      </c>
    </row>
    <row r="12" spans="1:21" x14ac:dyDescent="0.35">
      <c r="A12" s="7">
        <v>32.6</v>
      </c>
      <c r="C12" s="7">
        <f t="shared" si="0"/>
        <v>31.07</v>
      </c>
      <c r="D12">
        <f t="shared" si="1"/>
        <v>31.08270548265812</v>
      </c>
      <c r="E12">
        <f t="shared" si="2"/>
        <v>0.94537954572225358</v>
      </c>
      <c r="F12" s="7">
        <f t="shared" si="3"/>
        <v>31.239698961273806</v>
      </c>
      <c r="G12">
        <f>SQRT(SUMXMY2(C$6:C11,F$6:F11)/COUNT(F$6:F11))</f>
        <v>2.3151735441149102</v>
      </c>
      <c r="H12">
        <f t="shared" si="4"/>
        <v>26.70204219684863</v>
      </c>
      <c r="I12">
        <f t="shared" si="5"/>
        <v>35.777355725698982</v>
      </c>
    </row>
    <row r="13" spans="1:21" x14ac:dyDescent="0.35">
      <c r="A13" s="7">
        <v>33.69</v>
      </c>
      <c r="C13" s="7">
        <f t="shared" si="0"/>
        <v>30.400000000000002</v>
      </c>
      <c r="D13">
        <f t="shared" si="1"/>
        <v>30.706709414761633</v>
      </c>
      <c r="E13">
        <f t="shared" si="2"/>
        <v>0.60547405934072507</v>
      </c>
      <c r="F13" s="7">
        <f t="shared" si="3"/>
        <v>32.028085028380374</v>
      </c>
      <c r="G13">
        <f>SQRT(SUMXMY2(C$6:C12,F$6:F12)/COUNT(F$6:F12))</f>
        <v>2.1443936530162611</v>
      </c>
      <c r="H13">
        <f t="shared" si="4"/>
        <v>27.825150699792221</v>
      </c>
      <c r="I13">
        <f t="shared" si="5"/>
        <v>36.231019356968524</v>
      </c>
    </row>
    <row r="14" spans="1:21" x14ac:dyDescent="0.35">
      <c r="A14" s="7">
        <v>39.110000000000007</v>
      </c>
      <c r="C14" s="7">
        <f t="shared" si="0"/>
        <v>31.81</v>
      </c>
      <c r="D14">
        <f t="shared" si="1"/>
        <v>31.698327213633654</v>
      </c>
      <c r="E14">
        <f t="shared" si="2"/>
        <v>0.63426488249972623</v>
      </c>
      <c r="F14" s="7">
        <f t="shared" si="3"/>
        <v>31.312183474102358</v>
      </c>
      <c r="G14">
        <f>SQRT(SUMXMY2(C$6:C13,F$6:F13)/COUNT(F$6:F13))</f>
        <v>2.0868525892271141</v>
      </c>
      <c r="H14">
        <f t="shared" si="4"/>
        <v>27.222027558173057</v>
      </c>
      <c r="I14">
        <f t="shared" si="5"/>
        <v>35.402339390031663</v>
      </c>
    </row>
    <row r="15" spans="1:21" x14ac:dyDescent="0.35">
      <c r="A15" s="7">
        <v>41.62</v>
      </c>
      <c r="C15" s="7">
        <f t="shared" si="0"/>
        <v>32.6</v>
      </c>
      <c r="D15">
        <f t="shared" si="1"/>
        <v>32.533833121576684</v>
      </c>
      <c r="E15">
        <f t="shared" si="2"/>
        <v>0.62377189698840896</v>
      </c>
      <c r="F15" s="7">
        <f t="shared" si="3"/>
        <v>32.332592096133382</v>
      </c>
      <c r="G15">
        <f>SQRT(SUMXMY2(C$6:C14,F$6:F14)/COUNT(F$6:F14))</f>
        <v>1.9744887137565534</v>
      </c>
      <c r="H15">
        <f t="shared" si="4"/>
        <v>28.462665329289724</v>
      </c>
      <c r="I15">
        <f t="shared" si="5"/>
        <v>36.202518862977044</v>
      </c>
    </row>
    <row r="16" spans="1:21" x14ac:dyDescent="0.35">
      <c r="A16" s="7">
        <v>41.800000000000004</v>
      </c>
      <c r="C16" s="7">
        <f t="shared" si="0"/>
        <v>33.69</v>
      </c>
      <c r="D16">
        <f t="shared" si="1"/>
        <v>33.571045565773247</v>
      </c>
      <c r="E16">
        <f t="shared" si="2"/>
        <v>0.65655825467096696</v>
      </c>
      <c r="F16" s="7">
        <f t="shared" si="3"/>
        <v>33.157605018565093</v>
      </c>
      <c r="G16">
        <f>SQRT(SUMXMY2(C$6:C15,F$6:F15)/COUNT(F$6:F15))</f>
        <v>1.8750722149778238</v>
      </c>
      <c r="H16">
        <f t="shared" si="4"/>
        <v>29.482531008796812</v>
      </c>
      <c r="I16">
        <f t="shared" si="5"/>
        <v>36.832679028333374</v>
      </c>
    </row>
    <row r="17" spans="1:10" x14ac:dyDescent="0.35">
      <c r="A17" s="7">
        <v>44.87</v>
      </c>
      <c r="C17" s="7">
        <f t="shared" si="0"/>
        <v>39.110000000000007</v>
      </c>
      <c r="D17">
        <f t="shared" si="1"/>
        <v>38.12038959899543</v>
      </c>
      <c r="E17">
        <f t="shared" si="2"/>
        <v>1.382590750007533</v>
      </c>
      <c r="F17" s="7">
        <f t="shared" si="3"/>
        <v>34.227603820444216</v>
      </c>
      <c r="G17">
        <f>SQRT(SUMXMY2(C$6:C16,F$6:F16)/COUNT(F$6:F16))</f>
        <v>1.7950032294241778</v>
      </c>
      <c r="H17">
        <f t="shared" si="4"/>
        <v>30.70946213863974</v>
      </c>
      <c r="I17">
        <f t="shared" si="5"/>
        <v>37.745745502248688</v>
      </c>
    </row>
    <row r="18" spans="1:10" x14ac:dyDescent="0.35">
      <c r="A18" s="7">
        <v>47.050000000000004</v>
      </c>
      <c r="C18" s="7">
        <f t="shared" si="0"/>
        <v>41.62</v>
      </c>
      <c r="D18">
        <f t="shared" si="1"/>
        <v>41.168944254800437</v>
      </c>
      <c r="E18">
        <f t="shared" si="2"/>
        <v>1.605176271166425</v>
      </c>
      <c r="F18" s="7">
        <f t="shared" si="3"/>
        <v>39.502980349002961</v>
      </c>
      <c r="G18">
        <f>SQRT(SUMXMY2(C$6:C17,F$6:F17)/COUNT(F$6:F17))</f>
        <v>2.2226147324007162</v>
      </c>
      <c r="H18">
        <f t="shared" si="4"/>
        <v>35.146735521989427</v>
      </c>
      <c r="I18">
        <f t="shared" si="5"/>
        <v>43.859225176016494</v>
      </c>
    </row>
    <row r="19" spans="1:10" x14ac:dyDescent="0.35">
      <c r="A19" s="7">
        <v>48.879999999999995</v>
      </c>
      <c r="C19" s="7">
        <f t="shared" si="0"/>
        <v>41.800000000000004</v>
      </c>
      <c r="D19">
        <f t="shared" si="1"/>
        <v>41.96272057977005</v>
      </c>
      <c r="E19">
        <f t="shared" si="2"/>
        <v>1.3144821802337487</v>
      </c>
      <c r="F19" s="7">
        <f t="shared" si="3"/>
        <v>42.774120525966865</v>
      </c>
      <c r="G19">
        <f>SQRT(SUMXMY2(C$6:C18,F$6:F18)/COUNT(F$6:F18))</f>
        <v>2.2146707896855617</v>
      </c>
      <c r="H19">
        <f t="shared" si="4"/>
        <v>38.433445540570283</v>
      </c>
      <c r="I19">
        <f t="shared" si="5"/>
        <v>47.114795511363447</v>
      </c>
    </row>
    <row r="20" spans="1:10" x14ac:dyDescent="0.35">
      <c r="A20" s="7">
        <v>51.65</v>
      </c>
      <c r="C20" s="7">
        <f t="shared" si="0"/>
        <v>44.87</v>
      </c>
      <c r="D20">
        <f t="shared" si="1"/>
        <v>44.525150908396085</v>
      </c>
      <c r="E20">
        <f t="shared" si="2"/>
        <v>1.4589132354935064</v>
      </c>
      <c r="F20" s="7">
        <f t="shared" si="3"/>
        <v>43.277202760003796</v>
      </c>
      <c r="G20">
        <f>SQRT(SUMXMY2(C$6:C19,F$6:F19)/COUNT(F$6:F19))</f>
        <v>2.1499315269168466</v>
      </c>
      <c r="H20">
        <f t="shared" si="4"/>
        <v>39.063414398019574</v>
      </c>
      <c r="I20">
        <f t="shared" si="5"/>
        <v>47.490991121988017</v>
      </c>
    </row>
    <row r="21" spans="1:10" x14ac:dyDescent="0.35">
      <c r="A21" s="7">
        <v>50.04</v>
      </c>
      <c r="C21" s="7">
        <f t="shared" si="0"/>
        <v>47.050000000000004</v>
      </c>
      <c r="D21">
        <f t="shared" si="1"/>
        <v>46.807634564068053</v>
      </c>
      <c r="E21">
        <f t="shared" si="2"/>
        <v>1.5069142606897181</v>
      </c>
      <c r="F21" s="7">
        <f t="shared" si="3"/>
        <v>45.98406414388959</v>
      </c>
      <c r="G21">
        <f>SQRT(SUMXMY2(C$6:C20,F$6:F20)/COUNT(F$6:F20))</f>
        <v>2.1173549699845413</v>
      </c>
      <c r="H21">
        <f t="shared" si="4"/>
        <v>41.834124660233002</v>
      </c>
      <c r="I21">
        <f t="shared" si="5"/>
        <v>50.134003627546178</v>
      </c>
    </row>
    <row r="22" spans="1:10" x14ac:dyDescent="0.35">
      <c r="A22" s="7">
        <v>60.84</v>
      </c>
      <c r="C22" s="7">
        <f t="shared" si="0"/>
        <v>48.879999999999995</v>
      </c>
      <c r="D22">
        <f t="shared" si="1"/>
        <v>48.736771479737754</v>
      </c>
      <c r="E22">
        <f t="shared" si="2"/>
        <v>1.4708056508305374</v>
      </c>
      <c r="F22" s="7">
        <f t="shared" si="3"/>
        <v>48.314548824757772</v>
      </c>
      <c r="G22">
        <f>SQRT(SUMXMY2(C$6:C21,F$6:F21)/COUNT(F$6:F21))</f>
        <v>2.0673669891179727</v>
      </c>
      <c r="H22">
        <f t="shared" si="4"/>
        <v>44.262583983259539</v>
      </c>
      <c r="I22">
        <f t="shared" si="5"/>
        <v>52.366513666256004</v>
      </c>
    </row>
    <row r="23" spans="1:10" x14ac:dyDescent="0.35">
      <c r="A23" s="7">
        <v>63.53</v>
      </c>
      <c r="C23" s="7">
        <f t="shared" si="0"/>
        <v>51.65</v>
      </c>
      <c r="D23">
        <f t="shared" si="1"/>
        <v>51.332099313097046</v>
      </c>
      <c r="E23">
        <f t="shared" si="2"/>
        <v>1.5780456352698455</v>
      </c>
      <c r="F23" s="7">
        <f t="shared" si="3"/>
        <v>50.207577130568289</v>
      </c>
      <c r="G23">
        <f>SQRT(SUMXMY2(C$6:C22,F$6:F22)/COUNT(F$6:F22))</f>
        <v>2.0103238737415392</v>
      </c>
      <c r="H23">
        <f t="shared" si="4"/>
        <v>46.267414740773823</v>
      </c>
      <c r="I23">
        <f t="shared" si="5"/>
        <v>54.147739520362755</v>
      </c>
    </row>
    <row r="24" spans="1:10" x14ac:dyDescent="0.35">
      <c r="A24" s="7">
        <v>66.459999999999994</v>
      </c>
      <c r="C24" s="7">
        <f t="shared" si="0"/>
        <v>50.04</v>
      </c>
      <c r="D24">
        <f t="shared" si="1"/>
        <v>50.582468076967984</v>
      </c>
      <c r="E24">
        <f t="shared" si="2"/>
        <v>0.98626661016847661</v>
      </c>
      <c r="F24" s="7">
        <f t="shared" si="3"/>
        <v>52.910144948366892</v>
      </c>
      <c r="G24">
        <f>SQRT(SUMXMY2(C$6:C23,F$6:F23)/COUNT(F$6:F23))</f>
        <v>1.9830450637698833</v>
      </c>
      <c r="H24">
        <f t="shared" si="4"/>
        <v>49.023448043657986</v>
      </c>
      <c r="I24">
        <f t="shared" si="5"/>
        <v>56.796841853075797</v>
      </c>
    </row>
    <row r="25" spans="1:10" x14ac:dyDescent="0.35">
      <c r="A25" s="6">
        <v>68.350000000000009</v>
      </c>
      <c r="C25" s="7">
        <f t="shared" si="0"/>
        <v>60.84</v>
      </c>
      <c r="D25">
        <f t="shared" si="1"/>
        <v>58.966021605223922</v>
      </c>
      <c r="E25">
        <f t="shared" si="2"/>
        <v>2.3868226649724908</v>
      </c>
      <c r="F25" s="7">
        <f t="shared" si="3"/>
        <v>51.568734687136462</v>
      </c>
      <c r="G25">
        <f>SQRT(SUMXMY2(C$6:C24,F$6:F24)/COUNT(F$6:F24))</f>
        <v>2.0393774988512368</v>
      </c>
      <c r="H25">
        <f t="shared" si="4"/>
        <v>47.571628238506662</v>
      </c>
      <c r="I25">
        <f t="shared" si="5"/>
        <v>55.565841135766263</v>
      </c>
    </row>
    <row r="26" spans="1:10" x14ac:dyDescent="0.35">
      <c r="C26" s="7">
        <f t="shared" si="0"/>
        <v>63.53</v>
      </c>
      <c r="D26">
        <f t="shared" si="1"/>
        <v>63.046832400739831</v>
      </c>
      <c r="E26">
        <f t="shared" si="2"/>
        <v>2.5346744778833754</v>
      </c>
      <c r="F26" s="7">
        <f t="shared" si="3"/>
        <v>61.352844270196414</v>
      </c>
      <c r="G26">
        <f>SQRT(SUMXMY2(C$6:C25,F$6:F25)/COUNT(F$6:F25))</f>
        <v>2.8720942844473307</v>
      </c>
      <c r="H26">
        <f t="shared" si="4"/>
        <v>55.723642912476308</v>
      </c>
      <c r="I26">
        <f t="shared" si="5"/>
        <v>66.98204562791652</v>
      </c>
    </row>
    <row r="27" spans="1:10" x14ac:dyDescent="0.35">
      <c r="C27" s="7">
        <f t="shared" si="0"/>
        <v>66.459999999999994</v>
      </c>
      <c r="D27">
        <f t="shared" si="1"/>
        <v>66.233607886166965</v>
      </c>
      <c r="E27">
        <f t="shared" si="2"/>
        <v>2.4623207211614573</v>
      </c>
      <c r="F27" s="7">
        <f t="shared" si="3"/>
        <v>65.581506878623202</v>
      </c>
      <c r="G27">
        <f>SQRT(SUMXMY2(C$6:C26,F$6:F26)/COUNT(F$6:F26))</f>
        <v>2.8428567007997021</v>
      </c>
      <c r="H27">
        <f t="shared" si="4"/>
        <v>60.009610131847424</v>
      </c>
      <c r="I27">
        <f t="shared" si="5"/>
        <v>71.15340362539898</v>
      </c>
    </row>
    <row r="28" spans="1:10" x14ac:dyDescent="0.35">
      <c r="C28" s="6">
        <f t="shared" si="0"/>
        <v>68.350000000000009</v>
      </c>
      <c r="D28" s="2">
        <f t="shared" si="1"/>
        <v>68.369939307042458</v>
      </c>
      <c r="E28" s="2">
        <f t="shared" si="2"/>
        <v>2.200137203411348</v>
      </c>
      <c r="F28" s="6">
        <f t="shared" si="3"/>
        <v>68.695928607328426</v>
      </c>
      <c r="G28" s="2">
        <f>SQRT(SUMXMY2(C$6:C27,F$6:F27)/COUNT(F$6:F27))</f>
        <v>2.7838027360496338</v>
      </c>
      <c r="H28" s="2">
        <f t="shared" si="4"/>
        <v>63.239775504607081</v>
      </c>
      <c r="I28" s="2">
        <f t="shared" si="5"/>
        <v>74.152081710049771</v>
      </c>
    </row>
    <row r="29" spans="1:10" x14ac:dyDescent="0.35">
      <c r="C29" s="3" t="s">
        <v>1</v>
      </c>
      <c r="F29">
        <f>$D$28+$E$28*$H$35*(1-$H$35^(ROW(D29)-ROW($D$28)))/(1-$H$35)</f>
        <v>70.350062790112673</v>
      </c>
      <c r="G29">
        <f>SQRT(SUMXMY2(C$6:C28,F$6:F28)/COUNT(F$6:F28))</f>
        <v>2.7235681153237805</v>
      </c>
      <c r="H29">
        <f t="shared" si="4"/>
        <v>65.011967374636427</v>
      </c>
      <c r="I29">
        <f t="shared" si="5"/>
        <v>75.68815820558892</v>
      </c>
      <c r="J29">
        <v>0</v>
      </c>
    </row>
    <row r="30" spans="1:10" x14ac:dyDescent="0.35">
      <c r="C30" s="3" t="s">
        <v>1</v>
      </c>
      <c r="F30">
        <f>$D$28+$E$28*$H$35*(1-$H$35^(ROW(D30)-ROW($D$28)))/(1-$H$35)</f>
        <v>72.132173924875858</v>
      </c>
      <c r="G30">
        <f>SQRT(J30*C$35^2+1)</f>
        <v>1.375185805627734</v>
      </c>
      <c r="H30">
        <f t="shared" si="4"/>
        <v>69.436859273794795</v>
      </c>
      <c r="I30">
        <f t="shared" si="5"/>
        <v>74.82748857595692</v>
      </c>
      <c r="J30">
        <f>(H$35*(1-H$35^(ROW(F30)-ROW(F$29)))*D$35/(1-H$35)+1)^2+J29</f>
        <v>1.3923999999999999</v>
      </c>
    </row>
    <row r="31" spans="1:10" x14ac:dyDescent="0.35">
      <c r="C31" s="3" t="s">
        <v>1</v>
      </c>
      <c r="F31">
        <f t="shared" ref="F30:F32" si="6">$D$28+$E$28*$H$35*(1-$H$35^(ROW(D31)-ROW($D$28)))/(1-$H$35)</f>
        <v>73.736073946162733</v>
      </c>
      <c r="G31">
        <f t="shared" ref="G31:G32" si="7">SQRT(J31*C$35^2+1)</f>
        <v>1.7446354805517399</v>
      </c>
      <c r="H31">
        <f t="shared" si="4"/>
        <v>70.316651238130589</v>
      </c>
      <c r="I31">
        <f t="shared" si="5"/>
        <v>77.155496654194877</v>
      </c>
      <c r="J31">
        <f t="shared" ref="J31:J32" si="8">(H$35*(1-H$35^(ROW(F31)-ROW(F$29)))*D$35/(1-H$35)+1)^2+J30</f>
        <v>3.1933639999999999</v>
      </c>
    </row>
    <row r="32" spans="1:10" x14ac:dyDescent="0.35">
      <c r="C32" s="3" t="s">
        <v>1</v>
      </c>
      <c r="F32">
        <f t="shared" si="6"/>
        <v>75.179583965320916</v>
      </c>
      <c r="G32">
        <f t="shared" si="7"/>
        <v>2.111971642233863</v>
      </c>
      <c r="H32">
        <f t="shared" si="4"/>
        <v>71.040195610172631</v>
      </c>
      <c r="I32">
        <f t="shared" si="5"/>
        <v>79.3189723204692</v>
      </c>
      <c r="J32">
        <f t="shared" si="8"/>
        <v>5.4069128400000004</v>
      </c>
    </row>
    <row r="34" spans="3:8" x14ac:dyDescent="0.35">
      <c r="C34" s="4" t="s">
        <v>2</v>
      </c>
      <c r="D34" s="4" t="s">
        <v>11</v>
      </c>
      <c r="E34" s="4" t="s">
        <v>13</v>
      </c>
      <c r="F34" s="4" t="s">
        <v>14</v>
      </c>
      <c r="G34" s="4" t="s">
        <v>15</v>
      </c>
      <c r="H34" s="4" t="s">
        <v>12</v>
      </c>
    </row>
    <row r="35" spans="3:8" x14ac:dyDescent="0.35">
      <c r="C35" s="5">
        <v>0.8</v>
      </c>
      <c r="D35" s="11">
        <v>0.2</v>
      </c>
      <c r="E35" s="5">
        <f>SUMPRODUCT(ABS(C6:C28-F6:F28))/COUNT(F6:F28)</f>
        <v>1.8453124812390553</v>
      </c>
      <c r="F35" s="12">
        <f>SUMXMY2(C6:C28,F6:F28)/COUNT(F6:F28)</f>
        <v>7.4178232788083305</v>
      </c>
      <c r="G35" s="11">
        <f>SUMPRODUCT(ABS(1-F6:F28/C6:C28))/COUNT(F6:F28)</f>
        <v>4.8474566163438086E-2</v>
      </c>
      <c r="H35" s="9">
        <v>0.9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3D17B-DEDC-47D6-A6AE-8BFA6EAB7F81}">
  <sheetPr codeName="Sheet2"/>
  <dimension ref="A1:J35"/>
  <sheetViews>
    <sheetView workbookViewId="0"/>
  </sheetViews>
  <sheetFormatPr defaultRowHeight="14.5" x14ac:dyDescent="0.35"/>
  <cols>
    <col min="1" max="1" width="8.7265625" style="7"/>
  </cols>
  <sheetData>
    <row r="1" spans="1:9" x14ac:dyDescent="0.35">
      <c r="A1" s="8" t="s">
        <v>3</v>
      </c>
    </row>
    <row r="2" spans="1:9" x14ac:dyDescent="0.35">
      <c r="A2" s="7">
        <v>17.59</v>
      </c>
      <c r="C2" t="s">
        <v>0</v>
      </c>
      <c r="G2" t="s">
        <v>4</v>
      </c>
      <c r="H2" s="9">
        <v>0.05</v>
      </c>
    </row>
    <row r="3" spans="1:9" ht="15" thickBot="1" x14ac:dyDescent="0.4">
      <c r="A3" s="7">
        <v>21.93</v>
      </c>
    </row>
    <row r="4" spans="1:9" ht="15" thickTop="1" x14ac:dyDescent="0.35">
      <c r="A4" s="7">
        <v>24.01</v>
      </c>
      <c r="C4" s="10" t="str">
        <f>A1</f>
        <v>data</v>
      </c>
      <c r="D4" s="1" t="s">
        <v>5</v>
      </c>
      <c r="E4" s="1" t="s">
        <v>6</v>
      </c>
      <c r="F4" s="1" t="s">
        <v>7</v>
      </c>
      <c r="G4" s="1" t="s">
        <v>8</v>
      </c>
      <c r="H4" s="1" t="s">
        <v>9</v>
      </c>
      <c r="I4" s="1" t="s">
        <v>10</v>
      </c>
    </row>
    <row r="5" spans="1:9" x14ac:dyDescent="0.35">
      <c r="A5" s="7">
        <v>27.14</v>
      </c>
      <c r="C5" s="7">
        <f>A2</f>
        <v>17.59</v>
      </c>
      <c r="D5" s="7">
        <f>C5</f>
        <v>17.59</v>
      </c>
      <c r="E5">
        <v>0</v>
      </c>
    </row>
    <row r="6" spans="1:9" x14ac:dyDescent="0.35">
      <c r="A6" s="7">
        <v>27.03</v>
      </c>
      <c r="C6" s="7">
        <f t="shared" ref="C6:C28" si="0">A3</f>
        <v>21.93</v>
      </c>
      <c r="D6">
        <f>$C$35*C6+(1-$C$35)*(D5+E5*$H$35)</f>
        <v>20.847929457946691</v>
      </c>
      <c r="E6">
        <f>$D$35*(D6-D5)+(1-$D$35)*E5*$H$35</f>
        <v>1.1867279145541598</v>
      </c>
      <c r="F6" s="7">
        <f>D5+E5</f>
        <v>17.59</v>
      </c>
    </row>
    <row r="7" spans="1:9" x14ac:dyDescent="0.35">
      <c r="A7" s="7">
        <v>29.029999999999998</v>
      </c>
      <c r="C7" s="7">
        <f t="shared" si="0"/>
        <v>24.01</v>
      </c>
      <c r="D7">
        <f t="shared" ref="D7:D28" si="1">$C$35*C7+(1-$C$35)*(D6+E6*$H$35)</f>
        <v>23.487909585378766</v>
      </c>
      <c r="E7">
        <f t="shared" ref="E7:E28" si="2">$D$35*(D7-D6)+(1-$D$35)*E6*$H$35</f>
        <v>1.6406418860434917</v>
      </c>
      <c r="F7" s="7">
        <f t="shared" ref="F7:F28" si="3">D6+E6</f>
        <v>22.034657372500853</v>
      </c>
      <c r="G7">
        <f>SQRT(SUMXMY2(C$6:C6,F$6:F6)/COUNT(F$6:F6))</f>
        <v>4.34</v>
      </c>
      <c r="H7">
        <f>F7-_xlfn.NORM.S.INV(1-H$2/2)*G7</f>
        <v>13.528413679597021</v>
      </c>
      <c r="I7">
        <f>F7+_xlfn.NORM.S.INV(1-H$2/2)*G7</f>
        <v>30.540901065404682</v>
      </c>
    </row>
    <row r="8" spans="1:9" x14ac:dyDescent="0.35">
      <c r="A8" s="7">
        <v>30.259999999999998</v>
      </c>
      <c r="C8" s="7">
        <f t="shared" si="0"/>
        <v>27.14</v>
      </c>
      <c r="D8">
        <f t="shared" si="1"/>
        <v>26.597590270708505</v>
      </c>
      <c r="E8">
        <f t="shared" si="2"/>
        <v>2.0714490499616214</v>
      </c>
      <c r="F8" s="7">
        <f t="shared" si="3"/>
        <v>25.128551471422259</v>
      </c>
      <c r="G8">
        <f>SQRT(SUMXMY2(C$6:C7,F$6:F7)/COUNT(F$6:F7))</f>
        <v>3.3717635219581492</v>
      </c>
      <c r="H8">
        <f t="shared" ref="H8:H32" si="4">F8-_xlfn.NORM.S.INV(1-H$2/2)*G8</f>
        <v>18.520016403998362</v>
      </c>
      <c r="I8">
        <f t="shared" ref="I8:I32" si="5">F8+_xlfn.NORM.S.INV(1-H$2/2)*G8</f>
        <v>31.737086538846157</v>
      </c>
    </row>
    <row r="9" spans="1:9" x14ac:dyDescent="0.35">
      <c r="A9" s="7">
        <v>31.07</v>
      </c>
      <c r="C9" s="7">
        <f t="shared" si="0"/>
        <v>27.03</v>
      </c>
      <c r="D9">
        <f t="shared" si="1"/>
        <v>27.387007089062543</v>
      </c>
      <c r="E9">
        <f t="shared" si="2"/>
        <v>1.4727674920220239</v>
      </c>
      <c r="F9" s="7">
        <f t="shared" si="3"/>
        <v>28.669039320670127</v>
      </c>
      <c r="G9">
        <f>SQRT(SUMXMY2(C$6:C8,F$6:F8)/COUNT(F$6:F8))</f>
        <v>2.9879482190478024</v>
      </c>
      <c r="H9">
        <f t="shared" si="4"/>
        <v>22.812768423665837</v>
      </c>
      <c r="I9">
        <f t="shared" si="5"/>
        <v>34.525310217674416</v>
      </c>
    </row>
    <row r="10" spans="1:9" x14ac:dyDescent="0.35">
      <c r="A10" s="7">
        <v>30.400000000000002</v>
      </c>
      <c r="C10" s="7">
        <f t="shared" si="0"/>
        <v>29.029999999999998</v>
      </c>
      <c r="D10">
        <f t="shared" si="1"/>
        <v>28.950838768857569</v>
      </c>
      <c r="E10">
        <f t="shared" si="2"/>
        <v>1.4123084123674405</v>
      </c>
      <c r="F10" s="7">
        <f t="shared" si="3"/>
        <v>28.859774581084565</v>
      </c>
      <c r="G10">
        <f>SQRT(SUMXMY2(C$6:C9,F$6:F9)/COUNT(F$6:F9))</f>
        <v>2.7143117716023148</v>
      </c>
      <c r="H10">
        <f t="shared" si="4"/>
        <v>23.539821265930918</v>
      </c>
      <c r="I10">
        <f t="shared" si="5"/>
        <v>34.179727896238212</v>
      </c>
    </row>
    <row r="11" spans="1:9" x14ac:dyDescent="0.35">
      <c r="A11" s="7">
        <v>31.81</v>
      </c>
      <c r="C11" s="7">
        <f t="shared" si="0"/>
        <v>30.259999999999998</v>
      </c>
      <c r="D11">
        <f t="shared" si="1"/>
        <v>30.250504791098553</v>
      </c>
      <c r="E11">
        <f t="shared" si="2"/>
        <v>1.2814911523344552</v>
      </c>
      <c r="F11" s="7">
        <f t="shared" si="3"/>
        <v>30.36314718122501</v>
      </c>
      <c r="G11">
        <f>SQRT(SUMXMY2(C$6:C10,F$6:F10)/COUNT(F$6:F10))</f>
        <v>2.4289475196916266</v>
      </c>
      <c r="H11">
        <f t="shared" si="4"/>
        <v>25.602497522291529</v>
      </c>
      <c r="I11">
        <f t="shared" si="5"/>
        <v>35.123796840158491</v>
      </c>
    </row>
    <row r="12" spans="1:9" x14ac:dyDescent="0.35">
      <c r="A12" s="7">
        <v>32.6</v>
      </c>
      <c r="C12" s="7">
        <f t="shared" si="0"/>
        <v>31.07</v>
      </c>
      <c r="D12">
        <f t="shared" si="1"/>
        <v>31.153236363675735</v>
      </c>
      <c r="E12">
        <f t="shared" si="2"/>
        <v>1.0620550900480639</v>
      </c>
      <c r="F12" s="7">
        <f t="shared" si="3"/>
        <v>31.53199594343301</v>
      </c>
      <c r="G12">
        <f>SQRT(SUMXMY2(C$6:C11,F$6:F11)/COUNT(F$6:F11))</f>
        <v>2.2177154013411786</v>
      </c>
      <c r="H12">
        <f t="shared" si="4"/>
        <v>27.18535362884451</v>
      </c>
      <c r="I12">
        <f t="shared" si="5"/>
        <v>35.87863825802151</v>
      </c>
    </row>
    <row r="13" spans="1:9" x14ac:dyDescent="0.35">
      <c r="A13" s="7">
        <v>33.69</v>
      </c>
      <c r="C13" s="7">
        <f t="shared" si="0"/>
        <v>30.400000000000002</v>
      </c>
      <c r="D13">
        <f t="shared" si="1"/>
        <v>30.826117869727597</v>
      </c>
      <c r="E13">
        <f t="shared" si="2"/>
        <v>0.48851778404551649</v>
      </c>
      <c r="F13" s="7">
        <f t="shared" si="3"/>
        <v>32.2152914537238</v>
      </c>
      <c r="G13">
        <f>SQRT(SUMXMY2(C$6:C12,F$6:F12)/COUNT(F$6:F12))</f>
        <v>2.0606174476814241</v>
      </c>
      <c r="H13">
        <f t="shared" si="4"/>
        <v>28.17655547035336</v>
      </c>
      <c r="I13">
        <f t="shared" si="5"/>
        <v>36.254027437094237</v>
      </c>
    </row>
    <row r="14" spans="1:9" x14ac:dyDescent="0.35">
      <c r="A14" s="7">
        <v>39.110000000000007</v>
      </c>
      <c r="C14" s="7">
        <f t="shared" si="0"/>
        <v>31.81</v>
      </c>
      <c r="D14">
        <f t="shared" si="1"/>
        <v>31.674313309452973</v>
      </c>
      <c r="E14">
        <f t="shared" si="2"/>
        <v>0.58847625141299531</v>
      </c>
      <c r="F14" s="7">
        <f t="shared" si="3"/>
        <v>31.314635653773113</v>
      </c>
      <c r="G14">
        <f>SQRT(SUMXMY2(C$6:C13,F$6:F13)/COUNT(F$6:F13))</f>
        <v>2.0315724489230753</v>
      </c>
      <c r="H14">
        <f t="shared" si="4"/>
        <v>27.332826821900049</v>
      </c>
      <c r="I14">
        <f t="shared" si="5"/>
        <v>35.296444485646177</v>
      </c>
    </row>
    <row r="15" spans="1:9" x14ac:dyDescent="0.35">
      <c r="A15" s="7">
        <v>41.62</v>
      </c>
      <c r="C15" s="7">
        <f t="shared" si="0"/>
        <v>32.6</v>
      </c>
      <c r="D15">
        <f t="shared" si="1"/>
        <v>32.501252819286869</v>
      </c>
      <c r="E15">
        <f t="shared" si="2"/>
        <v>0.63792658955736892</v>
      </c>
      <c r="F15" s="7">
        <f t="shared" si="3"/>
        <v>32.262789560865968</v>
      </c>
      <c r="G15">
        <f>SQRT(SUMXMY2(C$6:C14,F$6:F14)/COUNT(F$6:F14))</f>
        <v>1.9224890913517763</v>
      </c>
      <c r="H15">
        <f t="shared" si="4"/>
        <v>28.494780181145355</v>
      </c>
      <c r="I15">
        <f t="shared" si="5"/>
        <v>36.030798940586585</v>
      </c>
    </row>
    <row r="16" spans="1:9" x14ac:dyDescent="0.35">
      <c r="A16" s="7">
        <v>41.800000000000004</v>
      </c>
      <c r="C16" s="7">
        <f t="shared" si="0"/>
        <v>33.69</v>
      </c>
      <c r="D16">
        <f t="shared" si="1"/>
        <v>33.536761545460529</v>
      </c>
      <c r="E16">
        <f t="shared" si="2"/>
        <v>0.74219353902609519</v>
      </c>
      <c r="F16" s="7">
        <f t="shared" si="3"/>
        <v>33.139179408844235</v>
      </c>
      <c r="G16">
        <f>SQRT(SUMXMY2(C$6:C15,F$6:F15)/COUNT(F$6:F15))</f>
        <v>1.8269479915301412</v>
      </c>
      <c r="H16">
        <f t="shared" si="4"/>
        <v>29.558427143817372</v>
      </c>
      <c r="I16">
        <f t="shared" si="5"/>
        <v>36.719931673871102</v>
      </c>
    </row>
    <row r="17" spans="1:10" x14ac:dyDescent="0.35">
      <c r="A17" s="7">
        <v>44.87</v>
      </c>
      <c r="C17" s="7">
        <f t="shared" si="0"/>
        <v>39.110000000000007</v>
      </c>
      <c r="D17">
        <f t="shared" si="1"/>
        <v>37.88699493849731</v>
      </c>
      <c r="E17">
        <f t="shared" si="2"/>
        <v>2.0092677419854832</v>
      </c>
      <c r="F17" s="7">
        <f t="shared" si="3"/>
        <v>34.278955084486626</v>
      </c>
      <c r="G17">
        <f>SQRT(SUMXMY2(C$6:C16,F$6:F16)/COUNT(F$6:F16))</f>
        <v>1.7498257825281129</v>
      </c>
      <c r="H17">
        <f t="shared" si="4"/>
        <v>30.849359571511908</v>
      </c>
      <c r="I17">
        <f t="shared" si="5"/>
        <v>37.70855059746134</v>
      </c>
    </row>
    <row r="18" spans="1:10" x14ac:dyDescent="0.35">
      <c r="A18" s="7">
        <v>47.050000000000004</v>
      </c>
      <c r="C18" s="7">
        <f t="shared" si="0"/>
        <v>41.62</v>
      </c>
      <c r="D18">
        <f t="shared" si="1"/>
        <v>41.140133106184891</v>
      </c>
      <c r="E18">
        <f t="shared" si="2"/>
        <v>2.3346203701262347</v>
      </c>
      <c r="F18" s="7">
        <f t="shared" si="3"/>
        <v>39.896262680482792</v>
      </c>
      <c r="G18">
        <f>SQRT(SUMXMY2(C$6:C17,F$6:F17)/COUNT(F$6:F17))</f>
        <v>2.1798277442821989</v>
      </c>
      <c r="H18">
        <f t="shared" si="4"/>
        <v>35.623878809188497</v>
      </c>
      <c r="I18">
        <f t="shared" si="5"/>
        <v>44.168646551777087</v>
      </c>
    </row>
    <row r="19" spans="1:10" x14ac:dyDescent="0.35">
      <c r="A19" s="7">
        <v>48.879999999999995</v>
      </c>
      <c r="C19" s="7">
        <f t="shared" si="0"/>
        <v>41.800000000000004</v>
      </c>
      <c r="D19">
        <f t="shared" si="1"/>
        <v>42.159350002068791</v>
      </c>
      <c r="E19">
        <f t="shared" si="2"/>
        <v>1.7070521616796335</v>
      </c>
      <c r="F19" s="7">
        <f t="shared" si="3"/>
        <v>43.474753476311122</v>
      </c>
      <c r="G19">
        <f>SQRT(SUMXMY2(C$6:C18,F$6:F18)/COUNT(F$6:F18))</f>
        <v>2.1481845337508996</v>
      </c>
      <c r="H19">
        <f t="shared" si="4"/>
        <v>39.264389158013394</v>
      </c>
      <c r="I19">
        <f t="shared" si="5"/>
        <v>47.68511779460885</v>
      </c>
    </row>
    <row r="20" spans="1:10" x14ac:dyDescent="0.35">
      <c r="A20" s="7">
        <v>51.65</v>
      </c>
      <c r="C20" s="7">
        <f t="shared" si="0"/>
        <v>44.87</v>
      </c>
      <c r="D20">
        <f t="shared" si="1"/>
        <v>44.577216880076847</v>
      </c>
      <c r="E20">
        <f t="shared" si="2"/>
        <v>1.8574479161228261</v>
      </c>
      <c r="F20" s="7">
        <f t="shared" si="3"/>
        <v>43.866402163748425</v>
      </c>
      <c r="G20">
        <f>SQRT(SUMXMY2(C$6:C19,F$6:F19)/COUNT(F$6:F19))</f>
        <v>2.1178806368972727</v>
      </c>
      <c r="H20">
        <f t="shared" si="4"/>
        <v>39.715432391875019</v>
      </c>
      <c r="I20">
        <f t="shared" si="5"/>
        <v>48.017371935621831</v>
      </c>
    </row>
    <row r="21" spans="1:10" x14ac:dyDescent="0.35">
      <c r="A21" s="7">
        <v>50.04</v>
      </c>
      <c r="C21" s="7">
        <f t="shared" si="0"/>
        <v>47.050000000000004</v>
      </c>
      <c r="D21">
        <f t="shared" si="1"/>
        <v>46.850270722381531</v>
      </c>
      <c r="E21">
        <f t="shared" si="2"/>
        <v>1.8907501273554912</v>
      </c>
      <c r="F21" s="7">
        <f t="shared" si="3"/>
        <v>46.434664796199669</v>
      </c>
      <c r="G21">
        <f>SQRT(SUMXMY2(C$6:C20,F$6:F20)/COUNT(F$6:F20))</f>
        <v>2.062410662419917</v>
      </c>
      <c r="H21">
        <f t="shared" si="4"/>
        <v>42.392414176525236</v>
      </c>
      <c r="I21">
        <f t="shared" si="5"/>
        <v>50.476915415874103</v>
      </c>
    </row>
    <row r="22" spans="1:10" x14ac:dyDescent="0.35">
      <c r="A22" s="7">
        <v>60.84</v>
      </c>
      <c r="C22" s="7">
        <f t="shared" si="0"/>
        <v>48.879999999999995</v>
      </c>
      <c r="D22">
        <f t="shared" si="1"/>
        <v>48.798207892631638</v>
      </c>
      <c r="E22">
        <f t="shared" si="2"/>
        <v>1.7913781175499053</v>
      </c>
      <c r="F22" s="7">
        <f t="shared" si="3"/>
        <v>48.741020849737019</v>
      </c>
      <c r="G22">
        <f>SQRT(SUMXMY2(C$6:C21,F$6:F21)/COUNT(F$6:F21))</f>
        <v>2.0028371052082972</v>
      </c>
      <c r="H22">
        <f t="shared" si="4"/>
        <v>44.815532256628302</v>
      </c>
      <c r="I22">
        <f t="shared" si="5"/>
        <v>52.666509442845737</v>
      </c>
    </row>
    <row r="23" spans="1:10" x14ac:dyDescent="0.35">
      <c r="A23" s="7">
        <v>63.53</v>
      </c>
      <c r="C23" s="7">
        <f t="shared" si="0"/>
        <v>51.65</v>
      </c>
      <c r="D23">
        <f t="shared" si="1"/>
        <v>51.340948735061815</v>
      </c>
      <c r="E23">
        <f t="shared" si="2"/>
        <v>1.9511828690352637</v>
      </c>
      <c r="F23" s="7">
        <f t="shared" si="3"/>
        <v>50.589586010181542</v>
      </c>
      <c r="G23">
        <f>SQRT(SUMXMY2(C$6:C22,F$6:F22)/COUNT(F$6:F22))</f>
        <v>1.9433297489587031</v>
      </c>
      <c r="H23">
        <f t="shared" si="4"/>
        <v>46.780729692137221</v>
      </c>
      <c r="I23">
        <f t="shared" si="5"/>
        <v>54.398442328225862</v>
      </c>
    </row>
    <row r="24" spans="1:10" x14ac:dyDescent="0.35">
      <c r="A24" s="7">
        <v>66.459999999999994</v>
      </c>
      <c r="C24" s="7">
        <f t="shared" si="0"/>
        <v>50.04</v>
      </c>
      <c r="D24">
        <f t="shared" si="1"/>
        <v>50.802189874930832</v>
      </c>
      <c r="E24">
        <f t="shared" si="2"/>
        <v>0.92015604787427219</v>
      </c>
      <c r="F24" s="7">
        <f t="shared" si="3"/>
        <v>53.292131604097079</v>
      </c>
      <c r="G24">
        <f>SQRT(SUMXMY2(C$6:C23,F$6:F23)/COUNT(F$6:F23))</f>
        <v>1.9050444228415853</v>
      </c>
      <c r="H24">
        <f t="shared" si="4"/>
        <v>49.55831314637868</v>
      </c>
      <c r="I24">
        <f t="shared" si="5"/>
        <v>57.025950061815479</v>
      </c>
    </row>
    <row r="25" spans="1:10" x14ac:dyDescent="0.35">
      <c r="A25" s="6">
        <v>68.350000000000009</v>
      </c>
      <c r="C25" s="7">
        <f t="shared" si="0"/>
        <v>60.84</v>
      </c>
      <c r="D25">
        <f t="shared" si="1"/>
        <v>58.543799017300799</v>
      </c>
      <c r="E25">
        <f t="shared" si="2"/>
        <v>3.3464289443383555</v>
      </c>
      <c r="F25" s="7">
        <f t="shared" si="3"/>
        <v>51.722345922805104</v>
      </c>
      <c r="G25">
        <f>SQRT(SUMXMY2(C$6:C24,F$6:F24)/COUNT(F$6:F24))</f>
        <v>1.9987082213054244</v>
      </c>
      <c r="H25">
        <f t="shared" si="4"/>
        <v>47.804949793442361</v>
      </c>
      <c r="I25">
        <f t="shared" si="5"/>
        <v>55.639742052167847</v>
      </c>
    </row>
    <row r="26" spans="1:10" x14ac:dyDescent="0.35">
      <c r="C26" s="7">
        <f t="shared" si="0"/>
        <v>63.53</v>
      </c>
      <c r="D26">
        <f t="shared" si="1"/>
        <v>63.037728977749474</v>
      </c>
      <c r="E26">
        <f t="shared" si="2"/>
        <v>3.5516693023607475</v>
      </c>
      <c r="F26" s="7">
        <f t="shared" si="3"/>
        <v>61.890227961639155</v>
      </c>
      <c r="G26">
        <f>SQRT(SUMXMY2(C$6:C25,F$6:F25)/COUNT(F$6:F25))</f>
        <v>2.8198712062411002</v>
      </c>
      <c r="H26">
        <f t="shared" si="4"/>
        <v>56.363381956365082</v>
      </c>
      <c r="I26">
        <f t="shared" si="5"/>
        <v>67.417073966913236</v>
      </c>
    </row>
    <row r="27" spans="1:10" x14ac:dyDescent="0.35">
      <c r="C27" s="7">
        <f t="shared" si="0"/>
        <v>66.459999999999994</v>
      </c>
      <c r="D27">
        <f t="shared" si="1"/>
        <v>66.403710229119739</v>
      </c>
      <c r="E27">
        <f t="shared" si="2"/>
        <v>3.2582364641374744</v>
      </c>
      <c r="F27" s="7">
        <f t="shared" si="3"/>
        <v>66.589398280110217</v>
      </c>
      <c r="G27">
        <f>SQRT(SUMXMY2(C$6:C26,F$6:F26)/COUNT(F$6:F26))</f>
        <v>2.7750789326701426</v>
      </c>
      <c r="H27">
        <f t="shared" si="4"/>
        <v>61.150343517820886</v>
      </c>
      <c r="I27">
        <f t="shared" si="5"/>
        <v>72.028453042399548</v>
      </c>
    </row>
    <row r="28" spans="1:10" x14ac:dyDescent="0.35">
      <c r="C28" s="6">
        <f t="shared" si="0"/>
        <v>68.350000000000009</v>
      </c>
      <c r="D28" s="2">
        <f t="shared" si="1"/>
        <v>68.59586513820949</v>
      </c>
      <c r="E28" s="2">
        <f t="shared" si="2"/>
        <v>2.6627677147572908</v>
      </c>
      <c r="F28" s="6">
        <f t="shared" si="3"/>
        <v>69.661946693257207</v>
      </c>
      <c r="G28" s="2">
        <f>SQRT(SUMXMY2(C$6:C27,F$6:F27)/COUNT(F$6:F27))</f>
        <v>2.7114158382026701</v>
      </c>
      <c r="H28" s="2">
        <f t="shared" si="4"/>
        <v>64.347669303268489</v>
      </c>
      <c r="I28" s="2">
        <f t="shared" si="5"/>
        <v>74.976224083245924</v>
      </c>
    </row>
    <row r="29" spans="1:10" x14ac:dyDescent="0.35">
      <c r="C29" s="3" t="s">
        <v>1</v>
      </c>
      <c r="F29">
        <f>$D$28+$E$28*$H$35*(1-$H$35^(ROW(D29)-ROW($D$28)))/(1-$H$35)</f>
        <v>70.992356081491053</v>
      </c>
      <c r="G29">
        <f>SQRT(SUMXMY2(C$6:C28,F$6:F28)/COUNT(F$6:F28))</f>
        <v>2.6658897917009021</v>
      </c>
      <c r="H29">
        <f t="shared" si="4"/>
        <v>65.767308103004297</v>
      </c>
      <c r="I29">
        <f t="shared" si="5"/>
        <v>76.21740405997781</v>
      </c>
      <c r="J29">
        <v>0</v>
      </c>
    </row>
    <row r="30" spans="1:10" x14ac:dyDescent="0.35">
      <c r="C30" s="3" t="s">
        <v>1</v>
      </c>
      <c r="F30">
        <f t="shared" ref="F30:F32" si="6">$D$28+$E$28*$H$35*(1-$H$35^(ROW(D30)-ROW($D$28)))/(1-$H$35)</f>
        <v>73.149197930444458</v>
      </c>
      <c r="G30">
        <f>SQRT(J30*C$35^2+1)</f>
        <v>1.411931907121813</v>
      </c>
      <c r="H30">
        <f t="shared" si="4"/>
        <v>70.381862243862756</v>
      </c>
      <c r="I30">
        <f t="shared" si="5"/>
        <v>75.916533617026161</v>
      </c>
      <c r="J30">
        <f>(H$35*(1-H$35^(ROW(F30)-ROW(F$29)))*D$35/(1-H$35)+1)^2+J29</f>
        <v>1.7631391187735559</v>
      </c>
    </row>
    <row r="31" spans="1:10" x14ac:dyDescent="0.35">
      <c r="C31" s="3" t="s">
        <v>1</v>
      </c>
      <c r="F31">
        <f t="shared" si="6"/>
        <v>75.090355594502526</v>
      </c>
      <c r="G31">
        <f t="shared" ref="G31:G32" si="7">SQRT(J31*C$35^2+1)</f>
        <v>1.8648595553958185</v>
      </c>
      <c r="H31">
        <f t="shared" si="4"/>
        <v>71.435298029701343</v>
      </c>
      <c r="I31">
        <f t="shared" si="5"/>
        <v>78.745413159303709</v>
      </c>
      <c r="J31">
        <f t="shared" ref="J31:J32" si="8">(H$35*(1-H$35^(ROW(F31)-ROW(F$29)))*D$35/(1-H$35)+1)^2+J30</f>
        <v>4.3968842252567271</v>
      </c>
    </row>
    <row r="32" spans="1:10" x14ac:dyDescent="0.35">
      <c r="C32" s="3" t="s">
        <v>1</v>
      </c>
      <c r="F32">
        <f t="shared" si="6"/>
        <v>76.837397492154778</v>
      </c>
      <c r="G32">
        <f t="shared" si="7"/>
        <v>2.3424932200697604</v>
      </c>
      <c r="H32">
        <f t="shared" si="4"/>
        <v>72.246195146788793</v>
      </c>
      <c r="I32">
        <f t="shared" si="5"/>
        <v>81.428599837520764</v>
      </c>
      <c r="J32">
        <f t="shared" si="8"/>
        <v>7.9630371531374182</v>
      </c>
    </row>
    <row r="34" spans="3:8" x14ac:dyDescent="0.35">
      <c r="C34" s="4" t="s">
        <v>2</v>
      </c>
      <c r="D34" s="4" t="s">
        <v>11</v>
      </c>
      <c r="E34" s="4" t="s">
        <v>13</v>
      </c>
      <c r="F34" s="4" t="s">
        <v>14</v>
      </c>
      <c r="G34" s="4" t="s">
        <v>15</v>
      </c>
      <c r="H34" s="4" t="s">
        <v>12</v>
      </c>
    </row>
    <row r="35" spans="3:8" x14ac:dyDescent="0.35">
      <c r="C35" s="5">
        <v>0.75067499031029739</v>
      </c>
      <c r="D35" s="11">
        <v>0.36425832108166478</v>
      </c>
      <c r="E35" s="5">
        <f>SUMPRODUCT(ABS(C6:C28-F6:F28))/COUNT(F6:F28)</f>
        <v>1.7564630623937496</v>
      </c>
      <c r="F35" s="13">
        <f>SUMXMY2(C6:C28,F6:F28)/COUNT(F6:F28)</f>
        <v>7.1069683814950793</v>
      </c>
      <c r="G35" s="11">
        <f>SUMPRODUCT(ABS(1-F6:F28/C6:C28))/COUNT(F6:F28)</f>
        <v>4.637734742127568E-2</v>
      </c>
      <c r="H35" s="9">
        <v>0.9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No Damp</vt:lpstr>
      <vt:lpstr>Damp</vt:lpstr>
      <vt:lpstr>Opt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2023-08-04T18:18:44Z</dcterms:created>
  <dcterms:modified xsi:type="dcterms:W3CDTF">2023-08-05T14:02:50Z</dcterms:modified>
</cp:coreProperties>
</file>