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66B2838-FEFC-454B-9D52-AF9284DF2AA2}" xr6:coauthVersionLast="47" xr6:coauthVersionMax="47" xr10:uidLastSave="{00000000-0000-0000-0000-000000000000}"/>
  <bookViews>
    <workbookView xWindow="-110" yWindow="-110" windowWidth="19420" windowHeight="10300" xr2:uid="{EB9652E8-2774-4454-87B3-8082202099EC}"/>
  </bookViews>
  <sheets>
    <sheet name="Title" sheetId="5" r:id="rId1"/>
    <sheet name="Mann 1" sheetId="1" r:id="rId2"/>
    <sheet name="Mann 1a" sheetId="2" r:id="rId3"/>
    <sheet name="Mann 2" sheetId="3" r:id="rId4"/>
  </sheet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3" l="1"/>
  <c r="AA20" i="3"/>
  <c r="W20" i="3"/>
  <c r="AO19" i="3" a="1"/>
  <c r="AP19" i="3" s="1"/>
  <c r="AA19" i="3"/>
  <c r="Y19" i="3"/>
  <c r="AO18" i="3"/>
  <c r="AA18" i="3"/>
  <c r="Y18" i="3"/>
  <c r="W17" i="3"/>
  <c r="W16" i="3"/>
  <c r="AW15" i="3" a="1"/>
  <c r="AW19" i="3" s="1"/>
  <c r="AT19" i="3"/>
  <c r="AT18" i="3"/>
  <c r="AT17" i="3"/>
  <c r="AT15" i="3"/>
  <c r="AT15" i="3" a="1"/>
  <c r="AU17" i="3" s="1"/>
  <c r="W15" i="3"/>
  <c r="Q15" i="3"/>
  <c r="P15" i="3"/>
  <c r="O15" i="3"/>
  <c r="N15" i="3"/>
  <c r="M15" i="3"/>
  <c r="L15" i="3"/>
  <c r="K15" i="3"/>
  <c r="J15" i="3"/>
  <c r="W14" i="3"/>
  <c r="Q14" i="3"/>
  <c r="P14" i="3"/>
  <c r="O14" i="3"/>
  <c r="N14" i="3"/>
  <c r="M14" i="3"/>
  <c r="L14" i="3"/>
  <c r="K14" i="3"/>
  <c r="J14" i="3"/>
  <c r="W13" i="3"/>
  <c r="Q13" i="3"/>
  <c r="P13" i="3"/>
  <c r="O13" i="3"/>
  <c r="N13" i="3"/>
  <c r="M13" i="3"/>
  <c r="L13" i="3"/>
  <c r="K13" i="3"/>
  <c r="J13" i="3"/>
  <c r="Q12" i="3"/>
  <c r="P12" i="3"/>
  <c r="O12" i="3"/>
  <c r="N12" i="3"/>
  <c r="M12" i="3"/>
  <c r="L12" i="3"/>
  <c r="K12" i="3"/>
  <c r="J12" i="3"/>
  <c r="Q11" i="3"/>
  <c r="P11" i="3"/>
  <c r="O11" i="3"/>
  <c r="N11" i="3"/>
  <c r="M11" i="3"/>
  <c r="L11" i="3"/>
  <c r="K11" i="3"/>
  <c r="J11" i="3"/>
  <c r="Q10" i="3"/>
  <c r="P10" i="3"/>
  <c r="O10" i="3"/>
  <c r="N10" i="3"/>
  <c r="M10" i="3"/>
  <c r="L10" i="3"/>
  <c r="K10" i="3"/>
  <c r="J10" i="3"/>
  <c r="Y9" i="3"/>
  <c r="W9" i="3"/>
  <c r="Q9" i="3"/>
  <c r="P9" i="3"/>
  <c r="O9" i="3"/>
  <c r="N9" i="3"/>
  <c r="M9" i="3"/>
  <c r="L9" i="3"/>
  <c r="K9" i="3"/>
  <c r="J9" i="3"/>
  <c r="AP8" i="3"/>
  <c r="AO8" i="3"/>
  <c r="AA8" i="3"/>
  <c r="W8" i="3"/>
  <c r="Q8" i="3"/>
  <c r="P8" i="3"/>
  <c r="O8" i="3"/>
  <c r="N8" i="3"/>
  <c r="M8" i="3"/>
  <c r="L8" i="3"/>
  <c r="K8" i="3"/>
  <c r="J8" i="3"/>
  <c r="W7" i="3"/>
  <c r="Q7" i="3"/>
  <c r="P7" i="3"/>
  <c r="O7" i="3"/>
  <c r="N7" i="3"/>
  <c r="M7" i="3"/>
  <c r="L7" i="3"/>
  <c r="K7" i="3"/>
  <c r="J7" i="3"/>
  <c r="W6" i="3"/>
  <c r="Q6" i="3"/>
  <c r="P6" i="3"/>
  <c r="O6" i="3"/>
  <c r="N6" i="3"/>
  <c r="M6" i="3"/>
  <c r="L6" i="3"/>
  <c r="K6" i="3"/>
  <c r="J6" i="3"/>
  <c r="AW9" i="3"/>
  <c r="AW8" i="3"/>
  <c r="AW7" i="3"/>
  <c r="AW5" i="3"/>
  <c r="AW5" i="3" a="1"/>
  <c r="AX7" i="3" s="1"/>
  <c r="AU10" i="3"/>
  <c r="AU9" i="3"/>
  <c r="AU7" i="3"/>
  <c r="AT7" i="3"/>
  <c r="AU6" i="3"/>
  <c r="AU5" i="3"/>
  <c r="AT5" i="3" a="1"/>
  <c r="AT10" i="3" s="1"/>
  <c r="K19" i="2"/>
  <c r="K19" i="2" a="1"/>
  <c r="L19" i="2" s="1"/>
  <c r="E19" i="2" a="1"/>
  <c r="E19" i="2" s="1"/>
  <c r="V18" i="2"/>
  <c r="K18" i="2"/>
  <c r="E18" i="2"/>
  <c r="V14" i="2"/>
  <c r="K14" i="2"/>
  <c r="S15" i="2"/>
  <c r="S14" i="2"/>
  <c r="S12" i="2"/>
  <c r="R12" i="2"/>
  <c r="S11" i="2"/>
  <c r="S10" i="2"/>
  <c r="R10" i="2" a="1"/>
  <c r="R15" i="2" s="1"/>
  <c r="O15" i="2"/>
  <c r="P14" i="2"/>
  <c r="O14" i="2"/>
  <c r="O13" i="2"/>
  <c r="O12" i="2"/>
  <c r="O11" i="2"/>
  <c r="P10" i="2"/>
  <c r="O10" i="2"/>
  <c r="O10" i="2" a="1"/>
  <c r="P13" i="2" s="1"/>
  <c r="W8" i="2"/>
  <c r="V8" i="2"/>
  <c r="L8" i="2"/>
  <c r="K8" i="2"/>
  <c r="F8" i="2"/>
  <c r="E8" i="2"/>
  <c r="E17" i="1"/>
  <c r="D17" i="1"/>
  <c r="E16" i="1"/>
  <c r="D16" i="1"/>
  <c r="E15" i="1"/>
  <c r="D15" i="1"/>
  <c r="E14" i="1"/>
  <c r="D14" i="1"/>
  <c r="E13" i="1"/>
  <c r="D13" i="1"/>
  <c r="L12" i="1"/>
  <c r="J12" i="1"/>
  <c r="H12" i="1"/>
  <c r="E12" i="1"/>
  <c r="D12" i="1"/>
  <c r="L11" i="1"/>
  <c r="J11" i="1"/>
  <c r="E11" i="1"/>
  <c r="D11" i="1"/>
  <c r="E10" i="1"/>
  <c r="D10" i="1"/>
  <c r="E9" i="1"/>
  <c r="D9" i="1"/>
  <c r="E8" i="1"/>
  <c r="D8" i="1"/>
  <c r="AA7" i="1"/>
  <c r="Y7" i="1"/>
  <c r="E7" i="1"/>
  <c r="D7" i="1"/>
  <c r="E6" i="1"/>
  <c r="D6" i="1"/>
  <c r="AA5" i="1"/>
  <c r="Y5" i="1"/>
  <c r="AA3" i="1"/>
  <c r="Y3" i="1"/>
  <c r="V13" i="2"/>
  <c r="V6" i="2"/>
  <c r="W6" i="2"/>
  <c r="V7" i="2"/>
  <c r="W7" i="2"/>
  <c r="V9" i="2"/>
  <c r="V12" i="2" s="1"/>
  <c r="V16" i="2" s="1"/>
  <c r="W9" i="2"/>
  <c r="W5" i="2"/>
  <c r="V5" i="2"/>
  <c r="AG19" i="3"/>
  <c r="AK19" i="3" s="1"/>
  <c r="AG18" i="3"/>
  <c r="AK18" i="3" s="1"/>
  <c r="AH16" i="3"/>
  <c r="T14" i="3"/>
  <c r="T15" i="3" s="1"/>
  <c r="T16" i="3" s="1"/>
  <c r="AF9" i="3"/>
  <c r="AD13" i="3" s="1"/>
  <c r="AD14" i="3" s="1"/>
  <c r="AF8" i="3"/>
  <c r="AE8" i="3"/>
  <c r="AD8" i="3"/>
  <c r="AF13" i="3" s="1"/>
  <c r="AC8" i="3"/>
  <c r="AP7" i="3"/>
  <c r="AO7" i="3"/>
  <c r="AF7" i="3"/>
  <c r="AF18" i="3" s="1"/>
  <c r="AE7" i="3"/>
  <c r="AD7" i="3"/>
  <c r="AC7" i="3"/>
  <c r="U7" i="3"/>
  <c r="T7" i="3"/>
  <c r="AP6" i="3"/>
  <c r="AO6" i="3"/>
  <c r="AO13" i="3" s="1"/>
  <c r="AO14" i="3" s="1"/>
  <c r="U6" i="3"/>
  <c r="T6" i="3"/>
  <c r="B18" i="2"/>
  <c r="A18" i="2"/>
  <c r="K13" i="2"/>
  <c r="L7" i="2"/>
  <c r="K7" i="2"/>
  <c r="F7" i="2"/>
  <c r="E7" i="2"/>
  <c r="L6" i="2"/>
  <c r="K6" i="2"/>
  <c r="F6" i="2"/>
  <c r="E6" i="2"/>
  <c r="E13" i="2" s="1"/>
  <c r="E14" i="2" s="1"/>
  <c r="L5" i="2"/>
  <c r="K5" i="2"/>
  <c r="F5" i="2"/>
  <c r="E5" i="2"/>
  <c r="R19" i="1"/>
  <c r="V19" i="1" s="1"/>
  <c r="Q19" i="1"/>
  <c r="R18" i="1"/>
  <c r="V18" i="1" s="1"/>
  <c r="Q18" i="1"/>
  <c r="O18" i="1"/>
  <c r="O19" i="1" s="1"/>
  <c r="B18" i="1"/>
  <c r="A18" i="1"/>
  <c r="S16" i="1"/>
  <c r="S18" i="1" s="1"/>
  <c r="Q9" i="1"/>
  <c r="O13" i="1" s="1"/>
  <c r="Q8" i="1"/>
  <c r="P8" i="1"/>
  <c r="O8" i="1"/>
  <c r="N8" i="1"/>
  <c r="Q7" i="1"/>
  <c r="P7" i="1"/>
  <c r="O7" i="1"/>
  <c r="Q13" i="1" s="1"/>
  <c r="N7" i="1"/>
  <c r="I5" i="1"/>
  <c r="H5" i="1"/>
  <c r="AX15" i="3" l="1"/>
  <c r="AX19" i="3"/>
  <c r="AX8" i="3"/>
  <c r="AU18" i="3"/>
  <c r="AW16" i="3"/>
  <c r="AW20" i="3"/>
  <c r="F19" i="2"/>
  <c r="P11" i="2"/>
  <c r="P15" i="2"/>
  <c r="R13" i="2"/>
  <c r="AT8" i="3"/>
  <c r="AX5" i="3"/>
  <c r="AX9" i="3"/>
  <c r="AU15" i="3"/>
  <c r="AU19" i="3"/>
  <c r="AW17" i="3"/>
  <c r="AO19" i="3"/>
  <c r="AX20" i="3"/>
  <c r="S13" i="2"/>
  <c r="AU8" i="3"/>
  <c r="AW6" i="3"/>
  <c r="AW10" i="3"/>
  <c r="AT16" i="3"/>
  <c r="AT20" i="3"/>
  <c r="AX17" i="3"/>
  <c r="AX16" i="3"/>
  <c r="P12" i="2"/>
  <c r="R10" i="2"/>
  <c r="R14" i="2"/>
  <c r="AT5" i="3"/>
  <c r="AT9" i="3"/>
  <c r="AX6" i="3"/>
  <c r="AX10" i="3"/>
  <c r="AU16" i="3"/>
  <c r="AU20" i="3"/>
  <c r="AW18" i="3"/>
  <c r="AX18" i="3"/>
  <c r="R11" i="2"/>
  <c r="AT6" i="3"/>
  <c r="AW15" i="3"/>
  <c r="W18" i="2"/>
  <c r="V15" i="2"/>
  <c r="D18" i="1"/>
  <c r="H6" i="1" s="1"/>
  <c r="F9" i="2"/>
  <c r="E18" i="1"/>
  <c r="I6" i="1" s="1"/>
  <c r="K9" i="2"/>
  <c r="Y17" i="3"/>
  <c r="Y20" i="3" s="1"/>
  <c r="E9" i="2"/>
  <c r="E12" i="2" s="1"/>
  <c r="U8" i="3"/>
  <c r="U9" i="3" s="1"/>
  <c r="T8" i="3"/>
  <c r="T9" i="3" s="1"/>
  <c r="L9" i="2"/>
  <c r="I7" i="1"/>
  <c r="AH18" i="3"/>
  <c r="AF19" i="3"/>
  <c r="AH19" i="3" s="1"/>
  <c r="P13" i="1"/>
  <c r="O14" i="1"/>
  <c r="AF14" i="3"/>
  <c r="AH14" i="3" s="1"/>
  <c r="AJ14" i="3" s="1"/>
  <c r="AH13" i="3"/>
  <c r="S13" i="1"/>
  <c r="Q14" i="1"/>
  <c r="S14" i="1" s="1"/>
  <c r="P18" i="1"/>
  <c r="S19" i="1"/>
  <c r="T19" i="1" s="1"/>
  <c r="AO9" i="3"/>
  <c r="H7" i="1"/>
  <c r="H11" i="1" s="1"/>
  <c r="AG9" i="3"/>
  <c r="AE13" i="3"/>
  <c r="T18" i="3"/>
  <c r="R9" i="1"/>
  <c r="AP9" i="3"/>
  <c r="AD18" i="3"/>
  <c r="AD19" i="3" s="1"/>
  <c r="AI14" i="3"/>
  <c r="V17" i="2" l="1"/>
  <c r="W17" i="2" s="1"/>
  <c r="AO12" i="3"/>
  <c r="AO15" i="3" s="1"/>
  <c r="AO17" i="3" s="1"/>
  <c r="AP17" i="3" s="1"/>
  <c r="F18" i="2"/>
  <c r="H13" i="1"/>
  <c r="T13" i="3"/>
  <c r="T17" i="3" s="1"/>
  <c r="T21" i="3" s="1"/>
  <c r="E15" i="2"/>
  <c r="K12" i="2"/>
  <c r="AJ19" i="3"/>
  <c r="AI19" i="3"/>
  <c r="AL13" i="3"/>
  <c r="AL14" i="3" s="1"/>
  <c r="AE14" i="3"/>
  <c r="AG14" i="3" s="1"/>
  <c r="AK14" i="3" s="1"/>
  <c r="AG13" i="3"/>
  <c r="AK13" i="3" s="1"/>
  <c r="AE18" i="3"/>
  <c r="T19" i="3"/>
  <c r="T20" i="3" s="1"/>
  <c r="W18" i="1"/>
  <c r="W19" i="1" s="1"/>
  <c r="P19" i="1"/>
  <c r="U19" i="1"/>
  <c r="T14" i="1"/>
  <c r="U14" i="1"/>
  <c r="R13" i="1"/>
  <c r="V13" i="1" s="1"/>
  <c r="W13" i="1"/>
  <c r="W14" i="1" s="1"/>
  <c r="P14" i="1"/>
  <c r="R14" i="1" s="1"/>
  <c r="V14" i="1" s="1"/>
  <c r="AP18" i="3" l="1"/>
  <c r="AO16" i="3"/>
  <c r="L18" i="2"/>
  <c r="K15" i="2"/>
  <c r="E16" i="2"/>
  <c r="E17" i="2"/>
  <c r="F17" i="2" s="1"/>
  <c r="AE19" i="3"/>
  <c r="AL18" i="3"/>
  <c r="AL19" i="3" s="1"/>
  <c r="K17" i="2" l="1"/>
  <c r="L17" i="2" s="1"/>
  <c r="K16" i="2"/>
</calcChain>
</file>

<file path=xl/sharedStrings.xml><?xml version="1.0" encoding="utf-8"?>
<sst xmlns="http://schemas.openxmlformats.org/spreadsheetml/2006/main" count="206" uniqueCount="75">
  <si>
    <t>Mann-Whitney U Test</t>
  </si>
  <si>
    <t>Real Statistics data analysis tool</t>
  </si>
  <si>
    <t>Exact Test</t>
  </si>
  <si>
    <t>Original data</t>
  </si>
  <si>
    <t>Ranks</t>
  </si>
  <si>
    <t>T Test: Two Independent Samples</t>
  </si>
  <si>
    <t>Control</t>
  </si>
  <si>
    <t>Drug</t>
  </si>
  <si>
    <t>count</t>
  </si>
  <si>
    <t>SUMMARY</t>
  </si>
  <si>
    <t>Hyp Mean Diff</t>
  </si>
  <si>
    <t>rank sum</t>
  </si>
  <si>
    <t>Groups</t>
  </si>
  <si>
    <t>Count</t>
  </si>
  <si>
    <t>Mean</t>
  </si>
  <si>
    <t>Variance</t>
  </si>
  <si>
    <t>Cohen d</t>
  </si>
  <si>
    <t>U</t>
  </si>
  <si>
    <t>α</t>
  </si>
  <si>
    <t>Real Statistics functions</t>
  </si>
  <si>
    <t>Pooled</t>
  </si>
  <si>
    <t>tails</t>
  </si>
  <si>
    <t>T TEST: Equal Variances</t>
  </si>
  <si>
    <t>Alpha</t>
  </si>
  <si>
    <t>U-crit</t>
  </si>
  <si>
    <t xml:space="preserve"> </t>
  </si>
  <si>
    <t>std err</t>
  </si>
  <si>
    <t>t-stat</t>
  </si>
  <si>
    <t>df</t>
  </si>
  <si>
    <t>p-value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</si>
  <si>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</si>
  <si>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</si>
  <si>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</si>
  <si>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</si>
  <si>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</si>
  <si>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</si>
  <si>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</si>
  <si>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</si>
  <si>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Mann-Whitney Test for Two Independent Samples</t>
  </si>
  <si>
    <t>median</t>
  </si>
  <si>
    <t>one tail</t>
  </si>
  <si>
    <t>two tail</t>
  </si>
  <si>
    <t>mean</t>
  </si>
  <si>
    <t>std dev</t>
  </si>
  <si>
    <t>ties</t>
  </si>
  <si>
    <t>z-score</t>
  </si>
  <si>
    <t>yates</t>
  </si>
  <si>
    <t>p-norm</t>
  </si>
  <si>
    <t>p-exact</t>
  </si>
  <si>
    <t>p-simul</t>
  </si>
  <si>
    <t>Raw Data</t>
  </si>
  <si>
    <t>Ranked Data</t>
  </si>
  <si>
    <t>Test via normal distribution</t>
  </si>
  <si>
    <t>MW_TEST</t>
  </si>
  <si>
    <t>w/o ties correction</t>
  </si>
  <si>
    <t>Non-smokers</t>
  </si>
  <si>
    <t>Smokers</t>
  </si>
  <si>
    <t>Non-Smo</t>
  </si>
  <si>
    <t>Sample 1</t>
  </si>
  <si>
    <t>Sample 2</t>
  </si>
  <si>
    <t>=MANN(A6:D15,E6:H15)</t>
  </si>
  <si>
    <t/>
  </si>
  <si>
    <t>w/o continuity</t>
  </si>
  <si>
    <t>w/o ties or continuity</t>
  </si>
  <si>
    <t>variance</t>
  </si>
  <si>
    <t>=-NORM.S.INV(W18)</t>
  </si>
  <si>
    <t>=T14+T16*NORM.S.INV(T11)</t>
  </si>
  <si>
    <t>=1-NORM.S.DIST(T17,TRUE)</t>
  </si>
  <si>
    <t>r</t>
  </si>
  <si>
    <t>Real Statistics Using Excel</t>
  </si>
  <si>
    <t>Updated</t>
  </si>
  <si>
    <t>Copyright © 2013 - 2023 Charles Zaiontz</t>
  </si>
  <si>
    <t>Mann-Whitney Test</t>
  </si>
  <si>
    <t>N/A</t>
  </si>
  <si>
    <t>rank-serial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</si>
</sst>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quotePrefix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/>
    <xf numFmtId="0" fontId="0" fillId="0" borderId="24" xfId="0" applyBorder="1"/>
    <xf numFmtId="0" fontId="0" fillId="0" borderId="12" xfId="0" applyBorder="1" applyAlignment="1">
      <alignment horizontal="right"/>
    </xf>
    <xf numFmtId="0" fontId="0" fillId="0" borderId="25" xfId="0" applyBorder="1"/>
    <xf numFmtId="15" fontId="0" fillId="0" borderId="0" xfId="0" applyNumberFormat="1"/>
    <xf numFmtId="0" fontId="5" fillId="0" borderId="0" xfId="0" applyFont="1"/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F9AD-AA8D-41BF-AADD-73685B797CFB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69</v>
      </c>
    </row>
    <row r="2" spans="1:2" x14ac:dyDescent="0.35">
      <c r="A2" t="s">
        <v>72</v>
      </c>
    </row>
    <row r="4" spans="1:2" x14ac:dyDescent="0.35">
      <c r="A4" t="s">
        <v>70</v>
      </c>
      <c r="B4" s="34">
        <v>45199</v>
      </c>
    </row>
    <row r="6" spans="1:2" x14ac:dyDescent="0.35">
      <c r="A6" s="35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ADCF-745A-4E36-BDD1-7D3C1C9265B9}">
  <sheetPr codeName="Sheet87"/>
  <dimension ref="A1:AA20"/>
  <sheetViews>
    <sheetView zoomScaleNormal="100" workbookViewId="0"/>
  </sheetViews>
  <sheetFormatPr defaultRowHeight="14.5" x14ac:dyDescent="0.35"/>
  <cols>
    <col min="3" max="3" width="5.453125" customWidth="1"/>
    <col min="6" max="6" width="5.7265625" customWidth="1"/>
    <col min="11" max="11" width="3.1796875" customWidth="1"/>
    <col min="12" max="12" width="22.453125" customWidth="1"/>
    <col min="26" max="26" width="3.7265625" customWidth="1"/>
    <col min="27" max="27" width="29" customWidth="1"/>
  </cols>
  <sheetData>
    <row r="1" spans="1:27" x14ac:dyDescent="0.35">
      <c r="A1" s="1" t="s">
        <v>0</v>
      </c>
      <c r="N1" t="s">
        <v>1</v>
      </c>
      <c r="Y1" t="s">
        <v>2</v>
      </c>
    </row>
    <row r="3" spans="1:27" x14ac:dyDescent="0.35">
      <c r="A3" s="2" t="s">
        <v>3</v>
      </c>
      <c r="D3" t="s">
        <v>4</v>
      </c>
      <c r="N3" t="s">
        <v>5</v>
      </c>
      <c r="Y3" s="3" t="e">
        <f ca="1">MANNDIST(H11,H5,I5,2)</f>
        <v>#NAME?</v>
      </c>
      <c r="AA3" t="e">
        <f ca="1">FTEXT(Y3)</f>
        <v>#NAME?</v>
      </c>
    </row>
    <row r="4" spans="1:27" ht="13.5" customHeight="1" x14ac:dyDescent="0.35">
      <c r="H4" s="4" t="s">
        <v>6</v>
      </c>
      <c r="I4" s="4" t="s">
        <v>7</v>
      </c>
    </row>
    <row r="5" spans="1:27" ht="15" thickBot="1" x14ac:dyDescent="0.4">
      <c r="A5" s="5" t="s">
        <v>6</v>
      </c>
      <c r="B5" s="5" t="s">
        <v>7</v>
      </c>
      <c r="D5" s="5" t="s">
        <v>6</v>
      </c>
      <c r="E5" s="5" t="s">
        <v>7</v>
      </c>
      <c r="G5" t="s">
        <v>8</v>
      </c>
      <c r="H5" s="6">
        <f>COUNT(A6:A17)</f>
        <v>12</v>
      </c>
      <c r="I5" s="7">
        <f>COUNT(B6:B17)</f>
        <v>11</v>
      </c>
      <c r="N5" t="s">
        <v>9</v>
      </c>
      <c r="Q5" t="s">
        <v>10</v>
      </c>
      <c r="R5">
        <v>0</v>
      </c>
      <c r="Y5" s="3" t="e">
        <f ca="1">MANNINV(H9,H5,I5,2)</f>
        <v>#NAME?</v>
      </c>
      <c r="AA5" t="e">
        <f ca="1">FTEXT(Y5)</f>
        <v>#NAME?</v>
      </c>
    </row>
    <row r="6" spans="1:27" ht="15" thickTop="1" x14ac:dyDescent="0.35">
      <c r="A6">
        <v>11</v>
      </c>
      <c r="B6">
        <v>34</v>
      </c>
      <c r="D6" t="e">
        <f ca="1">IF(A6&lt;&gt;"",RANK_AVG(A6,$A$6:$B$17,1),"")</f>
        <v>#NAME?</v>
      </c>
      <c r="E6" t="e">
        <f ca="1">IF(B6&lt;&gt;"",RANK_AVG(B6,$A$6:$B$17,1),"")</f>
        <v>#NAME?</v>
      </c>
      <c r="G6" t="s">
        <v>11</v>
      </c>
      <c r="H6" s="8" t="e">
        <f ca="1">D18</f>
        <v>#NAME?</v>
      </c>
      <c r="I6" s="9" t="e">
        <f ca="1">E18</f>
        <v>#NAME?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16</v>
      </c>
    </row>
    <row r="7" spans="1:27" x14ac:dyDescent="0.35">
      <c r="A7">
        <v>15</v>
      </c>
      <c r="B7">
        <v>31</v>
      </c>
      <c r="D7" t="e">
        <f ca="1">IF(A7&lt;&gt;"",RANK_AVG(A7,$A$6:$B$17,1),"")</f>
        <v>#NAME?</v>
      </c>
      <c r="E7" t="e">
        <f ca="1">IF(B7&lt;&gt;"",RANK_AVG(B7,$A$6:$B$17,1),"")</f>
        <v>#NAME?</v>
      </c>
      <c r="G7" t="s">
        <v>17</v>
      </c>
      <c r="H7" s="11" t="e">
        <f ca="1">H5*I5+H5*(H5+1)/2-H6</f>
        <v>#NAME?</v>
      </c>
      <c r="I7" s="12" t="e">
        <f ca="1">H5*I5+I5*(I5+1)/2-I6</f>
        <v>#NAME?</v>
      </c>
      <c r="N7" t="str">
        <f>A5</f>
        <v>Control</v>
      </c>
      <c r="O7">
        <f>COUNT(A6:A17)</f>
        <v>12</v>
      </c>
      <c r="P7">
        <f>AVERAGE(A6:A17)</f>
        <v>17</v>
      </c>
      <c r="Q7">
        <f>VAR(A6:A17)</f>
        <v>80.909090909090907</v>
      </c>
      <c r="Y7" s="3" t="e">
        <f ca="1">MANN_EXACT(A6:A17,B6:B16)</f>
        <v>#NAME?</v>
      </c>
      <c r="AA7" t="e">
        <f ca="1">FTEXT(Y7)</f>
        <v>#NAME?</v>
      </c>
    </row>
    <row r="8" spans="1:27" x14ac:dyDescent="0.35">
      <c r="A8">
        <v>9</v>
      </c>
      <c r="B8">
        <v>35</v>
      </c>
      <c r="D8" t="e">
        <f ca="1">IF(A8&lt;&gt;"",RANK_AVG(A8,$A$6:$B$17,1),"")</f>
        <v>#NAME?</v>
      </c>
      <c r="E8" t="e">
        <f ca="1">IF(B8&lt;&gt;"",RANK_AVG(B8,$A$6:$B$17,1),"")</f>
        <v>#NAME?</v>
      </c>
      <c r="N8" t="str">
        <f>B5</f>
        <v>Drug</v>
      </c>
      <c r="O8">
        <f>COUNT(B6:B17)</f>
        <v>11</v>
      </c>
      <c r="P8">
        <f>AVERAGE(B6:B17)</f>
        <v>23.90909090909091</v>
      </c>
      <c r="Q8">
        <f>VAR(B6:B17)</f>
        <v>82.690909090909102</v>
      </c>
    </row>
    <row r="9" spans="1:27" x14ac:dyDescent="0.35">
      <c r="A9">
        <v>4</v>
      </c>
      <c r="B9">
        <v>29</v>
      </c>
      <c r="D9" t="e">
        <f ca="1">IF(A9&lt;&gt;"",RANK_AVG(A9,$A$6:$B$17,1),"")</f>
        <v>#NAME?</v>
      </c>
      <c r="E9" t="e">
        <f ca="1">IF(B9&lt;&gt;"",RANK_AVG(B9,$A$6:$B$17,1),"")</f>
        <v>#NAME?</v>
      </c>
      <c r="G9" t="s">
        <v>18</v>
      </c>
      <c r="H9" s="13">
        <v>0.05</v>
      </c>
      <c r="L9" t="s">
        <v>19</v>
      </c>
      <c r="N9" s="14" t="s">
        <v>20</v>
      </c>
      <c r="O9" s="14"/>
      <c r="P9" s="14"/>
      <c r="Q9" s="14">
        <f>((O7-1)*Q7+(O8-1)*Q8)/(O7+O8-2)</f>
        <v>81.757575757575765</v>
      </c>
      <c r="R9" s="14">
        <f>ABS(P7-P8-R5)/SQRT(Q9)</f>
        <v>0.76411179639367188</v>
      </c>
    </row>
    <row r="10" spans="1:27" x14ac:dyDescent="0.35">
      <c r="A10">
        <v>34</v>
      </c>
      <c r="B10">
        <v>28</v>
      </c>
      <c r="D10" t="e">
        <f ca="1">IF(A10&lt;&gt;"",RANK_AVG(A10,$A$6:$B$17,1),"")</f>
        <v>#NAME?</v>
      </c>
      <c r="E10" t="e">
        <f ca="1">IF(B10&lt;&gt;"",RANK_AVG(B10,$A$6:$B$17,1),"")</f>
        <v>#NAME?</v>
      </c>
      <c r="G10" t="s">
        <v>21</v>
      </c>
      <c r="H10" s="15">
        <v>2</v>
      </c>
    </row>
    <row r="11" spans="1:27" ht="15" thickBot="1" x14ac:dyDescent="0.4">
      <c r="A11">
        <v>17</v>
      </c>
      <c r="B11">
        <v>12</v>
      </c>
      <c r="D11" t="e">
        <f ca="1">IF(A11&lt;&gt;"",RANK_AVG(A11,$A$6:$B$17,1),"")</f>
        <v>#NAME?</v>
      </c>
      <c r="E11" t="e">
        <f ca="1">IF(B11&lt;&gt;"",RANK_AVG(B11,$A$6:$B$17,1),"")</f>
        <v>#NAME?</v>
      </c>
      <c r="G11" t="s">
        <v>17</v>
      </c>
      <c r="H11" s="15" t="e">
        <f ca="1">MIN(H7:I7)</f>
        <v>#NAME?</v>
      </c>
      <c r="J11" s="13" t="e">
        <f ca="1">MANN(A6:B17)</f>
        <v>#NAME?</v>
      </c>
      <c r="L11" s="16" t="e">
        <f ca="1">FTEXT(J11)</f>
        <v>#NAME?</v>
      </c>
      <c r="N11" t="s">
        <v>22</v>
      </c>
      <c r="R11" t="s">
        <v>23</v>
      </c>
      <c r="S11">
        <v>0.05</v>
      </c>
    </row>
    <row r="12" spans="1:27" ht="15" thickTop="1" x14ac:dyDescent="0.35">
      <c r="A12">
        <v>18</v>
      </c>
      <c r="B12">
        <v>18</v>
      </c>
      <c r="D12" t="e">
        <f ca="1">IF(A12&lt;&gt;"",RANK_AVG(A12,$A$6:$B$17,1),"")</f>
        <v>#NAME?</v>
      </c>
      <c r="E12" t="e">
        <f ca="1">IF(B12&lt;&gt;"",RANK_AVG(B12,$A$6:$B$17,1),"")</f>
        <v>#NAME?</v>
      </c>
      <c r="G12" t="s">
        <v>24</v>
      </c>
      <c r="H12" s="15" t="e">
        <f ca="1">MWINV(H9,H5,I5,H10)</f>
        <v>#NAME?</v>
      </c>
      <c r="J12" s="17" t="e">
        <f ca="1">MWINV(H9,H5,I5,H10)</f>
        <v>#NAME?</v>
      </c>
      <c r="L12" s="16" t="e">
        <f ca="1">FTEXT(J12)</f>
        <v>#NAME?</v>
      </c>
      <c r="N12" s="10" t="s">
        <v>25</v>
      </c>
      <c r="O12" s="10" t="s">
        <v>26</v>
      </c>
      <c r="P12" s="10" t="s">
        <v>27</v>
      </c>
      <c r="Q12" s="10" t="s">
        <v>28</v>
      </c>
      <c r="R12" s="10" t="s">
        <v>29</v>
      </c>
      <c r="S12" s="10" t="s">
        <v>30</v>
      </c>
      <c r="T12" s="10" t="s">
        <v>31</v>
      </c>
      <c r="U12" s="10" t="s">
        <v>32</v>
      </c>
      <c r="V12" s="10" t="s">
        <v>33</v>
      </c>
      <c r="W12" s="10" t="s">
        <v>34</v>
      </c>
    </row>
    <row r="13" spans="1:27" x14ac:dyDescent="0.35">
      <c r="A13">
        <v>14</v>
      </c>
      <c r="B13">
        <v>30</v>
      </c>
      <c r="D13" t="e">
        <f ca="1">IF(A13&lt;&gt;"",RANK_AVG(A13,$A$6:$B$17,1),"")</f>
        <v>#NAME?</v>
      </c>
      <c r="E13" t="e">
        <f ca="1">IF(B13&lt;&gt;"",RANK_AVG(B13,$A$6:$B$17,1),"")</f>
        <v>#NAME?</v>
      </c>
      <c r="G13" t="s">
        <v>33</v>
      </c>
      <c r="H13" s="18" t="e">
        <f ca="1">IF(H11&lt;H12,"yes","no")</f>
        <v>#NAME?</v>
      </c>
      <c r="N13" t="s">
        <v>35</v>
      </c>
      <c r="O13">
        <f>SQRT(Q9*(1/O7+1/O8))</f>
        <v>3.774339438919565</v>
      </c>
      <c r="P13">
        <f>(ABS(P7-P8-R5))/O13</f>
        <v>1.8305430714172048</v>
      </c>
      <c r="Q13">
        <f>O7+O8-2</f>
        <v>21</v>
      </c>
      <c r="R13">
        <f>TDIST(P13,Q13,1)</f>
        <v>4.0699273241060353E-2</v>
      </c>
      <c r="S13">
        <f>TINV(S11*2,Q13)</f>
        <v>1.7207429028118781</v>
      </c>
      <c r="V13" s="19" t="str">
        <f>IF(R13&lt;S11,"yes","no")</f>
        <v>yes</v>
      </c>
      <c r="W13">
        <f>SQRT(P13^2/(P13^2+Q13))</f>
        <v>0.37095612899862523</v>
      </c>
    </row>
    <row r="14" spans="1:27" x14ac:dyDescent="0.35">
      <c r="A14">
        <v>12</v>
      </c>
      <c r="B14">
        <v>14</v>
      </c>
      <c r="D14" t="e">
        <f ca="1">IF(A14&lt;&gt;"",RANK_AVG(A14,$A$6:$B$17,1),"")</f>
        <v>#NAME?</v>
      </c>
      <c r="E14" t="e">
        <f ca="1">IF(B14&lt;&gt;"",RANK_AVG(B14,$A$6:$B$17,1),"")</f>
        <v>#NAME?</v>
      </c>
      <c r="N14" t="s">
        <v>36</v>
      </c>
      <c r="O14">
        <f>O13</f>
        <v>3.774339438919565</v>
      </c>
      <c r="P14">
        <f>P13</f>
        <v>1.8305430714172048</v>
      </c>
      <c r="Q14">
        <f>Q13</f>
        <v>21</v>
      </c>
      <c r="R14">
        <f>TDIST(P14,Q14,2)</f>
        <v>8.1398546482120707E-2</v>
      </c>
      <c r="S14">
        <f>TINV(S11,Q14)</f>
        <v>2.07961384472768</v>
      </c>
      <c r="T14">
        <f>(P7-P8)-S14*O14</f>
        <v>-14.758259460969741</v>
      </c>
      <c r="U14">
        <f>(P7-P8)+S14*O14</f>
        <v>0.94007764278792116</v>
      </c>
      <c r="V14" s="19" t="str">
        <f>IF(R14&lt;S11,"yes","no")</f>
        <v>no</v>
      </c>
      <c r="W14">
        <f>W13</f>
        <v>0.37095612899862523</v>
      </c>
    </row>
    <row r="15" spans="1:27" x14ac:dyDescent="0.35">
      <c r="A15">
        <v>13</v>
      </c>
      <c r="B15">
        <v>22</v>
      </c>
      <c r="D15" t="e">
        <f ca="1">IF(A15&lt;&gt;"",RANK_AVG(A15,$A$6:$B$17,1),"")</f>
        <v>#NAME?</v>
      </c>
      <c r="E15" t="e">
        <f ca="1">IF(B15&lt;&gt;"",RANK_AVG(B15,$A$6:$B$17,1),"")</f>
        <v>#NAME?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7" ht="15" thickBot="1" x14ac:dyDescent="0.4">
      <c r="A16">
        <v>26</v>
      </c>
      <c r="B16">
        <v>10</v>
      </c>
      <c r="D16" t="e">
        <f ca="1">IF(A16&lt;&gt;"",RANK_AVG(A16,$A$6:$B$17,1),"")</f>
        <v>#NAME?</v>
      </c>
      <c r="E16" t="e">
        <f ca="1">IF(B16&lt;&gt;"",RANK_AVG(B16,$A$6:$B$17,1),"")</f>
        <v>#NAME?</v>
      </c>
      <c r="N16" t="s">
        <v>37</v>
      </c>
      <c r="R16" t="s">
        <v>23</v>
      </c>
      <c r="S16">
        <f>S11</f>
        <v>0.05</v>
      </c>
    </row>
    <row r="17" spans="1:23" ht="15" thickTop="1" x14ac:dyDescent="0.35">
      <c r="A17" s="20">
        <v>31</v>
      </c>
      <c r="B17" s="20"/>
      <c r="D17" s="20" t="e">
        <f ca="1">IF(A17&lt;&gt;"",RANK_AVG(A17,$A$6:$B$17,1),"")</f>
        <v>#NAME?</v>
      </c>
      <c r="E17" s="20" t="str">
        <f>IF(B17&lt;&gt;"",RANK_AVG(B17,$A$6:$B$17,1),"")</f>
        <v/>
      </c>
      <c r="N17" s="10" t="s">
        <v>25</v>
      </c>
      <c r="O17" s="10" t="s">
        <v>26</v>
      </c>
      <c r="P17" s="10" t="s">
        <v>27</v>
      </c>
      <c r="Q17" s="10" t="s">
        <v>28</v>
      </c>
      <c r="R17" s="10" t="s">
        <v>29</v>
      </c>
      <c r="S17" s="10" t="s">
        <v>30</v>
      </c>
      <c r="T17" s="10" t="s">
        <v>31</v>
      </c>
      <c r="U17" s="10" t="s">
        <v>32</v>
      </c>
      <c r="V17" s="10" t="s">
        <v>33</v>
      </c>
      <c r="W17" s="10" t="s">
        <v>34</v>
      </c>
    </row>
    <row r="18" spans="1:23" x14ac:dyDescent="0.35">
      <c r="A18">
        <f>AVERAGE(A6:A17)</f>
        <v>17</v>
      </c>
      <c r="B18">
        <f>AVERAGE(B6:B17)</f>
        <v>23.90909090909091</v>
      </c>
      <c r="D18" t="e">
        <f ca="1">SUM(D6:D17)</f>
        <v>#NAME?</v>
      </c>
      <c r="E18" t="e">
        <f ca="1">SUM(E6:E17)</f>
        <v>#NAME?</v>
      </c>
      <c r="N18" t="s">
        <v>35</v>
      </c>
      <c r="O18">
        <f>SQRT(Q7/O7+Q8/O8)</f>
        <v>3.776212337028344</v>
      </c>
      <c r="P18">
        <f>(ABS(P7-P8-R5))/O18</f>
        <v>1.8296351720856767</v>
      </c>
      <c r="Q18">
        <f>(Q7/O7+Q8/O8)^2/((Q7/O7)^2/(O7-1)+(Q8/O8)^2/(O8-1))</f>
        <v>20.783435398688827</v>
      </c>
      <c r="R18">
        <f>TTEST(A6:A17,B6:B17,1,3)</f>
        <v>4.0843926219351213E-2</v>
      </c>
      <c r="S18">
        <f>TINV(S16*2,ROUND(Q18,0))</f>
        <v>1.7207429028118781</v>
      </c>
      <c r="V18" s="19" t="str">
        <f>IF(R18&lt;S16,"yes","no")</f>
        <v>yes</v>
      </c>
      <c r="W18">
        <f>SQRT(P18^2/(P18^2+Q18))</f>
        <v>0.37245759802708889</v>
      </c>
    </row>
    <row r="19" spans="1:23" x14ac:dyDescent="0.35">
      <c r="N19" t="s">
        <v>36</v>
      </c>
      <c r="O19">
        <f>O18</f>
        <v>3.776212337028344</v>
      </c>
      <c r="P19">
        <f>P18</f>
        <v>1.8296351720856767</v>
      </c>
      <c r="Q19">
        <f>Q18</f>
        <v>20.783435398688827</v>
      </c>
      <c r="R19">
        <f>TTEST(A6:A17,B6:B17,2,3)</f>
        <v>8.1687852438702427E-2</v>
      </c>
      <c r="S19">
        <f>TINV(S16,ROUND(Q19,0))</f>
        <v>2.07961384472768</v>
      </c>
      <c r="T19">
        <f>(P7-P8)-S19*O19</f>
        <v>-14.762154365806522</v>
      </c>
      <c r="U19">
        <f>(P7-P8)+S19*O19</f>
        <v>0.94397254762470162</v>
      </c>
      <c r="V19" s="19" t="str">
        <f>IF(R19&lt;S16,"yes","no")</f>
        <v>no</v>
      </c>
      <c r="W19">
        <f>W18</f>
        <v>0.37245759802708889</v>
      </c>
    </row>
    <row r="20" spans="1:23" x14ac:dyDescent="0.35">
      <c r="N20" s="14"/>
      <c r="O20" s="14"/>
      <c r="P20" s="14"/>
      <c r="Q20" s="14"/>
      <c r="R20" s="14"/>
      <c r="S20" s="14"/>
      <c r="T20" s="14"/>
      <c r="U20" s="14"/>
      <c r="V20" s="14"/>
      <c r="W2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C0C2-CDAB-41BD-837F-8F088867D6BB}">
  <sheetPr codeName="Sheet92"/>
  <dimension ref="A1:W19"/>
  <sheetViews>
    <sheetView workbookViewId="0"/>
  </sheetViews>
  <sheetFormatPr defaultRowHeight="14.5" x14ac:dyDescent="0.35"/>
  <cols>
    <col min="3" max="3" width="4.453125" customWidth="1"/>
  </cols>
  <sheetData>
    <row r="1" spans="1:23" x14ac:dyDescent="0.35">
      <c r="A1" s="1" t="s">
        <v>0</v>
      </c>
    </row>
    <row r="3" spans="1:23" x14ac:dyDescent="0.35">
      <c r="A3" s="2" t="s">
        <v>3</v>
      </c>
      <c r="D3" t="s">
        <v>38</v>
      </c>
      <c r="J3" t="s">
        <v>38</v>
      </c>
      <c r="U3" t="s">
        <v>38</v>
      </c>
    </row>
    <row r="5" spans="1:23" x14ac:dyDescent="0.35">
      <c r="A5" s="5" t="s">
        <v>6</v>
      </c>
      <c r="B5" s="5" t="s">
        <v>7</v>
      </c>
      <c r="E5" t="str">
        <f>A5</f>
        <v>Control</v>
      </c>
      <c r="F5" t="str">
        <f>B5</f>
        <v>Drug</v>
      </c>
      <c r="K5" t="str">
        <f>A5</f>
        <v>Control</v>
      </c>
      <c r="L5" t="str">
        <f>B5</f>
        <v>Drug</v>
      </c>
      <c r="V5" t="str">
        <f>A5</f>
        <v>Control</v>
      </c>
      <c r="W5" t="str">
        <f>B5</f>
        <v>Drug</v>
      </c>
    </row>
    <row r="6" spans="1:23" x14ac:dyDescent="0.35">
      <c r="A6">
        <v>11</v>
      </c>
      <c r="B6">
        <v>34</v>
      </c>
      <c r="D6" t="s">
        <v>8</v>
      </c>
      <c r="E6" s="21">
        <f>COUNT(A6:A17)</f>
        <v>12</v>
      </c>
      <c r="F6" s="22">
        <f>COUNT(B6:B17)</f>
        <v>11</v>
      </c>
      <c r="J6" t="s">
        <v>8</v>
      </c>
      <c r="K6" s="21">
        <f>COUNT(A6:A17)</f>
        <v>12</v>
      </c>
      <c r="L6" s="22">
        <f>COUNT(B6:B17)</f>
        <v>11</v>
      </c>
      <c r="U6" t="s">
        <v>8</v>
      </c>
      <c r="V6" s="21">
        <f>COUNT(A6:A17)</f>
        <v>12</v>
      </c>
      <c r="W6" s="22">
        <f>COUNT(B6:B17)</f>
        <v>11</v>
      </c>
    </row>
    <row r="7" spans="1:23" x14ac:dyDescent="0.35">
      <c r="A7">
        <v>15</v>
      </c>
      <c r="B7">
        <v>31</v>
      </c>
      <c r="D7" t="s">
        <v>39</v>
      </c>
      <c r="E7" s="23">
        <f>MEDIAN(A6:A17)</f>
        <v>14.5</v>
      </c>
      <c r="F7" s="24">
        <f>MEDIAN(B6:B17)</f>
        <v>28</v>
      </c>
      <c r="J7" t="s">
        <v>39</v>
      </c>
      <c r="K7" s="23">
        <f>MEDIAN(A6:A17)</f>
        <v>14.5</v>
      </c>
      <c r="L7" s="24">
        <f>MEDIAN(B6:B17)</f>
        <v>28</v>
      </c>
      <c r="U7" t="s">
        <v>39</v>
      </c>
      <c r="V7" s="23">
        <f>MEDIAN(A6:A17)</f>
        <v>14.5</v>
      </c>
      <c r="W7" s="24">
        <f>MEDIAN(B6:B17)</f>
        <v>28</v>
      </c>
    </row>
    <row r="8" spans="1:23" x14ac:dyDescent="0.35">
      <c r="A8">
        <v>9</v>
      </c>
      <c r="B8">
        <v>35</v>
      </c>
      <c r="D8" t="s">
        <v>11</v>
      </c>
      <c r="E8" s="23" t="e">
        <f ca="1">RANK_SUM(A6:A17,B6:B17,1)</f>
        <v>#NAME?</v>
      </c>
      <c r="F8" s="24" t="e">
        <f ca="1">RANK_SUM(B6:B17,A6:A17,1)</f>
        <v>#NAME?</v>
      </c>
      <c r="J8" t="s">
        <v>11</v>
      </c>
      <c r="K8" s="23" t="e">
        <f ca="1">RANK_SUM(A6:A17,B6:B17,1)</f>
        <v>#NAME?</v>
      </c>
      <c r="L8" s="24" t="e">
        <f ca="1">RANK_SUM(B6:B17,A6:A17,1)</f>
        <v>#NAME?</v>
      </c>
      <c r="U8" t="s">
        <v>11</v>
      </c>
      <c r="V8" s="23" t="e">
        <f ca="1">RANK_SUM(A6:A17,B6:B17,1)</f>
        <v>#NAME?</v>
      </c>
      <c r="W8" s="24" t="e">
        <f ca="1">RANK_SUM(B6:B17,A6:A17,1)</f>
        <v>#NAME?</v>
      </c>
    </row>
    <row r="9" spans="1:23" x14ac:dyDescent="0.35">
      <c r="A9">
        <v>4</v>
      </c>
      <c r="B9">
        <v>29</v>
      </c>
      <c r="D9" t="s">
        <v>17</v>
      </c>
      <c r="E9" s="25" t="e">
        <f ca="1">E6*F6+E6*(E6+1)/2-E8</f>
        <v>#NAME?</v>
      </c>
      <c r="F9" s="26" t="e">
        <f ca="1">E6*F6+F6*(F6+1)/2-F8</f>
        <v>#NAME?</v>
      </c>
      <c r="J9" t="s">
        <v>17</v>
      </c>
      <c r="K9" s="25" t="e">
        <f ca="1">K6*L6+K6*(K6+1)/2-K8</f>
        <v>#NAME?</v>
      </c>
      <c r="L9" s="26" t="e">
        <f ca="1">K6*L6+L6*(L6+1)/2-L8</f>
        <v>#NAME?</v>
      </c>
      <c r="U9" t="s">
        <v>17</v>
      </c>
      <c r="V9" s="25" t="e">
        <f ca="1">K6*L6+K6*(K6+1)/2-K8</f>
        <v>#NAME?</v>
      </c>
      <c r="W9" s="26" t="e">
        <f ca="1">K6*L6+L6*(L6+1)/2-L8</f>
        <v>#NAME?</v>
      </c>
    </row>
    <row r="10" spans="1:23" x14ac:dyDescent="0.35">
      <c r="A10">
        <v>34</v>
      </c>
      <c r="B10">
        <v>28</v>
      </c>
      <c r="O10" t="e">
        <f t="array" aca="1" ref="O10:P15" ca="1">MW_TEST(A6:A17,B6:B17,TRUE)</f>
        <v>#NAME?</v>
      </c>
      <c r="P10" s="13" t="e">
        <f ca="1"/>
        <v>#NAME?</v>
      </c>
      <c r="R10" t="e">
        <f t="array" aca="1" ref="R10:S15" ca="1">MW_TEST(A6:A17,B6:B17,TRUE,,,,,0,0)</f>
        <v>#NAME?</v>
      </c>
      <c r="S10" s="31" t="e">
        <f ca="1"/>
        <v>#NAME?</v>
      </c>
    </row>
    <row r="11" spans="1:23" x14ac:dyDescent="0.35">
      <c r="A11">
        <v>17</v>
      </c>
      <c r="B11">
        <v>12</v>
      </c>
      <c r="E11" s="19" t="s">
        <v>40</v>
      </c>
      <c r="F11" s="19" t="s">
        <v>41</v>
      </c>
      <c r="K11" s="19" t="s">
        <v>40</v>
      </c>
      <c r="L11" s="19" t="s">
        <v>41</v>
      </c>
      <c r="O11" t="e">
        <f ca="1"/>
        <v>#NAME?</v>
      </c>
      <c r="P11" s="15" t="e">
        <f ca="1"/>
        <v>#NAME?</v>
      </c>
      <c r="R11" t="e">
        <f ca="1"/>
        <v>#NAME?</v>
      </c>
      <c r="S11" s="15" t="e">
        <f ca="1"/>
        <v>#NAME?</v>
      </c>
      <c r="V11" s="19" t="s">
        <v>40</v>
      </c>
      <c r="W11" s="19" t="s">
        <v>41</v>
      </c>
    </row>
    <row r="12" spans="1:23" x14ac:dyDescent="0.35">
      <c r="A12">
        <v>18</v>
      </c>
      <c r="B12">
        <v>18</v>
      </c>
      <c r="D12" t="s">
        <v>17</v>
      </c>
      <c r="E12" s="27" t="e">
        <f ca="1">MIN(E9,F9)</f>
        <v>#NAME?</v>
      </c>
      <c r="J12" t="s">
        <v>17</v>
      </c>
      <c r="K12" s="27" t="e">
        <f ca="1">MIN(K9,L9)</f>
        <v>#NAME?</v>
      </c>
      <c r="O12" t="e">
        <f ca="1"/>
        <v>#NAME?</v>
      </c>
      <c r="P12" s="15" t="e">
        <f ca="1"/>
        <v>#NAME?</v>
      </c>
      <c r="R12" t="e">
        <f ca="1"/>
        <v>#NAME?</v>
      </c>
      <c r="S12" s="15" t="e">
        <f ca="1"/>
        <v>#NAME?</v>
      </c>
      <c r="U12" t="s">
        <v>17</v>
      </c>
      <c r="V12" s="27" t="e">
        <f ca="1">MIN(V9,W9)</f>
        <v>#NAME?</v>
      </c>
    </row>
    <row r="13" spans="1:23" x14ac:dyDescent="0.35">
      <c r="A13">
        <v>14</v>
      </c>
      <c r="B13">
        <v>30</v>
      </c>
      <c r="D13" t="s">
        <v>42</v>
      </c>
      <c r="E13" s="28">
        <f>E6*F6/2</f>
        <v>66</v>
      </c>
      <c r="J13" t="s">
        <v>42</v>
      </c>
      <c r="K13" s="28">
        <f>K6*L6/2</f>
        <v>66</v>
      </c>
      <c r="O13" t="e">
        <f ca="1"/>
        <v>#NAME?</v>
      </c>
      <c r="P13" s="15" t="e">
        <f ca="1"/>
        <v>#NAME?</v>
      </c>
      <c r="R13" t="e">
        <f ca="1"/>
        <v>#NAME?</v>
      </c>
      <c r="S13" s="15" t="e">
        <f ca="1"/>
        <v>#NAME?</v>
      </c>
      <c r="U13" t="s">
        <v>42</v>
      </c>
      <c r="V13" s="28">
        <f>V6*W6/2</f>
        <v>66</v>
      </c>
    </row>
    <row r="14" spans="1:23" x14ac:dyDescent="0.35">
      <c r="A14">
        <v>12</v>
      </c>
      <c r="B14">
        <v>14</v>
      </c>
      <c r="D14" t="s">
        <v>43</v>
      </c>
      <c r="E14" s="28">
        <f>SQRT(E13*(E6+F6+1)/6)</f>
        <v>16.248076809271922</v>
      </c>
      <c r="J14" t="s">
        <v>43</v>
      </c>
      <c r="K14" s="28" t="e">
        <f ca="1">SQRT(K13*(K6+L6+1)/6*(1-TiesCorrection(A6:A17,B6:B17,2)/((K6+L6)^3-K6-L6)))</f>
        <v>#NAME?</v>
      </c>
      <c r="L14" t="s">
        <v>44</v>
      </c>
      <c r="O14" t="e">
        <f ca="1"/>
        <v>#NAME?</v>
      </c>
      <c r="P14" s="15" t="e">
        <f ca="1"/>
        <v>#NAME?</v>
      </c>
      <c r="R14" t="e">
        <f ca="1"/>
        <v>#NAME?</v>
      </c>
      <c r="S14" s="15" t="e">
        <f ca="1"/>
        <v>#NAME?</v>
      </c>
      <c r="U14" t="s">
        <v>43</v>
      </c>
      <c r="V14" s="28" t="e">
        <f ca="1">SQRT(V13*(V6+W6+1)/6*(1-TiesCorrection(A6:A17,B6:B17,2)/((V6+W6)^3-V6-W6)))</f>
        <v>#NAME?</v>
      </c>
      <c r="W14" t="s">
        <v>44</v>
      </c>
    </row>
    <row r="15" spans="1:23" x14ac:dyDescent="0.35">
      <c r="A15">
        <v>13</v>
      </c>
      <c r="B15">
        <v>22</v>
      </c>
      <c r="D15" t="s">
        <v>45</v>
      </c>
      <c r="E15" s="28" t="e">
        <f ca="1">ABS(ABS(E12-E13)-1/2)/E14</f>
        <v>#NAME?</v>
      </c>
      <c r="F15" t="s">
        <v>46</v>
      </c>
      <c r="J15" t="s">
        <v>45</v>
      </c>
      <c r="K15" s="28" t="e">
        <f ca="1">ABS(ABS(K12-K13)-1/2)/K14</f>
        <v>#NAME?</v>
      </c>
      <c r="L15" t="s">
        <v>46</v>
      </c>
      <c r="O15" t="e">
        <f ca="1"/>
        <v>#NAME?</v>
      </c>
      <c r="P15" s="17" t="e">
        <f ca="1"/>
        <v>#NAME?</v>
      </c>
      <c r="R15" t="e">
        <f ca="1"/>
        <v>#NAME?</v>
      </c>
      <c r="S15" s="36" t="e">
        <f ca="1"/>
        <v>#NAME?</v>
      </c>
      <c r="U15" t="s">
        <v>45</v>
      </c>
      <c r="V15" s="28" t="e">
        <f ca="1">ABS(ABS(V12-V13)-1/2)/V14</f>
        <v>#NAME?</v>
      </c>
      <c r="W15" t="s">
        <v>46</v>
      </c>
    </row>
    <row r="16" spans="1:23" x14ac:dyDescent="0.35">
      <c r="A16">
        <v>26</v>
      </c>
      <c r="B16">
        <v>10</v>
      </c>
      <c r="D16" t="s">
        <v>34</v>
      </c>
      <c r="E16" s="28" t="e">
        <f ca="1">E15/SQRT(E6+F6)</f>
        <v>#NAME?</v>
      </c>
      <c r="J16" t="s">
        <v>34</v>
      </c>
      <c r="K16" s="28" t="e">
        <f ca="1">K15/SQRT(K6+L6)</f>
        <v>#NAME?</v>
      </c>
      <c r="U16" t="s">
        <v>34</v>
      </c>
      <c r="V16" s="28" t="e">
        <f ca="1">1-V12/V13</f>
        <v>#NAME?</v>
      </c>
      <c r="W16" t="s">
        <v>74</v>
      </c>
    </row>
    <row r="17" spans="1:23" x14ac:dyDescent="0.35">
      <c r="A17" s="20">
        <v>31</v>
      </c>
      <c r="B17" s="20"/>
      <c r="D17" t="s">
        <v>47</v>
      </c>
      <c r="E17" s="27" t="e">
        <f ca="1">1-NORMSDIST(E15)</f>
        <v>#NAME?</v>
      </c>
      <c r="F17" s="22" t="e">
        <f ca="1">2*E17</f>
        <v>#NAME?</v>
      </c>
      <c r="J17" t="s">
        <v>47</v>
      </c>
      <c r="K17" s="27" t="e">
        <f ca="1">1-NORMSDIST(K15)</f>
        <v>#NAME?</v>
      </c>
      <c r="L17" s="22" t="e">
        <f ca="1">2*K17</f>
        <v>#NAME?</v>
      </c>
      <c r="U17" t="s">
        <v>47</v>
      </c>
      <c r="V17" s="27" t="e">
        <f ca="1">1-NORMSDIST(V15)</f>
        <v>#NAME?</v>
      </c>
      <c r="W17" s="22" t="e">
        <f ca="1">2*V17</f>
        <v>#NAME?</v>
      </c>
    </row>
    <row r="18" spans="1:23" x14ac:dyDescent="0.35">
      <c r="A18">
        <f>AVERAGE(A6:A17)</f>
        <v>17</v>
      </c>
      <c r="B18">
        <f>AVERAGE(B6:B17)</f>
        <v>23.90909090909091</v>
      </c>
      <c r="D18" t="s">
        <v>48</v>
      </c>
      <c r="E18" s="28" t="e">
        <f ca="1">MWDIST(E12,E6,F6,1)</f>
        <v>#NAME?</v>
      </c>
      <c r="F18" s="24" t="e">
        <f ca="1">2*E18</f>
        <v>#NAME?</v>
      </c>
      <c r="J18" t="s">
        <v>48</v>
      </c>
      <c r="K18" s="28" t="e">
        <f ca="1">MWDIST(K12,K6,L6,1)</f>
        <v>#NAME?</v>
      </c>
      <c r="L18" s="24" t="e">
        <f ca="1">2*K18</f>
        <v>#NAME?</v>
      </c>
      <c r="U18" t="s">
        <v>48</v>
      </c>
      <c r="V18" s="28" t="e">
        <f ca="1">MWDIST(V12,V6,W6,1)</f>
        <v>#NAME?</v>
      </c>
      <c r="W18" s="24" t="e">
        <f ca="1">2*V18</f>
        <v>#NAME?</v>
      </c>
    </row>
    <row r="19" spans="1:23" x14ac:dyDescent="0.35">
      <c r="D19" t="s">
        <v>49</v>
      </c>
      <c r="E19" s="29" t="e">
        <f t="array" aca="1" ref="E19:F19" ca="1">TRANSPOSE(SUBMATRIX(MW_SIMUL(A6:A17,B6:B17,TRUE,10000),3,2,2,1))</f>
        <v>#NAME?</v>
      </c>
      <c r="F19" s="26" t="e">
        <f ca="1"/>
        <v>#NAME?</v>
      </c>
      <c r="J19" t="s">
        <v>49</v>
      </c>
      <c r="K19" s="29" t="e">
        <f t="array" aca="1" ref="K19:L19" ca="1">TRANSPOSE(SUBMATRIX(MW_SIMUL(A6:A17,B6:B17,TRUE,10000),3,2,2,1))</f>
        <v>#NAME?</v>
      </c>
      <c r="L19" s="26" t="e">
        <f ca="1"/>
        <v>#NAME?</v>
      </c>
      <c r="U19" t="s">
        <v>49</v>
      </c>
      <c r="V19" s="36" t="s">
        <v>73</v>
      </c>
      <c r="W19" s="36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08DB-EB20-4099-96FE-12E72899183E}">
  <sheetPr codeName="Sheet94"/>
  <dimension ref="A1:AX21"/>
  <sheetViews>
    <sheetView workbookViewId="0"/>
  </sheetViews>
  <sheetFormatPr defaultRowHeight="14.5" x14ac:dyDescent="0.35"/>
  <cols>
    <col min="1" max="17" width="5.1796875" customWidth="1"/>
    <col min="18" max="18" width="6.453125" customWidth="1"/>
    <col min="20" max="21" width="9.1796875" customWidth="1"/>
    <col min="22" max="22" width="3.7265625" customWidth="1"/>
    <col min="23" max="23" width="28.81640625" customWidth="1"/>
    <col min="25" max="25" width="9.1796875" customWidth="1"/>
    <col min="26" max="26" width="2.81640625" customWidth="1"/>
    <col min="27" max="27" width="36.54296875" customWidth="1"/>
    <col min="29" max="29" width="13" customWidth="1"/>
  </cols>
  <sheetData>
    <row r="1" spans="1:50" x14ac:dyDescent="0.35">
      <c r="A1" s="30" t="s">
        <v>0</v>
      </c>
    </row>
    <row r="3" spans="1:50" x14ac:dyDescent="0.35">
      <c r="A3" t="s">
        <v>50</v>
      </c>
      <c r="J3" t="s">
        <v>51</v>
      </c>
      <c r="S3" t="s">
        <v>52</v>
      </c>
      <c r="AC3" t="s">
        <v>5</v>
      </c>
      <c r="AN3" t="s">
        <v>38</v>
      </c>
      <c r="AT3" t="s">
        <v>53</v>
      </c>
      <c r="AW3" t="s">
        <v>54</v>
      </c>
    </row>
    <row r="5" spans="1:50" ht="15" thickBot="1" x14ac:dyDescent="0.4">
      <c r="A5" t="s">
        <v>55</v>
      </c>
      <c r="E5" t="s">
        <v>56</v>
      </c>
      <c r="J5" t="s">
        <v>55</v>
      </c>
      <c r="N5" t="s">
        <v>56</v>
      </c>
      <c r="T5" s="4" t="s">
        <v>57</v>
      </c>
      <c r="U5" s="4" t="s">
        <v>56</v>
      </c>
      <c r="AC5" t="s">
        <v>9</v>
      </c>
      <c r="AF5" t="s">
        <v>10</v>
      </c>
      <c r="AG5">
        <v>0</v>
      </c>
      <c r="AO5" t="s">
        <v>58</v>
      </c>
      <c r="AP5" t="s">
        <v>59</v>
      </c>
      <c r="AT5" t="e">
        <f t="array" aca="1" ref="AT5:AU10" ca="1">MW_TEST(A6:D15,E6:H15,TRUE,1)</f>
        <v>#NAME?</v>
      </c>
      <c r="AU5" s="31" t="e">
        <f ca="1"/>
        <v>#NAME?</v>
      </c>
      <c r="AW5" t="e">
        <f t="array" aca="1" ref="AW5:AX10" ca="1">MW_TEST(A6:D15,E6:H15,TRUE,1,0.05,FALSE)</f>
        <v>#NAME?</v>
      </c>
      <c r="AX5" s="31" t="e">
        <f ca="1"/>
        <v>#NAME?</v>
      </c>
    </row>
    <row r="6" spans="1:50" ht="15" thickTop="1" x14ac:dyDescent="0.35">
      <c r="A6" s="6">
        <v>81</v>
      </c>
      <c r="B6" s="14">
        <v>62</v>
      </c>
      <c r="C6" s="14">
        <v>90</v>
      </c>
      <c r="D6" s="14">
        <v>79</v>
      </c>
      <c r="E6" s="6">
        <v>72</v>
      </c>
      <c r="F6" s="14">
        <v>86</v>
      </c>
      <c r="G6" s="14">
        <v>77</v>
      </c>
      <c r="H6" s="7">
        <v>66</v>
      </c>
      <c r="J6" s="6" t="e">
        <f ca="1">IF(A6&lt;&gt;"",RANK_AVG(A6,$A$6:$H$15,1),"")</f>
        <v>#NAME?</v>
      </c>
      <c r="K6" s="14" t="e">
        <f ca="1">IF(B6&lt;&gt;"",RANK_AVG(B6,$A$6:$H$15,1),"")</f>
        <v>#NAME?</v>
      </c>
      <c r="L6" s="14" t="e">
        <f ca="1">IF(C6&lt;&gt;"",RANK_AVG(C6,$A$6:$H$15,1),"")</f>
        <v>#NAME?</v>
      </c>
      <c r="M6" s="14" t="e">
        <f ca="1">IF(D6&lt;&gt;"",RANK_AVG(D6,$A$6:$H$15,1),"")</f>
        <v>#NAME?</v>
      </c>
      <c r="N6" s="6" t="e">
        <f ca="1">IF(E6&lt;&gt;"",RANK_AVG(E6,$A$6:$H$15,1),"")</f>
        <v>#NAME?</v>
      </c>
      <c r="O6" s="14" t="e">
        <f ca="1">IF(F6&lt;&gt;"",RANK_AVG(F6,$A$6:$H$15,1),"")</f>
        <v>#NAME?</v>
      </c>
      <c r="P6" s="14" t="e">
        <f ca="1">IF(G6&lt;&gt;"",RANK_AVG(G6,$A$6:$H$15,1),"")</f>
        <v>#NAME?</v>
      </c>
      <c r="Q6" s="7" t="e">
        <f ca="1">IF(H6&lt;&gt;"",RANK_AVG(H6,$A$6:$H$15,1),"")</f>
        <v>#NAME?</v>
      </c>
      <c r="S6" t="s">
        <v>8</v>
      </c>
      <c r="T6" s="6">
        <f>COUNT(A6:D15)</f>
        <v>40</v>
      </c>
      <c r="U6" s="7">
        <f>COUNT(E6:H15)</f>
        <v>38</v>
      </c>
      <c r="W6" t="e">
        <f ca="1">FTEXT(T6)</f>
        <v>#NAME?</v>
      </c>
      <c r="AC6" s="10" t="s">
        <v>12</v>
      </c>
      <c r="AD6" s="10" t="s">
        <v>13</v>
      </c>
      <c r="AE6" s="10" t="s">
        <v>14</v>
      </c>
      <c r="AF6" s="10" t="s">
        <v>15</v>
      </c>
      <c r="AG6" s="10" t="s">
        <v>16</v>
      </c>
      <c r="AN6" t="s">
        <v>8</v>
      </c>
      <c r="AO6" s="21">
        <f>COUNT(A6:D15)</f>
        <v>40</v>
      </c>
      <c r="AP6" s="22">
        <f>COUNT(E6:H15)</f>
        <v>38</v>
      </c>
      <c r="AT6" t="e">
        <f ca="1"/>
        <v>#NAME?</v>
      </c>
      <c r="AU6" s="15" t="e">
        <f ca="1"/>
        <v>#NAME?</v>
      </c>
      <c r="AW6" t="e">
        <f ca="1"/>
        <v>#NAME?</v>
      </c>
      <c r="AX6" s="15" t="e">
        <f ca="1"/>
        <v>#NAME?</v>
      </c>
    </row>
    <row r="7" spans="1:50" x14ac:dyDescent="0.35">
      <c r="A7" s="8">
        <v>65</v>
      </c>
      <c r="B7">
        <v>86</v>
      </c>
      <c r="C7">
        <v>88</v>
      </c>
      <c r="D7">
        <v>72</v>
      </c>
      <c r="E7" s="8">
        <v>80</v>
      </c>
      <c r="F7">
        <v>35</v>
      </c>
      <c r="G7">
        <v>87</v>
      </c>
      <c r="H7" s="9">
        <v>79</v>
      </c>
      <c r="J7" s="8" t="e">
        <f ca="1">IF(A7&lt;&gt;"",RANK_AVG(A7,$A$6:$H$15,1),"")</f>
        <v>#NAME?</v>
      </c>
      <c r="K7" t="e">
        <f ca="1">IF(B7&lt;&gt;"",RANK_AVG(B7,$A$6:$H$15,1),"")</f>
        <v>#NAME?</v>
      </c>
      <c r="L7" t="e">
        <f ca="1">IF(C7&lt;&gt;"",RANK_AVG(C7,$A$6:$H$15,1),"")</f>
        <v>#NAME?</v>
      </c>
      <c r="M7" t="e">
        <f ca="1">IF(D7&lt;&gt;"",RANK_AVG(D7,$A$6:$H$15,1),"")</f>
        <v>#NAME?</v>
      </c>
      <c r="N7" s="8" t="e">
        <f ca="1">IF(E7&lt;&gt;"",RANK_AVG(E7,$A$6:$H$15,1),"")</f>
        <v>#NAME?</v>
      </c>
      <c r="O7" t="e">
        <f ca="1">IF(F7&lt;&gt;"",RANK_AVG(F7,$A$6:$H$15,1),"")</f>
        <v>#NAME?</v>
      </c>
      <c r="P7" t="e">
        <f ca="1">IF(G7&lt;&gt;"",RANK_AVG(G7,$A$6:$H$15,1),"")</f>
        <v>#NAME?</v>
      </c>
      <c r="Q7" s="9" t="e">
        <f ca="1">IF(H7&lt;&gt;"",RANK_AVG(H7,$A$6:$H$15,1),"")</f>
        <v>#NAME?</v>
      </c>
      <c r="S7" t="s">
        <v>39</v>
      </c>
      <c r="T7" s="8">
        <f>MEDIAN(A6:D15)</f>
        <v>76.5</v>
      </c>
      <c r="U7" s="9">
        <f>MEDIAN(E6:H15)</f>
        <v>70.5</v>
      </c>
      <c r="W7" t="e">
        <f ca="1">FTEXT(T7)</f>
        <v>#NAME?</v>
      </c>
      <c r="AC7" t="str">
        <f>A5</f>
        <v>Non-smokers</v>
      </c>
      <c r="AD7">
        <f>COUNT(A6:D15)</f>
        <v>40</v>
      </c>
      <c r="AE7">
        <f>AVERAGE(A6:D15)</f>
        <v>77.674999999999997</v>
      </c>
      <c r="AF7">
        <f>VAR(A6:D15)</f>
        <v>133.35320512820499</v>
      </c>
      <c r="AN7" t="s">
        <v>39</v>
      </c>
      <c r="AO7" s="23">
        <f>MEDIAN(A6:D15)</f>
        <v>76.5</v>
      </c>
      <c r="AP7" s="24">
        <f>MEDIAN(E6:H15)</f>
        <v>70.5</v>
      </c>
      <c r="AT7" t="e">
        <f ca="1"/>
        <v>#NAME?</v>
      </c>
      <c r="AU7" s="15" t="e">
        <f ca="1"/>
        <v>#NAME?</v>
      </c>
      <c r="AW7" t="e">
        <f ca="1"/>
        <v>#NAME?</v>
      </c>
      <c r="AX7" s="15" t="e">
        <f ca="1"/>
        <v>#NAME?</v>
      </c>
    </row>
    <row r="8" spans="1:50" x14ac:dyDescent="0.35">
      <c r="A8" s="8">
        <v>89</v>
      </c>
      <c r="B8">
        <v>89</v>
      </c>
      <c r="C8">
        <v>74</v>
      </c>
      <c r="D8">
        <v>92</v>
      </c>
      <c r="E8" s="8">
        <v>63</v>
      </c>
      <c r="F8">
        <v>78</v>
      </c>
      <c r="G8">
        <v>77</v>
      </c>
      <c r="H8" s="9">
        <v>67</v>
      </c>
      <c r="J8" s="8" t="e">
        <f ca="1">IF(A8&lt;&gt;"",RANK_AVG(A8,$A$6:$H$15,1),"")</f>
        <v>#NAME?</v>
      </c>
      <c r="K8" t="e">
        <f ca="1">IF(B8&lt;&gt;"",RANK_AVG(B8,$A$6:$H$15,1),"")</f>
        <v>#NAME?</v>
      </c>
      <c r="L8" t="e">
        <f ca="1">IF(C8&lt;&gt;"",RANK_AVG(C8,$A$6:$H$15,1),"")</f>
        <v>#NAME?</v>
      </c>
      <c r="M8" t="e">
        <f ca="1">IF(D8&lt;&gt;"",RANK_AVG(D8,$A$6:$H$15,1),"")</f>
        <v>#NAME?</v>
      </c>
      <c r="N8" s="8" t="e">
        <f ca="1">IF(E8&lt;&gt;"",RANK_AVG(E8,$A$6:$H$15,1),"")</f>
        <v>#NAME?</v>
      </c>
      <c r="O8" t="e">
        <f ca="1">IF(F8&lt;&gt;"",RANK_AVG(F8,$A$6:$H$15,1),"")</f>
        <v>#NAME?</v>
      </c>
      <c r="P8" t="e">
        <f ca="1">IF(G8&lt;&gt;"",RANK_AVG(G8,$A$6:$H$15,1),"")</f>
        <v>#NAME?</v>
      </c>
      <c r="Q8" s="9" t="e">
        <f ca="1">IF(H8&lt;&gt;"",RANK_AVG(H8,$A$6:$H$15,1),"")</f>
        <v>#NAME?</v>
      </c>
      <c r="S8" t="s">
        <v>11</v>
      </c>
      <c r="T8" s="8" t="e">
        <f ca="1">SUM(J6:M15)</f>
        <v>#NAME?</v>
      </c>
      <c r="U8" s="9" t="e">
        <f ca="1">SUM(N6:Q15)</f>
        <v>#NAME?</v>
      </c>
      <c r="W8" t="e">
        <f ca="1">FTEXT(T8)</f>
        <v>#NAME?</v>
      </c>
      <c r="AA8" t="str">
        <f>IF(H15&lt;&gt;"",RANK_AVG(H15,$A$6:$H$15,1),"")</f>
        <v/>
      </c>
      <c r="AC8" t="str">
        <f>E5</f>
        <v>Smokers</v>
      </c>
      <c r="AD8">
        <f>COUNT(E6:H15)</f>
        <v>38</v>
      </c>
      <c r="AE8">
        <f>AVERAGE(E6:H15)</f>
        <v>69.44736842105263</v>
      </c>
      <c r="AF8">
        <f>VAR(E6:H15)</f>
        <v>161.65931721194883</v>
      </c>
      <c r="AN8" t="s">
        <v>11</v>
      </c>
      <c r="AO8" s="23" t="e">
        <f ca="1">RANK_SUM(A6:D15,E6:H15,1)</f>
        <v>#NAME?</v>
      </c>
      <c r="AP8" s="24" t="e">
        <f ca="1">RANK_SUM(E6:H15,A6:D15,1)</f>
        <v>#NAME?</v>
      </c>
      <c r="AT8" t="e">
        <f ca="1"/>
        <v>#NAME?</v>
      </c>
      <c r="AU8" s="15" t="e">
        <f ca="1"/>
        <v>#NAME?</v>
      </c>
      <c r="AW8" t="e">
        <f ca="1"/>
        <v>#NAME?</v>
      </c>
      <c r="AX8" s="15" t="e">
        <f ca="1"/>
        <v>#NAME?</v>
      </c>
    </row>
    <row r="9" spans="1:50" x14ac:dyDescent="0.35">
      <c r="A9" s="8">
        <v>70</v>
      </c>
      <c r="B9">
        <v>75</v>
      </c>
      <c r="C9">
        <v>88</v>
      </c>
      <c r="D9">
        <v>77</v>
      </c>
      <c r="E9" s="8">
        <v>67</v>
      </c>
      <c r="F9">
        <v>72</v>
      </c>
      <c r="G9">
        <v>65</v>
      </c>
      <c r="H9" s="9">
        <v>65</v>
      </c>
      <c r="J9" s="8" t="e">
        <f ca="1">IF(A9&lt;&gt;"",RANK_AVG(A9,$A$6:$H$15,1),"")</f>
        <v>#NAME?</v>
      </c>
      <c r="K9" t="e">
        <f ca="1">IF(B9&lt;&gt;"",RANK_AVG(B9,$A$6:$H$15,1),"")</f>
        <v>#NAME?</v>
      </c>
      <c r="L9" t="e">
        <f ca="1">IF(C9&lt;&gt;"",RANK_AVG(C9,$A$6:$H$15,1),"")</f>
        <v>#NAME?</v>
      </c>
      <c r="M9" t="e">
        <f ca="1">IF(D9&lt;&gt;"",RANK_AVG(D9,$A$6:$H$15,1),"")</f>
        <v>#NAME?</v>
      </c>
      <c r="N9" s="8" t="e">
        <f ca="1">IF(E9&lt;&gt;"",RANK_AVG(E9,$A$6:$H$15,1),"")</f>
        <v>#NAME?</v>
      </c>
      <c r="O9" t="e">
        <f ca="1">IF(F9&lt;&gt;"",RANK_AVG(F9,$A$6:$H$15,1),"")</f>
        <v>#NAME?</v>
      </c>
      <c r="P9" t="e">
        <f ca="1">IF(G9&lt;&gt;"",RANK_AVG(G9,$A$6:$H$15,1),"")</f>
        <v>#NAME?</v>
      </c>
      <c r="Q9" s="9" t="e">
        <f ca="1">IF(H9&lt;&gt;"",RANK_AVG(H9,$A$6:$H$15,1),"")</f>
        <v>#NAME?</v>
      </c>
      <c r="S9" t="s">
        <v>17</v>
      </c>
      <c r="T9" s="11" t="e">
        <f ca="1">T6*U6+T6*(T6+1)/2-T8</f>
        <v>#NAME?</v>
      </c>
      <c r="U9" s="12" t="e">
        <f ca="1">T6*U6+U6*(U6+1)/2-U8</f>
        <v>#NAME?</v>
      </c>
      <c r="W9" t="e">
        <f ca="1">FTEXT(T9)</f>
        <v>#NAME?</v>
      </c>
      <c r="Y9" s="3" t="e">
        <f ca="1">MANN(A6:D15,E6:H15)</f>
        <v>#NAME?</v>
      </c>
      <c r="AA9" s="16" t="s">
        <v>60</v>
      </c>
      <c r="AC9" s="14" t="s">
        <v>20</v>
      </c>
      <c r="AD9" s="14"/>
      <c r="AE9" s="14"/>
      <c r="AF9" s="14">
        <f>((AD7-1)*AF7+(AD8-1)*AF8)/(AD7+AD8-2)</f>
        <v>147.13381232686976</v>
      </c>
      <c r="AG9" s="14">
        <f>ABS(AE7-AE8-AG5)/SQRT(AF9)</f>
        <v>0.67829496363381436</v>
      </c>
      <c r="AN9" t="s">
        <v>17</v>
      </c>
      <c r="AO9" s="25" t="e">
        <f ca="1">AO6*AP6+AO6*(AO6+1)/2-AO8</f>
        <v>#NAME?</v>
      </c>
      <c r="AP9" s="26" t="e">
        <f ca="1">AO6*AP6+AP6*(AP6+1)/2-AP8</f>
        <v>#NAME?</v>
      </c>
      <c r="AT9" t="e">
        <f ca="1"/>
        <v>#NAME?</v>
      </c>
      <c r="AU9" s="15" t="e">
        <f ca="1"/>
        <v>#NAME?</v>
      </c>
      <c r="AW9" t="e">
        <f ca="1"/>
        <v>#NAME?</v>
      </c>
      <c r="AX9" s="15" t="e">
        <f ca="1"/>
        <v>#NAME?</v>
      </c>
    </row>
    <row r="10" spans="1:50" x14ac:dyDescent="0.35">
      <c r="A10" s="8">
        <v>87</v>
      </c>
      <c r="B10">
        <v>76</v>
      </c>
      <c r="C10">
        <v>90</v>
      </c>
      <c r="D10">
        <v>45</v>
      </c>
      <c r="E10" s="8">
        <v>69</v>
      </c>
      <c r="F10">
        <v>75</v>
      </c>
      <c r="G10">
        <v>90</v>
      </c>
      <c r="H10" s="9">
        <v>76</v>
      </c>
      <c r="J10" s="8" t="e">
        <f ca="1">IF(A10&lt;&gt;"",RANK_AVG(A10,$A$6:$H$15,1),"")</f>
        <v>#NAME?</v>
      </c>
      <c r="K10" t="e">
        <f ca="1">IF(B10&lt;&gt;"",RANK_AVG(B10,$A$6:$H$15,1),"")</f>
        <v>#NAME?</v>
      </c>
      <c r="L10" t="e">
        <f ca="1">IF(C10&lt;&gt;"",RANK_AVG(C10,$A$6:$H$15,1),"")</f>
        <v>#NAME?</v>
      </c>
      <c r="M10" t="e">
        <f ca="1">IF(D10&lt;&gt;"",RANK_AVG(D10,$A$6:$H$15,1),"")</f>
        <v>#NAME?</v>
      </c>
      <c r="N10" s="8" t="e">
        <f ca="1">IF(E10&lt;&gt;"",RANK_AVG(E10,$A$6:$H$15,1),"")</f>
        <v>#NAME?</v>
      </c>
      <c r="O10" t="e">
        <f ca="1">IF(F10&lt;&gt;"",RANK_AVG(F10,$A$6:$H$15,1),"")</f>
        <v>#NAME?</v>
      </c>
      <c r="P10" t="e">
        <f ca="1">IF(G10&lt;&gt;"",RANK_AVG(G10,$A$6:$H$15,1),"")</f>
        <v>#NAME?</v>
      </c>
      <c r="Q10" s="9" t="e">
        <f ca="1">IF(H10&lt;&gt;"",RANK_AVG(H10,$A$6:$H$15,1),"")</f>
        <v>#NAME?</v>
      </c>
      <c r="W10" t="s">
        <v>61</v>
      </c>
      <c r="AT10" t="e">
        <f ca="1"/>
        <v>#NAME?</v>
      </c>
      <c r="AU10" s="17" t="e">
        <f ca="1"/>
        <v>#NAME?</v>
      </c>
      <c r="AW10" t="e">
        <f ca="1"/>
        <v>#NAME?</v>
      </c>
      <c r="AX10" s="17" t="e">
        <f ca="1"/>
        <v>#NAME?</v>
      </c>
    </row>
    <row r="11" spans="1:50" ht="15" thickBot="1" x14ac:dyDescent="0.4">
      <c r="A11" s="8">
        <v>61</v>
      </c>
      <c r="B11">
        <v>69</v>
      </c>
      <c r="C11">
        <v>87</v>
      </c>
      <c r="D11">
        <v>75</v>
      </c>
      <c r="E11" s="8">
        <v>62</v>
      </c>
      <c r="F11">
        <v>73</v>
      </c>
      <c r="G11">
        <v>55</v>
      </c>
      <c r="H11" s="9">
        <v>70</v>
      </c>
      <c r="J11" s="8" t="e">
        <f ca="1">IF(A11&lt;&gt;"",RANK_AVG(A11,$A$6:$H$15,1),"")</f>
        <v>#NAME?</v>
      </c>
      <c r="K11" t="e">
        <f ca="1">IF(B11&lt;&gt;"",RANK_AVG(B11,$A$6:$H$15,1),"")</f>
        <v>#NAME?</v>
      </c>
      <c r="L11" t="e">
        <f ca="1">IF(C11&lt;&gt;"",RANK_AVG(C11,$A$6:$H$15,1),"")</f>
        <v>#NAME?</v>
      </c>
      <c r="M11" t="e">
        <f ca="1">IF(D11&lt;&gt;"",RANK_AVG(D11,$A$6:$H$15,1),"")</f>
        <v>#NAME?</v>
      </c>
      <c r="N11" s="8" t="e">
        <f ca="1">IF(E11&lt;&gt;"",RANK_AVG(E11,$A$6:$H$15,1),"")</f>
        <v>#NAME?</v>
      </c>
      <c r="O11" t="e">
        <f ca="1">IF(F11&lt;&gt;"",RANK_AVG(F11,$A$6:$H$15,1),"")</f>
        <v>#NAME?</v>
      </c>
      <c r="P11" t="e">
        <f ca="1">IF(G11&lt;&gt;"",RANK_AVG(G11,$A$6:$H$15,1),"")</f>
        <v>#NAME?</v>
      </c>
      <c r="Q11" s="9" t="e">
        <f ca="1">IF(H11&lt;&gt;"",RANK_AVG(H11,$A$6:$H$15,1),"")</f>
        <v>#NAME?</v>
      </c>
      <c r="S11" t="s">
        <v>18</v>
      </c>
      <c r="T11" s="31">
        <v>0.05</v>
      </c>
      <c r="AC11" t="s">
        <v>22</v>
      </c>
      <c r="AG11" t="s">
        <v>23</v>
      </c>
      <c r="AH11">
        <v>0.05</v>
      </c>
      <c r="AO11" s="19" t="s">
        <v>40</v>
      </c>
      <c r="AP11" s="19" t="s">
        <v>41</v>
      </c>
    </row>
    <row r="12" spans="1:50" ht="15" thickTop="1" x14ac:dyDescent="0.35">
      <c r="A12" s="8">
        <v>94</v>
      </c>
      <c r="B12">
        <v>69</v>
      </c>
      <c r="C12">
        <v>95</v>
      </c>
      <c r="D12">
        <v>70</v>
      </c>
      <c r="E12" s="8">
        <v>67</v>
      </c>
      <c r="F12">
        <v>71</v>
      </c>
      <c r="G12">
        <v>69</v>
      </c>
      <c r="H12" s="9">
        <v>64</v>
      </c>
      <c r="J12" s="8" t="e">
        <f ca="1">IF(A12&lt;&gt;"",RANK_AVG(A12,$A$6:$H$15,1),"")</f>
        <v>#NAME?</v>
      </c>
      <c r="K12" t="e">
        <f ca="1">IF(B12&lt;&gt;"",RANK_AVG(B12,$A$6:$H$15,1),"")</f>
        <v>#NAME?</v>
      </c>
      <c r="L12" t="e">
        <f ca="1">IF(C12&lt;&gt;"",RANK_AVG(C12,$A$6:$H$15,1),"")</f>
        <v>#NAME?</v>
      </c>
      <c r="M12" t="e">
        <f ca="1">IF(D12&lt;&gt;"",RANK_AVG(D12,$A$6:$H$15,1),"")</f>
        <v>#NAME?</v>
      </c>
      <c r="N12" s="8" t="e">
        <f ca="1">IF(E12&lt;&gt;"",RANK_AVG(E12,$A$6:$H$15,1),"")</f>
        <v>#NAME?</v>
      </c>
      <c r="O12" t="e">
        <f ca="1">IF(F12&lt;&gt;"",RANK_AVG(F12,$A$6:$H$15,1),"")</f>
        <v>#NAME?</v>
      </c>
      <c r="P12" t="e">
        <f ca="1">IF(G12&lt;&gt;"",RANK_AVG(G12,$A$6:$H$15,1),"")</f>
        <v>#NAME?</v>
      </c>
      <c r="Q12" s="9" t="e">
        <f ca="1">IF(H12&lt;&gt;"",RANK_AVG(H12,$A$6:$H$15,1),"")</f>
        <v>#NAME?</v>
      </c>
      <c r="S12" t="s">
        <v>21</v>
      </c>
      <c r="T12" s="15">
        <v>1</v>
      </c>
      <c r="AC12" s="10" t="s">
        <v>25</v>
      </c>
      <c r="AD12" s="10" t="s">
        <v>26</v>
      </c>
      <c r="AE12" s="10" t="s">
        <v>27</v>
      </c>
      <c r="AF12" s="10" t="s">
        <v>28</v>
      </c>
      <c r="AG12" s="10" t="s">
        <v>29</v>
      </c>
      <c r="AH12" s="10" t="s">
        <v>30</v>
      </c>
      <c r="AI12" s="10" t="s">
        <v>31</v>
      </c>
      <c r="AJ12" s="10" t="s">
        <v>32</v>
      </c>
      <c r="AK12" s="10" t="s">
        <v>33</v>
      </c>
      <c r="AL12" s="10" t="s">
        <v>34</v>
      </c>
      <c r="AN12" t="s">
        <v>17</v>
      </c>
      <c r="AO12" s="27" t="e">
        <f ca="1">MIN(AO9,AP9)</f>
        <v>#NAME?</v>
      </c>
    </row>
    <row r="13" spans="1:50" x14ac:dyDescent="0.35">
      <c r="A13" s="8">
        <v>98</v>
      </c>
      <c r="B13">
        <v>61</v>
      </c>
      <c r="C13">
        <v>66</v>
      </c>
      <c r="D13">
        <v>91</v>
      </c>
      <c r="E13" s="8">
        <v>62</v>
      </c>
      <c r="F13">
        <v>78</v>
      </c>
      <c r="G13">
        <v>91</v>
      </c>
      <c r="H13" s="9">
        <v>64</v>
      </c>
      <c r="J13" s="8" t="e">
        <f ca="1">IF(A13&lt;&gt;"",RANK_AVG(A13,$A$6:$H$15,1),"")</f>
        <v>#NAME?</v>
      </c>
      <c r="K13" t="e">
        <f ca="1">IF(B13&lt;&gt;"",RANK_AVG(B13,$A$6:$H$15,1),"")</f>
        <v>#NAME?</v>
      </c>
      <c r="L13" t="e">
        <f ca="1">IF(C13&lt;&gt;"",RANK_AVG(C13,$A$6:$H$15,1),"")</f>
        <v>#NAME?</v>
      </c>
      <c r="M13" t="e">
        <f ca="1">IF(D13&lt;&gt;"",RANK_AVG(D13,$A$6:$H$15,1),"")</f>
        <v>#NAME?</v>
      </c>
      <c r="N13" s="8" t="e">
        <f ca="1">IF(E13&lt;&gt;"",RANK_AVG(E13,$A$6:$H$15,1),"")</f>
        <v>#NAME?</v>
      </c>
      <c r="O13" t="e">
        <f ca="1">IF(F13&lt;&gt;"",RANK_AVG(F13,$A$6:$H$15,1),"")</f>
        <v>#NAME?</v>
      </c>
      <c r="P13" t="e">
        <f ca="1">IF(G13&lt;&gt;"",RANK_AVG(G13,$A$6:$H$15,1),"")</f>
        <v>#NAME?</v>
      </c>
      <c r="Q13" s="9" t="e">
        <f ca="1">IF(H13&lt;&gt;"",RANK_AVG(H13,$A$6:$H$15,1),"")</f>
        <v>#NAME?</v>
      </c>
      <c r="S13" t="s">
        <v>17</v>
      </c>
      <c r="T13" s="15" t="e">
        <f ca="1">MIN(T9:U9)</f>
        <v>#NAME?</v>
      </c>
      <c r="W13" t="e">
        <f ca="1">FTEXT(T13)</f>
        <v>#NAME?</v>
      </c>
      <c r="AC13" t="s">
        <v>35</v>
      </c>
      <c r="AD13">
        <f>SQRT(AF9*(1/AD7+1/AD8))</f>
        <v>2.7477786915663733</v>
      </c>
      <c r="AE13">
        <f>(ABS(AE7-AE8-AG5))/AD13</f>
        <v>2.9942846577128086</v>
      </c>
      <c r="AF13">
        <f>AD7+AD8-2</f>
        <v>76</v>
      </c>
      <c r="AG13">
        <f>TDIST(AE13,AF13,1)</f>
        <v>1.855508793985649E-3</v>
      </c>
      <c r="AH13">
        <f>TINV(AH11*2,AF13)</f>
        <v>1.6651513534046942</v>
      </c>
      <c r="AK13" s="19" t="str">
        <f>IF(AG13&lt;AH11,"yes","no")</f>
        <v>yes</v>
      </c>
      <c r="AL13">
        <f>SQRT(AE13^2/(AE13^2+AF13))</f>
        <v>0.32484124131214032</v>
      </c>
      <c r="AN13" t="s">
        <v>42</v>
      </c>
      <c r="AO13" s="28">
        <f>AO6*AP6/2</f>
        <v>760</v>
      </c>
      <c r="AT13" t="s">
        <v>62</v>
      </c>
      <c r="AW13" t="s">
        <v>63</v>
      </c>
    </row>
    <row r="14" spans="1:50" x14ac:dyDescent="0.35">
      <c r="A14" s="8">
        <v>81</v>
      </c>
      <c r="B14">
        <v>72</v>
      </c>
      <c r="C14">
        <v>72</v>
      </c>
      <c r="D14">
        <v>73</v>
      </c>
      <c r="E14" s="8">
        <v>71</v>
      </c>
      <c r="F14">
        <v>80</v>
      </c>
      <c r="G14">
        <v>30</v>
      </c>
      <c r="H14" s="9"/>
      <c r="J14" s="8" t="e">
        <f ca="1">IF(A14&lt;&gt;"",RANK_AVG(A14,$A$6:$H$15,1),"")</f>
        <v>#NAME?</v>
      </c>
      <c r="K14" t="e">
        <f ca="1">IF(B14&lt;&gt;"",RANK_AVG(B14,$A$6:$H$15,1),"")</f>
        <v>#NAME?</v>
      </c>
      <c r="L14" t="e">
        <f ca="1">IF(C14&lt;&gt;"",RANK_AVG(C14,$A$6:$H$15,1),"")</f>
        <v>#NAME?</v>
      </c>
      <c r="M14" t="e">
        <f ca="1">IF(D14&lt;&gt;"",RANK_AVG(D14,$A$6:$H$15,1),"")</f>
        <v>#NAME?</v>
      </c>
      <c r="N14" s="8" t="e">
        <f ca="1">IF(E14&lt;&gt;"",RANK_AVG(E14,$A$6:$H$15,1),"")</f>
        <v>#NAME?</v>
      </c>
      <c r="O14" t="e">
        <f ca="1">IF(F14&lt;&gt;"",RANK_AVG(F14,$A$6:$H$15,1),"")</f>
        <v>#NAME?</v>
      </c>
      <c r="P14" t="e">
        <f ca="1">IF(G14&lt;&gt;"",RANK_AVG(G14,$A$6:$H$15,1),"")</f>
        <v>#NAME?</v>
      </c>
      <c r="Q14" s="9" t="str">
        <f>IF(H14&lt;&gt;"",RANK_AVG(H14,$A$6:$H$15,1),"")</f>
        <v/>
      </c>
      <c r="S14" t="s">
        <v>42</v>
      </c>
      <c r="T14" s="15">
        <f>T6*U6/2</f>
        <v>760</v>
      </c>
      <c r="W14" t="e">
        <f ca="1">FTEXT(T14)</f>
        <v>#NAME?</v>
      </c>
      <c r="AC14" t="s">
        <v>36</v>
      </c>
      <c r="AD14">
        <f>AD13</f>
        <v>2.7477786915663733</v>
      </c>
      <c r="AE14">
        <f>AE13</f>
        <v>2.9942846577128086</v>
      </c>
      <c r="AF14">
        <f>AF13</f>
        <v>76</v>
      </c>
      <c r="AG14">
        <f>TDIST(AE14,AF14,2)</f>
        <v>3.711017587971298E-3</v>
      </c>
      <c r="AH14">
        <f>TINV(AH11,AF14)</f>
        <v>1.991672609644662</v>
      </c>
      <c r="AI14">
        <f>(AE7-AE8)-AH14*AD14</f>
        <v>2.7549560215893738</v>
      </c>
      <c r="AJ14">
        <f>(AE7-AE8)+AH14*AD14</f>
        <v>13.70030713630536</v>
      </c>
      <c r="AK14" s="19" t="str">
        <f>IF(AG14&lt;AH11,"yes","no")</f>
        <v>yes</v>
      </c>
      <c r="AL14">
        <f>AL13</f>
        <v>0.32484124131214032</v>
      </c>
      <c r="AN14" t="s">
        <v>43</v>
      </c>
      <c r="AO14" s="28">
        <f>SQRT(AO13*(AO6+AP6+1)/6)</f>
        <v>100.03332777962885</v>
      </c>
    </row>
    <row r="15" spans="1:50" x14ac:dyDescent="0.35">
      <c r="A15" s="11">
        <v>70</v>
      </c>
      <c r="B15" s="20">
        <v>77</v>
      </c>
      <c r="C15" s="20">
        <v>84</v>
      </c>
      <c r="D15" s="20">
        <v>67</v>
      </c>
      <c r="E15" s="11">
        <v>70</v>
      </c>
      <c r="F15" s="20">
        <v>45</v>
      </c>
      <c r="G15" s="20">
        <v>71</v>
      </c>
      <c r="H15" s="12"/>
      <c r="J15" s="11" t="e">
        <f ca="1">IF(A15&lt;&gt;"",RANK_AVG(A15,$A$6:$H$15,1),"")</f>
        <v>#NAME?</v>
      </c>
      <c r="K15" s="20" t="e">
        <f ca="1">IF(B15&lt;&gt;"",RANK_AVG(B15,$A$6:$H$15,1),"")</f>
        <v>#NAME?</v>
      </c>
      <c r="L15" s="20" t="e">
        <f ca="1">IF(C15&lt;&gt;"",RANK_AVG(C15,$A$6:$H$15,1),"")</f>
        <v>#NAME?</v>
      </c>
      <c r="M15" s="20" t="e">
        <f ca="1">IF(D15&lt;&gt;"",RANK_AVG(D15,$A$6:$H$15,1),"")</f>
        <v>#NAME?</v>
      </c>
      <c r="N15" s="11" t="e">
        <f ca="1">IF(E15&lt;&gt;"",RANK_AVG(E15,$A$6:$H$15,1),"")</f>
        <v>#NAME?</v>
      </c>
      <c r="O15" s="20" t="e">
        <f ca="1">IF(F15&lt;&gt;"",RANK_AVG(F15,$A$6:$H$15,1),"")</f>
        <v>#NAME?</v>
      </c>
      <c r="P15" s="20" t="e">
        <f ca="1">IF(G15&lt;&gt;"",RANK_AVG(G15,$A$6:$H$15,1),"")</f>
        <v>#NAME?</v>
      </c>
      <c r="Q15" s="12" t="str">
        <f>IF(H15&lt;&gt;"",RANK_AVG(H15,$A$6:$H$15,1),"")</f>
        <v/>
      </c>
      <c r="S15" t="s">
        <v>64</v>
      </c>
      <c r="T15" s="32">
        <f>T14*(T6+U6+1)/6</f>
        <v>10006.666666666666</v>
      </c>
      <c r="W15" t="e">
        <f ca="1">FTEXT(T15)</f>
        <v>#NAME?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N15" t="s">
        <v>45</v>
      </c>
      <c r="AO15" s="28" t="e">
        <f ca="1">ABS(STANDARDIZE(AO12,AO13,AO14))</f>
        <v>#NAME?</v>
      </c>
      <c r="AT15" t="e">
        <f t="array" aca="1" ref="AT15:AU20" ca="1">MW_TEST(A6:D15,E6:H15,TRUE,1,,,FALSE)</f>
        <v>#NAME?</v>
      </c>
      <c r="AU15" s="31" t="e">
        <f ca="1"/>
        <v>#NAME?</v>
      </c>
      <c r="AW15" t="e">
        <f t="array" aca="1" ref="AW15:AX20" ca="1">MW_TEST(A6:D15,E6:H15,TRUE,1,0.05,FALSE,FALSE)</f>
        <v>#NAME?</v>
      </c>
      <c r="AX15" s="31" t="e">
        <f ca="1"/>
        <v>#NAME?</v>
      </c>
    </row>
    <row r="16" spans="1:50" ht="15" thickBot="1" x14ac:dyDescent="0.4">
      <c r="S16" t="s">
        <v>43</v>
      </c>
      <c r="T16" s="15">
        <f>SQRT(T15)</f>
        <v>100.03332777962885</v>
      </c>
      <c r="W16" t="e">
        <f ca="1">FTEXT(T16)</f>
        <v>#NAME?</v>
      </c>
      <c r="AC16" t="s">
        <v>37</v>
      </c>
      <c r="AG16" t="s">
        <v>23</v>
      </c>
      <c r="AH16">
        <f>AH11</f>
        <v>0.05</v>
      </c>
      <c r="AN16" t="s">
        <v>34</v>
      </c>
      <c r="AO16" s="28" t="e">
        <f ca="1">AO15/SQRT(AO6+AP6)</f>
        <v>#NAME?</v>
      </c>
      <c r="AT16" t="e">
        <f ca="1"/>
        <v>#NAME?</v>
      </c>
      <c r="AU16" s="15" t="e">
        <f ca="1"/>
        <v>#NAME?</v>
      </c>
      <c r="AW16" t="e">
        <f ca="1"/>
        <v>#NAME?</v>
      </c>
      <c r="AX16" s="15" t="e">
        <f ca="1"/>
        <v>#NAME?</v>
      </c>
    </row>
    <row r="17" spans="19:50" ht="15" thickTop="1" x14ac:dyDescent="0.35">
      <c r="S17" t="s">
        <v>45</v>
      </c>
      <c r="T17" s="15" t="e">
        <f ca="1">ABS((T13-T14)/T16)</f>
        <v>#NAME?</v>
      </c>
      <c r="W17" t="e">
        <f ca="1">FTEXT(T17)</f>
        <v>#NAME?</v>
      </c>
      <c r="Y17" s="31" t="e">
        <f ca="1">-NORMSINV(Y18)</f>
        <v>#NAME?</v>
      </c>
      <c r="AA17" s="16" t="s">
        <v>65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10" t="s">
        <v>31</v>
      </c>
      <c r="AJ17" s="10" t="s">
        <v>32</v>
      </c>
      <c r="AK17" s="10" t="s">
        <v>33</v>
      </c>
      <c r="AL17" s="10" t="s">
        <v>34</v>
      </c>
      <c r="AN17" t="s">
        <v>47</v>
      </c>
      <c r="AO17" s="27" t="e">
        <f ca="1">1-NORMSDIST(AO15)</f>
        <v>#NAME?</v>
      </c>
      <c r="AP17" s="22" t="e">
        <f ca="1">2*AO17</f>
        <v>#NAME?</v>
      </c>
      <c r="AT17" t="e">
        <f ca="1"/>
        <v>#NAME?</v>
      </c>
      <c r="AU17" s="15" t="e">
        <f ca="1"/>
        <v>#NAME?</v>
      </c>
      <c r="AW17" t="e">
        <f ca="1"/>
        <v>#NAME?</v>
      </c>
      <c r="AX17" s="15" t="e">
        <f ca="1"/>
        <v>#NAME?</v>
      </c>
    </row>
    <row r="18" spans="19:50" x14ac:dyDescent="0.35">
      <c r="S18" t="s">
        <v>24</v>
      </c>
      <c r="T18" s="15">
        <f>T14+T16*NORMSINV(T11)</f>
        <v>595.45981798565197</v>
      </c>
      <c r="W18" s="16" t="s">
        <v>66</v>
      </c>
      <c r="Y18" s="15" t="e">
        <f ca="1">MWTEST(A6:D15,E6:H15,1,FALSE,FALSE)</f>
        <v>#NAME?</v>
      </c>
      <c r="AA18" s="16" t="e">
        <f ca="1">FTEXT(Y18)</f>
        <v>#NAME?</v>
      </c>
      <c r="AC18" t="s">
        <v>35</v>
      </c>
      <c r="AD18">
        <f>SQRT(AF7/AD7+AF8/AD8)</f>
        <v>2.7546365797350298</v>
      </c>
      <c r="AE18">
        <f>(ABS(AE7-AE8-AG5))/AD18</f>
        <v>2.9868301464793543</v>
      </c>
      <c r="AF18">
        <f>(AF7/AD7+AF8/AD8)^2/((AF7/AD7)^2/(AD7-1)+(AF8/AD8)^2/(AD8-1))</f>
        <v>74.378329123802331</v>
      </c>
      <c r="AG18">
        <f>TTEST(A6:D15,E6:H15,1,3)</f>
        <v>1.9078580664936271E-3</v>
      </c>
      <c r="AH18">
        <f>TINV(AH16*2,ROUND(AF18,0))</f>
        <v>1.6657068927340244</v>
      </c>
      <c r="AK18" s="19" t="str">
        <f>IF(AG18&lt;AH16,"yes","no")</f>
        <v>yes</v>
      </c>
      <c r="AL18">
        <f>SQRT(AE18^2/(AE18^2+AF18))</f>
        <v>0.32725732182104256</v>
      </c>
      <c r="AN18" t="s">
        <v>48</v>
      </c>
      <c r="AO18" s="28" t="e">
        <f ca="1">MWDIST(AO12,AO6,AP6,1)</f>
        <v>#NAME?</v>
      </c>
      <c r="AP18" s="24" t="e">
        <f ca="1">2*AO18</f>
        <v>#NAME?</v>
      </c>
      <c r="AT18" t="e">
        <f ca="1"/>
        <v>#NAME?</v>
      </c>
      <c r="AU18" s="15" t="e">
        <f ca="1"/>
        <v>#NAME?</v>
      </c>
      <c r="AW18" t="e">
        <f ca="1"/>
        <v>#NAME?</v>
      </c>
      <c r="AX18" s="15" t="e">
        <f ca="1"/>
        <v>#NAME?</v>
      </c>
    </row>
    <row r="19" spans="19:50" x14ac:dyDescent="0.35">
      <c r="S19" t="s">
        <v>29</v>
      </c>
      <c r="T19" s="15" t="e">
        <f ca="1">1-NORMSDIST(T17)</f>
        <v>#NAME?</v>
      </c>
      <c r="W19" s="16" t="s">
        <v>67</v>
      </c>
      <c r="Y19" s="15" t="e">
        <f ca="1">MWTEST(A6:D15,E6:H15)</f>
        <v>#NAME?</v>
      </c>
      <c r="AA19" s="16" t="e">
        <f ca="1">FTEXT(Y19)</f>
        <v>#NAME?</v>
      </c>
      <c r="AC19" t="s">
        <v>36</v>
      </c>
      <c r="AD19">
        <f>AD18</f>
        <v>2.7546365797350298</v>
      </c>
      <c r="AE19">
        <f>AE18</f>
        <v>2.9868301464793543</v>
      </c>
      <c r="AF19">
        <f>AF18</f>
        <v>74.378329123802331</v>
      </c>
      <c r="AG19">
        <f>TTEST(A6:D15,E6:H15,2,3)</f>
        <v>3.8157161329872543E-3</v>
      </c>
      <c r="AH19">
        <f>TINV(AH16,ROUND(AF19,0))</f>
        <v>1.992543495180934</v>
      </c>
      <c r="AI19">
        <f>(AE7-AE8)-AH19*AD19</f>
        <v>2.7388983804088776</v>
      </c>
      <c r="AJ19">
        <f>(AE7-AE8)+AH19*AD19</f>
        <v>13.716364777485857</v>
      </c>
      <c r="AK19" s="19" t="str">
        <f>IF(AG19&lt;AH16,"yes","no")</f>
        <v>yes</v>
      </c>
      <c r="AL19">
        <f>AL18</f>
        <v>0.32725732182104256</v>
      </c>
      <c r="AN19" t="s">
        <v>49</v>
      </c>
      <c r="AO19" s="29" t="e">
        <f t="array" aca="1" ref="AO19:AP19" ca="1">TRANSPOSE(SUBMATRIX(MW_SIMUL(A6:D15,E6:H15,TRUE,10000),3,2,2,1))</f>
        <v>#NAME?</v>
      </c>
      <c r="AP19" s="26" t="e">
        <f ca="1"/>
        <v>#NAME?</v>
      </c>
      <c r="AT19" t="e">
        <f ca="1"/>
        <v>#NAME?</v>
      </c>
      <c r="AU19" s="15" t="e">
        <f ca="1"/>
        <v>#NAME?</v>
      </c>
      <c r="AW19" t="e">
        <f ca="1"/>
        <v>#NAME?</v>
      </c>
      <c r="AX19" s="15" t="e">
        <f ca="1"/>
        <v>#NAME?</v>
      </c>
    </row>
    <row r="20" spans="19:50" x14ac:dyDescent="0.35">
      <c r="S20" t="s">
        <v>33</v>
      </c>
      <c r="T20" s="32" t="e">
        <f ca="1">IF(T19&lt;T11,"yes","no")</f>
        <v>#NAME?</v>
      </c>
      <c r="W20" t="e">
        <f ca="1">FTEXT(T20)</f>
        <v>#NAME?</v>
      </c>
      <c r="Y20" s="17" t="e">
        <f ca="1">ABS(Y17/SQRT(T6+U6))</f>
        <v>#NAME?</v>
      </c>
      <c r="AA20" s="16" t="e">
        <f ca="1">FTEXT(Y20)</f>
        <v>#NAME?</v>
      </c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T20" t="e">
        <f ca="1"/>
        <v>#NAME?</v>
      </c>
      <c r="AU20" s="17" t="e">
        <f ca="1"/>
        <v>#NAME?</v>
      </c>
      <c r="AW20" t="e">
        <f ca="1"/>
        <v>#NAME?</v>
      </c>
      <c r="AX20" s="17" t="e">
        <f ca="1"/>
        <v>#NAME?</v>
      </c>
    </row>
    <row r="21" spans="19:50" x14ac:dyDescent="0.35">
      <c r="S21" t="s">
        <v>68</v>
      </c>
      <c r="T21" s="17" t="e">
        <f ca="1">ABS(T17)/SQRT(T6+U6)</f>
        <v>#NAME?</v>
      </c>
      <c r="W21" t="e">
        <f ca="1">FTEXT(T21)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Mann 1</vt:lpstr>
      <vt:lpstr>Mann 1a</vt:lpstr>
      <vt:lpstr>Mann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2023-09-30T15:36:33Z</dcterms:created>
  <dcterms:modified xsi:type="dcterms:W3CDTF">2023-09-30T19:11:02Z</dcterms:modified>
</cp:coreProperties>
</file>