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8168E0C-1484-439B-8018-CB48272D7B49}" xr6:coauthVersionLast="47" xr6:coauthVersionMax="47" xr10:uidLastSave="{00000000-0000-0000-0000-000000000000}"/>
  <bookViews>
    <workbookView xWindow="-110" yWindow="-110" windowWidth="19420" windowHeight="10300" xr2:uid="{14993DFA-CB61-40EA-BED4-589100CB21E3}"/>
  </bookViews>
  <sheets>
    <sheet name="Title" sheetId="2" r:id="rId1"/>
    <sheet name="Std Err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 s="1"/>
  <c r="E28" i="1" a="1"/>
  <c r="G29" i="1" s="1"/>
  <c r="N22" i="1" a="1"/>
  <c r="O23" i="1" s="1"/>
  <c r="H23" i="1"/>
  <c r="H22" i="1"/>
  <c r="H14" i="1"/>
  <c r="G14" i="1"/>
  <c r="G9" i="1" s="1"/>
  <c r="F14" i="1"/>
  <c r="F9" i="1" s="1"/>
  <c r="E14" i="1"/>
  <c r="E7" i="1" s="1"/>
  <c r="F13" i="1"/>
  <c r="F12" i="1"/>
  <c r="E12" i="1"/>
  <c r="F11" i="1"/>
  <c r="H10" i="1"/>
  <c r="H9" i="1"/>
  <c r="H8" i="1"/>
  <c r="G8" i="1"/>
  <c r="F8" i="1"/>
  <c r="H7" i="1"/>
  <c r="F7" i="1"/>
  <c r="H6" i="1"/>
  <c r="G6" i="1"/>
  <c r="F6" i="1"/>
  <c r="E6" i="1"/>
  <c r="H5" i="1"/>
  <c r="F5" i="1"/>
  <c r="G4" i="1"/>
  <c r="F4" i="1"/>
  <c r="E4" i="1"/>
  <c r="E28" i="1" l="1"/>
  <c r="N22" i="1"/>
  <c r="F28" i="1"/>
  <c r="P23" i="1"/>
  <c r="O22" i="1"/>
  <c r="G28" i="1"/>
  <c r="E29" i="1"/>
  <c r="N23" i="1"/>
  <c r="F29" i="1"/>
  <c r="P22" i="1"/>
  <c r="E5" i="1"/>
  <c r="G7" i="1"/>
  <c r="E13" i="1"/>
  <c r="G5" i="1"/>
  <c r="E11" i="1"/>
  <c r="G13" i="1"/>
  <c r="E10" i="1"/>
  <c r="G12" i="1"/>
  <c r="H13" i="1"/>
  <c r="I14" i="1"/>
  <c r="H4" i="1"/>
  <c r="E9" i="1"/>
  <c r="F10" i="1"/>
  <c r="G11" i="1"/>
  <c r="H12" i="1"/>
  <c r="E8" i="1"/>
  <c r="G10" i="1"/>
  <c r="H11" i="1"/>
  <c r="L29" i="1" l="1"/>
  <c r="K29" i="1"/>
  <c r="I29" i="1"/>
  <c r="J29" i="1" s="1"/>
  <c r="K10" i="1"/>
  <c r="I10" i="1"/>
  <c r="I11" i="1"/>
  <c r="K11" i="1" s="1"/>
  <c r="J11" i="1" s="1"/>
  <c r="I12" i="1"/>
  <c r="K12" i="1" s="1"/>
  <c r="J12" i="1" s="1"/>
  <c r="I4" i="1"/>
  <c r="K4" i="1" s="1"/>
  <c r="I13" i="1"/>
  <c r="I5" i="1"/>
  <c r="K5" i="1" s="1"/>
  <c r="J5" i="1" s="1"/>
  <c r="I6" i="1"/>
  <c r="K6" i="1" s="1"/>
  <c r="J6" i="1" s="1"/>
  <c r="I7" i="1"/>
  <c r="K7" i="1" s="1"/>
  <c r="J7" i="1" s="1"/>
  <c r="I8" i="1"/>
  <c r="K8" i="1" s="1"/>
  <c r="J8" i="1" s="1"/>
  <c r="I9" i="1"/>
  <c r="K9" i="1" s="1"/>
  <c r="J9" i="1" s="1"/>
  <c r="K14" i="1"/>
  <c r="K13" i="1"/>
  <c r="J13" i="1" s="1"/>
  <c r="I28" i="1"/>
  <c r="J28" i="1" s="1"/>
  <c r="L28" i="1"/>
  <c r="K28" i="1"/>
  <c r="J10" i="1"/>
  <c r="K16" i="1" l="1"/>
  <c r="K17" i="1" s="1"/>
  <c r="G23" i="1" s="1"/>
  <c r="J4" i="1"/>
  <c r="J16" i="1" s="1"/>
  <c r="J17" i="1" s="1"/>
  <c r="G22" i="1" s="1"/>
  <c r="F23" i="1"/>
  <c r="J14" i="1"/>
  <c r="F22" i="1" s="1"/>
  <c r="K22" i="1" l="1"/>
  <c r="I22" i="1"/>
  <c r="J22" i="1" s="1"/>
  <c r="L22" i="1"/>
  <c r="L23" i="1"/>
  <c r="K23" i="1"/>
  <c r="I23" i="1"/>
  <c r="J23" i="1" s="1"/>
</calcChain>
</file>

<file path=xl/sharedStrings.xml><?xml version="1.0" encoding="utf-8"?>
<sst xmlns="http://schemas.openxmlformats.org/spreadsheetml/2006/main" count="38" uniqueCount="30">
  <si>
    <t>Deming Regression - Standard Error</t>
  </si>
  <si>
    <t>Subject</t>
  </si>
  <si>
    <t>x</t>
  </si>
  <si>
    <t>y</t>
  </si>
  <si>
    <t>x̄</t>
  </si>
  <si>
    <r>
      <t>y</t>
    </r>
    <r>
      <rPr>
        <sz val="11"/>
        <rFont val="Arial Unicode MS"/>
        <family val="2"/>
      </rPr>
      <t>̅</t>
    </r>
  </si>
  <si>
    <t>u</t>
  </si>
  <si>
    <t>v</t>
  </si>
  <si>
    <t>r</t>
  </si>
  <si>
    <t>b0</t>
  </si>
  <si>
    <t>b1</t>
  </si>
  <si>
    <t>λ</t>
  </si>
  <si>
    <t>var</t>
  </si>
  <si>
    <t>s.e.</t>
  </si>
  <si>
    <t>Coefficient Report</t>
  </si>
  <si>
    <t>alpha</t>
  </si>
  <si>
    <t>coeff</t>
  </si>
  <si>
    <t>df</t>
  </si>
  <si>
    <t>t stat</t>
  </si>
  <si>
    <t>p-value</t>
  </si>
  <si>
    <t>lower</t>
  </si>
  <si>
    <t>upper</t>
  </si>
  <si>
    <t>intercept</t>
  </si>
  <si>
    <t>slope</t>
  </si>
  <si>
    <t>Deming Regression</t>
  </si>
  <si>
    <t>std err</t>
  </si>
  <si>
    <t>Real Statistics Using Excel</t>
  </si>
  <si>
    <t>Updated</t>
  </si>
  <si>
    <t>Copyright © 2013 - 2023 Charles Zaiontz</t>
  </si>
  <si>
    <t>Jackknifing for Deming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</si>
</sst>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 Unicode MS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9" xfId="0" applyFont="1" applyBorder="1" applyAlignment="1">
      <alignment horizontal="center"/>
    </xf>
    <xf numFmtId="15" fontId="0" fillId="0" borderId="0" xfId="0" applyNumberFormat="1"/>
    <xf numFmtId="0" fontId="2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2BB4-1F23-4968-A52D-4340353CE2E0}">
  <sheetPr codeName="Sheet1"/>
  <dimension ref="A1:B6"/>
  <sheetViews>
    <sheetView tabSelected="1" workbookViewId="0"/>
  </sheetViews>
  <sheetFormatPr defaultRowHeight="14.5"/>
  <cols>
    <col min="2" max="2" width="9.26953125" bestFit="1" customWidth="1"/>
  </cols>
  <sheetData>
    <row r="1" spans="1:2">
      <c r="A1" t="s">
        <v>26</v>
      </c>
    </row>
    <row r="2" spans="1:2">
      <c r="A2" t="s">
        <v>29</v>
      </c>
    </row>
    <row r="4" spans="1:2">
      <c r="A4" t="s">
        <v>27</v>
      </c>
      <c r="B4" s="18">
        <v>45200</v>
      </c>
    </row>
    <row r="6" spans="1:2">
      <c r="A6" s="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516F-459D-4867-894E-09FE10D53B11}">
  <sheetPr codeName="Sheet72"/>
  <dimension ref="A1:P29"/>
  <sheetViews>
    <sheetView workbookViewId="0"/>
  </sheetViews>
  <sheetFormatPr defaultRowHeight="14.5"/>
  <cols>
    <col min="1" max="1" width="7" customWidth="1"/>
    <col min="2" max="3" width="6.7265625" customWidth="1"/>
    <col min="4" max="4" width="3" customWidth="1"/>
  </cols>
  <sheetData>
    <row r="1" spans="1:11">
      <c r="A1" s="1" t="s">
        <v>0</v>
      </c>
    </row>
    <row r="3" spans="1:11">
      <c r="A3" s="2" t="s">
        <v>1</v>
      </c>
      <c r="B3" s="2" t="s">
        <v>2</v>
      </c>
      <c r="C3" s="2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>
      <c r="A4" s="4">
        <v>1</v>
      </c>
      <c r="B4" s="5">
        <v>5.0999999999999996</v>
      </c>
      <c r="C4" s="5">
        <v>5.4</v>
      </c>
      <c r="E4">
        <f>($A$13*E$14-B4)/($A$13-1)</f>
        <v>5.6555555555555559</v>
      </c>
      <c r="F4">
        <f>($A$13*F$14-C4)/($A$13-1)</f>
        <v>5.5444444444444443</v>
      </c>
      <c r="G4">
        <f>G$14-$A$13*(E$14-B4)^2/($A$13-1)</f>
        <v>7.6422222222222205</v>
      </c>
      <c r="H4">
        <f>H$14-$A$13*(F$14-C4)^2/($A$13-1)</f>
        <v>7.4622222222222225</v>
      </c>
      <c r="I4">
        <f>I$14-$A$13*(E$14-B4)*(F$14-C4)/($A$13-1)</f>
        <v>6.8277777777777766</v>
      </c>
      <c r="J4">
        <f t="shared" ref="J4:J14" si="0">F4-K4*E4</f>
        <v>-0.29539655032818324</v>
      </c>
      <c r="K4">
        <f t="shared" ref="K4:K14" si="1">($B$15*H4-G4+SQRT(($B$15*H4-G4)^2+4*$B$15*I4^2))/(2*$B$15*I4)</f>
        <v>1.0325848517279694</v>
      </c>
    </row>
    <row r="5" spans="1:11">
      <c r="A5" s="4">
        <v>2</v>
      </c>
      <c r="B5" s="5">
        <v>5.6</v>
      </c>
      <c r="C5" s="5">
        <v>5.6</v>
      </c>
      <c r="E5">
        <f t="shared" ref="E5:F13" si="2">($A$13*E$14-B5)/($A$13-1)</f>
        <v>5.6000000000000005</v>
      </c>
      <c r="F5">
        <f t="shared" si="2"/>
        <v>5.5222222222222221</v>
      </c>
      <c r="G5">
        <f t="shared" ref="G5:H13" si="3">G$14-$A$13*(E$14-B5)^2/($A$13-1)</f>
        <v>7.919999999999999</v>
      </c>
      <c r="H5">
        <f t="shared" si="3"/>
        <v>7.4755555555555553</v>
      </c>
      <c r="I5">
        <f t="shared" ref="I5:I13" si="4">I$14-$A$13*(E$14-B5)*(F$14-C5)/($A$13-1)</f>
        <v>6.8999999999999986</v>
      </c>
      <c r="J5">
        <f t="shared" si="0"/>
        <v>-0.17538922712551042</v>
      </c>
      <c r="K5">
        <f t="shared" si="1"/>
        <v>1.0174306159549522</v>
      </c>
    </row>
    <row r="6" spans="1:11">
      <c r="A6" s="4">
        <v>3</v>
      </c>
      <c r="B6" s="5">
        <v>6.8</v>
      </c>
      <c r="C6" s="5">
        <v>6.3</v>
      </c>
      <c r="E6">
        <f t="shared" si="2"/>
        <v>5.4666666666666677</v>
      </c>
      <c r="F6">
        <f t="shared" si="2"/>
        <v>5.4444444444444446</v>
      </c>
      <c r="G6">
        <f t="shared" si="3"/>
        <v>6.32</v>
      </c>
      <c r="H6">
        <f t="shared" si="3"/>
        <v>6.8222222222222211</v>
      </c>
      <c r="I6">
        <f t="shared" si="4"/>
        <v>5.8733333333333322</v>
      </c>
      <c r="J6">
        <f t="shared" si="0"/>
        <v>-0.54744201594324693</v>
      </c>
      <c r="K6">
        <f t="shared" si="1"/>
        <v>1.0960767915343337</v>
      </c>
    </row>
    <row r="7" spans="1:11">
      <c r="A7" s="4">
        <v>4</v>
      </c>
      <c r="B7" s="5">
        <v>5.9</v>
      </c>
      <c r="C7" s="5">
        <v>6.1</v>
      </c>
      <c r="E7">
        <f t="shared" si="2"/>
        <v>5.5666666666666673</v>
      </c>
      <c r="F7">
        <f t="shared" si="2"/>
        <v>5.4666666666666659</v>
      </c>
      <c r="G7">
        <f t="shared" si="3"/>
        <v>7.8199999999999994</v>
      </c>
      <c r="H7">
        <f t="shared" si="3"/>
        <v>7.1199999999999992</v>
      </c>
      <c r="I7">
        <f t="shared" si="4"/>
        <v>6.7099999999999982</v>
      </c>
      <c r="J7">
        <f t="shared" si="0"/>
        <v>-7.9873254899644586E-2</v>
      </c>
      <c r="K7">
        <f t="shared" si="1"/>
        <v>0.99638441704784009</v>
      </c>
    </row>
    <row r="8" spans="1:11">
      <c r="A8" s="4">
        <v>5</v>
      </c>
      <c r="B8" s="5">
        <v>4</v>
      </c>
      <c r="C8" s="5">
        <v>4.7</v>
      </c>
      <c r="E8">
        <f t="shared" si="2"/>
        <v>5.7777777777777786</v>
      </c>
      <c r="F8">
        <f t="shared" si="2"/>
        <v>5.6222222222222218</v>
      </c>
      <c r="G8">
        <f t="shared" si="3"/>
        <v>5.0755555555555523</v>
      </c>
      <c r="H8">
        <f t="shared" si="3"/>
        <v>6.7155555555555573</v>
      </c>
      <c r="I8">
        <f t="shared" si="4"/>
        <v>5.4244444444444442</v>
      </c>
      <c r="J8">
        <f t="shared" si="0"/>
        <v>-1.2979027152444429</v>
      </c>
      <c r="K8">
        <f t="shared" si="1"/>
        <v>1.1977139314846148</v>
      </c>
    </row>
    <row r="9" spans="1:11">
      <c r="A9" s="4">
        <v>6</v>
      </c>
      <c r="B9" s="5">
        <v>5.6</v>
      </c>
      <c r="C9" s="5">
        <v>5.0999999999999996</v>
      </c>
      <c r="E9">
        <f t="shared" si="2"/>
        <v>5.6000000000000005</v>
      </c>
      <c r="F9">
        <f t="shared" si="2"/>
        <v>5.5777777777777775</v>
      </c>
      <c r="G9">
        <f t="shared" si="3"/>
        <v>7.919999999999999</v>
      </c>
      <c r="H9">
        <f t="shared" si="3"/>
        <v>7.275555555555556</v>
      </c>
      <c r="I9">
        <f t="shared" si="4"/>
        <v>6.8999999999999986</v>
      </c>
      <c r="J9">
        <f t="shared" si="0"/>
        <v>-3.4319233268451654E-3</v>
      </c>
      <c r="K9">
        <f t="shared" si="1"/>
        <v>0.9966445894829683</v>
      </c>
    </row>
    <row r="10" spans="1:11">
      <c r="A10" s="4">
        <v>7</v>
      </c>
      <c r="B10" s="5">
        <v>6.6</v>
      </c>
      <c r="C10" s="5">
        <v>6.6</v>
      </c>
      <c r="E10">
        <f t="shared" si="2"/>
        <v>5.4888888888888898</v>
      </c>
      <c r="F10">
        <f t="shared" si="2"/>
        <v>5.4111111111111105</v>
      </c>
      <c r="G10">
        <f t="shared" si="3"/>
        <v>6.8088888888888901</v>
      </c>
      <c r="H10">
        <f t="shared" si="3"/>
        <v>6.2088888888888878</v>
      </c>
      <c r="I10">
        <f t="shared" si="4"/>
        <v>5.7111111111111104</v>
      </c>
      <c r="J10">
        <f t="shared" si="0"/>
        <v>-0.1181361696106924</v>
      </c>
      <c r="K10">
        <f t="shared" si="1"/>
        <v>1.0073527434513405</v>
      </c>
    </row>
    <row r="11" spans="1:11">
      <c r="A11" s="4">
        <v>8</v>
      </c>
      <c r="B11" s="5">
        <v>6.7</v>
      </c>
      <c r="C11" s="5">
        <v>6.8</v>
      </c>
      <c r="E11">
        <f t="shared" si="2"/>
        <v>5.4777777777777779</v>
      </c>
      <c r="F11">
        <f t="shared" si="2"/>
        <v>5.3888888888888893</v>
      </c>
      <c r="G11">
        <f t="shared" si="3"/>
        <v>6.5755555555555549</v>
      </c>
      <c r="H11">
        <f t="shared" si="3"/>
        <v>5.6888888888888873</v>
      </c>
      <c r="I11">
        <f t="shared" si="4"/>
        <v>5.3477777777777762</v>
      </c>
      <c r="J11">
        <f t="shared" si="0"/>
        <v>2.0224906965791156E-2</v>
      </c>
      <c r="K11">
        <f t="shared" si="1"/>
        <v>0.98008064578717813</v>
      </c>
    </row>
    <row r="12" spans="1:11">
      <c r="A12" s="4">
        <v>9</v>
      </c>
      <c r="B12" s="5">
        <v>5.2</v>
      </c>
      <c r="C12" s="5">
        <v>4.5999999999999996</v>
      </c>
      <c r="E12">
        <f t="shared" si="2"/>
        <v>5.6444444444444448</v>
      </c>
      <c r="F12">
        <f t="shared" si="2"/>
        <v>5.6333333333333329</v>
      </c>
      <c r="G12">
        <f t="shared" si="3"/>
        <v>7.742222222222221</v>
      </c>
      <c r="H12">
        <f t="shared" si="3"/>
        <v>6.5200000000000005</v>
      </c>
      <c r="I12">
        <f t="shared" si="4"/>
        <v>6.4866666666666646</v>
      </c>
      <c r="J12">
        <f t="shared" si="0"/>
        <v>0.27592971871613603</v>
      </c>
      <c r="K12">
        <f t="shared" si="1"/>
        <v>0.949146309676275</v>
      </c>
    </row>
    <row r="13" spans="1:11">
      <c r="A13" s="6">
        <v>10</v>
      </c>
      <c r="B13" s="7">
        <v>4.5</v>
      </c>
      <c r="C13" s="7">
        <v>4.0999999999999996</v>
      </c>
      <c r="E13" s="8">
        <f t="shared" si="2"/>
        <v>5.7222222222222232</v>
      </c>
      <c r="F13" s="8">
        <f t="shared" si="2"/>
        <v>5.6888888888888882</v>
      </c>
      <c r="G13" s="8">
        <f t="shared" si="3"/>
        <v>6.5755555555555532</v>
      </c>
      <c r="H13" s="8">
        <f t="shared" si="3"/>
        <v>5.2088888888888896</v>
      </c>
      <c r="I13" s="8">
        <f t="shared" si="4"/>
        <v>5.1522222222222203</v>
      </c>
      <c r="J13" s="8">
        <f t="shared" si="0"/>
        <v>0.3648604423349795</v>
      </c>
      <c r="K13" s="8">
        <f t="shared" si="1"/>
        <v>0.93041273823272175</v>
      </c>
    </row>
    <row r="14" spans="1:11">
      <c r="A14" s="4"/>
      <c r="B14" s="4"/>
      <c r="C14" s="4"/>
      <c r="E14">
        <f>AVERAGE(B4:B13)</f>
        <v>5.6000000000000005</v>
      </c>
      <c r="F14">
        <f>AVERAGE(C4:C13)</f>
        <v>5.5299999999999994</v>
      </c>
      <c r="G14">
        <f>DEVSQ(B4:B13)</f>
        <v>7.919999999999999</v>
      </c>
      <c r="H14">
        <f>DEVSQ(C4:C13)</f>
        <v>7.4809999999999999</v>
      </c>
      <c r="I14">
        <f>SUMPRODUCT(B4:B13-E14,C4:C13-F14)</f>
        <v>6.8999999999999986</v>
      </c>
      <c r="J14">
        <f t="shared" si="0"/>
        <v>-0.17079907964736751</v>
      </c>
      <c r="K14">
        <f t="shared" si="1"/>
        <v>1.0179998356513154</v>
      </c>
    </row>
    <row r="15" spans="1:11">
      <c r="A15" s="9" t="s">
        <v>11</v>
      </c>
      <c r="B15" s="10">
        <v>2.5</v>
      </c>
    </row>
    <row r="16" spans="1:11">
      <c r="I16" s="11" t="s">
        <v>12</v>
      </c>
      <c r="J16" s="12">
        <f>DEVSQ(J4:J13)*($A$13-1)</f>
        <v>17.888413315929842</v>
      </c>
      <c r="K16" s="12">
        <f>DEVSQ(K4:K13)*($A$13-1)</f>
        <v>0.4809261294340455</v>
      </c>
    </row>
    <row r="17" spans="5:16">
      <c r="I17" s="6" t="s">
        <v>13</v>
      </c>
      <c r="J17" s="8">
        <f>SQRT(J16/$A$13)</f>
        <v>1.3374757312164525</v>
      </c>
      <c r="K17" s="8">
        <f>SQRT(K16/$A$13)</f>
        <v>0.21930028030854076</v>
      </c>
    </row>
    <row r="19" spans="5:16">
      <c r="E19" t="s">
        <v>14</v>
      </c>
    </row>
    <row r="20" spans="5:16">
      <c r="J20" t="s">
        <v>15</v>
      </c>
      <c r="K20">
        <v>0.05</v>
      </c>
    </row>
    <row r="21" spans="5:16">
      <c r="E21" s="2"/>
      <c r="F21" s="2" t="s">
        <v>16</v>
      </c>
      <c r="G21" s="2" t="s">
        <v>13</v>
      </c>
      <c r="H21" s="2" t="s">
        <v>17</v>
      </c>
      <c r="I21" s="2" t="s">
        <v>18</v>
      </c>
      <c r="J21" s="2" t="s">
        <v>19</v>
      </c>
      <c r="K21" s="2" t="s">
        <v>20</v>
      </c>
      <c r="L21" s="2" t="s">
        <v>21</v>
      </c>
    </row>
    <row r="22" spans="5:16">
      <c r="E22" t="s">
        <v>22</v>
      </c>
      <c r="F22">
        <f>J14</f>
        <v>-0.17079907964736751</v>
      </c>
      <c r="G22">
        <f>J17</f>
        <v>1.3374757312164525</v>
      </c>
      <c r="H22">
        <f>A13-2</f>
        <v>8</v>
      </c>
      <c r="I22">
        <f>F22/G22</f>
        <v>-0.1277025636136391</v>
      </c>
      <c r="J22">
        <f>TDIST(ABS(I22),H22,2)</f>
        <v>0.90153607216400533</v>
      </c>
      <c r="K22">
        <f>F22-TINV(K$20,H22)*G22</f>
        <v>-3.2550236465677242</v>
      </c>
      <c r="L22">
        <f>F22+TINV(K$20,H22)*G22</f>
        <v>2.9134254872729892</v>
      </c>
      <c r="N22" t="e">
        <f t="array" aca="1" ref="N22:P23" ca="1">DRegCoeff(B4:B13,C4:C13,B15,TRUE)</f>
        <v>#NAME?</v>
      </c>
      <c r="O22" s="13" t="e">
        <f ca="1"/>
        <v>#NAME?</v>
      </c>
      <c r="P22" s="14" t="e">
        <f ca="1"/>
        <v>#NAME?</v>
      </c>
    </row>
    <row r="23" spans="5:16">
      <c r="E23" s="8" t="s">
        <v>23</v>
      </c>
      <c r="F23" s="8">
        <f>K14</f>
        <v>1.0179998356513154</v>
      </c>
      <c r="G23" s="8">
        <f>K17</f>
        <v>0.21930028030854076</v>
      </c>
      <c r="H23" s="8">
        <f>A13-2</f>
        <v>8</v>
      </c>
      <c r="I23" s="8">
        <f>F23/G23</f>
        <v>4.6420361807976622</v>
      </c>
      <c r="J23" s="8">
        <f>TDIST(ABS(I23),H23,2)</f>
        <v>1.6618023185633662E-3</v>
      </c>
      <c r="K23" s="8">
        <f>F23-TINV(K$20,H23)*G23</f>
        <v>0.51229248240838732</v>
      </c>
      <c r="L23" s="8">
        <f>F23+TINV(K$20,H23)*G23</f>
        <v>1.5237071888942433</v>
      </c>
      <c r="N23" t="e">
        <f ca="1"/>
        <v>#NAME?</v>
      </c>
      <c r="O23" s="15" t="e">
        <f ca="1"/>
        <v>#NAME?</v>
      </c>
      <c r="P23" s="16" t="e">
        <f ca="1"/>
        <v>#NAME?</v>
      </c>
    </row>
    <row r="25" spans="5:16">
      <c r="E25" t="s">
        <v>24</v>
      </c>
    </row>
    <row r="26" spans="5:16" ht="15" thickBot="1">
      <c r="J26" t="s">
        <v>15</v>
      </c>
      <c r="K26">
        <v>0.05</v>
      </c>
    </row>
    <row r="27" spans="5:16" ht="15" thickTop="1">
      <c r="E27" s="17"/>
      <c r="F27" s="17" t="s">
        <v>16</v>
      </c>
      <c r="G27" s="17" t="s">
        <v>25</v>
      </c>
      <c r="H27" s="17" t="s">
        <v>17</v>
      </c>
      <c r="I27" s="17" t="s">
        <v>18</v>
      </c>
      <c r="J27" s="17" t="s">
        <v>19</v>
      </c>
      <c r="K27" s="17" t="s">
        <v>20</v>
      </c>
      <c r="L27" s="17" t="s">
        <v>21</v>
      </c>
    </row>
    <row r="28" spans="5:16">
      <c r="E28" t="e">
        <f t="array" aca="1" ref="E28:G29" ca="1">DRegCoeff(B4:B13,C4:C13,2.5,TRUE)</f>
        <v>#NAME?</v>
      </c>
      <c r="F28" t="e">
        <f ca="1"/>
        <v>#NAME?</v>
      </c>
      <c r="G28" t="e">
        <f ca="1"/>
        <v>#NAME?</v>
      </c>
      <c r="H28" s="20">
        <f>COUNT(C4:C13)-2</f>
        <v>8</v>
      </c>
      <c r="I28" t="e">
        <f ca="1">F28/G28</f>
        <v>#NAME?</v>
      </c>
      <c r="J28" t="e">
        <f ca="1">TDIST(ABS(I28),H28,2)</f>
        <v>#NAME?</v>
      </c>
      <c r="K28" t="e">
        <f ca="1">F28-TINV(K$26,H28)*G28</f>
        <v>#NAME?</v>
      </c>
      <c r="L28" t="e">
        <f ca="1">F28+TINV(K$26,H28)*G28</f>
        <v>#NAME?</v>
      </c>
    </row>
    <row r="29" spans="5:16">
      <c r="E29" s="8" t="e">
        <f ca="1"/>
        <v>#NAME?</v>
      </c>
      <c r="F29" s="8" t="e">
        <f ca="1"/>
        <v>#NAME?</v>
      </c>
      <c r="G29" s="8" t="e">
        <f ca="1"/>
        <v>#NAME?</v>
      </c>
      <c r="H29" s="8">
        <f>H28</f>
        <v>8</v>
      </c>
      <c r="I29" s="8" t="e">
        <f ca="1">F29/G29</f>
        <v>#NAME?</v>
      </c>
      <c r="J29" s="8" t="e">
        <f ca="1">TDIST(ABS(I29),H29,2)</f>
        <v>#NAME?</v>
      </c>
      <c r="K29" s="8" t="e">
        <f ca="1">F29-TINV(K$26,H29)*G29</f>
        <v>#NAME?</v>
      </c>
      <c r="L29" s="8" t="e">
        <f ca="1">F29+TINV(K$26,H29)*G29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Std Err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2023-09-16T19:20:41Z</dcterms:created>
  <dcterms:modified xsi:type="dcterms:W3CDTF">2023-10-01T14:41:22Z</dcterms:modified>
</cp:coreProperties>
</file>