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98DB0280-8371-4A17-A469-0412C4E555E8}" xr6:coauthVersionLast="47" xr6:coauthVersionMax="47" xr10:uidLastSave="{00000000-0000-0000-0000-000000000000}"/>
  <bookViews>
    <workbookView xWindow="-110" yWindow="-110" windowWidth="19420" windowHeight="10300" xr2:uid="{E9AC6F7B-C381-45F6-A94D-10219C292BFA}"/>
  </bookViews>
  <sheets>
    <sheet name="Title" sheetId="4" r:id="rId1"/>
    <sheet name="ROC 1" sheetId="1" r:id="rId2"/>
    <sheet name="ROC 2" sheetId="2" r:id="rId3"/>
    <sheet name="AUC" sheetId="3" r:id="rId4"/>
  </sheets>
  <externalReferences>
    <externalReference r:id="rId5"/>
  </externalReferences>
  <definedNames>
    <definedName name="DataRange">#REF!</definedName>
    <definedName name="r_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3" l="1" a="1"/>
  <c r="D16" i="3" s="1"/>
  <c r="B16" i="3" a="1"/>
  <c r="B16" i="3" s="1"/>
  <c r="D15" i="3" a="1"/>
  <c r="D15" i="3" s="1"/>
  <c r="B15" i="3" a="1"/>
  <c r="B15" i="3" s="1"/>
  <c r="D13" i="3" a="1"/>
  <c r="D13" i="3" s="1"/>
  <c r="D12" i="3" a="1"/>
  <c r="D12" i="3" s="1"/>
  <c r="D10" i="3" a="1"/>
  <c r="D10" i="3" s="1"/>
  <c r="D9" i="3" a="1"/>
  <c r="D9" i="3" s="1"/>
  <c r="D8" i="3" a="1"/>
  <c r="D8" i="3" s="1"/>
  <c r="D7" i="3" a="1"/>
  <c r="D7" i="3" s="1"/>
  <c r="D6" i="3" a="1"/>
  <c r="D6" i="3" s="1"/>
  <c r="M15" i="2" a="1"/>
  <c r="M15" i="2" s="1"/>
  <c r="M14" i="2" a="1"/>
  <c r="M14" i="2" s="1"/>
  <c r="B11" i="3"/>
  <c r="C14" i="2"/>
  <c r="B14" i="2"/>
  <c r="A6" i="2"/>
  <c r="E7" i="2" s="1"/>
  <c r="G5" i="2"/>
  <c r="G6" i="2" s="1"/>
  <c r="F5" i="2"/>
  <c r="F6" i="2" s="1"/>
  <c r="E5" i="2"/>
  <c r="A5" i="2"/>
  <c r="E6" i="2" s="1"/>
  <c r="G3" i="2"/>
  <c r="F3" i="2"/>
  <c r="E3" i="2"/>
  <c r="C54" i="1"/>
  <c r="B54" i="1"/>
  <c r="E46" i="1"/>
  <c r="E47" i="1" s="1"/>
  <c r="E48" i="1" s="1"/>
  <c r="E49" i="1" s="1"/>
  <c r="E50" i="1" s="1"/>
  <c r="E51" i="1" s="1"/>
  <c r="E52" i="1" s="1"/>
  <c r="E53" i="1" s="1"/>
  <c r="E54" i="1" s="1"/>
  <c r="G45" i="1"/>
  <c r="G46" i="1" s="1"/>
  <c r="F45" i="1"/>
  <c r="F46" i="1" s="1"/>
  <c r="E45" i="1"/>
  <c r="G43" i="1"/>
  <c r="F43" i="1"/>
  <c r="C35" i="1"/>
  <c r="B35" i="1"/>
  <c r="E27" i="1"/>
  <c r="E28" i="1" s="1"/>
  <c r="E29" i="1" s="1"/>
  <c r="E30" i="1" s="1"/>
  <c r="E31" i="1" s="1"/>
  <c r="E32" i="1" s="1"/>
  <c r="E33" i="1" s="1"/>
  <c r="E34" i="1" s="1"/>
  <c r="E35" i="1" s="1"/>
  <c r="G26" i="1"/>
  <c r="G27" i="1" s="1"/>
  <c r="F26" i="1"/>
  <c r="F27" i="1" s="1"/>
  <c r="E26" i="1"/>
  <c r="C18" i="1"/>
  <c r="B18" i="1"/>
  <c r="L9" i="1"/>
  <c r="M9" i="1" s="1"/>
  <c r="K9" i="1"/>
  <c r="E8" i="1"/>
  <c r="E9" i="1" s="1"/>
  <c r="D8" i="1"/>
  <c r="D9" i="1" s="1"/>
  <c r="F28" i="1" l="1"/>
  <c r="D10" i="1"/>
  <c r="G47" i="1"/>
  <c r="F7" i="2"/>
  <c r="E10" i="1"/>
  <c r="G28" i="1"/>
  <c r="G7" i="2"/>
  <c r="F47" i="1"/>
  <c r="A7" i="2"/>
  <c r="E11" i="1" l="1"/>
  <c r="F8" i="2"/>
  <c r="G8" i="2"/>
  <c r="G48" i="1"/>
  <c r="F48" i="1"/>
  <c r="D11" i="1"/>
  <c r="G29" i="1"/>
  <c r="E8" i="2"/>
  <c r="A8" i="2"/>
  <c r="F29" i="1"/>
  <c r="G49" i="1" l="1"/>
  <c r="G9" i="2"/>
  <c r="A9" i="2"/>
  <c r="E9" i="2"/>
  <c r="G30" i="1"/>
  <c r="D12" i="1"/>
  <c r="F9" i="2"/>
  <c r="F30" i="1"/>
  <c r="F49" i="1"/>
  <c r="E12" i="1"/>
  <c r="G31" i="1" l="1"/>
  <c r="N27" i="1"/>
  <c r="M4" i="2"/>
  <c r="N4" i="2"/>
  <c r="F50" i="1"/>
  <c r="M46" i="1"/>
  <c r="E10" i="2"/>
  <c r="A10" i="2"/>
  <c r="M27" i="1"/>
  <c r="F31" i="1"/>
  <c r="G10" i="2"/>
  <c r="G50" i="1"/>
  <c r="N46" i="1"/>
  <c r="F10" i="2"/>
  <c r="L7" i="1"/>
  <c r="E13" i="1"/>
  <c r="D13" i="1"/>
  <c r="K7" i="1"/>
  <c r="G51" i="1" l="1"/>
  <c r="G11" i="2"/>
  <c r="L8" i="1"/>
  <c r="M7" i="1"/>
  <c r="F51" i="1"/>
  <c r="O4" i="2"/>
  <c r="O46" i="1"/>
  <c r="O27" i="1"/>
  <c r="F11" i="2"/>
  <c r="K11" i="1"/>
  <c r="K8" i="1"/>
  <c r="D14" i="1"/>
  <c r="E14" i="1"/>
  <c r="F32" i="1"/>
  <c r="E11" i="2"/>
  <c r="A11" i="2"/>
  <c r="G32" i="1"/>
  <c r="G33" i="1" l="1"/>
  <c r="F52" i="1"/>
  <c r="D15" i="1"/>
  <c r="M8" i="1"/>
  <c r="M11" i="1"/>
  <c r="L11" i="1"/>
  <c r="A12" i="2"/>
  <c r="E12" i="2"/>
  <c r="G12" i="2"/>
  <c r="E15" i="1"/>
  <c r="F33" i="1"/>
  <c r="F12" i="2"/>
  <c r="G52" i="1"/>
  <c r="G34" i="1" l="1"/>
  <c r="F34" i="1"/>
  <c r="E16" i="1"/>
  <c r="F13" i="2"/>
  <c r="D16" i="1"/>
  <c r="G53" i="1"/>
  <c r="G13" i="2"/>
  <c r="F53" i="1"/>
  <c r="E13" i="2"/>
  <c r="A13" i="2"/>
  <c r="E14" i="2" s="1"/>
  <c r="G54" i="1" l="1"/>
  <c r="H53" i="1"/>
  <c r="F54" i="1"/>
  <c r="F14" i="2"/>
  <c r="E17" i="1"/>
  <c r="D17" i="1"/>
  <c r="F16" i="1"/>
  <c r="G14" i="2"/>
  <c r="F35" i="1"/>
  <c r="H34" i="1"/>
  <c r="G35" i="1"/>
  <c r="N6" i="2" l="1"/>
  <c r="I4" i="2"/>
  <c r="I14" i="2"/>
  <c r="I5" i="2"/>
  <c r="I6" i="2"/>
  <c r="I7" i="2"/>
  <c r="I8" i="2"/>
  <c r="I9" i="2"/>
  <c r="I10" i="2"/>
  <c r="I11" i="2"/>
  <c r="I12" i="2"/>
  <c r="I54" i="1"/>
  <c r="I45" i="1"/>
  <c r="N48" i="1"/>
  <c r="N47" i="1" s="1"/>
  <c r="I44" i="1"/>
  <c r="I46" i="1"/>
  <c r="I47" i="1"/>
  <c r="I48" i="1"/>
  <c r="I49" i="1"/>
  <c r="I50" i="1"/>
  <c r="I51" i="1"/>
  <c r="I52" i="1"/>
  <c r="F8" i="1"/>
  <c r="F7" i="1"/>
  <c r="F17" i="1"/>
  <c r="H17" i="1" s="1"/>
  <c r="F9" i="1"/>
  <c r="H9" i="1" s="1"/>
  <c r="F10" i="1"/>
  <c r="F11" i="1"/>
  <c r="F12" i="1"/>
  <c r="F13" i="1"/>
  <c r="H13" i="1" s="1"/>
  <c r="F14" i="1"/>
  <c r="F15" i="1"/>
  <c r="H15" i="1" s="1"/>
  <c r="I35" i="1"/>
  <c r="I26" i="1"/>
  <c r="N29" i="1"/>
  <c r="N28" i="1" s="1"/>
  <c r="I25" i="1"/>
  <c r="I27" i="1"/>
  <c r="I28" i="1"/>
  <c r="I29" i="1"/>
  <c r="I30" i="1"/>
  <c r="I31" i="1"/>
  <c r="I32" i="1"/>
  <c r="I33" i="1"/>
  <c r="G17" i="1"/>
  <c r="G8" i="1"/>
  <c r="G7" i="1"/>
  <c r="G9" i="1"/>
  <c r="G10" i="1"/>
  <c r="G11" i="1"/>
  <c r="G12" i="1"/>
  <c r="G13" i="1"/>
  <c r="G14" i="1"/>
  <c r="G15" i="1"/>
  <c r="I34" i="1"/>
  <c r="G16" i="1"/>
  <c r="H4" i="2"/>
  <c r="J4" i="2" s="1"/>
  <c r="M6" i="2"/>
  <c r="H14" i="2"/>
  <c r="J14" i="2" s="1"/>
  <c r="H5" i="2"/>
  <c r="H6" i="2"/>
  <c r="H7" i="2"/>
  <c r="J7" i="2" s="1"/>
  <c r="H8" i="2"/>
  <c r="H9" i="2"/>
  <c r="H10" i="2"/>
  <c r="J10" i="2" s="1"/>
  <c r="H11" i="2"/>
  <c r="H12" i="2"/>
  <c r="H13" i="2"/>
  <c r="H35" i="1"/>
  <c r="J34" i="1" s="1"/>
  <c r="M29" i="1"/>
  <c r="H26" i="1"/>
  <c r="J26" i="1" s="1"/>
  <c r="H25" i="1"/>
  <c r="J25" i="1" s="1"/>
  <c r="H27" i="1"/>
  <c r="H28" i="1"/>
  <c r="H29" i="1"/>
  <c r="H30" i="1"/>
  <c r="H31" i="1"/>
  <c r="H32" i="1"/>
  <c r="H33" i="1"/>
  <c r="J33" i="1" s="1"/>
  <c r="I13" i="2"/>
  <c r="H54" i="1"/>
  <c r="J54" i="1" s="1"/>
  <c r="M48" i="1"/>
  <c r="H44" i="1"/>
  <c r="H45" i="1"/>
  <c r="H46" i="1"/>
  <c r="H47" i="1"/>
  <c r="H48" i="1"/>
  <c r="H49" i="1"/>
  <c r="J49" i="1" s="1"/>
  <c r="H50" i="1"/>
  <c r="H51" i="1"/>
  <c r="J51" i="1" s="1"/>
  <c r="H52" i="1"/>
  <c r="I53" i="1"/>
  <c r="J53" i="1" s="1"/>
  <c r="J9" i="2" l="1"/>
  <c r="H7" i="1"/>
  <c r="J47" i="1"/>
  <c r="J32" i="1"/>
  <c r="M28" i="1"/>
  <c r="O28" i="1" s="1"/>
  <c r="O29" i="1"/>
  <c r="M31" i="1"/>
  <c r="J8" i="2"/>
  <c r="H14" i="1"/>
  <c r="H8" i="1"/>
  <c r="J31" i="1"/>
  <c r="N50" i="1"/>
  <c r="H16" i="1"/>
  <c r="J30" i="1"/>
  <c r="J6" i="2"/>
  <c r="J15" i="2" s="1"/>
  <c r="M13" i="2" s="1"/>
  <c r="H12" i="1"/>
  <c r="J46" i="1"/>
  <c r="J45" i="1"/>
  <c r="J52" i="1"/>
  <c r="J44" i="1"/>
  <c r="J29" i="1"/>
  <c r="J13" i="2"/>
  <c r="J5" i="2"/>
  <c r="H11" i="1"/>
  <c r="J36" i="1"/>
  <c r="J48" i="1"/>
  <c r="J35" i="1"/>
  <c r="O48" i="1"/>
  <c r="O50" i="1" s="1"/>
  <c r="M47" i="1"/>
  <c r="O47" i="1" s="1"/>
  <c r="M50" i="1"/>
  <c r="J28" i="1"/>
  <c r="J12" i="2"/>
  <c r="N31" i="1"/>
  <c r="O31" i="1"/>
  <c r="H10" i="1"/>
  <c r="N5" i="2"/>
  <c r="B4" i="3"/>
  <c r="J50" i="1"/>
  <c r="J27" i="1"/>
  <c r="J11" i="2"/>
  <c r="O6" i="2"/>
  <c r="M5" i="2"/>
  <c r="B3" i="3"/>
  <c r="M8" i="2"/>
  <c r="N8" i="2" l="1"/>
  <c r="O8" i="2"/>
  <c r="J55" i="1"/>
  <c r="O5" i="2"/>
  <c r="H18" i="1"/>
  <c r="B5" i="3" s="1"/>
  <c r="B7" i="3" l="1"/>
  <c r="B6" i="3"/>
  <c r="B8" i="3"/>
  <c r="B9" i="3" l="1"/>
  <c r="B13" i="3" l="1"/>
  <c r="B12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<sst xmlns="http://schemas.openxmlformats.org/spreadsheetml/2006/main" count="120" uniqueCount="50">
  <si>
    <t>ROC and Classification Table</t>
  </si>
  <si>
    <t>ROC Table</t>
  </si>
  <si>
    <t>Observed</t>
  </si>
  <si>
    <t>Cumulative</t>
  </si>
  <si>
    <t>Dosage</t>
  </si>
  <si>
    <t>Lives</t>
  </si>
  <si>
    <t>Dies</t>
  </si>
  <si>
    <t>FPR</t>
  </si>
  <si>
    <t>TPR</t>
  </si>
  <si>
    <t>AUC</t>
  </si>
  <si>
    <t>Fail-Obs</t>
  </si>
  <si>
    <t>Suc-Obs</t>
  </si>
  <si>
    <t>Fail-Pred</t>
  </si>
  <si>
    <t>less than 2.00</t>
  </si>
  <si>
    <t>Suc-Pred</t>
  </si>
  <si>
    <t>2.00 - 3.99</t>
  </si>
  <si>
    <t>4.00 - 5.99</t>
  </si>
  <si>
    <t>6.00 - 7.99</t>
  </si>
  <si>
    <t>Accuracy</t>
  </si>
  <si>
    <t>8.00 - 9.99</t>
  </si>
  <si>
    <t>10.00 - 11.99</t>
  </si>
  <si>
    <t>Cutoff</t>
  </si>
  <si>
    <t>12.00 - 13.99</t>
  </si>
  <si>
    <t>14.00 - 15.99</t>
  </si>
  <si>
    <t>16.00 -17.99</t>
  </si>
  <si>
    <t>18.00 or more</t>
  </si>
  <si>
    <t>Estimating AUC using rectangles</t>
  </si>
  <si>
    <t>Index</t>
  </si>
  <si>
    <t>Classification Table</t>
  </si>
  <si>
    <t>Estimating AUC using trapezoids</t>
  </si>
  <si>
    <t>ROC</t>
  </si>
  <si>
    <t>Alpha</t>
  </si>
  <si>
    <t>Lower</t>
  </si>
  <si>
    <t>Upper</t>
  </si>
  <si>
    <t>AUC Confidence Interval</t>
  </si>
  <si>
    <t>n1</t>
  </si>
  <si>
    <t>n2</t>
  </si>
  <si>
    <t>q0</t>
  </si>
  <si>
    <t>q1</t>
  </si>
  <si>
    <t>q2</t>
  </si>
  <si>
    <t>se</t>
  </si>
  <si>
    <t>alpha</t>
  </si>
  <si>
    <t>z-crit</t>
  </si>
  <si>
    <t>=NORM.S.INV(1-B10/2)</t>
  </si>
  <si>
    <t>lower</t>
  </si>
  <si>
    <t>upper</t>
  </si>
  <si>
    <t>Real Statistics Using Excel</t>
  </si>
  <si>
    <t>Updated</t>
  </si>
  <si>
    <t>Copyright © 2013 - 2023 Charles Zaiontz</t>
  </si>
  <si>
    <t>ROC Curve and Classification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</si>
</sst>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/>
    <xf numFmtId="0" fontId="0" fillId="2" borderId="7" xfId="0" applyFill="1" applyBorder="1"/>
    <xf numFmtId="0" fontId="0" fillId="2" borderId="1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0" borderId="1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2" borderId="16" xfId="0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0" fontId="0" fillId="0" borderId="17" xfId="0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0" xfId="0" applyBorder="1"/>
    <xf numFmtId="0" fontId="0" fillId="0" borderId="18" xfId="0" applyBorder="1"/>
    <xf numFmtId="0" fontId="0" fillId="0" borderId="30" xfId="0" applyBorder="1"/>
    <xf numFmtId="0" fontId="0" fillId="0" borderId="31" xfId="0" applyBorder="1"/>
    <xf numFmtId="0" fontId="0" fillId="2" borderId="0" xfId="0" applyFill="1" applyAlignment="1">
      <alignment horizontal="left"/>
    </xf>
    <xf numFmtId="0" fontId="2" fillId="0" borderId="29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2" xfId="0" applyBorder="1"/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0" xfId="0" quotePrefix="1"/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ROC Curve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'ROC 1'!$H$25:$H$35</c:f>
              <c:numCache>
                <c:formatCode>General</c:formatCode>
                <c:ptCount val="11"/>
                <c:pt idx="0">
                  <c:v>1</c:v>
                </c:pt>
                <c:pt idx="1">
                  <c:v>0.93548387096774199</c:v>
                </c:pt>
                <c:pt idx="2">
                  <c:v>0.81593927893738138</c:v>
                </c:pt>
                <c:pt idx="3">
                  <c:v>0.64895635673624286</c:v>
                </c:pt>
                <c:pt idx="4">
                  <c:v>0.44971537001897532</c:v>
                </c:pt>
                <c:pt idx="5">
                  <c:v>0.21631878557874762</c:v>
                </c:pt>
                <c:pt idx="6">
                  <c:v>3.6053130929791233E-2</c:v>
                </c:pt>
                <c:pt idx="7">
                  <c:v>1.8975332068311146E-2</c:v>
                </c:pt>
                <c:pt idx="8">
                  <c:v>7.5901328273244584E-3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'ROC 1'!$I$25:$I$35</c:f>
              <c:numCache>
                <c:formatCode>General</c:formatCode>
                <c:ptCount val="11"/>
                <c:pt idx="0">
                  <c:v>1</c:v>
                </c:pt>
                <c:pt idx="1">
                  <c:v>0.989247311827957</c:v>
                </c:pt>
                <c:pt idx="2">
                  <c:v>0.96415770609318996</c:v>
                </c:pt>
                <c:pt idx="3">
                  <c:v>0.92473118279569888</c:v>
                </c:pt>
                <c:pt idx="4">
                  <c:v>0.87455197132616491</c:v>
                </c:pt>
                <c:pt idx="5">
                  <c:v>0.79211469534050183</c:v>
                </c:pt>
                <c:pt idx="6">
                  <c:v>0.57706093189964158</c:v>
                </c:pt>
                <c:pt idx="7">
                  <c:v>0.30824372759856633</c:v>
                </c:pt>
                <c:pt idx="8">
                  <c:v>0.16129032258064513</c:v>
                </c:pt>
                <c:pt idx="9">
                  <c:v>5.3763440860215006E-2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19-461E-9ADB-45D068553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00344"/>
        <c:axId val="749397992"/>
      </c:scatterChart>
      <c:valAx>
        <c:axId val="749400344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False Positive Rate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49397992"/>
        <c:crosses val="autoZero"/>
        <c:crossBetween val="midCat"/>
      </c:valAx>
      <c:valAx>
        <c:axId val="749397992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True Positive Rate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494003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ROC Curve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'ROC 1'!$H$44:$H$54</c:f>
              <c:numCache>
                <c:formatCode>General</c:formatCode>
                <c:ptCount val="11"/>
                <c:pt idx="0">
                  <c:v>1</c:v>
                </c:pt>
                <c:pt idx="1">
                  <c:v>0.93548387096774199</c:v>
                </c:pt>
                <c:pt idx="2">
                  <c:v>0.81593927893738138</c:v>
                </c:pt>
                <c:pt idx="3">
                  <c:v>0.64895635673624286</c:v>
                </c:pt>
                <c:pt idx="4">
                  <c:v>0.44971537001897532</c:v>
                </c:pt>
                <c:pt idx="5">
                  <c:v>0.21631878557874762</c:v>
                </c:pt>
                <c:pt idx="6">
                  <c:v>3.6053130929791233E-2</c:v>
                </c:pt>
                <c:pt idx="7">
                  <c:v>1.8975332068311146E-2</c:v>
                </c:pt>
                <c:pt idx="8">
                  <c:v>7.5901328273244584E-3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'ROC 1'!$I$44:$I$54</c:f>
              <c:numCache>
                <c:formatCode>General</c:formatCode>
                <c:ptCount val="11"/>
                <c:pt idx="0">
                  <c:v>1</c:v>
                </c:pt>
                <c:pt idx="1">
                  <c:v>0.989247311827957</c:v>
                </c:pt>
                <c:pt idx="2">
                  <c:v>0.96415770609318996</c:v>
                </c:pt>
                <c:pt idx="3">
                  <c:v>0.92473118279569888</c:v>
                </c:pt>
                <c:pt idx="4">
                  <c:v>0.87455197132616491</c:v>
                </c:pt>
                <c:pt idx="5">
                  <c:v>0.79211469534050183</c:v>
                </c:pt>
                <c:pt idx="6">
                  <c:v>0.57706093189964158</c:v>
                </c:pt>
                <c:pt idx="7">
                  <c:v>0.30824372759856633</c:v>
                </c:pt>
                <c:pt idx="8">
                  <c:v>0.16129032258064513</c:v>
                </c:pt>
                <c:pt idx="9">
                  <c:v>5.3763440860215006E-2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50-4EB9-B489-905249BDF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05048"/>
        <c:axId val="749408576"/>
      </c:scatterChart>
      <c:valAx>
        <c:axId val="749405048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False Positive Rate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49408576"/>
        <c:crosses val="autoZero"/>
        <c:crossBetween val="midCat"/>
      </c:valAx>
      <c:valAx>
        <c:axId val="749408576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True Positive Rate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494050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ROC Curve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'ROC 2'!$H$4:$H$14</c:f>
              <c:numCache>
                <c:formatCode>General</c:formatCode>
                <c:ptCount val="11"/>
                <c:pt idx="0">
                  <c:v>1</c:v>
                </c:pt>
                <c:pt idx="1">
                  <c:v>0.93548387096774199</c:v>
                </c:pt>
                <c:pt idx="2">
                  <c:v>0.81593927893738138</c:v>
                </c:pt>
                <c:pt idx="3">
                  <c:v>0.64895635673624286</c:v>
                </c:pt>
                <c:pt idx="4">
                  <c:v>0.44971537001897532</c:v>
                </c:pt>
                <c:pt idx="5">
                  <c:v>0.21631878557874762</c:v>
                </c:pt>
                <c:pt idx="6">
                  <c:v>3.6053130929791233E-2</c:v>
                </c:pt>
                <c:pt idx="7">
                  <c:v>1.8975332068311146E-2</c:v>
                </c:pt>
                <c:pt idx="8">
                  <c:v>7.5901328273244584E-3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'ROC 2'!$I$4:$I$14</c:f>
              <c:numCache>
                <c:formatCode>General</c:formatCode>
                <c:ptCount val="11"/>
                <c:pt idx="0">
                  <c:v>1</c:v>
                </c:pt>
                <c:pt idx="1">
                  <c:v>0.989247311827957</c:v>
                </c:pt>
                <c:pt idx="2">
                  <c:v>0.96415770609318996</c:v>
                </c:pt>
                <c:pt idx="3">
                  <c:v>0.92473118279569888</c:v>
                </c:pt>
                <c:pt idx="4">
                  <c:v>0.87455197132616491</c:v>
                </c:pt>
                <c:pt idx="5">
                  <c:v>0.79211469534050183</c:v>
                </c:pt>
                <c:pt idx="6">
                  <c:v>0.57706093189964158</c:v>
                </c:pt>
                <c:pt idx="7">
                  <c:v>0.30824372759856633</c:v>
                </c:pt>
                <c:pt idx="8">
                  <c:v>0.16129032258064513</c:v>
                </c:pt>
                <c:pt idx="9">
                  <c:v>5.3763440860215006E-2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09-4B16-A784-130D7F8F3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01912"/>
        <c:axId val="749406616"/>
      </c:scatterChart>
      <c:valAx>
        <c:axId val="749401912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False Positive Rate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49406616"/>
        <c:crosses val="autoZero"/>
        <c:crossBetween val="midCat"/>
      </c:valAx>
      <c:valAx>
        <c:axId val="749406616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True Positive Rate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494019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3</xdr:row>
      <xdr:rowOff>71437</xdr:rowOff>
    </xdr:from>
    <xdr:to>
      <xdr:col>15</xdr:col>
      <xdr:colOff>504825</xdr:colOff>
      <xdr:row>17</xdr:row>
      <xdr:rowOff>147637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43F160-3C30-4B72-B60D-1640AADFE2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219075</xdr:colOff>
      <xdr:row>39</xdr:row>
      <xdr:rowOff>71437</xdr:rowOff>
    </xdr:from>
    <xdr:to>
      <xdr:col>22</xdr:col>
      <xdr:colOff>523875</xdr:colOff>
      <xdr:row>53</xdr:row>
      <xdr:rowOff>147637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47E51C1-6B06-42B0-B998-44C31F2667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16</xdr:row>
      <xdr:rowOff>71437</xdr:rowOff>
    </xdr:from>
    <xdr:to>
      <xdr:col>11</xdr:col>
      <xdr:colOff>323850</xdr:colOff>
      <xdr:row>30</xdr:row>
      <xdr:rowOff>147637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79BE97-3DAA-4923-8B2A-7C3B7DD307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Examples%20Basics%2027%20January%202022.xlsx" TargetMode="External"/><Relationship Id="rId1" Type="http://schemas.openxmlformats.org/officeDocument/2006/relationships/externalLinkPath" Target="/Users/user/Documents/A%20Real%20Statistics%202020/Examples/Real%20Statistics%20Examples%20Basics%2027%20January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Bar Chart"/>
      <sheetName val="Line Chart"/>
      <sheetName val="Line Chart 2"/>
      <sheetName val="Scatter Chart"/>
      <sheetName val="Step Chart"/>
      <sheetName val="Array Formula"/>
      <sheetName val="Array Function"/>
      <sheetName val="Sort Filter"/>
      <sheetName val="Dynamic"/>
      <sheetName val="ByRow"/>
      <sheetName val="Reduce"/>
      <sheetName val="Make"/>
      <sheetName val="Map"/>
      <sheetName val="XLookup"/>
      <sheetName val="Seek"/>
      <sheetName val="Reformat 1"/>
      <sheetName val="Reformat 2"/>
      <sheetName val="Del Row"/>
      <sheetName val="Sort Rows"/>
      <sheetName val="Reformat"/>
      <sheetName val="Extract"/>
      <sheetName val="Select Col"/>
      <sheetName val="IndexedValues"/>
      <sheetName val="Misc"/>
      <sheetName val="Step Chart 1"/>
      <sheetName val="Lambda 2"/>
      <sheetName val="Prob 0"/>
      <sheetName val="Prob 1"/>
      <sheetName val="Prob 2"/>
      <sheetName val="Central"/>
      <sheetName val="Geo Mean"/>
      <sheetName val="Weighted"/>
      <sheetName val="Var"/>
      <sheetName val="Combined"/>
      <sheetName val="SKEW"/>
      <sheetName val="Rank 0"/>
      <sheetName val="Rank 1"/>
      <sheetName val="Rank 2"/>
      <sheetName val="HD"/>
      <sheetName val="Desc 1"/>
      <sheetName val="Desc 2"/>
      <sheetName val="Freq"/>
      <sheetName val="Freq 2"/>
      <sheetName val="Histogram"/>
      <sheetName val="Histogram 1"/>
      <sheetName val="Box Plot 1"/>
      <sheetName val="Box Plot 2"/>
      <sheetName val="Box Plot 3"/>
      <sheetName val="Box Plot 4"/>
      <sheetName val="Box Plot 5"/>
      <sheetName val="Box Plot 6"/>
      <sheetName val="Dot 1"/>
      <sheetName val="Dot 2"/>
      <sheetName val="ROC"/>
      <sheetName val="ROC 1"/>
      <sheetName val="AUC"/>
      <sheetName val="Winsor"/>
      <sheetName val="M-est"/>
      <sheetName val="Lp"/>
      <sheetName val="Lp Median"/>
      <sheetName val="Norm Outlier"/>
      <sheetName val="Sym Outlier"/>
      <sheetName val="Skew Outlier"/>
      <sheetName val="HD Outlier"/>
      <sheetName val="Missing"/>
      <sheetName val="Diversity 1"/>
      <sheetName val="Diversity 2"/>
      <sheetName val="Diversity 3"/>
      <sheetName val="Power"/>
      <sheetName val="Multiple tests"/>
      <sheetName val="Graph"/>
      <sheetName val="Gamma"/>
      <sheetName val="SUMIF"/>
      <sheetName val="Match"/>
      <sheetName val="Conversion 1"/>
      <sheetName val="Conversion 2"/>
      <sheetName val="Cat Code"/>
      <sheetName val="Table Lookup"/>
      <sheetName val="Sampling"/>
      <sheetName val="Chart s.e."/>
      <sheetName val=" Color 1"/>
      <sheetName val="Color 1a"/>
      <sheetName val="Color 2"/>
      <sheetName val="Bitwise"/>
      <sheetName val="Text"/>
      <sheetName val="Grade"/>
      <sheetName val="Inter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25">
          <cell r="H25">
            <v>1</v>
          </cell>
          <cell r="I25">
            <v>1</v>
          </cell>
        </row>
        <row r="26">
          <cell r="H26">
            <v>0.93548387096774199</v>
          </cell>
          <cell r="I26">
            <v>0.989247311827957</v>
          </cell>
        </row>
        <row r="27">
          <cell r="H27">
            <v>0.81593927893738138</v>
          </cell>
          <cell r="I27">
            <v>0.96415770609318996</v>
          </cell>
        </row>
        <row r="28">
          <cell r="H28">
            <v>0.64895635673624286</v>
          </cell>
          <cell r="I28">
            <v>0.92473118279569888</v>
          </cell>
        </row>
        <row r="29">
          <cell r="H29">
            <v>0.44971537001897532</v>
          </cell>
          <cell r="I29">
            <v>0.87455197132616491</v>
          </cell>
        </row>
        <row r="30">
          <cell r="H30">
            <v>0.21631878557874762</v>
          </cell>
          <cell r="I30">
            <v>0.79211469534050183</v>
          </cell>
        </row>
        <row r="31">
          <cell r="H31">
            <v>3.6053130929791233E-2</v>
          </cell>
          <cell r="I31">
            <v>0.57706093189964158</v>
          </cell>
        </row>
        <row r="32">
          <cell r="H32">
            <v>1.8975332068311146E-2</v>
          </cell>
          <cell r="I32">
            <v>0.30824372759856633</v>
          </cell>
        </row>
        <row r="33">
          <cell r="H33">
            <v>7.5901328273244584E-3</v>
          </cell>
          <cell r="I33">
            <v>0.16129032258064513</v>
          </cell>
        </row>
        <row r="34">
          <cell r="H34">
            <v>0</v>
          </cell>
          <cell r="I34">
            <v>5.3763440860215006E-2</v>
          </cell>
        </row>
        <row r="35">
          <cell r="H35">
            <v>0</v>
          </cell>
          <cell r="I35">
            <v>0</v>
          </cell>
        </row>
        <row r="44">
          <cell r="H44">
            <v>1</v>
          </cell>
          <cell r="I44">
            <v>1</v>
          </cell>
        </row>
        <row r="45">
          <cell r="H45">
            <v>0.93548387096774199</v>
          </cell>
          <cell r="I45">
            <v>0.989247311827957</v>
          </cell>
        </row>
        <row r="46">
          <cell r="H46">
            <v>0.81593927893738138</v>
          </cell>
          <cell r="I46">
            <v>0.96415770609318996</v>
          </cell>
        </row>
        <row r="47">
          <cell r="H47">
            <v>0.64895635673624286</v>
          </cell>
          <cell r="I47">
            <v>0.92473118279569888</v>
          </cell>
        </row>
        <row r="48">
          <cell r="H48">
            <v>0.44971537001897532</v>
          </cell>
          <cell r="I48">
            <v>0.87455197132616491</v>
          </cell>
        </row>
        <row r="49">
          <cell r="H49">
            <v>0.21631878557874762</v>
          </cell>
          <cell r="I49">
            <v>0.79211469534050183</v>
          </cell>
        </row>
        <row r="50">
          <cell r="H50">
            <v>3.6053130929791233E-2</v>
          </cell>
          <cell r="I50">
            <v>0.57706093189964158</v>
          </cell>
        </row>
        <row r="51">
          <cell r="H51">
            <v>1.8975332068311146E-2</v>
          </cell>
          <cell r="I51">
            <v>0.30824372759856633</v>
          </cell>
        </row>
        <row r="52">
          <cell r="H52">
            <v>7.5901328273244584E-3</v>
          </cell>
          <cell r="I52">
            <v>0.16129032258064513</v>
          </cell>
        </row>
        <row r="53">
          <cell r="H53">
            <v>0</v>
          </cell>
          <cell r="I53">
            <v>5.3763440860215006E-2</v>
          </cell>
        </row>
        <row r="54">
          <cell r="H54">
            <v>0</v>
          </cell>
          <cell r="I54">
            <v>0</v>
          </cell>
        </row>
      </sheetData>
      <sheetData sheetId="56">
        <row r="4">
          <cell r="H4">
            <v>1</v>
          </cell>
          <cell r="I4">
            <v>1</v>
          </cell>
        </row>
        <row r="5">
          <cell r="H5">
            <v>0.93548387096774199</v>
          </cell>
          <cell r="I5">
            <v>0.989247311827957</v>
          </cell>
        </row>
        <row r="6">
          <cell r="H6">
            <v>0.81593927893738138</v>
          </cell>
          <cell r="I6">
            <v>0.96415770609318996</v>
          </cell>
        </row>
        <row r="7">
          <cell r="H7">
            <v>0.64895635673624286</v>
          </cell>
          <cell r="I7">
            <v>0.92473118279569888</v>
          </cell>
        </row>
        <row r="8">
          <cell r="H8">
            <v>0.44971537001897532</v>
          </cell>
          <cell r="I8">
            <v>0.87455197132616491</v>
          </cell>
        </row>
        <row r="9">
          <cell r="H9">
            <v>0.21631878557874762</v>
          </cell>
          <cell r="I9">
            <v>0.79211469534050183</v>
          </cell>
        </row>
        <row r="10">
          <cell r="H10">
            <v>3.6053130929791233E-2</v>
          </cell>
          <cell r="I10">
            <v>0.57706093189964158</v>
          </cell>
        </row>
        <row r="11">
          <cell r="H11">
            <v>1.8975332068311146E-2</v>
          </cell>
          <cell r="I11">
            <v>0.30824372759856633</v>
          </cell>
        </row>
        <row r="12">
          <cell r="H12">
            <v>7.5901328273244584E-3</v>
          </cell>
          <cell r="I12">
            <v>0.16129032258064513</v>
          </cell>
        </row>
        <row r="13">
          <cell r="H13">
            <v>0</v>
          </cell>
          <cell r="I13">
            <v>5.3763440860215006E-2</v>
          </cell>
        </row>
        <row r="14">
          <cell r="H14">
            <v>0</v>
          </cell>
          <cell r="I14">
            <v>0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88A16-A10B-478F-9C7E-2D44BD5A133B}">
  <dimension ref="A1:B6"/>
  <sheetViews>
    <sheetView tabSelected="1" workbookViewId="0"/>
  </sheetViews>
  <sheetFormatPr defaultRowHeight="14.5" x14ac:dyDescent="0.35"/>
  <cols>
    <col min="2" max="2" width="9.08984375" bestFit="1" customWidth="1"/>
  </cols>
  <sheetData>
    <row r="1" spans="1:2" x14ac:dyDescent="0.35">
      <c r="A1" t="s">
        <v>46</v>
      </c>
    </row>
    <row r="2" spans="1:2" x14ac:dyDescent="0.35">
      <c r="A2" t="s">
        <v>49</v>
      </c>
    </row>
    <row r="4" spans="1:2" x14ac:dyDescent="0.35">
      <c r="A4" t="s">
        <v>47</v>
      </c>
      <c r="B4" s="53">
        <v>45206</v>
      </c>
    </row>
    <row r="6" spans="1:2" x14ac:dyDescent="0.35">
      <c r="A6" s="54" t="s">
        <v>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77BE1-317C-43BB-A901-CB15263E473D}">
  <dimension ref="A1:O55"/>
  <sheetViews>
    <sheetView workbookViewId="0"/>
  </sheetViews>
  <sheetFormatPr defaultRowHeight="14.5" x14ac:dyDescent="0.35"/>
  <cols>
    <col min="1" max="1" width="13" customWidth="1"/>
    <col min="2" max="5" width="8.1796875" customWidth="1"/>
  </cols>
  <sheetData>
    <row r="1" spans="1:13" x14ac:dyDescent="0.35">
      <c r="A1" s="1" t="s">
        <v>0</v>
      </c>
    </row>
    <row r="3" spans="1:13" x14ac:dyDescent="0.35">
      <c r="A3" t="s">
        <v>1</v>
      </c>
    </row>
    <row r="5" spans="1:13" x14ac:dyDescent="0.35">
      <c r="A5" s="2"/>
      <c r="B5" s="3" t="s">
        <v>2</v>
      </c>
      <c r="C5" s="4"/>
      <c r="D5" s="3" t="s">
        <v>3</v>
      </c>
      <c r="E5" s="4"/>
    </row>
    <row r="6" spans="1:13" x14ac:dyDescent="0.35">
      <c r="A6" s="5" t="s">
        <v>4</v>
      </c>
      <c r="B6" s="6" t="s">
        <v>5</v>
      </c>
      <c r="C6" s="7" t="s">
        <v>6</v>
      </c>
      <c r="D6" s="6" t="s">
        <v>5</v>
      </c>
      <c r="E6" s="7" t="s">
        <v>6</v>
      </c>
      <c r="F6" s="6" t="s">
        <v>7</v>
      </c>
      <c r="G6" s="7" t="s">
        <v>8</v>
      </c>
      <c r="H6" s="8" t="s">
        <v>9</v>
      </c>
      <c r="K6" s="9" t="s">
        <v>10</v>
      </c>
      <c r="L6" s="9" t="s">
        <v>11</v>
      </c>
    </row>
    <row r="7" spans="1:13" x14ac:dyDescent="0.35">
      <c r="A7" s="10"/>
      <c r="B7" s="11"/>
      <c r="C7" s="12"/>
      <c r="D7" s="13">
        <v>0</v>
      </c>
      <c r="E7" s="14">
        <v>0</v>
      </c>
      <c r="F7" s="13">
        <f t="shared" ref="F7:G17" si="0">1-D7/D$17</f>
        <v>1</v>
      </c>
      <c r="G7" s="15">
        <f t="shared" si="0"/>
        <v>1</v>
      </c>
      <c r="H7" s="14">
        <f t="shared" ref="H7:H17" si="1">(F7-F8)*G7</f>
        <v>6.4516129032258007E-2</v>
      </c>
      <c r="J7" t="s">
        <v>12</v>
      </c>
      <c r="K7" s="13">
        <f>INDEX(D8:D17,K13)</f>
        <v>413</v>
      </c>
      <c r="L7" s="14">
        <f>INDEX(E8:E17,K13)</f>
        <v>58</v>
      </c>
      <c r="M7">
        <f>L7+K7</f>
        <v>471</v>
      </c>
    </row>
    <row r="8" spans="1:13" x14ac:dyDescent="0.35">
      <c r="A8" s="16" t="s">
        <v>13</v>
      </c>
      <c r="B8" s="11">
        <v>34</v>
      </c>
      <c r="C8" s="12">
        <v>3</v>
      </c>
      <c r="D8" s="17">
        <f>D7+B8</f>
        <v>34</v>
      </c>
      <c r="E8" s="18">
        <f>E7+C8</f>
        <v>3</v>
      </c>
      <c r="F8" s="17">
        <f t="shared" si="0"/>
        <v>0.93548387096774199</v>
      </c>
      <c r="G8">
        <f t="shared" si="0"/>
        <v>0.989247311827957</v>
      </c>
      <c r="H8" s="18">
        <f t="shared" si="1"/>
        <v>0.11825916630960405</v>
      </c>
      <c r="J8" t="s">
        <v>14</v>
      </c>
      <c r="K8" s="19">
        <f>K9-K7</f>
        <v>114</v>
      </c>
      <c r="L8" s="20">
        <f>L9-L7</f>
        <v>221</v>
      </c>
      <c r="M8">
        <f>L8+K8</f>
        <v>335</v>
      </c>
    </row>
    <row r="9" spans="1:13" x14ac:dyDescent="0.35">
      <c r="A9" s="16" t="s">
        <v>15</v>
      </c>
      <c r="B9" s="11">
        <v>63</v>
      </c>
      <c r="C9" s="12">
        <v>7</v>
      </c>
      <c r="D9" s="17">
        <f t="shared" ref="D9:E17" si="2">D8+B9</f>
        <v>97</v>
      </c>
      <c r="E9" s="18">
        <f t="shared" si="2"/>
        <v>10</v>
      </c>
      <c r="F9" s="17">
        <f>1-D9/D$17</f>
        <v>0.81593927893738138</v>
      </c>
      <c r="G9">
        <f t="shared" si="0"/>
        <v>0.96415770609318996</v>
      </c>
      <c r="H9" s="18">
        <f t="shared" si="1"/>
        <v>0.16099787122618733</v>
      </c>
      <c r="K9">
        <f>B18</f>
        <v>527</v>
      </c>
      <c r="L9">
        <f>C18</f>
        <v>279</v>
      </c>
      <c r="M9">
        <f>L9+K9</f>
        <v>806</v>
      </c>
    </row>
    <row r="10" spans="1:13" x14ac:dyDescent="0.35">
      <c r="A10" s="16" t="s">
        <v>16</v>
      </c>
      <c r="B10" s="11">
        <v>88</v>
      </c>
      <c r="C10" s="12">
        <v>11</v>
      </c>
      <c r="D10" s="17">
        <f t="shared" si="2"/>
        <v>185</v>
      </c>
      <c r="E10" s="18">
        <f t="shared" si="2"/>
        <v>21</v>
      </c>
      <c r="F10" s="17">
        <f t="shared" si="0"/>
        <v>0.64895635673624286</v>
      </c>
      <c r="G10">
        <f t="shared" si="0"/>
        <v>0.92473118279569888</v>
      </c>
      <c r="H10" s="18">
        <f t="shared" si="1"/>
        <v>0.18424435330844094</v>
      </c>
    </row>
    <row r="11" spans="1:13" x14ac:dyDescent="0.35">
      <c r="A11" s="16" t="s">
        <v>17</v>
      </c>
      <c r="B11" s="11">
        <v>105</v>
      </c>
      <c r="C11" s="12">
        <v>14</v>
      </c>
      <c r="D11" s="17">
        <f t="shared" si="2"/>
        <v>290</v>
      </c>
      <c r="E11" s="18">
        <f t="shared" si="2"/>
        <v>35</v>
      </c>
      <c r="F11" s="17">
        <f t="shared" si="0"/>
        <v>0.44971537001897532</v>
      </c>
      <c r="G11">
        <f t="shared" si="0"/>
        <v>0.87455197132616491</v>
      </c>
      <c r="H11" s="18">
        <f t="shared" si="1"/>
        <v>0.20411744302299484</v>
      </c>
      <c r="J11" t="s">
        <v>18</v>
      </c>
      <c r="K11" s="21">
        <f>K7/K9</f>
        <v>0.78368121442125238</v>
      </c>
      <c r="L11" s="22">
        <f>L8/L9</f>
        <v>0.79211469534050183</v>
      </c>
      <c r="M11">
        <f>(L8+K7)/M9</f>
        <v>0.78660049627791562</v>
      </c>
    </row>
    <row r="12" spans="1:13" x14ac:dyDescent="0.35">
      <c r="A12" s="16" t="s">
        <v>19</v>
      </c>
      <c r="B12" s="11">
        <v>123</v>
      </c>
      <c r="C12" s="12">
        <v>23</v>
      </c>
      <c r="D12" s="17">
        <f t="shared" si="2"/>
        <v>413</v>
      </c>
      <c r="E12" s="18">
        <f t="shared" si="2"/>
        <v>58</v>
      </c>
      <c r="F12" s="17">
        <f t="shared" si="0"/>
        <v>0.21631878557874762</v>
      </c>
      <c r="G12">
        <f t="shared" si="0"/>
        <v>0.79211469534050183</v>
      </c>
      <c r="H12" s="18">
        <f t="shared" si="1"/>
        <v>0.14279107411261421</v>
      </c>
    </row>
    <row r="13" spans="1:13" x14ac:dyDescent="0.35">
      <c r="A13" s="16" t="s">
        <v>20</v>
      </c>
      <c r="B13" s="11">
        <v>95</v>
      </c>
      <c r="C13" s="12">
        <v>60</v>
      </c>
      <c r="D13" s="17">
        <f t="shared" si="2"/>
        <v>508</v>
      </c>
      <c r="E13" s="18">
        <f t="shared" si="2"/>
        <v>118</v>
      </c>
      <c r="F13" s="17">
        <f t="shared" si="0"/>
        <v>3.6053130929791233E-2</v>
      </c>
      <c r="G13">
        <f t="shared" si="0"/>
        <v>0.57706093189964158</v>
      </c>
      <c r="H13" s="18">
        <f t="shared" si="1"/>
        <v>9.8549305258003369E-3</v>
      </c>
      <c r="J13" t="s">
        <v>21</v>
      </c>
      <c r="K13" s="23">
        <v>5</v>
      </c>
    </row>
    <row r="14" spans="1:13" x14ac:dyDescent="0.35">
      <c r="A14" s="16" t="s">
        <v>22</v>
      </c>
      <c r="B14" s="11">
        <v>9</v>
      </c>
      <c r="C14" s="12">
        <v>75</v>
      </c>
      <c r="D14" s="17">
        <f t="shared" si="2"/>
        <v>517</v>
      </c>
      <c r="E14" s="18">
        <f t="shared" si="2"/>
        <v>193</v>
      </c>
      <c r="F14" s="17">
        <f t="shared" si="0"/>
        <v>1.8975332068311146E-2</v>
      </c>
      <c r="G14">
        <f t="shared" si="0"/>
        <v>0.30824372759856633</v>
      </c>
      <c r="H14" s="18">
        <f t="shared" si="1"/>
        <v>3.5094162534941046E-3</v>
      </c>
    </row>
    <row r="15" spans="1:13" x14ac:dyDescent="0.35">
      <c r="A15" s="16" t="s">
        <v>23</v>
      </c>
      <c r="B15" s="11">
        <v>6</v>
      </c>
      <c r="C15" s="12">
        <v>41</v>
      </c>
      <c r="D15" s="17">
        <f t="shared" si="2"/>
        <v>523</v>
      </c>
      <c r="E15" s="18">
        <f t="shared" si="2"/>
        <v>234</v>
      </c>
      <c r="F15" s="17">
        <f t="shared" si="0"/>
        <v>7.5901328273244584E-3</v>
      </c>
      <c r="G15">
        <f t="shared" si="0"/>
        <v>0.16129032258064513</v>
      </c>
      <c r="H15" s="18">
        <f t="shared" si="1"/>
        <v>1.224214972149106E-3</v>
      </c>
    </row>
    <row r="16" spans="1:13" x14ac:dyDescent="0.35">
      <c r="A16" s="16" t="s">
        <v>24</v>
      </c>
      <c r="B16" s="11">
        <v>4</v>
      </c>
      <c r="C16" s="12">
        <v>30</v>
      </c>
      <c r="D16" s="17">
        <f t="shared" si="2"/>
        <v>527</v>
      </c>
      <c r="E16" s="18">
        <f t="shared" si="2"/>
        <v>264</v>
      </c>
      <c r="F16" s="17">
        <f t="shared" si="0"/>
        <v>0</v>
      </c>
      <c r="G16">
        <f t="shared" si="0"/>
        <v>5.3763440860215006E-2</v>
      </c>
      <c r="H16" s="18">
        <f t="shared" si="1"/>
        <v>0</v>
      </c>
    </row>
    <row r="17" spans="1:15" x14ac:dyDescent="0.35">
      <c r="A17" s="24" t="s">
        <v>25</v>
      </c>
      <c r="B17" s="25">
        <v>0</v>
      </c>
      <c r="C17" s="26">
        <v>15</v>
      </c>
      <c r="D17" s="19">
        <f t="shared" si="2"/>
        <v>527</v>
      </c>
      <c r="E17" s="20">
        <f t="shared" si="2"/>
        <v>279</v>
      </c>
      <c r="F17" s="19">
        <f t="shared" si="0"/>
        <v>0</v>
      </c>
      <c r="G17" s="27">
        <f t="shared" si="0"/>
        <v>0</v>
      </c>
      <c r="H17" s="20">
        <f t="shared" si="1"/>
        <v>0</v>
      </c>
    </row>
    <row r="18" spans="1:15" x14ac:dyDescent="0.35">
      <c r="B18">
        <f>SUM(B8:B17)</f>
        <v>527</v>
      </c>
      <c r="C18">
        <f>SUM(C8:C17)</f>
        <v>279</v>
      </c>
      <c r="H18">
        <f>SUM(H7:H17)</f>
        <v>0.88951459876354277</v>
      </c>
    </row>
    <row r="20" spans="1:15" x14ac:dyDescent="0.35">
      <c r="A20" t="s">
        <v>26</v>
      </c>
    </row>
    <row r="22" spans="1:15" x14ac:dyDescent="0.35">
      <c r="E22" t="s">
        <v>1</v>
      </c>
    </row>
    <row r="24" spans="1:15" x14ac:dyDescent="0.35">
      <c r="A24" s="5" t="s">
        <v>4</v>
      </c>
      <c r="B24" s="6" t="s">
        <v>5</v>
      </c>
      <c r="C24" s="8" t="s">
        <v>6</v>
      </c>
      <c r="E24" s="28" t="s">
        <v>27</v>
      </c>
      <c r="F24" s="6" t="s">
        <v>5</v>
      </c>
      <c r="G24" s="8" t="s">
        <v>6</v>
      </c>
      <c r="H24" s="29" t="s">
        <v>7</v>
      </c>
      <c r="I24" s="29" t="s">
        <v>8</v>
      </c>
      <c r="J24" s="30" t="s">
        <v>9</v>
      </c>
      <c r="L24" s="31" t="s">
        <v>28</v>
      </c>
      <c r="M24" s="31"/>
      <c r="N24" s="31"/>
      <c r="O24" s="31"/>
    </row>
    <row r="25" spans="1:15" x14ac:dyDescent="0.35">
      <c r="A25" s="16" t="s">
        <v>13</v>
      </c>
      <c r="B25" s="11">
        <v>34</v>
      </c>
      <c r="C25" s="12">
        <v>3</v>
      </c>
      <c r="E25" s="32">
        <v>0</v>
      </c>
      <c r="F25" s="33">
        <v>0</v>
      </c>
      <c r="G25" s="34">
        <v>0</v>
      </c>
      <c r="H25" s="35">
        <f>1-F25/F$35</f>
        <v>1</v>
      </c>
      <c r="I25" s="35">
        <f>1-G25/G$35</f>
        <v>1</v>
      </c>
      <c r="J25" s="34">
        <f>(H25-H26)*I25</f>
        <v>6.4516129032258007E-2</v>
      </c>
    </row>
    <row r="26" spans="1:15" x14ac:dyDescent="0.35">
      <c r="A26" s="16" t="s">
        <v>15</v>
      </c>
      <c r="B26" s="11">
        <v>63</v>
      </c>
      <c r="C26" s="12">
        <v>7</v>
      </c>
      <c r="E26" s="32">
        <f>E25+1</f>
        <v>1</v>
      </c>
      <c r="F26" s="36">
        <f>F25+B25</f>
        <v>34</v>
      </c>
      <c r="G26" s="37">
        <f>G25+C25</f>
        <v>3</v>
      </c>
      <c r="H26">
        <f t="shared" ref="H26:I35" si="3">1-F26/F$35</f>
        <v>0.93548387096774199</v>
      </c>
      <c r="I26">
        <f t="shared" si="3"/>
        <v>0.989247311827957</v>
      </c>
      <c r="J26" s="37">
        <f t="shared" ref="J26:J35" si="4">(H26-H27)*I26</f>
        <v>0.11825916630960405</v>
      </c>
      <c r="M26" s="9" t="s">
        <v>10</v>
      </c>
      <c r="N26" s="9" t="s">
        <v>11</v>
      </c>
    </row>
    <row r="27" spans="1:15" x14ac:dyDescent="0.35">
      <c r="A27" s="16" t="s">
        <v>16</v>
      </c>
      <c r="B27" s="11">
        <v>88</v>
      </c>
      <c r="C27" s="12">
        <v>11</v>
      </c>
      <c r="E27" s="32">
        <f t="shared" ref="E27:E35" si="5">E26+1</f>
        <v>2</v>
      </c>
      <c r="F27" s="36">
        <f t="shared" ref="F27:G35" si="6">F26+B26</f>
        <v>97</v>
      </c>
      <c r="G27" s="37">
        <f t="shared" si="6"/>
        <v>10</v>
      </c>
      <c r="H27">
        <f t="shared" si="3"/>
        <v>0.81593927893738138</v>
      </c>
      <c r="I27">
        <f t="shared" si="3"/>
        <v>0.96415770609318996</v>
      </c>
      <c r="J27" s="37">
        <f t="shared" si="4"/>
        <v>0.16099787122618733</v>
      </c>
      <c r="L27" t="s">
        <v>12</v>
      </c>
      <c r="M27" s="33">
        <f>INDEX(F25:F34,M33+1)</f>
        <v>413</v>
      </c>
      <c r="N27" s="34">
        <f>INDEX(G25:G34,M33+1)</f>
        <v>58</v>
      </c>
      <c r="O27">
        <f>M27+N27</f>
        <v>471</v>
      </c>
    </row>
    <row r="28" spans="1:15" x14ac:dyDescent="0.35">
      <c r="A28" s="16" t="s">
        <v>17</v>
      </c>
      <c r="B28" s="11">
        <v>105</v>
      </c>
      <c r="C28" s="12">
        <v>14</v>
      </c>
      <c r="E28" s="32">
        <f t="shared" si="5"/>
        <v>3</v>
      </c>
      <c r="F28" s="36">
        <f t="shared" si="6"/>
        <v>185</v>
      </c>
      <c r="G28" s="37">
        <f t="shared" si="6"/>
        <v>21</v>
      </c>
      <c r="H28">
        <f t="shared" si="3"/>
        <v>0.64895635673624286</v>
      </c>
      <c r="I28">
        <f t="shared" si="3"/>
        <v>0.92473118279569888</v>
      </c>
      <c r="J28" s="37">
        <f t="shared" si="4"/>
        <v>0.18424435330844094</v>
      </c>
      <c r="L28" t="s">
        <v>14</v>
      </c>
      <c r="M28" s="38">
        <f>M29-M27</f>
        <v>114</v>
      </c>
      <c r="N28" s="39">
        <f>N29-N27</f>
        <v>221</v>
      </c>
      <c r="O28">
        <f>M28+N28</f>
        <v>335</v>
      </c>
    </row>
    <row r="29" spans="1:15" x14ac:dyDescent="0.35">
      <c r="A29" s="16" t="s">
        <v>19</v>
      </c>
      <c r="B29" s="11">
        <v>123</v>
      </c>
      <c r="C29" s="12">
        <v>23</v>
      </c>
      <c r="E29" s="32">
        <f t="shared" si="5"/>
        <v>4</v>
      </c>
      <c r="F29" s="36">
        <f t="shared" si="6"/>
        <v>290</v>
      </c>
      <c r="G29" s="37">
        <f t="shared" si="6"/>
        <v>35</v>
      </c>
      <c r="H29">
        <f t="shared" si="3"/>
        <v>0.44971537001897532</v>
      </c>
      <c r="I29">
        <f t="shared" si="3"/>
        <v>0.87455197132616491</v>
      </c>
      <c r="J29" s="37">
        <f t="shared" si="4"/>
        <v>0.20411744302299484</v>
      </c>
      <c r="M29">
        <f>F35</f>
        <v>527</v>
      </c>
      <c r="N29">
        <f>G35</f>
        <v>279</v>
      </c>
      <c r="O29">
        <f>M29+N29</f>
        <v>806</v>
      </c>
    </row>
    <row r="30" spans="1:15" x14ac:dyDescent="0.35">
      <c r="A30" s="16" t="s">
        <v>20</v>
      </c>
      <c r="B30" s="11">
        <v>95</v>
      </c>
      <c r="C30" s="12">
        <v>60</v>
      </c>
      <c r="E30" s="32">
        <f t="shared" si="5"/>
        <v>5</v>
      </c>
      <c r="F30" s="36">
        <f t="shared" si="6"/>
        <v>413</v>
      </c>
      <c r="G30" s="37">
        <f t="shared" si="6"/>
        <v>58</v>
      </c>
      <c r="H30">
        <f t="shared" si="3"/>
        <v>0.21631878557874762</v>
      </c>
      <c r="I30">
        <f t="shared" si="3"/>
        <v>0.79211469534050183</v>
      </c>
      <c r="J30" s="37">
        <f t="shared" si="4"/>
        <v>0.14279107411261421</v>
      </c>
    </row>
    <row r="31" spans="1:15" x14ac:dyDescent="0.35">
      <c r="A31" s="16" t="s">
        <v>22</v>
      </c>
      <c r="B31" s="11">
        <v>9</v>
      </c>
      <c r="C31" s="12">
        <v>75</v>
      </c>
      <c r="E31" s="32">
        <f t="shared" si="5"/>
        <v>6</v>
      </c>
      <c r="F31" s="36">
        <f t="shared" si="6"/>
        <v>508</v>
      </c>
      <c r="G31" s="37">
        <f t="shared" si="6"/>
        <v>118</v>
      </c>
      <c r="H31">
        <f t="shared" si="3"/>
        <v>3.6053130929791233E-2</v>
      </c>
      <c r="I31">
        <f t="shared" si="3"/>
        <v>0.57706093189964158</v>
      </c>
      <c r="J31" s="37">
        <f t="shared" si="4"/>
        <v>9.8549305258003369E-3</v>
      </c>
      <c r="L31" t="s">
        <v>18</v>
      </c>
      <c r="M31" s="40">
        <f>M27/M29</f>
        <v>0.78368121442125238</v>
      </c>
      <c r="N31" s="41">
        <f>N28/N29</f>
        <v>0.79211469534050183</v>
      </c>
      <c r="O31">
        <f>(M27+N28)/O29</f>
        <v>0.78660049627791562</v>
      </c>
    </row>
    <row r="32" spans="1:15" x14ac:dyDescent="0.35">
      <c r="A32" s="16" t="s">
        <v>23</v>
      </c>
      <c r="B32" s="11">
        <v>6</v>
      </c>
      <c r="C32" s="12">
        <v>41</v>
      </c>
      <c r="E32" s="32">
        <f t="shared" si="5"/>
        <v>7</v>
      </c>
      <c r="F32" s="36">
        <f t="shared" si="6"/>
        <v>517</v>
      </c>
      <c r="G32" s="37">
        <f t="shared" si="6"/>
        <v>193</v>
      </c>
      <c r="H32">
        <f t="shared" si="3"/>
        <v>1.8975332068311146E-2</v>
      </c>
      <c r="I32">
        <f t="shared" si="3"/>
        <v>0.30824372759856633</v>
      </c>
      <c r="J32" s="37">
        <f t="shared" si="4"/>
        <v>3.5094162534941046E-3</v>
      </c>
    </row>
    <row r="33" spans="1:15" x14ac:dyDescent="0.35">
      <c r="A33" s="16" t="s">
        <v>24</v>
      </c>
      <c r="B33" s="11">
        <v>4</v>
      </c>
      <c r="C33" s="12">
        <v>30</v>
      </c>
      <c r="E33" s="32">
        <f t="shared" si="5"/>
        <v>8</v>
      </c>
      <c r="F33" s="36">
        <f t="shared" si="6"/>
        <v>523</v>
      </c>
      <c r="G33" s="37">
        <f t="shared" si="6"/>
        <v>234</v>
      </c>
      <c r="H33">
        <f t="shared" si="3"/>
        <v>7.5901328273244584E-3</v>
      </c>
      <c r="I33">
        <f t="shared" si="3"/>
        <v>0.16129032258064513</v>
      </c>
      <c r="J33" s="37">
        <f t="shared" si="4"/>
        <v>1.224214972149106E-3</v>
      </c>
      <c r="L33" t="s">
        <v>21</v>
      </c>
      <c r="M33" s="42">
        <v>5</v>
      </c>
    </row>
    <row r="34" spans="1:15" x14ac:dyDescent="0.35">
      <c r="A34" s="24" t="s">
        <v>25</v>
      </c>
      <c r="B34" s="25">
        <v>0</v>
      </c>
      <c r="C34" s="26">
        <v>15</v>
      </c>
      <c r="E34" s="32">
        <f t="shared" si="5"/>
        <v>9</v>
      </c>
      <c r="F34" s="36">
        <f t="shared" si="6"/>
        <v>527</v>
      </c>
      <c r="G34" s="37">
        <f t="shared" si="6"/>
        <v>264</v>
      </c>
      <c r="H34">
        <f t="shared" si="3"/>
        <v>0</v>
      </c>
      <c r="I34">
        <f t="shared" si="3"/>
        <v>5.3763440860215006E-2</v>
      </c>
      <c r="J34" s="37">
        <f t="shared" si="4"/>
        <v>0</v>
      </c>
    </row>
    <row r="35" spans="1:15" x14ac:dyDescent="0.35">
      <c r="B35">
        <f>SUM(B25:B34)</f>
        <v>527</v>
      </c>
      <c r="C35">
        <f>SUM(C25:C34)</f>
        <v>279</v>
      </c>
      <c r="E35" s="43">
        <f t="shared" si="5"/>
        <v>10</v>
      </c>
      <c r="F35" s="38">
        <f t="shared" si="6"/>
        <v>527</v>
      </c>
      <c r="G35" s="39">
        <f t="shared" si="6"/>
        <v>279</v>
      </c>
      <c r="H35" s="44">
        <f t="shared" si="3"/>
        <v>0</v>
      </c>
      <c r="I35" s="44">
        <f t="shared" si="3"/>
        <v>0</v>
      </c>
      <c r="J35" s="39">
        <f t="shared" si="4"/>
        <v>0</v>
      </c>
    </row>
    <row r="36" spans="1:15" x14ac:dyDescent="0.35">
      <c r="J36">
        <f>SUM(J25:J35)</f>
        <v>0.88951459876354277</v>
      </c>
    </row>
    <row r="39" spans="1:15" x14ac:dyDescent="0.35">
      <c r="A39" s="45" t="s">
        <v>29</v>
      </c>
    </row>
    <row r="41" spans="1:15" x14ac:dyDescent="0.35">
      <c r="E41" t="s">
        <v>1</v>
      </c>
    </row>
    <row r="43" spans="1:15" x14ac:dyDescent="0.35">
      <c r="A43" s="5" t="s">
        <v>4</v>
      </c>
      <c r="B43" s="6" t="s">
        <v>5</v>
      </c>
      <c r="C43" s="8" t="s">
        <v>6</v>
      </c>
      <c r="E43" s="28" t="s">
        <v>27</v>
      </c>
      <c r="F43" s="46" t="str">
        <f>B43</f>
        <v>Lives</v>
      </c>
      <c r="G43" s="30" t="str">
        <f>C43</f>
        <v>Dies</v>
      </c>
      <c r="H43" s="29" t="s">
        <v>7</v>
      </c>
      <c r="I43" s="29" t="s">
        <v>8</v>
      </c>
      <c r="J43" s="30" t="s">
        <v>9</v>
      </c>
      <c r="L43" s="31" t="s">
        <v>28</v>
      </c>
      <c r="M43" s="31"/>
      <c r="N43" s="31"/>
      <c r="O43" s="31"/>
    </row>
    <row r="44" spans="1:15" x14ac:dyDescent="0.35">
      <c r="A44" s="16" t="s">
        <v>13</v>
      </c>
      <c r="B44" s="11">
        <v>34</v>
      </c>
      <c r="C44" s="12">
        <v>3</v>
      </c>
      <c r="E44" s="32">
        <v>0</v>
      </c>
      <c r="F44" s="33">
        <v>0</v>
      </c>
      <c r="G44" s="34">
        <v>0</v>
      </c>
      <c r="H44" s="35">
        <f>1-F44/F$54</f>
        <v>1</v>
      </c>
      <c r="I44" s="35">
        <f>1-G44/G$54</f>
        <v>1</v>
      </c>
      <c r="J44" s="34">
        <f>(H44-H45)*(I44+I45)/2</f>
        <v>6.416926812348242E-2</v>
      </c>
    </row>
    <row r="45" spans="1:15" x14ac:dyDescent="0.35">
      <c r="A45" s="16" t="s">
        <v>15</v>
      </c>
      <c r="B45" s="11">
        <v>63</v>
      </c>
      <c r="C45" s="12">
        <v>7</v>
      </c>
      <c r="E45" s="32">
        <f>E44+1</f>
        <v>1</v>
      </c>
      <c r="F45" s="36">
        <f>F44+B44</f>
        <v>34</v>
      </c>
      <c r="G45" s="37">
        <f>G44+C44</f>
        <v>3</v>
      </c>
      <c r="H45">
        <f t="shared" ref="H45:I54" si="7">1-F45/F$54</f>
        <v>0.93548387096774199</v>
      </c>
      <c r="I45">
        <f t="shared" si="7"/>
        <v>0.989247311827957</v>
      </c>
      <c r="J45" s="37">
        <f t="shared" ref="J45:J54" si="8">(H45-H46)*(I45+I46)/2</f>
        <v>0.11675950296872138</v>
      </c>
      <c r="M45" s="9" t="s">
        <v>10</v>
      </c>
      <c r="N45" s="9" t="s">
        <v>11</v>
      </c>
    </row>
    <row r="46" spans="1:15" x14ac:dyDescent="0.35">
      <c r="A46" s="16" t="s">
        <v>16</v>
      </c>
      <c r="B46" s="11">
        <v>88</v>
      </c>
      <c r="C46" s="12">
        <v>11</v>
      </c>
      <c r="E46" s="32">
        <f t="shared" ref="E46:E54" si="9">E45+1</f>
        <v>2</v>
      </c>
      <c r="F46" s="36">
        <f t="shared" ref="F46:G54" si="10">F45+B45</f>
        <v>97</v>
      </c>
      <c r="G46" s="37">
        <f t="shared" si="10"/>
        <v>10</v>
      </c>
      <c r="H46">
        <f t="shared" si="7"/>
        <v>0.81593927893738138</v>
      </c>
      <c r="I46">
        <f t="shared" si="7"/>
        <v>0.96415770609318996</v>
      </c>
      <c r="J46" s="37">
        <f t="shared" si="8"/>
        <v>0.15770609318996417</v>
      </c>
      <c r="L46" t="s">
        <v>12</v>
      </c>
      <c r="M46" s="33">
        <f>INDEX(F44:F53,M52+1)</f>
        <v>413</v>
      </c>
      <c r="N46" s="34">
        <f>INDEX(G44:G53,M52+1)</f>
        <v>58</v>
      </c>
      <c r="O46">
        <f>M46+N46</f>
        <v>471</v>
      </c>
    </row>
    <row r="47" spans="1:15" x14ac:dyDescent="0.35">
      <c r="A47" s="16" t="s">
        <v>17</v>
      </c>
      <c r="B47" s="11">
        <v>105</v>
      </c>
      <c r="C47" s="12">
        <v>14</v>
      </c>
      <c r="E47" s="32">
        <f t="shared" si="9"/>
        <v>3</v>
      </c>
      <c r="F47" s="36">
        <f t="shared" si="10"/>
        <v>185</v>
      </c>
      <c r="G47" s="37">
        <f t="shared" si="10"/>
        <v>21</v>
      </c>
      <c r="H47">
        <f t="shared" si="7"/>
        <v>0.64895635673624286</v>
      </c>
      <c r="I47">
        <f t="shared" si="7"/>
        <v>0.92473118279569888</v>
      </c>
      <c r="J47" s="37">
        <f t="shared" si="8"/>
        <v>0.17924547550549874</v>
      </c>
      <c r="L47" t="s">
        <v>14</v>
      </c>
      <c r="M47" s="38">
        <f>M48-M46</f>
        <v>114</v>
      </c>
      <c r="N47" s="39">
        <f>N48-N46</f>
        <v>221</v>
      </c>
      <c r="O47">
        <f>M47+N47</f>
        <v>335</v>
      </c>
    </row>
    <row r="48" spans="1:15" x14ac:dyDescent="0.35">
      <c r="A48" s="16" t="s">
        <v>19</v>
      </c>
      <c r="B48" s="11">
        <v>123</v>
      </c>
      <c r="C48" s="12">
        <v>23</v>
      </c>
      <c r="E48" s="32">
        <f t="shared" si="9"/>
        <v>4</v>
      </c>
      <c r="F48" s="36">
        <f t="shared" si="10"/>
        <v>290</v>
      </c>
      <c r="G48" s="37">
        <f t="shared" si="10"/>
        <v>35</v>
      </c>
      <c r="H48">
        <f t="shared" si="7"/>
        <v>0.44971537001897532</v>
      </c>
      <c r="I48">
        <f t="shared" si="7"/>
        <v>0.87455197132616491</v>
      </c>
      <c r="J48" s="37">
        <f t="shared" si="8"/>
        <v>0.19449715370018977</v>
      </c>
      <c r="M48">
        <f>F54</f>
        <v>527</v>
      </c>
      <c r="N48">
        <f>G54</f>
        <v>279</v>
      </c>
      <c r="O48">
        <f>M48+N48</f>
        <v>806</v>
      </c>
    </row>
    <row r="49" spans="1:15" x14ac:dyDescent="0.35">
      <c r="A49" s="16" t="s">
        <v>20</v>
      </c>
      <c r="B49" s="11">
        <v>95</v>
      </c>
      <c r="C49" s="12">
        <v>60</v>
      </c>
      <c r="E49" s="32">
        <f t="shared" si="9"/>
        <v>5</v>
      </c>
      <c r="F49" s="36">
        <f t="shared" si="10"/>
        <v>413</v>
      </c>
      <c r="G49" s="37">
        <f t="shared" si="10"/>
        <v>58</v>
      </c>
      <c r="H49">
        <f t="shared" si="7"/>
        <v>0.21631878557874762</v>
      </c>
      <c r="I49">
        <f t="shared" si="7"/>
        <v>0.79211469534050183</v>
      </c>
      <c r="J49" s="37">
        <f t="shared" si="8"/>
        <v>0.12340767038691997</v>
      </c>
    </row>
    <row r="50" spans="1:15" x14ac:dyDescent="0.35">
      <c r="A50" s="16" t="s">
        <v>22</v>
      </c>
      <c r="B50" s="11">
        <v>9</v>
      </c>
      <c r="C50" s="12">
        <v>75</v>
      </c>
      <c r="E50" s="32">
        <f t="shared" si="9"/>
        <v>6</v>
      </c>
      <c r="F50" s="36">
        <f t="shared" si="10"/>
        <v>508</v>
      </c>
      <c r="G50" s="37">
        <f t="shared" si="10"/>
        <v>118</v>
      </c>
      <c r="H50">
        <f t="shared" si="7"/>
        <v>3.6053130929791233E-2</v>
      </c>
      <c r="I50">
        <f t="shared" si="7"/>
        <v>0.57706093189964158</v>
      </c>
      <c r="J50" s="37">
        <f t="shared" si="8"/>
        <v>7.5595274530207554E-3</v>
      </c>
      <c r="L50" t="s">
        <v>18</v>
      </c>
      <c r="M50" s="40">
        <f>M46/M48</f>
        <v>0.78368121442125238</v>
      </c>
      <c r="N50" s="41">
        <f>N47/N48</f>
        <v>0.79211469534050183</v>
      </c>
      <c r="O50">
        <f>(M46+N47)/O48</f>
        <v>0.78660049627791562</v>
      </c>
    </row>
    <row r="51" spans="1:15" x14ac:dyDescent="0.35">
      <c r="A51" s="16" t="s">
        <v>23</v>
      </c>
      <c r="B51" s="11">
        <v>6</v>
      </c>
      <c r="C51" s="12">
        <v>41</v>
      </c>
      <c r="E51" s="32">
        <f t="shared" si="9"/>
        <v>7</v>
      </c>
      <c r="F51" s="36">
        <f t="shared" si="10"/>
        <v>517</v>
      </c>
      <c r="G51" s="37">
        <f t="shared" si="10"/>
        <v>193</v>
      </c>
      <c r="H51">
        <f t="shared" si="7"/>
        <v>1.8975332068311146E-2</v>
      </c>
      <c r="I51">
        <f t="shared" si="7"/>
        <v>0.30824372759856633</v>
      </c>
      <c r="J51" s="37">
        <f t="shared" si="8"/>
        <v>2.6728693558588819E-3</v>
      </c>
    </row>
    <row r="52" spans="1:15" x14ac:dyDescent="0.35">
      <c r="A52" s="16" t="s">
        <v>24</v>
      </c>
      <c r="B52" s="11">
        <v>4</v>
      </c>
      <c r="C52" s="12">
        <v>30</v>
      </c>
      <c r="E52" s="32">
        <f t="shared" si="9"/>
        <v>8</v>
      </c>
      <c r="F52" s="36">
        <f t="shared" si="10"/>
        <v>523</v>
      </c>
      <c r="G52" s="37">
        <f t="shared" si="10"/>
        <v>234</v>
      </c>
      <c r="H52">
        <f t="shared" si="7"/>
        <v>7.5901328273244584E-3</v>
      </c>
      <c r="I52">
        <f t="shared" si="7"/>
        <v>0.16129032258064513</v>
      </c>
      <c r="J52" s="37">
        <f t="shared" si="8"/>
        <v>8.1614331476607049E-4</v>
      </c>
      <c r="L52" t="s">
        <v>21</v>
      </c>
      <c r="M52" s="42">
        <v>5</v>
      </c>
    </row>
    <row r="53" spans="1:15" x14ac:dyDescent="0.35">
      <c r="A53" s="24" t="s">
        <v>25</v>
      </c>
      <c r="B53" s="25">
        <v>0</v>
      </c>
      <c r="C53" s="26">
        <v>15</v>
      </c>
      <c r="E53" s="32">
        <f t="shared" si="9"/>
        <v>9</v>
      </c>
      <c r="F53" s="36">
        <f t="shared" si="10"/>
        <v>527</v>
      </c>
      <c r="G53" s="37">
        <f t="shared" si="10"/>
        <v>264</v>
      </c>
      <c r="H53">
        <f t="shared" si="7"/>
        <v>0</v>
      </c>
      <c r="I53">
        <f t="shared" si="7"/>
        <v>5.3763440860215006E-2</v>
      </c>
      <c r="J53" s="37">
        <f t="shared" si="8"/>
        <v>0</v>
      </c>
    </row>
    <row r="54" spans="1:15" x14ac:dyDescent="0.35">
      <c r="B54">
        <f>SUM(B44:B53)</f>
        <v>527</v>
      </c>
      <c r="C54">
        <f>SUM(C44:C53)</f>
        <v>279</v>
      </c>
      <c r="E54" s="43">
        <f t="shared" si="9"/>
        <v>10</v>
      </c>
      <c r="F54" s="38">
        <f t="shared" si="10"/>
        <v>527</v>
      </c>
      <c r="G54" s="39">
        <f t="shared" si="10"/>
        <v>279</v>
      </c>
      <c r="H54" s="44">
        <f t="shared" si="7"/>
        <v>0</v>
      </c>
      <c r="I54" s="44">
        <f t="shared" si="7"/>
        <v>0</v>
      </c>
      <c r="J54" s="39">
        <f t="shared" si="8"/>
        <v>0</v>
      </c>
    </row>
    <row r="55" spans="1:15" x14ac:dyDescent="0.35">
      <c r="J55">
        <f>SUM(J44:J54)</f>
        <v>0.84683370399842217</v>
      </c>
    </row>
  </sheetData>
  <mergeCells count="4">
    <mergeCell ref="B5:C5"/>
    <mergeCell ref="D5:E5"/>
    <mergeCell ref="L24:O24"/>
    <mergeCell ref="L43:O4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10694-2030-4391-90AB-5ED72589E395}">
  <dimension ref="A1:O15"/>
  <sheetViews>
    <sheetView workbookViewId="0"/>
  </sheetViews>
  <sheetFormatPr defaultRowHeight="14.5" x14ac:dyDescent="0.35"/>
  <cols>
    <col min="2" max="3" width="10.26953125" customWidth="1"/>
  </cols>
  <sheetData>
    <row r="1" spans="1:15" x14ac:dyDescent="0.35">
      <c r="A1" s="1" t="s">
        <v>30</v>
      </c>
      <c r="E1" t="s">
        <v>1</v>
      </c>
      <c r="L1" t="s">
        <v>28</v>
      </c>
    </row>
    <row r="3" spans="1:15" x14ac:dyDescent="0.35">
      <c r="A3" s="5" t="s">
        <v>4</v>
      </c>
      <c r="B3" s="6" t="s">
        <v>5</v>
      </c>
      <c r="C3" s="8" t="s">
        <v>6</v>
      </c>
      <c r="E3" s="28" t="str">
        <f>A3</f>
        <v>Dosage</v>
      </c>
      <c r="F3" s="46" t="str">
        <f>B3</f>
        <v>Lives</v>
      </c>
      <c r="G3" s="30" t="str">
        <f>C3</f>
        <v>Dies</v>
      </c>
      <c r="H3" s="29" t="s">
        <v>7</v>
      </c>
      <c r="I3" s="29" t="s">
        <v>8</v>
      </c>
      <c r="J3" s="30" t="s">
        <v>9</v>
      </c>
      <c r="M3" s="9" t="s">
        <v>10</v>
      </c>
      <c r="N3" s="9" t="s">
        <v>11</v>
      </c>
    </row>
    <row r="4" spans="1:15" x14ac:dyDescent="0.35">
      <c r="A4" s="47">
        <v>2</v>
      </c>
      <c r="B4" s="11">
        <v>34</v>
      </c>
      <c r="C4" s="12">
        <v>3</v>
      </c>
      <c r="E4" s="32"/>
      <c r="F4" s="33">
        <v>0</v>
      </c>
      <c r="G4" s="34">
        <v>0</v>
      </c>
      <c r="H4" s="35">
        <f>1-F4/F$14</f>
        <v>1</v>
      </c>
      <c r="I4" s="35">
        <f>1-G4/G$14</f>
        <v>1</v>
      </c>
      <c r="J4" s="34">
        <f>(H4-H5)*(I4+I5)/2</f>
        <v>6.416926812348242E-2</v>
      </c>
      <c r="L4" t="s">
        <v>12</v>
      </c>
      <c r="M4" s="33">
        <f>INDEX(F4:F13,MATCH(M10,E5:E14)+1)</f>
        <v>413</v>
      </c>
      <c r="N4" s="34">
        <f>INDEX(G4:G13,MATCH(M10,E5:E14)+1)</f>
        <v>58</v>
      </c>
      <c r="O4">
        <f>M4+N4</f>
        <v>471</v>
      </c>
    </row>
    <row r="5" spans="1:15" x14ac:dyDescent="0.35">
      <c r="A5" s="48">
        <f>A4+2</f>
        <v>4</v>
      </c>
      <c r="B5" s="11">
        <v>63</v>
      </c>
      <c r="C5" s="12">
        <v>7</v>
      </c>
      <c r="E5" s="32">
        <f>A4</f>
        <v>2</v>
      </c>
      <c r="F5" s="36">
        <f>F4+B4</f>
        <v>34</v>
      </c>
      <c r="G5" s="37">
        <f>G4+C4</f>
        <v>3</v>
      </c>
      <c r="H5">
        <f t="shared" ref="H5:I14" si="0">1-F5/F$14</f>
        <v>0.93548387096774199</v>
      </c>
      <c r="I5">
        <f t="shared" si="0"/>
        <v>0.989247311827957</v>
      </c>
      <c r="J5" s="37">
        <f t="shared" ref="J5:J14" si="1">(H5-H6)*(I5+I6)/2</f>
        <v>0.11675950296872138</v>
      </c>
      <c r="L5" t="s">
        <v>14</v>
      </c>
      <c r="M5" s="38">
        <f>M6-M4</f>
        <v>114</v>
      </c>
      <c r="N5" s="39">
        <f>N6-N4</f>
        <v>221</v>
      </c>
      <c r="O5">
        <f>M5+N5</f>
        <v>335</v>
      </c>
    </row>
    <row r="6" spans="1:15" x14ac:dyDescent="0.35">
      <c r="A6" s="48">
        <f t="shared" ref="A6:A13" si="2">A5+2</f>
        <v>6</v>
      </c>
      <c r="B6" s="11">
        <v>88</v>
      </c>
      <c r="C6" s="12">
        <v>11</v>
      </c>
      <c r="E6" s="32">
        <f t="shared" ref="E6:E14" si="3">A5</f>
        <v>4</v>
      </c>
      <c r="F6" s="36">
        <f t="shared" ref="F6:G14" si="4">F5+B5</f>
        <v>97</v>
      </c>
      <c r="G6" s="37">
        <f t="shared" si="4"/>
        <v>10</v>
      </c>
      <c r="H6">
        <f t="shared" si="0"/>
        <v>0.81593927893738138</v>
      </c>
      <c r="I6">
        <f t="shared" si="0"/>
        <v>0.96415770609318996</v>
      </c>
      <c r="J6" s="37">
        <f t="shared" si="1"/>
        <v>0.15770609318996417</v>
      </c>
      <c r="M6">
        <f>F14</f>
        <v>527</v>
      </c>
      <c r="N6">
        <f>G14</f>
        <v>279</v>
      </c>
      <c r="O6">
        <f>M6+N6</f>
        <v>806</v>
      </c>
    </row>
    <row r="7" spans="1:15" x14ac:dyDescent="0.35">
      <c r="A7" s="48">
        <f t="shared" si="2"/>
        <v>8</v>
      </c>
      <c r="B7" s="11">
        <v>105</v>
      </c>
      <c r="C7" s="12">
        <v>14</v>
      </c>
      <c r="E7" s="32">
        <f t="shared" si="3"/>
        <v>6</v>
      </c>
      <c r="F7" s="36">
        <f t="shared" si="4"/>
        <v>185</v>
      </c>
      <c r="G7" s="37">
        <f t="shared" si="4"/>
        <v>21</v>
      </c>
      <c r="H7">
        <f t="shared" si="0"/>
        <v>0.64895635673624286</v>
      </c>
      <c r="I7">
        <f t="shared" si="0"/>
        <v>0.92473118279569888</v>
      </c>
      <c r="J7" s="37">
        <f t="shared" si="1"/>
        <v>0.17924547550549874</v>
      </c>
    </row>
    <row r="8" spans="1:15" x14ac:dyDescent="0.35">
      <c r="A8" s="48">
        <f t="shared" si="2"/>
        <v>10</v>
      </c>
      <c r="B8" s="11">
        <v>123</v>
      </c>
      <c r="C8" s="12">
        <v>23</v>
      </c>
      <c r="E8" s="32">
        <f t="shared" si="3"/>
        <v>8</v>
      </c>
      <c r="F8" s="36">
        <f t="shared" si="4"/>
        <v>290</v>
      </c>
      <c r="G8" s="37">
        <f t="shared" si="4"/>
        <v>35</v>
      </c>
      <c r="H8">
        <f t="shared" si="0"/>
        <v>0.44971537001897532</v>
      </c>
      <c r="I8">
        <f t="shared" si="0"/>
        <v>0.87455197132616491</v>
      </c>
      <c r="J8" s="37">
        <f t="shared" si="1"/>
        <v>0.19449715370018977</v>
      </c>
      <c r="L8" t="s">
        <v>18</v>
      </c>
      <c r="M8" s="40">
        <f>M4/M6</f>
        <v>0.78368121442125238</v>
      </c>
      <c r="N8" s="41">
        <f>N5/N6</f>
        <v>0.79211469534050183</v>
      </c>
      <c r="O8">
        <f>(M4+N5)/O6</f>
        <v>0.78660049627791562</v>
      </c>
    </row>
    <row r="9" spans="1:15" x14ac:dyDescent="0.35">
      <c r="A9" s="48">
        <f t="shared" si="2"/>
        <v>12</v>
      </c>
      <c r="B9" s="11">
        <v>95</v>
      </c>
      <c r="C9" s="12">
        <v>60</v>
      </c>
      <c r="E9" s="32">
        <f t="shared" si="3"/>
        <v>10</v>
      </c>
      <c r="F9" s="36">
        <f t="shared" si="4"/>
        <v>413</v>
      </c>
      <c r="G9" s="37">
        <f t="shared" si="4"/>
        <v>58</v>
      </c>
      <c r="H9">
        <f t="shared" si="0"/>
        <v>0.21631878557874762</v>
      </c>
      <c r="I9">
        <f t="shared" si="0"/>
        <v>0.79211469534050183</v>
      </c>
      <c r="J9" s="37">
        <f t="shared" si="1"/>
        <v>0.12340767038691997</v>
      </c>
    </row>
    <row r="10" spans="1:15" x14ac:dyDescent="0.35">
      <c r="A10" s="48">
        <f t="shared" si="2"/>
        <v>14</v>
      </c>
      <c r="B10" s="11">
        <v>9</v>
      </c>
      <c r="C10" s="12">
        <v>75</v>
      </c>
      <c r="E10" s="32">
        <f t="shared" si="3"/>
        <v>12</v>
      </c>
      <c r="F10" s="36">
        <f t="shared" si="4"/>
        <v>508</v>
      </c>
      <c r="G10" s="37">
        <f t="shared" si="4"/>
        <v>118</v>
      </c>
      <c r="H10">
        <f t="shared" si="0"/>
        <v>3.6053130929791233E-2</v>
      </c>
      <c r="I10">
        <f t="shared" si="0"/>
        <v>0.57706093189964158</v>
      </c>
      <c r="J10" s="37">
        <f t="shared" si="1"/>
        <v>7.5595274530207554E-3</v>
      </c>
      <c r="L10" t="s">
        <v>21</v>
      </c>
      <c r="M10" s="42">
        <v>10</v>
      </c>
    </row>
    <row r="11" spans="1:15" x14ac:dyDescent="0.35">
      <c r="A11" s="48">
        <f t="shared" si="2"/>
        <v>16</v>
      </c>
      <c r="B11" s="11">
        <v>6</v>
      </c>
      <c r="C11" s="12">
        <v>41</v>
      </c>
      <c r="E11" s="32">
        <f t="shared" si="3"/>
        <v>14</v>
      </c>
      <c r="F11" s="36">
        <f t="shared" si="4"/>
        <v>517</v>
      </c>
      <c r="G11" s="37">
        <f t="shared" si="4"/>
        <v>193</v>
      </c>
      <c r="H11">
        <f t="shared" si="0"/>
        <v>1.8975332068311146E-2</v>
      </c>
      <c r="I11">
        <f t="shared" si="0"/>
        <v>0.30824372759856633</v>
      </c>
      <c r="J11" s="37">
        <f t="shared" si="1"/>
        <v>2.6728693558588819E-3</v>
      </c>
    </row>
    <row r="12" spans="1:15" x14ac:dyDescent="0.35">
      <c r="A12" s="48">
        <f t="shared" si="2"/>
        <v>18</v>
      </c>
      <c r="B12" s="11">
        <v>4</v>
      </c>
      <c r="C12" s="12">
        <v>30</v>
      </c>
      <c r="E12" s="32">
        <f t="shared" si="3"/>
        <v>16</v>
      </c>
      <c r="F12" s="36">
        <f t="shared" si="4"/>
        <v>523</v>
      </c>
      <c r="G12" s="37">
        <f t="shared" si="4"/>
        <v>234</v>
      </c>
      <c r="H12">
        <f t="shared" si="0"/>
        <v>7.5901328273244584E-3</v>
      </c>
      <c r="I12">
        <f t="shared" si="0"/>
        <v>0.16129032258064513</v>
      </c>
      <c r="J12" s="37">
        <f t="shared" si="1"/>
        <v>8.1614331476607049E-4</v>
      </c>
      <c r="L12" t="s">
        <v>31</v>
      </c>
      <c r="M12" s="49">
        <v>0.05</v>
      </c>
    </row>
    <row r="13" spans="1:15" x14ac:dyDescent="0.35">
      <c r="A13" s="50">
        <f t="shared" si="2"/>
        <v>20</v>
      </c>
      <c r="B13" s="25">
        <v>0</v>
      </c>
      <c r="C13" s="26">
        <v>15</v>
      </c>
      <c r="E13" s="32">
        <f t="shared" si="3"/>
        <v>18</v>
      </c>
      <c r="F13" s="36">
        <f t="shared" si="4"/>
        <v>527</v>
      </c>
      <c r="G13" s="37">
        <f t="shared" si="4"/>
        <v>264</v>
      </c>
      <c r="H13">
        <f t="shared" si="0"/>
        <v>0</v>
      </c>
      <c r="I13">
        <f t="shared" si="0"/>
        <v>5.3763440860215006E-2</v>
      </c>
      <c r="J13" s="37">
        <f t="shared" si="1"/>
        <v>0</v>
      </c>
      <c r="L13" t="s">
        <v>9</v>
      </c>
      <c r="M13" s="10">
        <f>J15</f>
        <v>0.84683370399842217</v>
      </c>
    </row>
    <row r="14" spans="1:15" x14ac:dyDescent="0.35">
      <c r="B14">
        <f>SUM(B4:B13)</f>
        <v>527</v>
      </c>
      <c r="C14">
        <f>SUM(C4:C13)</f>
        <v>279</v>
      </c>
      <c r="E14" s="43">
        <f t="shared" si="3"/>
        <v>20</v>
      </c>
      <c r="F14" s="38">
        <f t="shared" si="4"/>
        <v>527</v>
      </c>
      <c r="G14" s="39">
        <f t="shared" si="4"/>
        <v>279</v>
      </c>
      <c r="H14" s="44">
        <f t="shared" si="0"/>
        <v>0</v>
      </c>
      <c r="I14" s="44">
        <f t="shared" si="0"/>
        <v>0</v>
      </c>
      <c r="J14" s="39">
        <f t="shared" si="1"/>
        <v>0</v>
      </c>
      <c r="L14" t="s">
        <v>32</v>
      </c>
      <c r="M14" s="10" t="e" cm="1">
        <f t="array" aca="1" ref="M14" ca="1">AUC_LOWER(M13,M6,N6,M12)</f>
        <v>#NAME?</v>
      </c>
    </row>
    <row r="15" spans="1:15" x14ac:dyDescent="0.35">
      <c r="J15">
        <f>SUM(J4:J14)</f>
        <v>0.84683370399842217</v>
      </c>
      <c r="L15" t="s">
        <v>33</v>
      </c>
      <c r="M15" s="51" t="e" cm="1">
        <f t="array" aca="1" ref="M15" ca="1">AUC_UPPER(M13,M6,N6,M12)</f>
        <v>#NAME?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AF882-E685-43B1-A960-E0AE7876627A}">
  <dimension ref="A1:D16"/>
  <sheetViews>
    <sheetView workbookViewId="0"/>
  </sheetViews>
  <sheetFormatPr defaultRowHeight="14.5" x14ac:dyDescent="0.35"/>
  <cols>
    <col min="3" max="3" width="3.26953125" customWidth="1"/>
    <col min="4" max="4" width="38.26953125" customWidth="1"/>
  </cols>
  <sheetData>
    <row r="1" spans="1:4" x14ac:dyDescent="0.35">
      <c r="A1" s="1" t="s">
        <v>34</v>
      </c>
    </row>
    <row r="3" spans="1:4" x14ac:dyDescent="0.35">
      <c r="A3" t="s">
        <v>35</v>
      </c>
      <c r="B3" s="49">
        <f>'ROC 2'!M6</f>
        <v>527</v>
      </c>
    </row>
    <row r="4" spans="1:4" x14ac:dyDescent="0.35">
      <c r="A4" t="s">
        <v>36</v>
      </c>
      <c r="B4" s="10">
        <f>'ROC 2'!N6</f>
        <v>279</v>
      </c>
    </row>
    <row r="5" spans="1:4" x14ac:dyDescent="0.35">
      <c r="A5" t="s">
        <v>9</v>
      </c>
      <c r="B5" s="10">
        <f>'ROC 1'!H18</f>
        <v>0.88951459876354277</v>
      </c>
    </row>
    <row r="6" spans="1:4" x14ac:dyDescent="0.35">
      <c r="A6" t="s">
        <v>37</v>
      </c>
      <c r="B6" s="10">
        <f>B5*(1-B5)</f>
        <v>9.8278377350076287E-2</v>
      </c>
      <c r="D6" t="e" cm="1">
        <f t="array" aca="1" ref="D6" ca="1">FTEXT(B6)</f>
        <v>#NAME?</v>
      </c>
    </row>
    <row r="7" spans="1:4" x14ac:dyDescent="0.35">
      <c r="A7" t="s">
        <v>38</v>
      </c>
      <c r="B7" s="10">
        <f>B5/(2-B5)-B5^2</f>
        <v>9.7779997308394817E-3</v>
      </c>
      <c r="D7" t="e" cm="1">
        <f t="array" aca="1" ref="D7" ca="1">FTEXT(B7)</f>
        <v>#NAME?</v>
      </c>
    </row>
    <row r="8" spans="1:4" x14ac:dyDescent="0.35">
      <c r="A8" t="s">
        <v>39</v>
      </c>
      <c r="B8" s="10">
        <f>2*B5^2/(1+B5)-B5^2</f>
        <v>4.626587773012758E-2</v>
      </c>
      <c r="D8" t="e" cm="1">
        <f t="array" aca="1" ref="D8" ca="1">FTEXT(B8)</f>
        <v>#NAME?</v>
      </c>
    </row>
    <row r="9" spans="1:4" x14ac:dyDescent="0.35">
      <c r="A9" t="s">
        <v>40</v>
      </c>
      <c r="B9" s="10">
        <f>SQRT((B6+(B3-1)*B7+(B4-1)*B8)/(B3*B4))</f>
        <v>1.1096165030898116E-2</v>
      </c>
      <c r="D9" t="e" cm="1">
        <f t="array" aca="1" ref="D9" ca="1">FTEXT(B9)</f>
        <v>#NAME?</v>
      </c>
    </row>
    <row r="10" spans="1:4" x14ac:dyDescent="0.35">
      <c r="A10" t="s">
        <v>41</v>
      </c>
      <c r="B10" s="10">
        <v>0.05</v>
      </c>
      <c r="D10" t="e" cm="1">
        <f t="array" aca="1" ref="D10" ca="1">FTEXT(B10)</f>
        <v>#NAME?</v>
      </c>
    </row>
    <row r="11" spans="1:4" x14ac:dyDescent="0.35">
      <c r="A11" t="s">
        <v>42</v>
      </c>
      <c r="B11" s="10">
        <f>NORMSINV(1-B10/2)</f>
        <v>1.9599639845400536</v>
      </c>
      <c r="D11" s="52" t="s">
        <v>43</v>
      </c>
    </row>
    <row r="12" spans="1:4" x14ac:dyDescent="0.35">
      <c r="A12" t="s">
        <v>44</v>
      </c>
      <c r="B12" s="10">
        <f>B5-B11*B9</f>
        <v>0.86776651493646972</v>
      </c>
      <c r="D12" t="e" cm="1">
        <f t="array" aca="1" ref="D12" ca="1">FTEXT(B12)</f>
        <v>#NAME?</v>
      </c>
    </row>
    <row r="13" spans="1:4" x14ac:dyDescent="0.35">
      <c r="A13" t="s">
        <v>45</v>
      </c>
      <c r="B13" s="51">
        <f>B5+B11*B9</f>
        <v>0.91126268259061582</v>
      </c>
      <c r="D13" t="e" cm="1">
        <f t="array" aca="1" ref="D13" ca="1">FTEXT(B13)</f>
        <v>#NAME?</v>
      </c>
    </row>
    <row r="15" spans="1:4" x14ac:dyDescent="0.35">
      <c r="A15" t="s">
        <v>44</v>
      </c>
      <c r="B15" s="49" t="e" cm="1">
        <f t="array" aca="1" ref="B15" ca="1">AUC_LOWER(B5,B3,B4)</f>
        <v>#NAME?</v>
      </c>
      <c r="D15" t="e" cm="1">
        <f t="array" aca="1" ref="D15" ca="1">FTEXT(B15)</f>
        <v>#NAME?</v>
      </c>
    </row>
    <row r="16" spans="1:4" x14ac:dyDescent="0.35">
      <c r="A16" t="s">
        <v>45</v>
      </c>
      <c r="B16" s="51" t="e" cm="1">
        <f t="array" aca="1" ref="B16" ca="1">AUC_UPPER(B5,B3,B4)</f>
        <v>#NAME?</v>
      </c>
      <c r="D16" t="e" cm="1">
        <f t="array" aca="1" ref="D16" ca="1">FTEXT(B16)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ROC 1</vt:lpstr>
      <vt:lpstr>ROC 2</vt:lpstr>
      <vt:lpstr>AUC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2023-10-07T13:39:15Z</dcterms:created>
  <dcterms:modified xsi:type="dcterms:W3CDTF">2023-10-07T13:42:43Z</dcterms:modified>
</cp:coreProperties>
</file>