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961435A-1553-4E75-A8A1-E35D0C276563}" xr6:coauthVersionLast="47" xr6:coauthVersionMax="47" xr10:uidLastSave="{00000000-0000-0000-0000-000000000000}"/>
  <bookViews>
    <workbookView xWindow="-110" yWindow="-110" windowWidth="19420" windowHeight="10300" xr2:uid="{C8C192D3-6BF0-4A15-8642-BCEB796D62A2}"/>
  </bookViews>
  <sheets>
    <sheet name="Title" sheetId="5" r:id="rId1"/>
    <sheet name="Prop 1" sheetId="1" r:id="rId2"/>
    <sheet name="Prop 2" sheetId="2" r:id="rId3"/>
    <sheet name="Prop 3" sheetId="3" r:id="rId4"/>
    <sheet name="Prop 4" sheetId="4" r:id="rId5"/>
  </sheets>
  <externalReferences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 a="1"/>
  <c r="D18" i="4" s="1"/>
  <c r="D17" i="4" a="1"/>
  <c r="D17" i="4" s="1"/>
  <c r="D16" i="4" a="1"/>
  <c r="D16" i="4" s="1"/>
  <c r="D15" i="4" a="1"/>
  <c r="D15" i="4" s="1"/>
  <c r="D14" i="4" a="1"/>
  <c r="D14" i="4" s="1"/>
  <c r="D13" i="4" a="1"/>
  <c r="D13" i="4" s="1"/>
  <c r="D12" i="4" a="1"/>
  <c r="D12" i="4" s="1"/>
  <c r="D11" i="4" a="1"/>
  <c r="D11" i="4" s="1"/>
  <c r="D19" i="3"/>
  <c r="D19" i="3" a="1"/>
  <c r="D18" i="3" a="1"/>
  <c r="D18" i="3" s="1"/>
  <c r="D17" i="3" a="1"/>
  <c r="D17" i="3" s="1"/>
  <c r="D16" i="3" a="1"/>
  <c r="D16" i="3" s="1"/>
  <c r="D15" i="3"/>
  <c r="D15" i="3" a="1"/>
  <c r="D14" i="3" a="1"/>
  <c r="D14" i="3" s="1"/>
  <c r="D13" i="3" a="1"/>
  <c r="D13" i="3" s="1"/>
  <c r="D12" i="3" a="1"/>
  <c r="D12" i="3" s="1"/>
  <c r="D11" i="3" a="1"/>
  <c r="D11" i="3" s="1"/>
  <c r="D10" i="3" a="1"/>
  <c r="D10" i="3" s="1"/>
  <c r="D25" i="2" a="1"/>
  <c r="D25" i="2" s="1"/>
  <c r="D24" i="2" a="1"/>
  <c r="D24" i="2" s="1"/>
  <c r="I21" i="2"/>
  <c r="I21" i="2" a="1"/>
  <c r="F21" i="2" a="1"/>
  <c r="F21" i="2" s="1"/>
  <c r="I17" i="2" a="1"/>
  <c r="I17" i="2" s="1"/>
  <c r="F17" i="2" a="1"/>
  <c r="F17" i="2" s="1"/>
  <c r="D17" i="2" a="1"/>
  <c r="D17" i="2" s="1"/>
  <c r="D16" i="2" a="1"/>
  <c r="D16" i="2" s="1"/>
  <c r="D15" i="2" a="1"/>
  <c r="D15" i="2" s="1"/>
  <c r="I13" i="2" a="1"/>
  <c r="I13" i="2" s="1"/>
  <c r="F13" i="2"/>
  <c r="F13" i="2" a="1"/>
  <c r="D12" i="2" a="1"/>
  <c r="D12" i="2" s="1"/>
  <c r="D11" i="2" a="1"/>
  <c r="D11" i="2" s="1"/>
  <c r="D10" i="2" a="1"/>
  <c r="D10" i="2" s="1"/>
  <c r="I9" i="2" a="1"/>
  <c r="I9" i="2" s="1"/>
  <c r="F9" i="2" a="1"/>
  <c r="F9" i="2" s="1"/>
  <c r="D9" i="2" a="1"/>
  <c r="D9" i="2" s="1"/>
  <c r="D8" i="2" a="1"/>
  <c r="D8" i="2" s="1"/>
  <c r="D5" i="2"/>
  <c r="D5" i="2" a="1"/>
  <c r="B18" i="4"/>
  <c r="B13" i="4"/>
  <c r="B16" i="4" s="1"/>
  <c r="B12" i="4"/>
  <c r="B11" i="4"/>
  <c r="B17" i="4" s="1"/>
  <c r="G14" i="3"/>
  <c r="B14" i="3"/>
  <c r="G13" i="3"/>
  <c r="G18" i="3" s="1"/>
  <c r="B13" i="3"/>
  <c r="B19" i="3" s="1"/>
  <c r="B11" i="3"/>
  <c r="B24" i="2"/>
  <c r="B21" i="2"/>
  <c r="B20" i="2"/>
  <c r="B10" i="2"/>
  <c r="B12" i="2" s="1"/>
  <c r="B7" i="2"/>
  <c r="G5" i="2"/>
  <c r="B5" i="2"/>
  <c r="B15" i="2" s="1"/>
  <c r="E24" i="1"/>
  <c r="E21" i="1"/>
  <c r="E17" i="1"/>
  <c r="B17" i="1"/>
  <c r="B16" i="1"/>
  <c r="B19" i="1" s="1"/>
  <c r="B20" i="1" s="1"/>
  <c r="B15" i="1"/>
  <c r="E14" i="1"/>
  <c r="B14" i="1"/>
  <c r="H12" i="1"/>
  <c r="H15" i="1" s="1"/>
  <c r="E10" i="1"/>
  <c r="E11" i="1" s="1"/>
  <c r="K9" i="1"/>
  <c r="H9" i="1"/>
  <c r="B9" i="1"/>
  <c r="B10" i="1" s="1"/>
  <c r="K8" i="1"/>
  <c r="K10" i="1" s="1"/>
  <c r="K15" i="1" s="1"/>
  <c r="E8" i="1"/>
  <c r="E15" i="1" s="1"/>
  <c r="E22" i="1" s="1"/>
  <c r="H6" i="1"/>
  <c r="B16" i="2" l="1"/>
  <c r="B17" i="2"/>
  <c r="K12" i="1"/>
  <c r="K13" i="1" s="1"/>
  <c r="E26" i="1"/>
  <c r="E19" i="1"/>
  <c r="E25" i="1"/>
  <c r="G15" i="3"/>
  <c r="G16" i="3" s="1"/>
  <c r="G17" i="3"/>
  <c r="G19" i="3"/>
  <c r="B18" i="3"/>
  <c r="B25" i="2"/>
  <c r="G11" i="3"/>
  <c r="B14" i="4"/>
  <c r="B15" i="4" s="1"/>
  <c r="E18" i="1"/>
  <c r="B11" i="2"/>
  <c r="B15" i="3"/>
  <c r="B16" i="3" s="1"/>
  <c r="B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<sst xmlns="http://schemas.openxmlformats.org/spreadsheetml/2006/main" count="141" uniqueCount="57">
  <si>
    <t>Proportion Distribution</t>
  </si>
  <si>
    <t>Example 1</t>
  </si>
  <si>
    <t>Example 2</t>
  </si>
  <si>
    <t>Example 3</t>
  </si>
  <si>
    <t>Example 4</t>
  </si>
  <si>
    <t>n</t>
  </si>
  <si>
    <t>α</t>
  </si>
  <si>
    <t>x</t>
  </si>
  <si>
    <t>p</t>
  </si>
  <si>
    <t>z-crit</t>
  </si>
  <si>
    <t>x1</t>
  </si>
  <si>
    <t>goal</t>
  </si>
  <si>
    <t>x2</t>
  </si>
  <si>
    <t>s.e.</t>
  </si>
  <si>
    <t>max s.e.</t>
  </si>
  <si>
    <t>.5/sqrt(n)</t>
  </si>
  <si>
    <t>p-value</t>
  </si>
  <si>
    <t>x2-x1</t>
  </si>
  <si>
    <t>sig</t>
  </si>
  <si>
    <t>Normal approximation</t>
  </si>
  <si>
    <t>mean</t>
  </si>
  <si>
    <t>crit</t>
  </si>
  <si>
    <t>lower</t>
  </si>
  <si>
    <t>upper</t>
  </si>
  <si>
    <t>Proportion Confidence Interval</t>
  </si>
  <si>
    <t>Confidence intervals</t>
  </si>
  <si>
    <t>Sample size</t>
  </si>
  <si>
    <t># of Successes</t>
  </si>
  <si>
    <t>Proportion</t>
  </si>
  <si>
    <t>Alpha</t>
  </si>
  <si>
    <t>zcrit</t>
  </si>
  <si>
    <t>=NORM.S.INV(1-B6/2)</t>
  </si>
  <si>
    <t>Wilson score</t>
  </si>
  <si>
    <t>u</t>
  </si>
  <si>
    <t>Agresti-Coull</t>
  </si>
  <si>
    <t>p*</t>
  </si>
  <si>
    <t>Clopper-Pearson</t>
  </si>
  <si>
    <t>=BETA.INV(B6/2,B4,B3-B4+1)</t>
  </si>
  <si>
    <t>Wald</t>
  </si>
  <si>
    <t>=BETA.INV(1-B6/2,B4+1,B3-B4)</t>
  </si>
  <si>
    <t>One-sample Proportion Test</t>
  </si>
  <si>
    <t>Hyp Proportion</t>
  </si>
  <si>
    <t>Tails</t>
  </si>
  <si>
    <t>binomial test</t>
  </si>
  <si>
    <t>proportion</t>
  </si>
  <si>
    <t>z-stat</t>
  </si>
  <si>
    <t>Cohen's h</t>
  </si>
  <si>
    <t>Two-sample Proportion Z-Test</t>
  </si>
  <si>
    <t>Sample size 1</t>
  </si>
  <si>
    <t># of Successes 1</t>
  </si>
  <si>
    <t>Sample size 2</t>
  </si>
  <si>
    <t># of Successes 2</t>
  </si>
  <si>
    <t>difference</t>
  </si>
  <si>
    <t>est hyp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</si>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</sst>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quotePrefix="1"/>
    <xf numFmtId="0" fontId="3" fillId="0" borderId="0" xfId="0" applyFont="1"/>
    <xf numFmtId="0" fontId="0" fillId="0" borderId="1" xfId="0" quotePrefix="1" applyBorder="1"/>
    <xf numFmtId="0" fontId="0" fillId="0" borderId="8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FEE8-1712-4CB5-B24B-13DF79497276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54</v>
      </c>
    </row>
    <row r="2" spans="1:2" x14ac:dyDescent="0.35">
      <c r="A2" t="s">
        <v>0</v>
      </c>
    </row>
    <row r="4" spans="1:2" x14ac:dyDescent="0.35">
      <c r="A4" t="s">
        <v>55</v>
      </c>
      <c r="B4" s="15">
        <v>45268</v>
      </c>
    </row>
    <row r="6" spans="1:2" x14ac:dyDescent="0.35">
      <c r="A6" s="16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0A2E-2560-49E4-AF3D-D22EFAAA44BC}">
  <sheetPr codeName="Sheet226"/>
  <dimension ref="A1:K26"/>
  <sheetViews>
    <sheetView workbookViewId="0"/>
  </sheetViews>
  <sheetFormatPr defaultRowHeight="14.5" x14ac:dyDescent="0.35"/>
  <sheetData>
    <row r="1" spans="1:11" x14ac:dyDescent="0.35">
      <c r="A1" s="1" t="s">
        <v>0</v>
      </c>
    </row>
    <row r="2" spans="1:11" x14ac:dyDescent="0.35">
      <c r="A2" s="1"/>
    </row>
    <row r="3" spans="1:11" x14ac:dyDescent="0.35">
      <c r="A3" s="1" t="s">
        <v>1</v>
      </c>
      <c r="D3" s="1" t="s">
        <v>2</v>
      </c>
      <c r="G3" s="1" t="s">
        <v>3</v>
      </c>
      <c r="J3" s="1" t="s">
        <v>4</v>
      </c>
    </row>
    <row r="5" spans="1:11" x14ac:dyDescent="0.35">
      <c r="A5" t="s">
        <v>5</v>
      </c>
      <c r="B5" s="2">
        <v>600</v>
      </c>
      <c r="D5" t="s">
        <v>5</v>
      </c>
      <c r="E5" s="2">
        <v>1100</v>
      </c>
      <c r="G5" s="3" t="s">
        <v>6</v>
      </c>
      <c r="H5" s="2">
        <v>0.05</v>
      </c>
      <c r="J5" t="s">
        <v>5</v>
      </c>
      <c r="K5" s="2">
        <v>100</v>
      </c>
    </row>
    <row r="6" spans="1:11" x14ac:dyDescent="0.35">
      <c r="A6" t="s">
        <v>7</v>
      </c>
      <c r="B6" s="4">
        <v>325</v>
      </c>
      <c r="D6" t="s">
        <v>8</v>
      </c>
      <c r="E6" s="4">
        <v>0.5</v>
      </c>
      <c r="G6" t="s">
        <v>9</v>
      </c>
      <c r="H6" s="4">
        <f>NORMSINV(1-H5/2)</f>
        <v>1.9599639845400536</v>
      </c>
      <c r="J6" t="s">
        <v>10</v>
      </c>
      <c r="K6" s="4">
        <v>0.5</v>
      </c>
    </row>
    <row r="7" spans="1:11" x14ac:dyDescent="0.35">
      <c r="A7" t="s">
        <v>8</v>
      </c>
      <c r="B7" s="4">
        <v>0.5</v>
      </c>
      <c r="D7" t="s">
        <v>7</v>
      </c>
      <c r="E7" s="4">
        <v>0.53</v>
      </c>
      <c r="G7" t="s">
        <v>11</v>
      </c>
      <c r="H7" s="4">
        <v>2.5000000000000001E-2</v>
      </c>
      <c r="J7" t="s">
        <v>12</v>
      </c>
      <c r="K7" s="4">
        <v>0.6</v>
      </c>
    </row>
    <row r="8" spans="1:11" x14ac:dyDescent="0.35">
      <c r="A8" s="3" t="s">
        <v>6</v>
      </c>
      <c r="B8" s="4">
        <v>0.05</v>
      </c>
      <c r="D8" t="s">
        <v>13</v>
      </c>
      <c r="E8" s="4">
        <f>SQRT(E7*(1-E7)/E5)</f>
        <v>1.5048406741397756E-2</v>
      </c>
      <c r="G8" t="s">
        <v>14</v>
      </c>
      <c r="H8" s="4" t="s">
        <v>15</v>
      </c>
      <c r="J8" t="s">
        <v>7</v>
      </c>
      <c r="K8" s="4">
        <f>AVERAGE(K6:K7)</f>
        <v>0.55000000000000004</v>
      </c>
    </row>
    <row r="9" spans="1:11" x14ac:dyDescent="0.35">
      <c r="A9" s="3" t="s">
        <v>16</v>
      </c>
      <c r="B9" s="4">
        <f>BINOMDIST(B6,B5,B7,TRUE)</f>
        <v>0.98137588120019825</v>
      </c>
      <c r="D9" s="3" t="s">
        <v>6</v>
      </c>
      <c r="E9" s="4">
        <v>0.05</v>
      </c>
      <c r="G9" t="s">
        <v>5</v>
      </c>
      <c r="H9" s="5">
        <f>(H6*0.5/0.025)^2</f>
        <v>1536.5835282776493</v>
      </c>
      <c r="J9" t="s">
        <v>17</v>
      </c>
      <c r="K9" s="4">
        <f>K7-K6</f>
        <v>9.9999999999999978E-2</v>
      </c>
    </row>
    <row r="10" spans="1:11" x14ac:dyDescent="0.35">
      <c r="A10" s="3" t="s">
        <v>18</v>
      </c>
      <c r="B10" s="6" t="str">
        <f>IF(B9&gt;1-B8/2,"yes","no")</f>
        <v>yes</v>
      </c>
      <c r="D10" s="3" t="s">
        <v>16</v>
      </c>
      <c r="E10" s="4">
        <f>NORMDIST(E7,E6,E8,TRUE)</f>
        <v>0.97690027689698578</v>
      </c>
      <c r="J10" t="s">
        <v>13</v>
      </c>
      <c r="K10" s="4">
        <f>SQRT(2*(K8*(1-K8)/K5))</f>
        <v>7.0356236397351446E-2</v>
      </c>
    </row>
    <row r="11" spans="1:11" x14ac:dyDescent="0.35">
      <c r="D11" s="3" t="s">
        <v>18</v>
      </c>
      <c r="E11" s="6" t="str">
        <f>IF(E10&gt;1-E9,"yes","no")</f>
        <v>yes</v>
      </c>
      <c r="G11" s="3" t="s">
        <v>6</v>
      </c>
      <c r="H11" s="2">
        <v>0.01</v>
      </c>
      <c r="J11" s="3" t="s">
        <v>6</v>
      </c>
      <c r="K11" s="4">
        <v>0.05</v>
      </c>
    </row>
    <row r="12" spans="1:11" x14ac:dyDescent="0.35">
      <c r="A12" t="s">
        <v>19</v>
      </c>
      <c r="G12" t="s">
        <v>9</v>
      </c>
      <c r="H12" s="4">
        <f>NORMSINV(1-H11/2)</f>
        <v>2.5758293035488999</v>
      </c>
      <c r="J12" s="3" t="s">
        <v>16</v>
      </c>
      <c r="K12" s="4">
        <f>2*(1-NORMDIST(K9,0,K10,TRUE))</f>
        <v>0.15521848968468421</v>
      </c>
    </row>
    <row r="13" spans="1:11" x14ac:dyDescent="0.35">
      <c r="G13" t="s">
        <v>11</v>
      </c>
      <c r="H13" s="4">
        <v>2.5000000000000001E-2</v>
      </c>
      <c r="J13" s="3" t="s">
        <v>18</v>
      </c>
      <c r="K13" s="6" t="str">
        <f>IF(K12&gt;1-K11,"yes","no")</f>
        <v>no</v>
      </c>
    </row>
    <row r="14" spans="1:11" x14ac:dyDescent="0.35">
      <c r="A14" t="s">
        <v>5</v>
      </c>
      <c r="B14" s="2">
        <f>B5</f>
        <v>600</v>
      </c>
      <c r="D14" t="s">
        <v>20</v>
      </c>
      <c r="E14" s="2">
        <f>E7</f>
        <v>0.53</v>
      </c>
      <c r="G14" t="s">
        <v>14</v>
      </c>
      <c r="H14" s="4" t="s">
        <v>15</v>
      </c>
    </row>
    <row r="15" spans="1:11" x14ac:dyDescent="0.35">
      <c r="A15" t="s">
        <v>8</v>
      </c>
      <c r="B15" s="4">
        <f>B7</f>
        <v>0.5</v>
      </c>
      <c r="D15" t="s">
        <v>13</v>
      </c>
      <c r="E15" s="4">
        <f>E8</f>
        <v>1.5048406741397756E-2</v>
      </c>
      <c r="G15" t="s">
        <v>5</v>
      </c>
      <c r="H15" s="5">
        <f>(H12*0.5/0.025)^2</f>
        <v>2653.9586404084839</v>
      </c>
      <c r="J15" t="s">
        <v>21</v>
      </c>
      <c r="K15" s="7">
        <f>NORMINV(1-K11/2,0,K10)</f>
        <v>0.13789568942659489</v>
      </c>
    </row>
    <row r="16" spans="1:11" x14ac:dyDescent="0.35">
      <c r="A16" t="s">
        <v>7</v>
      </c>
      <c r="B16" s="4">
        <f>B6/B5</f>
        <v>0.54166666666666663</v>
      </c>
      <c r="D16" s="3" t="s">
        <v>6</v>
      </c>
      <c r="E16" s="4">
        <v>0.05</v>
      </c>
    </row>
    <row r="17" spans="1:5" x14ac:dyDescent="0.35">
      <c r="A17" t="s">
        <v>13</v>
      </c>
      <c r="B17" s="4">
        <f>SQRT(B15*(1-B15)/B14)</f>
        <v>2.0412414523193152E-2</v>
      </c>
      <c r="D17" t="s">
        <v>9</v>
      </c>
      <c r="E17" s="4">
        <f>NORMSINV(1-E16/2)</f>
        <v>1.9599639845400536</v>
      </c>
    </row>
    <row r="18" spans="1:5" x14ac:dyDescent="0.35">
      <c r="A18" s="3" t="s">
        <v>6</v>
      </c>
      <c r="B18" s="4">
        <v>0.05</v>
      </c>
      <c r="D18" t="s">
        <v>22</v>
      </c>
      <c r="E18" s="4">
        <f>E14-E8*E17</f>
        <v>0.50050566476215064</v>
      </c>
    </row>
    <row r="19" spans="1:5" x14ac:dyDescent="0.35">
      <c r="A19" t="s">
        <v>16</v>
      </c>
      <c r="B19" s="4">
        <f>NORMDIST(B16,0.5,B17,TRUE)</f>
        <v>0.97938658333141804</v>
      </c>
      <c r="D19" t="s">
        <v>23</v>
      </c>
      <c r="E19" s="5">
        <f>E14+E15*E17</f>
        <v>0.55949433523784942</v>
      </c>
    </row>
    <row r="20" spans="1:5" x14ac:dyDescent="0.35">
      <c r="A20" t="s">
        <v>18</v>
      </c>
      <c r="B20" s="6" t="str">
        <f>IF(B19&gt;1-B18/2,"yes","no")</f>
        <v>yes</v>
      </c>
    </row>
    <row r="21" spans="1:5" x14ac:dyDescent="0.35">
      <c r="A21" s="3"/>
      <c r="D21" t="s">
        <v>20</v>
      </c>
      <c r="E21" s="2">
        <f>E14</f>
        <v>0.53</v>
      </c>
    </row>
    <row r="22" spans="1:5" x14ac:dyDescent="0.35">
      <c r="D22" t="s">
        <v>13</v>
      </c>
      <c r="E22" s="4">
        <f>E15</f>
        <v>1.5048406741397756E-2</v>
      </c>
    </row>
    <row r="23" spans="1:5" x14ac:dyDescent="0.35">
      <c r="D23" s="3" t="s">
        <v>6</v>
      </c>
      <c r="E23" s="4">
        <v>0.01</v>
      </c>
    </row>
    <row r="24" spans="1:5" x14ac:dyDescent="0.35">
      <c r="D24" t="s">
        <v>9</v>
      </c>
      <c r="E24" s="4">
        <f>NORMSINV(1-E23/2)</f>
        <v>2.5758293035488999</v>
      </c>
    </row>
    <row r="25" spans="1:5" x14ac:dyDescent="0.35">
      <c r="D25" t="s">
        <v>22</v>
      </c>
      <c r="E25" s="4">
        <f>E21-E15*E24</f>
        <v>0.49123787294378485</v>
      </c>
    </row>
    <row r="26" spans="1:5" x14ac:dyDescent="0.35">
      <c r="D26" t="s">
        <v>23</v>
      </c>
      <c r="E26" s="5">
        <f>E21+E22*E24</f>
        <v>0.56876212705621521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7443-6B02-4C9C-A646-859E282A8BFD}">
  <sheetPr codeName="Sheet80"/>
  <dimension ref="A1:I25"/>
  <sheetViews>
    <sheetView workbookViewId="0"/>
  </sheetViews>
  <sheetFormatPr defaultRowHeight="14.5" x14ac:dyDescent="0.35"/>
  <cols>
    <col min="1" max="1" width="12.6328125" customWidth="1"/>
    <col min="3" max="3" width="2.90625" customWidth="1"/>
    <col min="4" max="4" width="56.81640625" customWidth="1"/>
    <col min="6" max="6" width="14.6328125" customWidth="1"/>
    <col min="8" max="8" width="3.81640625" customWidth="1"/>
    <col min="9" max="9" width="24.81640625" customWidth="1"/>
  </cols>
  <sheetData>
    <row r="1" spans="1:9" x14ac:dyDescent="0.35">
      <c r="A1" s="1" t="s">
        <v>24</v>
      </c>
      <c r="F1" t="s">
        <v>25</v>
      </c>
    </row>
    <row r="3" spans="1:9" x14ac:dyDescent="0.35">
      <c r="A3" t="s">
        <v>26</v>
      </c>
      <c r="B3" s="2">
        <v>50</v>
      </c>
      <c r="F3" t="s">
        <v>26</v>
      </c>
      <c r="G3" s="8">
        <v>50</v>
      </c>
    </row>
    <row r="4" spans="1:9" x14ac:dyDescent="0.35">
      <c r="A4" t="s">
        <v>27</v>
      </c>
      <c r="B4" s="4">
        <v>15</v>
      </c>
      <c r="F4" t="s">
        <v>27</v>
      </c>
      <c r="G4" s="9">
        <v>15</v>
      </c>
    </row>
    <row r="5" spans="1:9" x14ac:dyDescent="0.35">
      <c r="A5" t="s">
        <v>28</v>
      </c>
      <c r="B5" s="4">
        <f>B4/B3</f>
        <v>0.3</v>
      </c>
      <c r="D5" t="e" cm="1">
        <f t="array" aca="1" ref="D5" ca="1">FTEXT(B5)</f>
        <v>#NAME?</v>
      </c>
      <c r="F5" t="s">
        <v>28</v>
      </c>
      <c r="G5" s="9">
        <f>G4/G3</f>
        <v>0.3</v>
      </c>
    </row>
    <row r="6" spans="1:9" x14ac:dyDescent="0.35">
      <c r="A6" t="s">
        <v>29</v>
      </c>
      <c r="B6" s="4">
        <v>0.05</v>
      </c>
      <c r="F6" t="s">
        <v>29</v>
      </c>
      <c r="G6" s="10">
        <v>0.05</v>
      </c>
    </row>
    <row r="7" spans="1:9" x14ac:dyDescent="0.35">
      <c r="A7" t="s">
        <v>30</v>
      </c>
      <c r="B7" s="5">
        <f>NORMSINV(1-B6/2)</f>
        <v>1.9599639845400536</v>
      </c>
      <c r="D7" s="11" t="s">
        <v>31</v>
      </c>
    </row>
    <row r="8" spans="1:9" x14ac:dyDescent="0.35">
      <c r="D8" t="e" cm="1">
        <f t="array" aca="1" ref="D8" ca="1">FTEXT(B8)</f>
        <v>#NAME?</v>
      </c>
      <c r="F8" s="12" t="s">
        <v>32</v>
      </c>
      <c r="G8">
        <v>0</v>
      </c>
    </row>
    <row r="9" spans="1:9" x14ac:dyDescent="0.35">
      <c r="A9" s="12" t="s">
        <v>32</v>
      </c>
      <c r="D9" t="e" cm="1">
        <f t="array" aca="1" ref="D9" ca="1">FTEXT(B9)</f>
        <v>#NAME?</v>
      </c>
      <c r="F9" t="e" cm="1">
        <f t="array" aca="1" ref="F9" ca="1">PropCI(G5,G3,TRUE,G8,G6)</f>
        <v>#NAME?</v>
      </c>
      <c r="G9" s="13"/>
      <c r="I9" t="e" cm="1">
        <f t="array" aca="1" ref="I9" ca="1">FTEXT(F9)</f>
        <v>#NAME?</v>
      </c>
    </row>
    <row r="10" spans="1:9" x14ac:dyDescent="0.35">
      <c r="A10" t="s">
        <v>33</v>
      </c>
      <c r="B10">
        <f>B7^2/B3</f>
        <v>7.6829176413882469E-2</v>
      </c>
      <c r="D10" t="e" cm="1">
        <f t="array" aca="1" ref="D10" ca="1">FTEXT(B10)</f>
        <v>#NAME?</v>
      </c>
      <c r="G10" s="5"/>
    </row>
    <row r="11" spans="1:9" x14ac:dyDescent="0.35">
      <c r="A11" t="s">
        <v>22</v>
      </c>
      <c r="B11" s="13">
        <f>(B5+B10/2)/(B10+1)-B7/(B10+1)*SQRT(B5*(1-B5)/B3+B10/(4*B3))</f>
        <v>0.19103553500880949</v>
      </c>
      <c r="D11" t="e" cm="1">
        <f t="array" aca="1" ref="D11" ca="1">FTEXT(B11)</f>
        <v>#NAME?</v>
      </c>
    </row>
    <row r="12" spans="1:9" x14ac:dyDescent="0.35">
      <c r="A12" t="s">
        <v>23</v>
      </c>
      <c r="B12" s="5">
        <f>(B5+B10/2)/(B10+1)+B7/(B10+1)*SQRT(B5*(1-B5)/B3+B10/(4*B3))</f>
        <v>0.43750350464453397</v>
      </c>
      <c r="D12" t="e" cm="1">
        <f t="array" aca="1" ref="D12" ca="1">FTEXT(B12)</f>
        <v>#NAME?</v>
      </c>
      <c r="F12" s="12" t="s">
        <v>34</v>
      </c>
      <c r="G12">
        <v>1</v>
      </c>
    </row>
    <row r="13" spans="1:9" x14ac:dyDescent="0.35">
      <c r="F13" t="e" cm="1">
        <f t="array" aca="1" ref="F13" ca="1">PropCI(G5,G3,TRUE,G12,G6)</f>
        <v>#NAME?</v>
      </c>
      <c r="G13" s="2"/>
      <c r="I13" t="e" cm="1">
        <f t="array" aca="1" ref="I13" ca="1">FTEXT(F13)</f>
        <v>#NAME?</v>
      </c>
    </row>
    <row r="14" spans="1:9" x14ac:dyDescent="0.35">
      <c r="A14" s="12" t="s">
        <v>34</v>
      </c>
      <c r="G14" s="5"/>
    </row>
    <row r="15" spans="1:9" x14ac:dyDescent="0.35">
      <c r="A15" t="s">
        <v>35</v>
      </c>
      <c r="B15">
        <f>(B3*B5+B7^2/2)/(B3+B7^2)</f>
        <v>0.31426951982667173</v>
      </c>
      <c r="D15" t="e" cm="1">
        <f t="array" aca="1" ref="D15" ca="1">FTEXT(B15)</f>
        <v>#NAME?</v>
      </c>
    </row>
    <row r="16" spans="1:9" x14ac:dyDescent="0.35">
      <c r="A16" t="s">
        <v>22</v>
      </c>
      <c r="B16" s="2">
        <f>B15-B7*SQRT(B15*(1-B15)/(B3+B7^2))</f>
        <v>0.19027070342347036</v>
      </c>
      <c r="D16" t="e" cm="1">
        <f t="array" aca="1" ref="D16" ca="1">FTEXT(B16)</f>
        <v>#NAME?</v>
      </c>
      <c r="F16" s="12" t="s">
        <v>36</v>
      </c>
      <c r="G16">
        <v>2</v>
      </c>
    </row>
    <row r="17" spans="1:9" x14ac:dyDescent="0.35">
      <c r="A17" t="s">
        <v>23</v>
      </c>
      <c r="B17" s="5">
        <f>B15+B7*SQRT(B15*(1-B15)/(B3+B7^2))</f>
        <v>0.4382683362298731</v>
      </c>
      <c r="D17" t="e" cm="1">
        <f t="array" aca="1" ref="D17" ca="1">FTEXT(B17)</f>
        <v>#NAME?</v>
      </c>
      <c r="F17" t="e" cm="1">
        <f t="array" aca="1" ref="F17" ca="1">PropCI(G5,G3,TRUE,G16,G6)</f>
        <v>#NAME?</v>
      </c>
      <c r="G17" s="13"/>
      <c r="I17" t="e" cm="1">
        <f t="array" aca="1" ref="I17" ca="1">FTEXT(F17)</f>
        <v>#NAME?</v>
      </c>
    </row>
    <row r="18" spans="1:9" x14ac:dyDescent="0.35">
      <c r="G18" s="5"/>
    </row>
    <row r="19" spans="1:9" x14ac:dyDescent="0.35">
      <c r="A19" s="12" t="s">
        <v>36</v>
      </c>
    </row>
    <row r="20" spans="1:9" x14ac:dyDescent="0.35">
      <c r="A20" t="s">
        <v>22</v>
      </c>
      <c r="B20" s="13">
        <f>BETAINV(B6/2,B4,B3-B4+1)</f>
        <v>0.17861784566414693</v>
      </c>
      <c r="D20" s="11" t="s">
        <v>37</v>
      </c>
      <c r="F20" s="12" t="s">
        <v>38</v>
      </c>
      <c r="G20">
        <v>3</v>
      </c>
    </row>
    <row r="21" spans="1:9" x14ac:dyDescent="0.35">
      <c r="A21" t="s">
        <v>23</v>
      </c>
      <c r="B21" s="5">
        <f>BETAINV(1-B6/2,B4+1,B3-B4)</f>
        <v>0.44608232566117811</v>
      </c>
      <c r="D21" s="11" t="s">
        <v>39</v>
      </c>
      <c r="F21" t="e" cm="1">
        <f t="array" aca="1" ref="F21" ca="1">PropCI(G5,G3,TRUE,G20,G6)</f>
        <v>#NAME?</v>
      </c>
      <c r="G21" s="2"/>
      <c r="I21" t="e" cm="1">
        <f t="array" aca="1" ref="I21" ca="1">FTEXT(F21)</f>
        <v>#NAME?</v>
      </c>
    </row>
    <row r="22" spans="1:9" x14ac:dyDescent="0.35">
      <c r="G22" s="5"/>
    </row>
    <row r="23" spans="1:9" x14ac:dyDescent="0.35">
      <c r="A23" s="12" t="s">
        <v>38</v>
      </c>
    </row>
    <row r="24" spans="1:9" x14ac:dyDescent="0.35">
      <c r="A24" t="s">
        <v>22</v>
      </c>
      <c r="B24" s="2">
        <f>B5-B7*SQRT(B5*(1-B5)/B3)</f>
        <v>0.17297981637977641</v>
      </c>
      <c r="D24" t="e" cm="1">
        <f t="array" aca="1" ref="D24" ca="1">FTEXT(B24)</f>
        <v>#NAME?</v>
      </c>
    </row>
    <row r="25" spans="1:9" x14ac:dyDescent="0.35">
      <c r="A25" t="s">
        <v>23</v>
      </c>
      <c r="B25" s="5">
        <f>B5+B7*SQRT(B5*(1-B5)/B3)</f>
        <v>0.42702018362022354</v>
      </c>
      <c r="D25" t="e" cm="1">
        <f t="array" aca="1" ref="D25" ca="1">FTEXT(B25)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BDC1-E26A-49F6-A30C-AA3F8EBAC0FB}">
  <sheetPr codeName="Sheet84"/>
  <dimension ref="A2:G19"/>
  <sheetViews>
    <sheetView workbookViewId="0"/>
  </sheetViews>
  <sheetFormatPr defaultRowHeight="14.5" x14ac:dyDescent="0.35"/>
  <cols>
    <col min="1" max="1" width="14" customWidth="1"/>
    <col min="3" max="3" width="3.453125" customWidth="1"/>
    <col min="4" max="4" width="64.81640625" customWidth="1"/>
    <col min="6" max="6" width="15.453125" customWidth="1"/>
  </cols>
  <sheetData>
    <row r="2" spans="1:7" x14ac:dyDescent="0.35">
      <c r="A2" t="s">
        <v>40</v>
      </c>
      <c r="F2" t="s">
        <v>40</v>
      </c>
    </row>
    <row r="4" spans="1:7" x14ac:dyDescent="0.35">
      <c r="A4" t="s">
        <v>26</v>
      </c>
      <c r="B4" s="8">
        <v>50</v>
      </c>
      <c r="F4" t="s">
        <v>26</v>
      </c>
      <c r="G4" s="8">
        <v>50</v>
      </c>
    </row>
    <row r="5" spans="1:7" x14ac:dyDescent="0.35">
      <c r="A5" t="s">
        <v>27</v>
      </c>
      <c r="B5" s="9">
        <v>15</v>
      </c>
      <c r="F5" t="s">
        <v>27</v>
      </c>
      <c r="G5" s="9">
        <v>15</v>
      </c>
    </row>
    <row r="6" spans="1:7" x14ac:dyDescent="0.35">
      <c r="A6" t="s">
        <v>41</v>
      </c>
      <c r="B6" s="9">
        <v>0.5</v>
      </c>
      <c r="F6" t="s">
        <v>41</v>
      </c>
      <c r="G6" s="9">
        <v>0.5</v>
      </c>
    </row>
    <row r="7" spans="1:7" x14ac:dyDescent="0.35">
      <c r="A7" t="s">
        <v>42</v>
      </c>
      <c r="B7" s="9">
        <v>1</v>
      </c>
      <c r="F7" t="s">
        <v>42</v>
      </c>
      <c r="G7" s="9">
        <v>2</v>
      </c>
    </row>
    <row r="8" spans="1:7" x14ac:dyDescent="0.35">
      <c r="A8" t="s">
        <v>29</v>
      </c>
      <c r="B8" s="10">
        <v>0.05</v>
      </c>
      <c r="F8" t="s">
        <v>29</v>
      </c>
      <c r="G8" s="10">
        <v>0.05</v>
      </c>
    </row>
    <row r="10" spans="1:7" x14ac:dyDescent="0.35">
      <c r="A10" t="s">
        <v>43</v>
      </c>
      <c r="D10" t="e" cm="1">
        <f t="array" aca="1" ref="D10" ca="1">FTEXT(B10)</f>
        <v>#NAME?</v>
      </c>
      <c r="F10" t="s">
        <v>43</v>
      </c>
    </row>
    <row r="11" spans="1:7" x14ac:dyDescent="0.35">
      <c r="A11" t="s">
        <v>16</v>
      </c>
      <c r="B11" s="14">
        <f>B7*IF(B13&lt;B6,_xlfn.BINOM.DIST(B5,B4,B6,TRUE),1-_xlfn.BINOM.DIST(B5-1,B4,B6,TRUE))</f>
        <v>3.3002239834054618E-3</v>
      </c>
      <c r="D11" t="e" cm="1">
        <f t="array" aca="1" ref="D11" ca="1">FTEXT(B11)</f>
        <v>#NAME?</v>
      </c>
      <c r="F11" t="s">
        <v>16</v>
      </c>
      <c r="G11" s="14">
        <f>G7*IF(G13&lt;G6,_xlfn.BINOM.DIST(G5,G4,G6,TRUE),1-_xlfn.BINOM.DIST(G5-1,G4,G6,TRUE))</f>
        <v>6.6004479668109236E-3</v>
      </c>
    </row>
    <row r="12" spans="1:7" x14ac:dyDescent="0.35">
      <c r="D12" t="e" cm="1">
        <f t="array" aca="1" ref="D12" ca="1">FTEXT(B12)</f>
        <v>#NAME?</v>
      </c>
    </row>
    <row r="13" spans="1:7" x14ac:dyDescent="0.35">
      <c r="A13" t="s">
        <v>44</v>
      </c>
      <c r="B13" s="8">
        <f>B5/B4</f>
        <v>0.3</v>
      </c>
      <c r="D13" t="e" cm="1">
        <f t="array" aca="1" ref="D13" ca="1">FTEXT(B13)</f>
        <v>#NAME?</v>
      </c>
      <c r="F13" t="s">
        <v>44</v>
      </c>
      <c r="G13" s="8">
        <f>G5/G4</f>
        <v>0.3</v>
      </c>
    </row>
    <row r="14" spans="1:7" x14ac:dyDescent="0.35">
      <c r="A14" t="s">
        <v>13</v>
      </c>
      <c r="B14" s="9">
        <f>SQRT(B6*(1-B6)/B4)</f>
        <v>7.0710678118654752E-2</v>
      </c>
      <c r="D14" t="e" cm="1">
        <f t="array" aca="1" ref="D14" ca="1">FTEXT(B14)</f>
        <v>#NAME?</v>
      </c>
      <c r="F14" t="s">
        <v>13</v>
      </c>
      <c r="G14" s="9">
        <f>SQRT(G6*(1-G6)/G4)</f>
        <v>7.0710678118654752E-2</v>
      </c>
    </row>
    <row r="15" spans="1:7" x14ac:dyDescent="0.35">
      <c r="A15" t="s">
        <v>45</v>
      </c>
      <c r="B15" s="9">
        <f>(B13-B6)/B14</f>
        <v>-2.8284271247461903</v>
      </c>
      <c r="D15" t="e" cm="1">
        <f t="array" aca="1" ref="D15" ca="1">FTEXT(B15)</f>
        <v>#NAME?</v>
      </c>
      <c r="F15" t="s">
        <v>45</v>
      </c>
      <c r="G15" s="9">
        <f>(G13-G6)/G14</f>
        <v>-2.8284271247461903</v>
      </c>
    </row>
    <row r="16" spans="1:7" x14ac:dyDescent="0.35">
      <c r="A16" t="s">
        <v>16</v>
      </c>
      <c r="B16" s="9">
        <f>B7*_xlfn.NORM.S.DIST(-ABS(B15),TRUE)</f>
        <v>2.3388674905236283E-3</v>
      </c>
      <c r="D16" t="e" cm="1">
        <f t="array" aca="1" ref="D16" ca="1">FTEXT(B16)</f>
        <v>#NAME?</v>
      </c>
      <c r="F16" t="s">
        <v>16</v>
      </c>
      <c r="G16" s="9">
        <f>G7*_xlfn.NORM.S.DIST(-ABS(G15),TRUE)</f>
        <v>4.6777349810472567E-3</v>
      </c>
    </row>
    <row r="17" spans="1:7" x14ac:dyDescent="0.35">
      <c r="A17" t="s">
        <v>22</v>
      </c>
      <c r="B17" s="9">
        <f>B13-B14*_xlfn.NORM.S.INV(1-B8/B7)</f>
        <v>0.18369128463233267</v>
      </c>
      <c r="D17" t="e" cm="1">
        <f t="array" aca="1" ref="D17" ca="1">FTEXT(B17)</f>
        <v>#NAME?</v>
      </c>
      <c r="F17" t="s">
        <v>22</v>
      </c>
      <c r="G17" s="9">
        <f>G13-G14*_xlfn.NORM.S.INV(1-G8/G7)</f>
        <v>0.16140961756503225</v>
      </c>
    </row>
    <row r="18" spans="1:7" x14ac:dyDescent="0.35">
      <c r="A18" t="s">
        <v>23</v>
      </c>
      <c r="B18" s="9">
        <f>B13+B14*_xlfn.NORM.S.INV(1-B8/B7)</f>
        <v>0.41630871536766734</v>
      </c>
      <c r="D18" t="e" cm="1">
        <f t="array" aca="1" ref="D18" ca="1">FTEXT(B18)</f>
        <v>#NAME?</v>
      </c>
      <c r="F18" t="s">
        <v>23</v>
      </c>
      <c r="G18" s="9">
        <f>G13+G14*_xlfn.NORM.S.INV(1-G8/G7)</f>
        <v>0.43859038243496773</v>
      </c>
    </row>
    <row r="19" spans="1:7" x14ac:dyDescent="0.35">
      <c r="A19" t="s">
        <v>46</v>
      </c>
      <c r="B19" s="10">
        <f>ABS(2*ASIN(SQRT(B13))-2*ASIN(SQRT(B6)))</f>
        <v>0.41151684606748828</v>
      </c>
      <c r="D19" t="e" cm="1">
        <f t="array" aca="1" ref="D19" ca="1">FTEXT(B19)</f>
        <v>#NAME?</v>
      </c>
      <c r="F19" t="s">
        <v>46</v>
      </c>
      <c r="G19" s="10">
        <f>ABS(2*ASIN(SQRT(G13))-2*ASIN(SQRT(G6)))</f>
        <v>0.41151684606748828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0CAB-A2C5-463F-B152-9A551A976FB6}">
  <sheetPr codeName="Sheet83"/>
  <dimension ref="A2:D18"/>
  <sheetViews>
    <sheetView workbookViewId="0"/>
  </sheetViews>
  <sheetFormatPr defaultRowHeight="14.5" x14ac:dyDescent="0.35"/>
  <cols>
    <col min="1" max="1" width="14.36328125" customWidth="1"/>
    <col min="3" max="3" width="2.81640625" customWidth="1"/>
    <col min="4" max="4" width="42.6328125" customWidth="1"/>
  </cols>
  <sheetData>
    <row r="2" spans="1:4" x14ac:dyDescent="0.35">
      <c r="A2" t="s">
        <v>47</v>
      </c>
    </row>
    <row r="4" spans="1:4" x14ac:dyDescent="0.35">
      <c r="A4" t="s">
        <v>48</v>
      </c>
      <c r="B4" s="8">
        <v>100</v>
      </c>
    </row>
    <row r="5" spans="1:4" x14ac:dyDescent="0.35">
      <c r="A5" t="s">
        <v>49</v>
      </c>
      <c r="B5" s="9">
        <v>50</v>
      </c>
    </row>
    <row r="6" spans="1:4" x14ac:dyDescent="0.35">
      <c r="A6" t="s">
        <v>50</v>
      </c>
      <c r="B6" s="9">
        <v>100</v>
      </c>
    </row>
    <row r="7" spans="1:4" x14ac:dyDescent="0.35">
      <c r="A7" t="s">
        <v>51</v>
      </c>
      <c r="B7" s="9">
        <v>60</v>
      </c>
    </row>
    <row r="8" spans="1:4" x14ac:dyDescent="0.35">
      <c r="A8" t="s">
        <v>42</v>
      </c>
      <c r="B8" s="9">
        <v>2</v>
      </c>
    </row>
    <row r="9" spans="1:4" x14ac:dyDescent="0.35">
      <c r="A9" t="s">
        <v>29</v>
      </c>
      <c r="B9" s="10">
        <v>0.05</v>
      </c>
    </row>
    <row r="11" spans="1:4" x14ac:dyDescent="0.35">
      <c r="A11" t="s">
        <v>52</v>
      </c>
      <c r="B11" s="8">
        <f>ABS(B5/B4-B7/B6)</f>
        <v>9.9999999999999978E-2</v>
      </c>
      <c r="D11" t="e" cm="1">
        <f t="array" aca="1" ref="D11" ca="1">FTEXT(B11)</f>
        <v>#NAME?</v>
      </c>
    </row>
    <row r="12" spans="1:4" x14ac:dyDescent="0.35">
      <c r="A12" t="s">
        <v>53</v>
      </c>
      <c r="B12" s="9">
        <f>(B5+B7)/(B4+B6)</f>
        <v>0.55000000000000004</v>
      </c>
      <c r="D12" t="e" cm="1">
        <f t="array" aca="1" ref="D12" ca="1">FTEXT(B12)</f>
        <v>#NAME?</v>
      </c>
    </row>
    <row r="13" spans="1:4" x14ac:dyDescent="0.35">
      <c r="A13" t="s">
        <v>13</v>
      </c>
      <c r="B13" s="9">
        <f>SQRT(B12*(1-B12)*(1/B4+1/B6))</f>
        <v>7.0356236397351446E-2</v>
      </c>
      <c r="D13" t="e" cm="1">
        <f t="array" aca="1" ref="D13" ca="1">FTEXT(B13)</f>
        <v>#NAME?</v>
      </c>
    </row>
    <row r="14" spans="1:4" x14ac:dyDescent="0.35">
      <c r="A14" t="s">
        <v>45</v>
      </c>
      <c r="B14" s="9">
        <f>B11/B13</f>
        <v>1.4213381090374024</v>
      </c>
      <c r="D14" t="e" cm="1">
        <f t="array" aca="1" ref="D14" ca="1">FTEXT(B14)</f>
        <v>#NAME?</v>
      </c>
    </row>
    <row r="15" spans="1:4" x14ac:dyDescent="0.35">
      <c r="A15" t="s">
        <v>16</v>
      </c>
      <c r="B15" s="9">
        <f>B8*_xlfn.NORM.S.DIST(-ABS(B14),TRUE)</f>
        <v>0.15521848968468413</v>
      </c>
      <c r="D15" t="e" cm="1">
        <f t="array" aca="1" ref="D15" ca="1">FTEXT(B15)</f>
        <v>#NAME?</v>
      </c>
    </row>
    <row r="16" spans="1:4" x14ac:dyDescent="0.35">
      <c r="A16" t="s">
        <v>22</v>
      </c>
      <c r="B16" s="9">
        <f>B11-B13*_xlfn.NORM.S.INV(1-B9/B8)</f>
        <v>-3.7895689426594908E-2</v>
      </c>
      <c r="D16" t="e" cm="1">
        <f t="array" aca="1" ref="D16" ca="1">FTEXT(B16)</f>
        <v>#NAME?</v>
      </c>
    </row>
    <row r="17" spans="1:4" x14ac:dyDescent="0.35">
      <c r="A17" t="s">
        <v>23</v>
      </c>
      <c r="B17" s="9">
        <f>B11+B13*_xlfn.NORM.S.INV(1-B9/B8)</f>
        <v>0.23789568942659486</v>
      </c>
      <c r="D17" t="e" cm="1">
        <f t="array" aca="1" ref="D17" ca="1">FTEXT(B17)</f>
        <v>#NAME?</v>
      </c>
    </row>
    <row r="18" spans="1:4" x14ac:dyDescent="0.35">
      <c r="A18" t="s">
        <v>46</v>
      </c>
      <c r="B18" s="10">
        <f>ABS(2*ASIN(SQRT(B5/B4))-2*ASIN(SQRT(B7/B6)))</f>
        <v>0.20135792079033066</v>
      </c>
      <c r="D18" t="e" cm="1">
        <f t="array" aca="1" ref="D18" ca="1">FTEXT(B18)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Prop 1</vt:lpstr>
      <vt:lpstr>Prop 2</vt:lpstr>
      <vt:lpstr>Prop 3</vt:lpstr>
      <vt:lpstr>Prop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2023-12-08T20:03:04Z</dcterms:created>
  <dcterms:modified xsi:type="dcterms:W3CDTF">2023-12-08T20:08:08Z</dcterms:modified>
</cp:coreProperties>
</file>