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AEECFFF6-610D-438B-9722-C3E2054036B8}" xr6:coauthVersionLast="47" xr6:coauthVersionMax="47" xr10:uidLastSave="{00000000-0000-0000-0000-000000000000}"/>
  <bookViews>
    <workbookView xWindow="-110" yWindow="-110" windowWidth="19420" windowHeight="10300" xr2:uid="{627279AC-2941-4593-8257-9CC45623EF1C}"/>
  </bookViews>
  <sheets>
    <sheet name="Title" sheetId="6" r:id="rId1"/>
    <sheet name="Log Lin 2.1" sheetId="1" r:id="rId2"/>
    <sheet name="Log Lin 2.2" sheetId="2" r:id="rId3"/>
    <sheet name="Log Lin 2.3" sheetId="3" r:id="rId4"/>
    <sheet name="Log Lin 2.4" sheetId="4" r:id="rId5"/>
    <sheet name="Log Lin 2.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F17" i="5"/>
  <c r="E17" i="5"/>
  <c r="D17" i="5"/>
  <c r="G16" i="5"/>
  <c r="J16" i="5" s="1"/>
  <c r="F16" i="5"/>
  <c r="I16" i="5" s="1"/>
  <c r="E16" i="5"/>
  <c r="H16" i="5" s="1"/>
  <c r="D16" i="5"/>
  <c r="J15" i="5"/>
  <c r="I15" i="5"/>
  <c r="G15" i="5"/>
  <c r="F15" i="5"/>
  <c r="E15" i="5"/>
  <c r="D15" i="5"/>
  <c r="H15" i="5" s="1"/>
  <c r="H14" i="5"/>
  <c r="G14" i="5"/>
  <c r="F14" i="5"/>
  <c r="I14" i="5" s="1"/>
  <c r="E14" i="5"/>
  <c r="D14" i="5"/>
  <c r="J14" i="5" s="1"/>
  <c r="J13" i="5"/>
  <c r="G13" i="5"/>
  <c r="F13" i="5"/>
  <c r="E13" i="5"/>
  <c r="D13" i="5"/>
  <c r="G12" i="5"/>
  <c r="F12" i="5"/>
  <c r="E12" i="5"/>
  <c r="D12" i="5"/>
  <c r="G11" i="5"/>
  <c r="J11" i="5" s="1"/>
  <c r="F11" i="5"/>
  <c r="I11" i="5" s="1"/>
  <c r="E11" i="5"/>
  <c r="H11" i="5" s="1"/>
  <c r="D11" i="5"/>
  <c r="G10" i="5"/>
  <c r="F10" i="5"/>
  <c r="E10" i="5"/>
  <c r="D10" i="5"/>
  <c r="J9" i="5"/>
  <c r="I9" i="5"/>
  <c r="H9" i="5"/>
  <c r="G9" i="5"/>
  <c r="F9" i="5"/>
  <c r="E9" i="5"/>
  <c r="D9" i="5"/>
  <c r="H8" i="5"/>
  <c r="G8" i="5"/>
  <c r="F8" i="5"/>
  <c r="I8" i="5" s="1"/>
  <c r="E8" i="5"/>
  <c r="D8" i="5"/>
  <c r="J8" i="5" s="1"/>
  <c r="J7" i="5"/>
  <c r="G7" i="5"/>
  <c r="F7" i="5"/>
  <c r="E7" i="5"/>
  <c r="D7" i="5"/>
  <c r="G6" i="5"/>
  <c r="F6" i="5"/>
  <c r="E6" i="5"/>
  <c r="D6" i="5"/>
  <c r="L59" i="4"/>
  <c r="L72" i="4" s="1"/>
  <c r="L85" i="4" s="1"/>
  <c r="L98" i="4" s="1"/>
  <c r="L111" i="4" s="1"/>
  <c r="L124" i="4" s="1"/>
  <c r="L137" i="4" s="1"/>
  <c r="L150" i="4" s="1"/>
  <c r="H35" i="4"/>
  <c r="O35" i="4" s="1"/>
  <c r="P34" i="4"/>
  <c r="I34" i="4"/>
  <c r="B34" i="4"/>
  <c r="B47" i="4" s="1"/>
  <c r="C33" i="4"/>
  <c r="C46" i="4" s="1"/>
  <c r="C59" i="4" s="1"/>
  <c r="C72" i="4" s="1"/>
  <c r="C85" i="4" s="1"/>
  <c r="C98" i="4" s="1"/>
  <c r="C111" i="4" s="1"/>
  <c r="C124" i="4" s="1"/>
  <c r="C137" i="4" s="1"/>
  <c r="C150" i="4" s="1"/>
  <c r="A23" i="4"/>
  <c r="H22" i="4"/>
  <c r="O22" i="4" s="1"/>
  <c r="I21" i="4"/>
  <c r="P21" i="4" s="1"/>
  <c r="A21" i="4"/>
  <c r="J20" i="4"/>
  <c r="J33" i="4" s="1"/>
  <c r="J46" i="4" s="1"/>
  <c r="J59" i="4" s="1"/>
  <c r="J72" i="4" s="1"/>
  <c r="J85" i="4" s="1"/>
  <c r="J98" i="4" s="1"/>
  <c r="J111" i="4" s="1"/>
  <c r="J124" i="4" s="1"/>
  <c r="J137" i="4" s="1"/>
  <c r="J150" i="4" s="1"/>
  <c r="C20" i="4"/>
  <c r="S16" i="4"/>
  <c r="R16" i="4"/>
  <c r="Q16" i="4"/>
  <c r="S15" i="4"/>
  <c r="R15" i="4"/>
  <c r="Q15" i="4"/>
  <c r="P15" i="4"/>
  <c r="B15" i="4"/>
  <c r="I15" i="4" s="1"/>
  <c r="S13" i="4"/>
  <c r="R13" i="4"/>
  <c r="Q13" i="4"/>
  <c r="A13" i="4"/>
  <c r="S12" i="4"/>
  <c r="R12" i="4"/>
  <c r="Q12" i="4"/>
  <c r="A12" i="4"/>
  <c r="S10" i="4"/>
  <c r="R10" i="4"/>
  <c r="Q10" i="4"/>
  <c r="E10" i="4"/>
  <c r="D10" i="4"/>
  <c r="T9" i="4"/>
  <c r="E9" i="4"/>
  <c r="E16" i="4" s="1"/>
  <c r="D9" i="4"/>
  <c r="D13" i="4" s="1"/>
  <c r="C9" i="4"/>
  <c r="B9" i="4"/>
  <c r="A9" i="4"/>
  <c r="A24" i="4" s="1"/>
  <c r="T8" i="4"/>
  <c r="I8" i="4"/>
  <c r="H8" i="4"/>
  <c r="E8" i="4"/>
  <c r="E13" i="4" s="1"/>
  <c r="D8" i="4"/>
  <c r="C8" i="4"/>
  <c r="B8" i="4"/>
  <c r="A8" i="4"/>
  <c r="O8" i="4" s="1"/>
  <c r="T7" i="4"/>
  <c r="P7" i="4"/>
  <c r="O7" i="4"/>
  <c r="H7" i="4"/>
  <c r="E7" i="4"/>
  <c r="D7" i="4"/>
  <c r="D16" i="4" s="1"/>
  <c r="C7" i="4"/>
  <c r="B7" i="4"/>
  <c r="I7" i="4" s="1"/>
  <c r="A7" i="4"/>
  <c r="A22" i="4" s="1"/>
  <c r="A35" i="4" s="1"/>
  <c r="A48" i="4" s="1"/>
  <c r="T6" i="4"/>
  <c r="T10" i="4" s="1"/>
  <c r="O6" i="4"/>
  <c r="I6" i="4"/>
  <c r="H6" i="4"/>
  <c r="E6" i="4"/>
  <c r="D6" i="4"/>
  <c r="C6" i="4"/>
  <c r="C12" i="4" s="1"/>
  <c r="B6" i="4"/>
  <c r="B21" i="4" s="1"/>
  <c r="A6" i="4"/>
  <c r="S5" i="4"/>
  <c r="E20" i="4" s="1"/>
  <c r="L20" i="4" s="1"/>
  <c r="L33" i="4" s="1"/>
  <c r="L46" i="4" s="1"/>
  <c r="L5" i="4"/>
  <c r="J5" i="4"/>
  <c r="E5" i="4"/>
  <c r="D5" i="4"/>
  <c r="C5" i="4"/>
  <c r="Q5" i="4" s="1"/>
  <c r="B5" i="4"/>
  <c r="A5" i="4"/>
  <c r="E84" i="3"/>
  <c r="L84" i="3" s="1"/>
  <c r="D84" i="3"/>
  <c r="K84" i="3" s="1"/>
  <c r="C84" i="3"/>
  <c r="K83" i="3"/>
  <c r="E83" i="3"/>
  <c r="D83" i="3"/>
  <c r="C83" i="3"/>
  <c r="J83" i="3" s="1"/>
  <c r="K81" i="3"/>
  <c r="J81" i="3"/>
  <c r="F81" i="3"/>
  <c r="M81" i="3" s="1"/>
  <c r="E81" i="3"/>
  <c r="L81" i="3" s="1"/>
  <c r="D81" i="3"/>
  <c r="C81" i="3"/>
  <c r="L80" i="3"/>
  <c r="K80" i="3"/>
  <c r="E80" i="3"/>
  <c r="D80" i="3"/>
  <c r="C80" i="3"/>
  <c r="M78" i="3"/>
  <c r="L76" i="3" s="1"/>
  <c r="L78" i="3"/>
  <c r="K78" i="3"/>
  <c r="E78" i="3"/>
  <c r="F78" i="3" s="1"/>
  <c r="D78" i="3"/>
  <c r="C78" i="3"/>
  <c r="J78" i="3" s="1"/>
  <c r="M77" i="3"/>
  <c r="F77" i="3"/>
  <c r="M76" i="3"/>
  <c r="J76" i="3"/>
  <c r="F76" i="3"/>
  <c r="M75" i="3"/>
  <c r="F75" i="3"/>
  <c r="M74" i="3"/>
  <c r="F74" i="3"/>
  <c r="L67" i="3"/>
  <c r="E67" i="3"/>
  <c r="D67" i="3"/>
  <c r="K67" i="3" s="1"/>
  <c r="C67" i="3"/>
  <c r="E66" i="3"/>
  <c r="L66" i="3" s="1"/>
  <c r="D66" i="3"/>
  <c r="K66" i="3" s="1"/>
  <c r="C66" i="3"/>
  <c r="J66" i="3" s="1"/>
  <c r="L64" i="3"/>
  <c r="J64" i="3"/>
  <c r="E64" i="3"/>
  <c r="F64" i="3" s="1"/>
  <c r="M64" i="3" s="1"/>
  <c r="D64" i="3"/>
  <c r="K64" i="3" s="1"/>
  <c r="C64" i="3"/>
  <c r="M63" i="3"/>
  <c r="L63" i="3"/>
  <c r="K63" i="3"/>
  <c r="F63" i="3"/>
  <c r="E63" i="3"/>
  <c r="D63" i="3"/>
  <c r="C63" i="3"/>
  <c r="J63" i="3" s="1"/>
  <c r="L61" i="3"/>
  <c r="E61" i="3"/>
  <c r="D61" i="3"/>
  <c r="C61" i="3"/>
  <c r="J61" i="3" s="1"/>
  <c r="M60" i="3"/>
  <c r="F60" i="3"/>
  <c r="M59" i="3"/>
  <c r="F59" i="3"/>
  <c r="F58" i="3"/>
  <c r="M58" i="3" s="1"/>
  <c r="M57" i="3"/>
  <c r="F57" i="3"/>
  <c r="L50" i="3"/>
  <c r="E50" i="3"/>
  <c r="D50" i="3"/>
  <c r="K50" i="3" s="1"/>
  <c r="C50" i="3"/>
  <c r="E49" i="3"/>
  <c r="L49" i="3" s="1"/>
  <c r="D49" i="3"/>
  <c r="C49" i="3"/>
  <c r="J49" i="3" s="1"/>
  <c r="K47" i="3"/>
  <c r="J47" i="3"/>
  <c r="E47" i="3"/>
  <c r="L47" i="3" s="1"/>
  <c r="D47" i="3"/>
  <c r="C47" i="3"/>
  <c r="L46" i="3"/>
  <c r="K46" i="3"/>
  <c r="E46" i="3"/>
  <c r="D46" i="3"/>
  <c r="C46" i="3"/>
  <c r="M44" i="3"/>
  <c r="K44" i="3"/>
  <c r="E44" i="3"/>
  <c r="F44" i="3" s="1"/>
  <c r="D44" i="3"/>
  <c r="C44" i="3"/>
  <c r="J44" i="3" s="1"/>
  <c r="F43" i="3"/>
  <c r="M43" i="3" s="1"/>
  <c r="M42" i="3"/>
  <c r="F42" i="3"/>
  <c r="F41" i="3"/>
  <c r="M41" i="3" s="1"/>
  <c r="M40" i="3"/>
  <c r="F40" i="3"/>
  <c r="L33" i="3"/>
  <c r="F33" i="3"/>
  <c r="M33" i="3" s="1"/>
  <c r="E33" i="3"/>
  <c r="D33" i="3"/>
  <c r="K33" i="3" s="1"/>
  <c r="C33" i="3"/>
  <c r="J33" i="3" s="1"/>
  <c r="E32" i="3"/>
  <c r="L32" i="3" s="1"/>
  <c r="D32" i="3"/>
  <c r="K32" i="3" s="1"/>
  <c r="C32" i="3"/>
  <c r="J32" i="3" s="1"/>
  <c r="J30" i="3"/>
  <c r="E30" i="3"/>
  <c r="D30" i="3"/>
  <c r="K30" i="3" s="1"/>
  <c r="C30" i="3"/>
  <c r="L29" i="3"/>
  <c r="E29" i="3"/>
  <c r="D29" i="3"/>
  <c r="C29" i="3"/>
  <c r="J29" i="3" s="1"/>
  <c r="L27" i="3"/>
  <c r="E27" i="3"/>
  <c r="D27" i="3"/>
  <c r="C27" i="3"/>
  <c r="J27" i="3" s="1"/>
  <c r="M26" i="3"/>
  <c r="F26" i="3"/>
  <c r="M25" i="3"/>
  <c r="F25" i="3"/>
  <c r="F24" i="3"/>
  <c r="M24" i="3" s="1"/>
  <c r="M23" i="3"/>
  <c r="F23" i="3"/>
  <c r="E16" i="3"/>
  <c r="L16" i="3" s="1"/>
  <c r="D16" i="3"/>
  <c r="K16" i="3" s="1"/>
  <c r="C16" i="3"/>
  <c r="K15" i="3"/>
  <c r="E15" i="3"/>
  <c r="L15" i="3" s="1"/>
  <c r="D15" i="3"/>
  <c r="F15" i="3" s="1"/>
  <c r="M15" i="3" s="1"/>
  <c r="C15" i="3"/>
  <c r="J15" i="3" s="1"/>
  <c r="K13" i="3"/>
  <c r="J13" i="3"/>
  <c r="F13" i="3"/>
  <c r="M13" i="3" s="1"/>
  <c r="E13" i="3"/>
  <c r="L13" i="3" s="1"/>
  <c r="D13" i="3"/>
  <c r="C13" i="3"/>
  <c r="L12" i="3"/>
  <c r="K12" i="3"/>
  <c r="F12" i="3"/>
  <c r="M12" i="3" s="1"/>
  <c r="E12" i="3"/>
  <c r="D12" i="3"/>
  <c r="C12" i="3"/>
  <c r="J12" i="3" s="1"/>
  <c r="M10" i="3"/>
  <c r="L10" i="3"/>
  <c r="K10" i="3"/>
  <c r="E10" i="3"/>
  <c r="F10" i="3" s="1"/>
  <c r="D10" i="3"/>
  <c r="C10" i="3"/>
  <c r="J10" i="3" s="1"/>
  <c r="F9" i="3"/>
  <c r="M9" i="3" s="1"/>
  <c r="M8" i="3"/>
  <c r="L8" i="3" s="1"/>
  <c r="F8" i="3"/>
  <c r="F7" i="3"/>
  <c r="M7" i="3" s="1"/>
  <c r="M6" i="3"/>
  <c r="F6" i="3"/>
  <c r="I340" i="2"/>
  <c r="H340" i="2"/>
  <c r="G340" i="2"/>
  <c r="I339" i="2"/>
  <c r="H339" i="2"/>
  <c r="G339" i="2"/>
  <c r="I338" i="2"/>
  <c r="H338" i="2"/>
  <c r="G338" i="2"/>
  <c r="I337" i="2"/>
  <c r="H337" i="2"/>
  <c r="G337" i="2"/>
  <c r="I336" i="2"/>
  <c r="H336" i="2"/>
  <c r="G336" i="2"/>
  <c r="I335" i="2"/>
  <c r="H335" i="2"/>
  <c r="G335" i="2"/>
  <c r="I334" i="2"/>
  <c r="H334" i="2"/>
  <c r="G334" i="2"/>
  <c r="I333" i="2"/>
  <c r="H333" i="2"/>
  <c r="G333" i="2"/>
  <c r="I332" i="2"/>
  <c r="H332" i="2"/>
  <c r="G332" i="2"/>
  <c r="I331" i="2"/>
  <c r="H331" i="2"/>
  <c r="G331" i="2"/>
  <c r="I330" i="2"/>
  <c r="H330" i="2"/>
  <c r="G330" i="2"/>
  <c r="U329" i="2"/>
  <c r="I329" i="2"/>
  <c r="H329" i="2"/>
  <c r="G329" i="2"/>
  <c r="I328" i="2"/>
  <c r="H328" i="2"/>
  <c r="G328" i="2"/>
  <c r="I322" i="2"/>
  <c r="H322" i="2"/>
  <c r="G322" i="2"/>
  <c r="I321" i="2"/>
  <c r="H321" i="2"/>
  <c r="G321" i="2"/>
  <c r="I320" i="2"/>
  <c r="H320" i="2"/>
  <c r="G320" i="2"/>
  <c r="I319" i="2"/>
  <c r="H319" i="2"/>
  <c r="G319" i="2"/>
  <c r="I318" i="2"/>
  <c r="H318" i="2"/>
  <c r="G318" i="2"/>
  <c r="I317" i="2"/>
  <c r="H317" i="2"/>
  <c r="G317" i="2"/>
  <c r="I316" i="2"/>
  <c r="H316" i="2"/>
  <c r="G316" i="2"/>
  <c r="I315" i="2"/>
  <c r="H315" i="2"/>
  <c r="G315" i="2"/>
  <c r="I314" i="2"/>
  <c r="H314" i="2"/>
  <c r="G314" i="2"/>
  <c r="J313" i="2"/>
  <c r="I313" i="2"/>
  <c r="H313" i="2"/>
  <c r="G313" i="2"/>
  <c r="I312" i="2"/>
  <c r="H312" i="2"/>
  <c r="G312" i="2"/>
  <c r="U311" i="2"/>
  <c r="U314" i="2" s="1"/>
  <c r="I311" i="2"/>
  <c r="H311" i="2"/>
  <c r="G311" i="2"/>
  <c r="I310" i="2"/>
  <c r="H310" i="2"/>
  <c r="G310" i="2"/>
  <c r="I304" i="2"/>
  <c r="H304" i="2"/>
  <c r="G304" i="2"/>
  <c r="I303" i="2"/>
  <c r="H303" i="2"/>
  <c r="G303" i="2"/>
  <c r="I302" i="2"/>
  <c r="H302" i="2"/>
  <c r="G302" i="2"/>
  <c r="I301" i="2"/>
  <c r="H301" i="2"/>
  <c r="G301" i="2"/>
  <c r="I300" i="2"/>
  <c r="H300" i="2"/>
  <c r="G300" i="2"/>
  <c r="J299" i="2"/>
  <c r="I299" i="2"/>
  <c r="H299" i="2"/>
  <c r="G299" i="2"/>
  <c r="I298" i="2"/>
  <c r="H298" i="2"/>
  <c r="G298" i="2"/>
  <c r="I297" i="2"/>
  <c r="H297" i="2"/>
  <c r="G297" i="2"/>
  <c r="U296" i="2"/>
  <c r="I296" i="2"/>
  <c r="H296" i="2"/>
  <c r="G296" i="2"/>
  <c r="I295" i="2"/>
  <c r="H295" i="2"/>
  <c r="G295" i="2"/>
  <c r="I294" i="2"/>
  <c r="H294" i="2"/>
  <c r="G294" i="2"/>
  <c r="U293" i="2"/>
  <c r="I293" i="2"/>
  <c r="H293" i="2"/>
  <c r="G293" i="2"/>
  <c r="I292" i="2"/>
  <c r="H292" i="2"/>
  <c r="G292" i="2"/>
  <c r="I286" i="2"/>
  <c r="H286" i="2"/>
  <c r="G286" i="2"/>
  <c r="I285" i="2"/>
  <c r="H285" i="2"/>
  <c r="G285" i="2"/>
  <c r="I284" i="2"/>
  <c r="H284" i="2"/>
  <c r="G284" i="2"/>
  <c r="I283" i="2"/>
  <c r="H283" i="2"/>
  <c r="G283" i="2"/>
  <c r="I282" i="2"/>
  <c r="H282" i="2"/>
  <c r="G282" i="2"/>
  <c r="I281" i="2"/>
  <c r="H281" i="2"/>
  <c r="G281" i="2"/>
  <c r="I280" i="2"/>
  <c r="H280" i="2"/>
  <c r="G280" i="2"/>
  <c r="I279" i="2"/>
  <c r="H279" i="2"/>
  <c r="G279" i="2"/>
  <c r="I278" i="2"/>
  <c r="H278" i="2"/>
  <c r="G278" i="2"/>
  <c r="I277" i="2"/>
  <c r="H277" i="2"/>
  <c r="G277" i="2"/>
  <c r="I276" i="2"/>
  <c r="H276" i="2"/>
  <c r="G276" i="2"/>
  <c r="U275" i="2"/>
  <c r="U278" i="2" s="1"/>
  <c r="I275" i="2"/>
  <c r="H275" i="2"/>
  <c r="G275" i="2"/>
  <c r="I274" i="2"/>
  <c r="H274" i="2"/>
  <c r="G274" i="2"/>
  <c r="I268" i="2"/>
  <c r="H268" i="2"/>
  <c r="G268" i="2"/>
  <c r="I267" i="2"/>
  <c r="H267" i="2"/>
  <c r="G267" i="2"/>
  <c r="I266" i="2"/>
  <c r="H266" i="2"/>
  <c r="G266" i="2"/>
  <c r="I265" i="2"/>
  <c r="H265" i="2"/>
  <c r="G265" i="2"/>
  <c r="I264" i="2"/>
  <c r="H264" i="2"/>
  <c r="G264" i="2"/>
  <c r="I263" i="2"/>
  <c r="H263" i="2"/>
  <c r="G263" i="2"/>
  <c r="I262" i="2"/>
  <c r="H262" i="2"/>
  <c r="G262" i="2"/>
  <c r="I261" i="2"/>
  <c r="H261" i="2"/>
  <c r="G261" i="2"/>
  <c r="U260" i="2"/>
  <c r="I260" i="2"/>
  <c r="H260" i="2"/>
  <c r="G260" i="2"/>
  <c r="I259" i="2"/>
  <c r="H259" i="2"/>
  <c r="G259" i="2"/>
  <c r="I258" i="2"/>
  <c r="H258" i="2"/>
  <c r="G258" i="2"/>
  <c r="U257" i="2"/>
  <c r="I257" i="2"/>
  <c r="H257" i="2"/>
  <c r="G257" i="2"/>
  <c r="I256" i="2"/>
  <c r="H256" i="2"/>
  <c r="G256" i="2"/>
  <c r="I250" i="2"/>
  <c r="H250" i="2"/>
  <c r="G250" i="2"/>
  <c r="I249" i="2"/>
  <c r="H249" i="2"/>
  <c r="G249" i="2"/>
  <c r="I248" i="2"/>
  <c r="H248" i="2"/>
  <c r="G248" i="2"/>
  <c r="I247" i="2"/>
  <c r="H247" i="2"/>
  <c r="G247" i="2"/>
  <c r="I246" i="2"/>
  <c r="H246" i="2"/>
  <c r="G246" i="2"/>
  <c r="I245" i="2"/>
  <c r="H245" i="2"/>
  <c r="G245" i="2"/>
  <c r="I244" i="2"/>
  <c r="H244" i="2"/>
  <c r="G244" i="2"/>
  <c r="I243" i="2"/>
  <c r="H243" i="2"/>
  <c r="G243" i="2"/>
  <c r="U242" i="2"/>
  <c r="I242" i="2"/>
  <c r="H242" i="2"/>
  <c r="G242" i="2"/>
  <c r="I241" i="2"/>
  <c r="H241" i="2"/>
  <c r="G241" i="2"/>
  <c r="I240" i="2"/>
  <c r="H240" i="2"/>
  <c r="G240" i="2"/>
  <c r="U239" i="2"/>
  <c r="I239" i="2"/>
  <c r="H239" i="2"/>
  <c r="G239" i="2"/>
  <c r="I238" i="2"/>
  <c r="H238" i="2"/>
  <c r="G238" i="2"/>
  <c r="I232" i="2"/>
  <c r="H232" i="2"/>
  <c r="G232" i="2"/>
  <c r="I231" i="2"/>
  <c r="H231" i="2"/>
  <c r="G231" i="2"/>
  <c r="I230" i="2"/>
  <c r="H230" i="2"/>
  <c r="G230" i="2"/>
  <c r="I229" i="2"/>
  <c r="H229" i="2"/>
  <c r="G229" i="2"/>
  <c r="I228" i="2"/>
  <c r="H228" i="2"/>
  <c r="G228" i="2"/>
  <c r="I227" i="2"/>
  <c r="H227" i="2"/>
  <c r="G227" i="2"/>
  <c r="I226" i="2"/>
  <c r="H226" i="2"/>
  <c r="G226" i="2"/>
  <c r="I225" i="2"/>
  <c r="H225" i="2"/>
  <c r="G225" i="2"/>
  <c r="I224" i="2"/>
  <c r="H224" i="2"/>
  <c r="G224" i="2"/>
  <c r="I223" i="2"/>
  <c r="H223" i="2"/>
  <c r="G223" i="2"/>
  <c r="L222" i="2"/>
  <c r="J222" i="2"/>
  <c r="I222" i="2"/>
  <c r="H222" i="2"/>
  <c r="G222" i="2"/>
  <c r="U221" i="2"/>
  <c r="U224" i="2" s="1"/>
  <c r="I221" i="2"/>
  <c r="H221" i="2"/>
  <c r="G221" i="2"/>
  <c r="I220" i="2"/>
  <c r="H220" i="2"/>
  <c r="G220" i="2"/>
  <c r="I214" i="2"/>
  <c r="H214" i="2"/>
  <c r="G214" i="2"/>
  <c r="I213" i="2"/>
  <c r="H213" i="2"/>
  <c r="G213" i="2"/>
  <c r="I212" i="2"/>
  <c r="H212" i="2"/>
  <c r="G212" i="2"/>
  <c r="I211" i="2"/>
  <c r="H211" i="2"/>
  <c r="G211" i="2"/>
  <c r="I210" i="2"/>
  <c r="H210" i="2"/>
  <c r="G210" i="2"/>
  <c r="I209" i="2"/>
  <c r="H209" i="2"/>
  <c r="G209" i="2"/>
  <c r="I208" i="2"/>
  <c r="H208" i="2"/>
  <c r="G208" i="2"/>
  <c r="I207" i="2"/>
  <c r="H207" i="2"/>
  <c r="G207" i="2"/>
  <c r="U206" i="2"/>
  <c r="I206" i="2"/>
  <c r="H206" i="2"/>
  <c r="G206" i="2"/>
  <c r="I205" i="2"/>
  <c r="H205" i="2"/>
  <c r="G205" i="2"/>
  <c r="I204" i="2"/>
  <c r="H204" i="2"/>
  <c r="G204" i="2"/>
  <c r="U203" i="2"/>
  <c r="I203" i="2"/>
  <c r="H203" i="2"/>
  <c r="G203" i="2"/>
  <c r="I202" i="2"/>
  <c r="H202" i="2"/>
  <c r="G202" i="2"/>
  <c r="I196" i="2"/>
  <c r="H196" i="2"/>
  <c r="G196" i="2"/>
  <c r="I195" i="2"/>
  <c r="H195" i="2"/>
  <c r="G195" i="2"/>
  <c r="I194" i="2"/>
  <c r="H194" i="2"/>
  <c r="G194" i="2"/>
  <c r="I193" i="2"/>
  <c r="H193" i="2"/>
  <c r="G193" i="2"/>
  <c r="I192" i="2"/>
  <c r="H192" i="2"/>
  <c r="G192" i="2"/>
  <c r="I191" i="2"/>
  <c r="H191" i="2"/>
  <c r="G191" i="2"/>
  <c r="I190" i="2"/>
  <c r="H190" i="2"/>
  <c r="G190" i="2"/>
  <c r="I189" i="2"/>
  <c r="H189" i="2"/>
  <c r="G189" i="2"/>
  <c r="I188" i="2"/>
  <c r="H188" i="2"/>
  <c r="G188" i="2"/>
  <c r="I187" i="2"/>
  <c r="H187" i="2"/>
  <c r="G187" i="2"/>
  <c r="I186" i="2"/>
  <c r="H186" i="2"/>
  <c r="G186" i="2"/>
  <c r="U185" i="2"/>
  <c r="U188" i="2" s="1"/>
  <c r="I185" i="2"/>
  <c r="H185" i="2"/>
  <c r="G185" i="2"/>
  <c r="I184" i="2"/>
  <c r="H184" i="2"/>
  <c r="G184" i="2"/>
  <c r="I178" i="2"/>
  <c r="H178" i="2"/>
  <c r="G178" i="2"/>
  <c r="I177" i="2"/>
  <c r="H177" i="2"/>
  <c r="G177" i="2"/>
  <c r="I176" i="2"/>
  <c r="H176" i="2"/>
  <c r="G176" i="2"/>
  <c r="I175" i="2"/>
  <c r="H175" i="2"/>
  <c r="G175" i="2"/>
  <c r="I174" i="2"/>
  <c r="H174" i="2"/>
  <c r="G174" i="2"/>
  <c r="I173" i="2"/>
  <c r="H173" i="2"/>
  <c r="G173" i="2"/>
  <c r="I172" i="2"/>
  <c r="H172" i="2"/>
  <c r="G172" i="2"/>
  <c r="I171" i="2"/>
  <c r="H171" i="2"/>
  <c r="G171" i="2"/>
  <c r="I170" i="2"/>
  <c r="H170" i="2"/>
  <c r="G170" i="2"/>
  <c r="I169" i="2"/>
  <c r="H169" i="2"/>
  <c r="G169" i="2"/>
  <c r="I168" i="2"/>
  <c r="H168" i="2"/>
  <c r="G168" i="2"/>
  <c r="U167" i="2"/>
  <c r="I167" i="2"/>
  <c r="H167" i="2"/>
  <c r="G167" i="2"/>
  <c r="I166" i="2"/>
  <c r="H166" i="2"/>
  <c r="G166" i="2"/>
  <c r="I160" i="2"/>
  <c r="H160" i="2"/>
  <c r="G160" i="2"/>
  <c r="I159" i="2"/>
  <c r="H159" i="2"/>
  <c r="G159" i="2"/>
  <c r="I158" i="2"/>
  <c r="H158" i="2"/>
  <c r="G158" i="2"/>
  <c r="I157" i="2"/>
  <c r="H157" i="2"/>
  <c r="G157" i="2"/>
  <c r="I156" i="2"/>
  <c r="H156" i="2"/>
  <c r="G156" i="2"/>
  <c r="I155" i="2"/>
  <c r="H155" i="2"/>
  <c r="G155" i="2"/>
  <c r="I154" i="2"/>
  <c r="H154" i="2"/>
  <c r="G154" i="2"/>
  <c r="I153" i="2"/>
  <c r="H153" i="2"/>
  <c r="G153" i="2"/>
  <c r="I152" i="2"/>
  <c r="H152" i="2"/>
  <c r="G152" i="2"/>
  <c r="I151" i="2"/>
  <c r="H151" i="2"/>
  <c r="G151" i="2"/>
  <c r="I150" i="2"/>
  <c r="H150" i="2"/>
  <c r="G150" i="2"/>
  <c r="U149" i="2"/>
  <c r="U152" i="2" s="1"/>
  <c r="I149" i="2"/>
  <c r="H149" i="2"/>
  <c r="G149" i="2"/>
  <c r="I148" i="2"/>
  <c r="H148" i="2"/>
  <c r="G148" i="2"/>
  <c r="I142" i="2"/>
  <c r="H142" i="2"/>
  <c r="G142" i="2"/>
  <c r="I141" i="2"/>
  <c r="H141" i="2"/>
  <c r="G141" i="2"/>
  <c r="I140" i="2"/>
  <c r="H140" i="2"/>
  <c r="G140" i="2"/>
  <c r="I139" i="2"/>
  <c r="H139" i="2"/>
  <c r="G139" i="2"/>
  <c r="I138" i="2"/>
  <c r="H138" i="2"/>
  <c r="G138" i="2"/>
  <c r="I137" i="2"/>
  <c r="H137" i="2"/>
  <c r="G137" i="2"/>
  <c r="I136" i="2"/>
  <c r="H136" i="2"/>
  <c r="G136" i="2"/>
  <c r="I135" i="2"/>
  <c r="H135" i="2"/>
  <c r="G135" i="2"/>
  <c r="I134" i="2"/>
  <c r="H134" i="2"/>
  <c r="G134" i="2"/>
  <c r="I133" i="2"/>
  <c r="H133" i="2"/>
  <c r="G133" i="2"/>
  <c r="I132" i="2"/>
  <c r="H132" i="2"/>
  <c r="G132" i="2"/>
  <c r="U131" i="2"/>
  <c r="U134" i="2" s="1"/>
  <c r="I131" i="2"/>
  <c r="H131" i="2"/>
  <c r="G131" i="2"/>
  <c r="I130" i="2"/>
  <c r="H130" i="2"/>
  <c r="G130" i="2"/>
  <c r="I124" i="2"/>
  <c r="H124" i="2"/>
  <c r="G124" i="2"/>
  <c r="J123" i="2"/>
  <c r="I123" i="2"/>
  <c r="H123" i="2"/>
  <c r="G123" i="2"/>
  <c r="I122" i="2"/>
  <c r="H122" i="2"/>
  <c r="G122" i="2"/>
  <c r="J121" i="2"/>
  <c r="I121" i="2"/>
  <c r="H121" i="2"/>
  <c r="G121" i="2"/>
  <c r="I120" i="2"/>
  <c r="H120" i="2"/>
  <c r="G120" i="2"/>
  <c r="I119" i="2"/>
  <c r="H119" i="2"/>
  <c r="G119" i="2"/>
  <c r="J118" i="2"/>
  <c r="I118" i="2"/>
  <c r="H118" i="2"/>
  <c r="G118" i="2"/>
  <c r="I117" i="2"/>
  <c r="H117" i="2"/>
  <c r="G117" i="2"/>
  <c r="I116" i="2"/>
  <c r="H116" i="2"/>
  <c r="G116" i="2"/>
  <c r="I115" i="2"/>
  <c r="H115" i="2"/>
  <c r="G115" i="2"/>
  <c r="I114" i="2"/>
  <c r="H114" i="2"/>
  <c r="G114" i="2"/>
  <c r="U113" i="2"/>
  <c r="U116" i="2" s="1"/>
  <c r="I113" i="2"/>
  <c r="H113" i="2"/>
  <c r="G113" i="2"/>
  <c r="I112" i="2"/>
  <c r="H112" i="2"/>
  <c r="G112" i="2"/>
  <c r="E107" i="2"/>
  <c r="C107" i="2"/>
  <c r="I106" i="2"/>
  <c r="H106" i="2"/>
  <c r="G106" i="2"/>
  <c r="I105" i="2"/>
  <c r="H105" i="2"/>
  <c r="G105" i="2"/>
  <c r="C105" i="2"/>
  <c r="I104" i="2"/>
  <c r="H104" i="2"/>
  <c r="G104" i="2"/>
  <c r="I103" i="2"/>
  <c r="H103" i="2"/>
  <c r="G103" i="2"/>
  <c r="C103" i="2"/>
  <c r="B133" i="2" s="1"/>
  <c r="I102" i="2"/>
  <c r="H102" i="2"/>
  <c r="G102" i="2"/>
  <c r="I101" i="2"/>
  <c r="H101" i="2"/>
  <c r="G101" i="2"/>
  <c r="I100" i="2"/>
  <c r="H100" i="2"/>
  <c r="G100" i="2"/>
  <c r="I99" i="2"/>
  <c r="H99" i="2"/>
  <c r="G99" i="2"/>
  <c r="C99" i="2"/>
  <c r="U98" i="2"/>
  <c r="I98" i="2"/>
  <c r="H98" i="2"/>
  <c r="G98" i="2"/>
  <c r="C98" i="2"/>
  <c r="I97" i="2"/>
  <c r="H97" i="2"/>
  <c r="G97" i="2"/>
  <c r="C97" i="2"/>
  <c r="I96" i="2"/>
  <c r="H96" i="2"/>
  <c r="G96" i="2"/>
  <c r="C96" i="2"/>
  <c r="U95" i="2"/>
  <c r="I95" i="2"/>
  <c r="H95" i="2"/>
  <c r="G95" i="2"/>
  <c r="C95" i="2"/>
  <c r="I94" i="2"/>
  <c r="H94" i="2"/>
  <c r="G94" i="2"/>
  <c r="C94" i="2"/>
  <c r="C93" i="2"/>
  <c r="C92" i="2"/>
  <c r="C90" i="2"/>
  <c r="C89" i="2"/>
  <c r="I88" i="2"/>
  <c r="H88" i="2"/>
  <c r="G88" i="2"/>
  <c r="I87" i="2"/>
  <c r="H87" i="2"/>
  <c r="G87" i="2"/>
  <c r="I86" i="2"/>
  <c r="H86" i="2"/>
  <c r="G86" i="2"/>
  <c r="J85" i="2"/>
  <c r="I85" i="2"/>
  <c r="H85" i="2"/>
  <c r="G85" i="2"/>
  <c r="J84" i="2"/>
  <c r="I84" i="2"/>
  <c r="H84" i="2"/>
  <c r="G84" i="2"/>
  <c r="C84" i="2"/>
  <c r="J83" i="2"/>
  <c r="I83" i="2"/>
  <c r="H83" i="2"/>
  <c r="G83" i="2"/>
  <c r="C83" i="2"/>
  <c r="I82" i="2"/>
  <c r="H82" i="2"/>
  <c r="G82" i="2"/>
  <c r="C82" i="2"/>
  <c r="I81" i="2"/>
  <c r="H81" i="2"/>
  <c r="G81" i="2"/>
  <c r="E81" i="2"/>
  <c r="D81" i="2"/>
  <c r="C81" i="2"/>
  <c r="B81" i="2"/>
  <c r="A81" i="2"/>
  <c r="U80" i="2"/>
  <c r="I80" i="2"/>
  <c r="H80" i="2"/>
  <c r="G80" i="2"/>
  <c r="I79" i="2"/>
  <c r="H79" i="2"/>
  <c r="G79" i="2"/>
  <c r="I78" i="2"/>
  <c r="H78" i="2"/>
  <c r="G78" i="2"/>
  <c r="B78" i="2"/>
  <c r="U77" i="2"/>
  <c r="C104" i="2" s="1"/>
  <c r="I77" i="2"/>
  <c r="H77" i="2"/>
  <c r="G77" i="2"/>
  <c r="B77" i="2"/>
  <c r="I76" i="2"/>
  <c r="H76" i="2"/>
  <c r="G76" i="2"/>
  <c r="E76" i="2"/>
  <c r="D76" i="2"/>
  <c r="C76" i="2"/>
  <c r="B76" i="2"/>
  <c r="A76" i="2"/>
  <c r="A73" i="2"/>
  <c r="A72" i="2"/>
  <c r="E71" i="2"/>
  <c r="D71" i="2"/>
  <c r="C71" i="2"/>
  <c r="B71" i="2"/>
  <c r="A71" i="2"/>
  <c r="I70" i="2"/>
  <c r="H70" i="2"/>
  <c r="G70" i="2"/>
  <c r="I69" i="2"/>
  <c r="H69" i="2"/>
  <c r="G69" i="2"/>
  <c r="I68" i="2"/>
  <c r="H68" i="2"/>
  <c r="G68" i="2"/>
  <c r="C68" i="2"/>
  <c r="B68" i="2"/>
  <c r="I67" i="2"/>
  <c r="H67" i="2"/>
  <c r="G67" i="2"/>
  <c r="C67" i="2"/>
  <c r="B67" i="2"/>
  <c r="I66" i="2"/>
  <c r="H66" i="2"/>
  <c r="G66" i="2"/>
  <c r="C66" i="2"/>
  <c r="B66" i="2"/>
  <c r="I65" i="2"/>
  <c r="H65" i="2"/>
  <c r="G65" i="2"/>
  <c r="C65" i="2"/>
  <c r="B65" i="2"/>
  <c r="I64" i="2"/>
  <c r="H64" i="2"/>
  <c r="G64" i="2"/>
  <c r="C64" i="2"/>
  <c r="B64" i="2"/>
  <c r="I63" i="2"/>
  <c r="H63" i="2"/>
  <c r="G63" i="2"/>
  <c r="C63" i="2"/>
  <c r="B63" i="2"/>
  <c r="I62" i="2"/>
  <c r="H62" i="2"/>
  <c r="G62" i="2"/>
  <c r="E62" i="2"/>
  <c r="D62" i="2"/>
  <c r="C62" i="2"/>
  <c r="B62" i="2"/>
  <c r="A62" i="2"/>
  <c r="J61" i="2"/>
  <c r="I61" i="2"/>
  <c r="H61" i="2"/>
  <c r="G61" i="2"/>
  <c r="I60" i="2"/>
  <c r="H60" i="2"/>
  <c r="G60" i="2"/>
  <c r="U59" i="2"/>
  <c r="I59" i="2"/>
  <c r="H59" i="2"/>
  <c r="G59" i="2"/>
  <c r="I58" i="2"/>
  <c r="H58" i="2"/>
  <c r="G58" i="2"/>
  <c r="A57" i="2"/>
  <c r="A58" i="2" s="1"/>
  <c r="C56" i="2"/>
  <c r="C59" i="2" s="1"/>
  <c r="A56" i="2"/>
  <c r="C55" i="2"/>
  <c r="C58" i="2" s="1"/>
  <c r="A55" i="2"/>
  <c r="C54" i="2"/>
  <c r="A54" i="2"/>
  <c r="I53" i="2"/>
  <c r="H53" i="2"/>
  <c r="G53" i="2"/>
  <c r="E53" i="2"/>
  <c r="D53" i="2"/>
  <c r="C53" i="2"/>
  <c r="B53" i="2"/>
  <c r="A53" i="2"/>
  <c r="I52" i="2"/>
  <c r="H52" i="2"/>
  <c r="G52" i="2"/>
  <c r="I51" i="2"/>
  <c r="H51" i="2"/>
  <c r="G51" i="2"/>
  <c r="I50" i="2"/>
  <c r="H50" i="2"/>
  <c r="G50" i="2"/>
  <c r="B50" i="2"/>
  <c r="J49" i="2"/>
  <c r="I49" i="2"/>
  <c r="H49" i="2"/>
  <c r="G49" i="2"/>
  <c r="B49" i="2"/>
  <c r="A49" i="2"/>
  <c r="J48" i="2"/>
  <c r="I48" i="2"/>
  <c r="H48" i="2"/>
  <c r="G48" i="2"/>
  <c r="B48" i="2"/>
  <c r="A48" i="2"/>
  <c r="I47" i="2"/>
  <c r="H47" i="2"/>
  <c r="G47" i="2"/>
  <c r="B47" i="2"/>
  <c r="A47" i="2"/>
  <c r="I46" i="2"/>
  <c r="H46" i="2"/>
  <c r="G46" i="2"/>
  <c r="D46" i="2"/>
  <c r="C46" i="2"/>
  <c r="B46" i="2"/>
  <c r="A46" i="2"/>
  <c r="I45" i="2"/>
  <c r="H45" i="2"/>
  <c r="G45" i="2"/>
  <c r="I44" i="2"/>
  <c r="H44" i="2"/>
  <c r="G44" i="2"/>
  <c r="I43" i="2"/>
  <c r="H43" i="2"/>
  <c r="G43" i="2"/>
  <c r="C43" i="2"/>
  <c r="B43" i="2"/>
  <c r="A43" i="2"/>
  <c r="U42" i="2"/>
  <c r="I42" i="2"/>
  <c r="H42" i="2"/>
  <c r="G42" i="2"/>
  <c r="C42" i="2"/>
  <c r="B42" i="2"/>
  <c r="A42" i="2"/>
  <c r="I41" i="2"/>
  <c r="H41" i="2"/>
  <c r="G41" i="2"/>
  <c r="C41" i="2"/>
  <c r="B41" i="2"/>
  <c r="A41" i="2"/>
  <c r="C40" i="2"/>
  <c r="B40" i="2"/>
  <c r="A40" i="2"/>
  <c r="D39" i="2"/>
  <c r="C39" i="2"/>
  <c r="B39" i="2"/>
  <c r="A39" i="2"/>
  <c r="C38" i="2"/>
  <c r="B38" i="2"/>
  <c r="A38" i="2"/>
  <c r="D37" i="2"/>
  <c r="C37" i="2"/>
  <c r="B37" i="2"/>
  <c r="A37" i="2"/>
  <c r="I36" i="2"/>
  <c r="H36" i="2"/>
  <c r="G36" i="2"/>
  <c r="C36" i="2"/>
  <c r="B36" i="2"/>
  <c r="A36" i="2"/>
  <c r="J35" i="2"/>
  <c r="I35" i="2"/>
  <c r="H35" i="2"/>
  <c r="G35" i="2"/>
  <c r="C35" i="2"/>
  <c r="B35" i="2"/>
  <c r="A35" i="2"/>
  <c r="J34" i="2"/>
  <c r="I34" i="2"/>
  <c r="H34" i="2"/>
  <c r="G34" i="2"/>
  <c r="C34" i="2"/>
  <c r="B34" i="2"/>
  <c r="A34" i="2"/>
  <c r="I33" i="2"/>
  <c r="H33" i="2"/>
  <c r="G33" i="2"/>
  <c r="D33" i="2"/>
  <c r="C33" i="2"/>
  <c r="B33" i="2"/>
  <c r="A33" i="2"/>
  <c r="I32" i="2"/>
  <c r="H32" i="2"/>
  <c r="G32" i="2"/>
  <c r="C32" i="2"/>
  <c r="B32" i="2"/>
  <c r="A32" i="2"/>
  <c r="J31" i="2"/>
  <c r="I31" i="2"/>
  <c r="H31" i="2"/>
  <c r="G31" i="2"/>
  <c r="D31" i="2"/>
  <c r="C31" i="2"/>
  <c r="B31" i="2"/>
  <c r="A31" i="2"/>
  <c r="I30" i="2"/>
  <c r="H30" i="2"/>
  <c r="G30" i="2"/>
  <c r="I29" i="2"/>
  <c r="H29" i="2"/>
  <c r="G29" i="2"/>
  <c r="I28" i="2"/>
  <c r="H28" i="2"/>
  <c r="G28" i="2"/>
  <c r="I27" i="2"/>
  <c r="H27" i="2"/>
  <c r="G27" i="2"/>
  <c r="J26" i="2"/>
  <c r="I26" i="2"/>
  <c r="H26" i="2"/>
  <c r="G26" i="2"/>
  <c r="C26" i="2"/>
  <c r="B26" i="2"/>
  <c r="A26" i="2"/>
  <c r="U25" i="2"/>
  <c r="I25" i="2"/>
  <c r="H25" i="2"/>
  <c r="G25" i="2"/>
  <c r="I24" i="2"/>
  <c r="H24" i="2"/>
  <c r="G24" i="2"/>
  <c r="I19" i="2"/>
  <c r="H19" i="2"/>
  <c r="G19" i="2"/>
  <c r="I18" i="2"/>
  <c r="H18" i="2"/>
  <c r="G18" i="2"/>
  <c r="I17" i="2"/>
  <c r="H17" i="2"/>
  <c r="G17" i="2"/>
  <c r="I16" i="2"/>
  <c r="H16" i="2"/>
  <c r="G16" i="2"/>
  <c r="D16" i="2"/>
  <c r="I15" i="2"/>
  <c r="H15" i="2"/>
  <c r="G15" i="2"/>
  <c r="D15" i="2"/>
  <c r="D41" i="2" s="1"/>
  <c r="I14" i="2"/>
  <c r="H14" i="2"/>
  <c r="G14" i="2"/>
  <c r="D14" i="2"/>
  <c r="I13" i="2"/>
  <c r="H13" i="2"/>
  <c r="G13" i="2"/>
  <c r="I12" i="2"/>
  <c r="H12" i="2"/>
  <c r="G12" i="2"/>
  <c r="D12" i="2"/>
  <c r="I11" i="2"/>
  <c r="H11" i="2"/>
  <c r="G11" i="2"/>
  <c r="I10" i="2"/>
  <c r="H10" i="2"/>
  <c r="G10" i="2"/>
  <c r="I9" i="2"/>
  <c r="H9" i="2"/>
  <c r="G9" i="2"/>
  <c r="D9" i="2"/>
  <c r="I8" i="2"/>
  <c r="H8" i="2"/>
  <c r="G8" i="2"/>
  <c r="D8" i="2"/>
  <c r="J115" i="2" s="1"/>
  <c r="I7" i="2"/>
  <c r="H7" i="2"/>
  <c r="G7" i="2"/>
  <c r="C27" i="1"/>
  <c r="D26" i="1"/>
  <c r="C26" i="1"/>
  <c r="D21" i="1"/>
  <c r="E20" i="1"/>
  <c r="D20" i="1"/>
  <c r="D22" i="1" s="1"/>
  <c r="C20" i="1"/>
  <c r="C22" i="1" s="1"/>
  <c r="L15" i="1"/>
  <c r="D17" i="2" s="1"/>
  <c r="L14" i="1"/>
  <c r="F14" i="1"/>
  <c r="E14" i="1"/>
  <c r="D14" i="1"/>
  <c r="C14" i="1"/>
  <c r="L13" i="1"/>
  <c r="E13" i="1"/>
  <c r="D13" i="1"/>
  <c r="C13" i="1"/>
  <c r="F13" i="1" s="1"/>
  <c r="L12" i="1"/>
  <c r="L11" i="1"/>
  <c r="D13" i="2" s="1"/>
  <c r="E11" i="1"/>
  <c r="E21" i="1" s="1"/>
  <c r="D11" i="1"/>
  <c r="C11" i="1"/>
  <c r="C21" i="1" s="1"/>
  <c r="L10" i="1"/>
  <c r="E10" i="1"/>
  <c r="D10" i="1"/>
  <c r="C10" i="1"/>
  <c r="F10" i="1" s="1"/>
  <c r="L9" i="1"/>
  <c r="D11" i="2" s="1"/>
  <c r="L8" i="1"/>
  <c r="D10" i="2" s="1"/>
  <c r="E8" i="1"/>
  <c r="D8" i="1"/>
  <c r="C8" i="1"/>
  <c r="L7" i="1"/>
  <c r="F7" i="1"/>
  <c r="L6" i="1"/>
  <c r="F6" i="1"/>
  <c r="L5" i="1"/>
  <c r="D7" i="2" s="1"/>
  <c r="F5" i="1"/>
  <c r="D25" i="1" s="1"/>
  <c r="L4" i="1"/>
  <c r="F4" i="1"/>
  <c r="C25" i="1" s="1"/>
  <c r="L49" i="2" l="1"/>
  <c r="L83" i="2"/>
  <c r="C102" i="2"/>
  <c r="C133" i="2" s="1"/>
  <c r="D133" i="2" s="1"/>
  <c r="D136" i="2" s="1"/>
  <c r="U62" i="2"/>
  <c r="C101" i="2"/>
  <c r="U28" i="2"/>
  <c r="L118" i="2"/>
  <c r="L121" i="2"/>
  <c r="D55" i="2"/>
  <c r="L35" i="2"/>
  <c r="L34" i="2"/>
  <c r="D56" i="2"/>
  <c r="J196" i="2"/>
  <c r="J340" i="2"/>
  <c r="J268" i="2"/>
  <c r="J322" i="2"/>
  <c r="J250" i="2"/>
  <c r="J214" i="2"/>
  <c r="J160" i="2"/>
  <c r="J124" i="2"/>
  <c r="J286" i="2"/>
  <c r="J178" i="2"/>
  <c r="J304" i="2"/>
  <c r="J106" i="2"/>
  <c r="J70" i="2"/>
  <c r="J142" i="2"/>
  <c r="J53" i="2"/>
  <c r="J19" i="2"/>
  <c r="J88" i="2"/>
  <c r="J232" i="2"/>
  <c r="A59" i="2"/>
  <c r="L84" i="2"/>
  <c r="F8" i="1"/>
  <c r="J336" i="2"/>
  <c r="J192" i="2"/>
  <c r="J264" i="2"/>
  <c r="J246" i="2"/>
  <c r="J300" i="2"/>
  <c r="J282" i="2"/>
  <c r="J318" i="2"/>
  <c r="J228" i="2"/>
  <c r="J138" i="2"/>
  <c r="J120" i="2"/>
  <c r="J102" i="2"/>
  <c r="J66" i="2"/>
  <c r="J15" i="2"/>
  <c r="J32" i="2"/>
  <c r="J174" i="2"/>
  <c r="J210" i="2"/>
  <c r="J156" i="2"/>
  <c r="K20" i="1"/>
  <c r="K21" i="1" s="1"/>
  <c r="D65" i="2"/>
  <c r="D43" i="2"/>
  <c r="D68" i="2" s="1"/>
  <c r="J195" i="2"/>
  <c r="J267" i="2"/>
  <c r="J249" i="2"/>
  <c r="J213" i="2"/>
  <c r="J231" i="2"/>
  <c r="J339" i="2"/>
  <c r="J303" i="2"/>
  <c r="J321" i="2"/>
  <c r="J285" i="2"/>
  <c r="J159" i="2"/>
  <c r="J105" i="2"/>
  <c r="D42" i="2"/>
  <c r="D58" i="2" s="1"/>
  <c r="J177" i="2"/>
  <c r="J69" i="2"/>
  <c r="J87" i="2"/>
  <c r="J18" i="2"/>
  <c r="J141" i="2"/>
  <c r="J52" i="2"/>
  <c r="J315" i="2"/>
  <c r="J297" i="2"/>
  <c r="J279" i="2"/>
  <c r="J333" i="2"/>
  <c r="J189" i="2"/>
  <c r="J207" i="2"/>
  <c r="J261" i="2"/>
  <c r="J225" i="2"/>
  <c r="J171" i="2"/>
  <c r="J135" i="2"/>
  <c r="J99" i="2"/>
  <c r="J29" i="2"/>
  <c r="J46" i="2"/>
  <c r="J153" i="2"/>
  <c r="J12" i="2"/>
  <c r="J117" i="2"/>
  <c r="J63" i="2"/>
  <c r="J243" i="2"/>
  <c r="J81" i="2"/>
  <c r="D36" i="2"/>
  <c r="J332" i="2"/>
  <c r="J260" i="2"/>
  <c r="J314" i="2"/>
  <c r="J296" i="2"/>
  <c r="J278" i="2"/>
  <c r="J242" i="2"/>
  <c r="J188" i="2"/>
  <c r="J206" i="2"/>
  <c r="J224" i="2"/>
  <c r="J80" i="2"/>
  <c r="J170" i="2"/>
  <c r="J134" i="2"/>
  <c r="J28" i="2"/>
  <c r="J98" i="2"/>
  <c r="J116" i="2"/>
  <c r="J62" i="2"/>
  <c r="J11" i="2"/>
  <c r="J45" i="2"/>
  <c r="J152" i="2"/>
  <c r="D35" i="2"/>
  <c r="D48" i="2" s="1"/>
  <c r="L26" i="2"/>
  <c r="L85" i="2"/>
  <c r="L123" i="2"/>
  <c r="U332" i="2"/>
  <c r="C106" i="2"/>
  <c r="J36" i="2"/>
  <c r="J193" i="2"/>
  <c r="J265" i="2"/>
  <c r="J337" i="2"/>
  <c r="J283" i="2"/>
  <c r="J247" i="2"/>
  <c r="J229" i="2"/>
  <c r="J319" i="2"/>
  <c r="J157" i="2"/>
  <c r="J67" i="2"/>
  <c r="J301" i="2"/>
  <c r="J139" i="2"/>
  <c r="D40" i="2"/>
  <c r="J103" i="2"/>
  <c r="J175" i="2"/>
  <c r="J211" i="2"/>
  <c r="J33" i="2"/>
  <c r="J50" i="2"/>
  <c r="J16" i="2"/>
  <c r="J190" i="2"/>
  <c r="J316" i="2"/>
  <c r="J298" i="2"/>
  <c r="J262" i="2"/>
  <c r="J334" i="2"/>
  <c r="J244" i="2"/>
  <c r="J280" i="2"/>
  <c r="J208" i="2"/>
  <c r="J64" i="2"/>
  <c r="J172" i="2"/>
  <c r="J82" i="2"/>
  <c r="J136" i="2"/>
  <c r="J100" i="2"/>
  <c r="J30" i="2"/>
  <c r="J226" i="2"/>
  <c r="J13" i="2"/>
  <c r="J47" i="2"/>
  <c r="L115" i="2"/>
  <c r="J176" i="2"/>
  <c r="F27" i="3"/>
  <c r="M27" i="3" s="1"/>
  <c r="K27" i="3"/>
  <c r="L299" i="2"/>
  <c r="K8" i="3"/>
  <c r="J8" i="3"/>
  <c r="K9" i="3"/>
  <c r="J9" i="3"/>
  <c r="L9" i="3"/>
  <c r="E22" i="1"/>
  <c r="D6" i="2"/>
  <c r="L16" i="1"/>
  <c r="D64" i="2"/>
  <c r="C91" i="2"/>
  <c r="U170" i="2"/>
  <c r="J276" i="2"/>
  <c r="J240" i="2"/>
  <c r="J168" i="2"/>
  <c r="J258" i="2"/>
  <c r="J312" i="2"/>
  <c r="J150" i="2"/>
  <c r="J330" i="2"/>
  <c r="J294" i="2"/>
  <c r="J78" i="2"/>
  <c r="J204" i="2"/>
  <c r="J132" i="2"/>
  <c r="J186" i="2"/>
  <c r="J96" i="2"/>
  <c r="J43" i="2"/>
  <c r="J60" i="2"/>
  <c r="J9" i="2"/>
  <c r="J114" i="2"/>
  <c r="L31" i="2"/>
  <c r="C100" i="2"/>
  <c r="U45" i="2"/>
  <c r="C57" i="2"/>
  <c r="D57" i="2" s="1"/>
  <c r="J154" i="2"/>
  <c r="J194" i="2"/>
  <c r="J284" i="2"/>
  <c r="J266" i="2"/>
  <c r="J212" i="2"/>
  <c r="J338" i="2"/>
  <c r="J302" i="2"/>
  <c r="J230" i="2"/>
  <c r="J320" i="2"/>
  <c r="J158" i="2"/>
  <c r="J86" i="2"/>
  <c r="J104" i="2"/>
  <c r="J122" i="2"/>
  <c r="J17" i="2"/>
  <c r="J140" i="2"/>
  <c r="J51" i="2"/>
  <c r="J248" i="2"/>
  <c r="J68" i="2"/>
  <c r="D27" i="1"/>
  <c r="K25" i="1" s="1"/>
  <c r="K26" i="1" s="1"/>
  <c r="L48" i="2"/>
  <c r="J191" i="2"/>
  <c r="J263" i="2"/>
  <c r="J245" i="2"/>
  <c r="J227" i="2"/>
  <c r="J317" i="2"/>
  <c r="J335" i="2"/>
  <c r="J119" i="2"/>
  <c r="J155" i="2"/>
  <c r="J101" i="2"/>
  <c r="J209" i="2"/>
  <c r="J173" i="2"/>
  <c r="J137" i="2"/>
  <c r="J281" i="2"/>
  <c r="J14" i="2"/>
  <c r="J65" i="2"/>
  <c r="D38" i="2"/>
  <c r="L61" i="2"/>
  <c r="D73" i="2"/>
  <c r="J241" i="2"/>
  <c r="J169" i="2"/>
  <c r="J295" i="2"/>
  <c r="J277" i="2"/>
  <c r="J205" i="2"/>
  <c r="J259" i="2"/>
  <c r="J97" i="2"/>
  <c r="J151" i="2"/>
  <c r="J223" i="2"/>
  <c r="J187" i="2"/>
  <c r="D84" i="2"/>
  <c r="C115" i="2"/>
  <c r="C124" i="2"/>
  <c r="J23" i="3"/>
  <c r="J67" i="3"/>
  <c r="F67" i="3"/>
  <c r="M67" i="3" s="1"/>
  <c r="D34" i="2"/>
  <c r="J133" i="2"/>
  <c r="L313" i="2"/>
  <c r="J10" i="2"/>
  <c r="J44" i="2"/>
  <c r="J79" i="2"/>
  <c r="F49" i="3"/>
  <c r="M49" i="3" s="1"/>
  <c r="K49" i="3"/>
  <c r="J331" i="2"/>
  <c r="J46" i="3"/>
  <c r="F46" i="3"/>
  <c r="M46" i="3" s="1"/>
  <c r="F11" i="1"/>
  <c r="J27" i="2"/>
  <c r="A50" i="2"/>
  <c r="D49" i="2"/>
  <c r="L30" i="3"/>
  <c r="F30" i="3"/>
  <c r="M30" i="3" s="1"/>
  <c r="L26" i="3" s="1"/>
  <c r="J84" i="3"/>
  <c r="F84" i="3"/>
  <c r="M84" i="3" s="1"/>
  <c r="O13" i="4"/>
  <c r="A28" i="4"/>
  <c r="H13" i="4"/>
  <c r="F61" i="3"/>
  <c r="M61" i="3" s="1"/>
  <c r="K61" i="3"/>
  <c r="R5" i="4"/>
  <c r="D20" i="4" s="1"/>
  <c r="K5" i="4"/>
  <c r="F29" i="3"/>
  <c r="M29" i="3" s="1"/>
  <c r="L24" i="3" s="1"/>
  <c r="K29" i="3"/>
  <c r="L6" i="3"/>
  <c r="K6" i="3"/>
  <c r="J6" i="3"/>
  <c r="J80" i="3"/>
  <c r="F80" i="3"/>
  <c r="M80" i="3" s="1"/>
  <c r="L7" i="3"/>
  <c r="K7" i="3"/>
  <c r="J7" i="3"/>
  <c r="F32" i="3"/>
  <c r="M32" i="3" s="1"/>
  <c r="F47" i="3"/>
  <c r="M47" i="3" s="1"/>
  <c r="D15" i="4"/>
  <c r="D12" i="4"/>
  <c r="F12" i="4" s="1"/>
  <c r="L44" i="3"/>
  <c r="F66" i="3"/>
  <c r="M66" i="3" s="1"/>
  <c r="K76" i="3"/>
  <c r="K77" i="3"/>
  <c r="J77" i="3"/>
  <c r="E12" i="4"/>
  <c r="E15" i="4"/>
  <c r="F83" i="3"/>
  <c r="M83" i="3" s="1"/>
  <c r="L83" i="3"/>
  <c r="A37" i="4"/>
  <c r="H24" i="4"/>
  <c r="O24" i="4" s="1"/>
  <c r="J16" i="3"/>
  <c r="F16" i="3"/>
  <c r="M16" i="3" s="1"/>
  <c r="B24" i="4"/>
  <c r="I9" i="4"/>
  <c r="P9" i="4"/>
  <c r="Q20" i="4"/>
  <c r="Q33" i="4" s="1"/>
  <c r="Q46" i="4" s="1"/>
  <c r="Q59" i="4" s="1"/>
  <c r="Q72" i="4" s="1"/>
  <c r="Q85" i="4" s="1"/>
  <c r="Q98" i="4" s="1"/>
  <c r="Q111" i="4" s="1"/>
  <c r="Q124" i="4" s="1"/>
  <c r="Q137" i="4" s="1"/>
  <c r="Q150" i="4" s="1"/>
  <c r="J50" i="3"/>
  <c r="F50" i="3"/>
  <c r="M50" i="3" s="1"/>
  <c r="L77" i="3"/>
  <c r="A61" i="4"/>
  <c r="H48" i="4"/>
  <c r="O48" i="4" s="1"/>
  <c r="B23" i="4"/>
  <c r="P8" i="4"/>
  <c r="S20" i="4"/>
  <c r="S33" i="4" s="1"/>
  <c r="S46" i="4" s="1"/>
  <c r="S59" i="4" s="1"/>
  <c r="S72" i="4" s="1"/>
  <c r="S85" i="4" s="1"/>
  <c r="S98" i="4" s="1"/>
  <c r="S111" i="4" s="1"/>
  <c r="S124" i="4" s="1"/>
  <c r="S137" i="4" s="1"/>
  <c r="S150" i="4" s="1"/>
  <c r="E33" i="4"/>
  <c r="E46" i="4" s="1"/>
  <c r="E59" i="4" s="1"/>
  <c r="E72" i="4" s="1"/>
  <c r="E85" i="4" s="1"/>
  <c r="E98" i="4" s="1"/>
  <c r="E111" i="4" s="1"/>
  <c r="E124" i="4" s="1"/>
  <c r="E137" i="4" s="1"/>
  <c r="E150" i="4" s="1"/>
  <c r="C13" i="4"/>
  <c r="F13" i="4" s="1"/>
  <c r="F8" i="4"/>
  <c r="A34" i="4"/>
  <c r="H21" i="4"/>
  <c r="O21" i="4" s="1"/>
  <c r="C16" i="4"/>
  <c r="F16" i="4" s="1"/>
  <c r="F7" i="4"/>
  <c r="H23" i="4"/>
  <c r="O23" i="4" s="1"/>
  <c r="A36" i="4"/>
  <c r="I47" i="4"/>
  <c r="P47" i="4" s="1"/>
  <c r="B60" i="4"/>
  <c r="F9" i="4"/>
  <c r="A27" i="4"/>
  <c r="O12" i="4"/>
  <c r="H12" i="4"/>
  <c r="C15" i="4"/>
  <c r="B16" i="4"/>
  <c r="B22" i="4"/>
  <c r="C10" i="4"/>
  <c r="F6" i="4"/>
  <c r="J6" i="5"/>
  <c r="I6" i="5"/>
  <c r="H6" i="5"/>
  <c r="O9" i="4"/>
  <c r="H9" i="4"/>
  <c r="J12" i="5"/>
  <c r="I12" i="5"/>
  <c r="H12" i="5"/>
  <c r="B30" i="4"/>
  <c r="I10" i="5"/>
  <c r="H10" i="5"/>
  <c r="J10" i="5"/>
  <c r="P6" i="4"/>
  <c r="J17" i="5"/>
  <c r="I17" i="5"/>
  <c r="H17" i="5"/>
  <c r="I7" i="5"/>
  <c r="H7" i="5"/>
  <c r="I13" i="5"/>
  <c r="H13" i="5"/>
  <c r="M245" i="2" l="1"/>
  <c r="M246" i="2"/>
  <c r="M226" i="2"/>
  <c r="P226" i="2" s="1"/>
  <c r="Q226" i="2" s="1"/>
  <c r="M206" i="2"/>
  <c r="K333" i="2"/>
  <c r="L333" i="2"/>
  <c r="L101" i="2"/>
  <c r="D21" i="4"/>
  <c r="C21" i="4"/>
  <c r="F10" i="4"/>
  <c r="E21" i="4"/>
  <c r="K277" i="2"/>
  <c r="L277" i="2"/>
  <c r="L281" i="2"/>
  <c r="L191" i="2"/>
  <c r="L158" i="2"/>
  <c r="K158" i="2"/>
  <c r="L294" i="2"/>
  <c r="L30" i="2"/>
  <c r="K316" i="2"/>
  <c r="L316" i="2"/>
  <c r="L36" i="2"/>
  <c r="L80" i="2"/>
  <c r="K243" i="2"/>
  <c r="L243" i="2"/>
  <c r="L207" i="2"/>
  <c r="D67" i="2"/>
  <c r="M81" i="2" s="1"/>
  <c r="L32" i="2"/>
  <c r="K32" i="2"/>
  <c r="L192" i="2"/>
  <c r="L53" i="2"/>
  <c r="L268" i="2"/>
  <c r="D83" i="2"/>
  <c r="L196" i="2"/>
  <c r="M301" i="2"/>
  <c r="M155" i="2"/>
  <c r="H36" i="4"/>
  <c r="O36" i="4" s="1"/>
  <c r="A49" i="4"/>
  <c r="B36" i="4"/>
  <c r="I23" i="4"/>
  <c r="P23" i="4" s="1"/>
  <c r="K26" i="3"/>
  <c r="J25" i="3"/>
  <c r="K295" i="2"/>
  <c r="L295" i="2"/>
  <c r="L137" i="2"/>
  <c r="L320" i="2"/>
  <c r="K320" i="2"/>
  <c r="K330" i="2"/>
  <c r="L330" i="2"/>
  <c r="L100" i="2"/>
  <c r="L190" i="2"/>
  <c r="K190" i="2"/>
  <c r="L139" i="2"/>
  <c r="B115" i="2"/>
  <c r="B124" i="2"/>
  <c r="L224" i="2"/>
  <c r="L63" i="2"/>
  <c r="K63" i="2"/>
  <c r="L189" i="2"/>
  <c r="L105" i="2"/>
  <c r="L15" i="2"/>
  <c r="K15" i="2"/>
  <c r="P15" i="2"/>
  <c r="Q15" i="2" s="1"/>
  <c r="M15" i="2"/>
  <c r="L336" i="2"/>
  <c r="L142" i="2"/>
  <c r="K142" i="2"/>
  <c r="K340" i="2"/>
  <c r="L340" i="2"/>
  <c r="M240" i="2"/>
  <c r="L66" i="2"/>
  <c r="K66" i="2"/>
  <c r="J275" i="2"/>
  <c r="J257" i="2"/>
  <c r="J311" i="2"/>
  <c r="J329" i="2"/>
  <c r="J293" i="2"/>
  <c r="J167" i="2"/>
  <c r="J149" i="2"/>
  <c r="J113" i="2"/>
  <c r="J25" i="2"/>
  <c r="J221" i="2"/>
  <c r="J203" i="2"/>
  <c r="J59" i="2"/>
  <c r="J77" i="2"/>
  <c r="J239" i="2"/>
  <c r="J131" i="2"/>
  <c r="J185" i="2"/>
  <c r="J8" i="2"/>
  <c r="J42" i="2"/>
  <c r="D32" i="2"/>
  <c r="D18" i="2"/>
  <c r="M53" i="2" s="1"/>
  <c r="J95" i="2"/>
  <c r="K25" i="3"/>
  <c r="M209" i="2"/>
  <c r="M102" i="2"/>
  <c r="M101" i="2"/>
  <c r="L10" i="2"/>
  <c r="K10" i="2"/>
  <c r="M10" i="2"/>
  <c r="P10" i="2" s="1"/>
  <c r="Q10" i="2" s="1"/>
  <c r="M187" i="2"/>
  <c r="P155" i="2"/>
  <c r="Q155" i="2" s="1"/>
  <c r="L155" i="2"/>
  <c r="K155" i="2"/>
  <c r="K248" i="2"/>
  <c r="L248" i="2"/>
  <c r="L212" i="2"/>
  <c r="L60" i="2"/>
  <c r="K60" i="2"/>
  <c r="L168" i="2"/>
  <c r="K168" i="2"/>
  <c r="L176" i="2"/>
  <c r="L64" i="2"/>
  <c r="K64" i="2"/>
  <c r="L319" i="2"/>
  <c r="K319" i="2"/>
  <c r="L11" i="2"/>
  <c r="M11" i="2"/>
  <c r="L278" i="2"/>
  <c r="L46" i="2"/>
  <c r="K46" i="2"/>
  <c r="L315" i="2"/>
  <c r="L303" i="2"/>
  <c r="K303" i="2"/>
  <c r="L138" i="2"/>
  <c r="K138" i="2"/>
  <c r="L178" i="2"/>
  <c r="I22" i="4"/>
  <c r="P22" i="4" s="1"/>
  <c r="B35" i="4"/>
  <c r="A50" i="4"/>
  <c r="H37" i="4"/>
  <c r="O37" i="4" s="1"/>
  <c r="L173" i="2"/>
  <c r="K173" i="2"/>
  <c r="L230" i="2"/>
  <c r="L301" i="2"/>
  <c r="K206" i="2"/>
  <c r="L206" i="2"/>
  <c r="H61" i="4"/>
  <c r="O61" i="4" s="1"/>
  <c r="A74" i="4"/>
  <c r="K42" i="3"/>
  <c r="K43" i="3"/>
  <c r="J43" i="3"/>
  <c r="L43" i="3"/>
  <c r="L42" i="3"/>
  <c r="J42" i="3"/>
  <c r="K23" i="3"/>
  <c r="K24" i="3"/>
  <c r="J24" i="3"/>
  <c r="K79" i="2"/>
  <c r="L79" i="2"/>
  <c r="L302" i="2"/>
  <c r="K312" i="2"/>
  <c r="L312" i="2"/>
  <c r="L188" i="2"/>
  <c r="K188" i="2"/>
  <c r="L285" i="2"/>
  <c r="M241" i="2"/>
  <c r="M30" i="2"/>
  <c r="M118" i="2"/>
  <c r="M115" i="2"/>
  <c r="F15" i="4"/>
  <c r="J26" i="3"/>
  <c r="L44" i="2"/>
  <c r="K44" i="2"/>
  <c r="D115" i="2"/>
  <c r="D118" i="2" s="1"/>
  <c r="L172" i="2"/>
  <c r="K172" i="2"/>
  <c r="L157" i="2"/>
  <c r="K45" i="2"/>
  <c r="L45" i="2"/>
  <c r="L242" i="2"/>
  <c r="K242" i="2"/>
  <c r="L153" i="2"/>
  <c r="K297" i="2"/>
  <c r="L297" i="2"/>
  <c r="L321" i="2"/>
  <c r="K321" i="2"/>
  <c r="L120" i="2"/>
  <c r="L304" i="2"/>
  <c r="K304" i="2"/>
  <c r="D33" i="4"/>
  <c r="D46" i="4" s="1"/>
  <c r="D59" i="4" s="1"/>
  <c r="D72" i="4" s="1"/>
  <c r="D85" i="4" s="1"/>
  <c r="D98" i="4" s="1"/>
  <c r="D111" i="4" s="1"/>
  <c r="D124" i="4" s="1"/>
  <c r="D137" i="4" s="1"/>
  <c r="D150" i="4" s="1"/>
  <c r="K20" i="4"/>
  <c r="D50" i="2"/>
  <c r="K187" i="2"/>
  <c r="P187" i="2"/>
  <c r="Q187" i="2" s="1"/>
  <c r="L187" i="2"/>
  <c r="L119" i="2"/>
  <c r="K119" i="2"/>
  <c r="L51" i="2"/>
  <c r="K51" i="2"/>
  <c r="L266" i="2"/>
  <c r="L43" i="2"/>
  <c r="K43" i="2"/>
  <c r="L240" i="2"/>
  <c r="K240" i="2"/>
  <c r="P240" i="2"/>
  <c r="Q240" i="2" s="1"/>
  <c r="L208" i="2"/>
  <c r="M16" i="2"/>
  <c r="L16" i="2"/>
  <c r="K16" i="2"/>
  <c r="P16" i="2"/>
  <c r="Q16" i="2" s="1"/>
  <c r="L229" i="2"/>
  <c r="K229" i="2"/>
  <c r="L62" i="2"/>
  <c r="K296" i="2"/>
  <c r="L296" i="2"/>
  <c r="L29" i="2"/>
  <c r="K29" i="2"/>
  <c r="L52" i="2"/>
  <c r="K52" i="2"/>
  <c r="L339" i="2"/>
  <c r="K339" i="2"/>
  <c r="K228" i="2"/>
  <c r="L228" i="2"/>
  <c r="K286" i="2"/>
  <c r="L286" i="2"/>
  <c r="K258" i="2"/>
  <c r="L258" i="2"/>
  <c r="H27" i="4"/>
  <c r="O27" i="4" s="1"/>
  <c r="A40" i="4"/>
  <c r="H34" i="4"/>
  <c r="O34" i="4" s="1"/>
  <c r="A47" i="4"/>
  <c r="L27" i="2"/>
  <c r="K27" i="2"/>
  <c r="L133" i="2"/>
  <c r="K133" i="2"/>
  <c r="K223" i="2"/>
  <c r="L223" i="2"/>
  <c r="P223" i="2"/>
  <c r="Q223" i="2" s="1"/>
  <c r="L335" i="2"/>
  <c r="L140" i="2"/>
  <c r="K140" i="2"/>
  <c r="K284" i="2"/>
  <c r="L284" i="2"/>
  <c r="L96" i="2"/>
  <c r="L276" i="2"/>
  <c r="K276" i="2"/>
  <c r="K280" i="2"/>
  <c r="L280" i="2"/>
  <c r="P50" i="2"/>
  <c r="Q50" i="2" s="1"/>
  <c r="L50" i="2"/>
  <c r="L247" i="2"/>
  <c r="K247" i="2"/>
  <c r="L116" i="2"/>
  <c r="K116" i="2"/>
  <c r="L314" i="2"/>
  <c r="K314" i="2"/>
  <c r="L99" i="2"/>
  <c r="K99" i="2"/>
  <c r="L141" i="2"/>
  <c r="K141" i="2"/>
  <c r="L231" i="2"/>
  <c r="K231" i="2"/>
  <c r="L318" i="2"/>
  <c r="K318" i="2"/>
  <c r="D59" i="2"/>
  <c r="M103" i="2" s="1"/>
  <c r="L124" i="2"/>
  <c r="K124" i="2"/>
  <c r="M50" i="2"/>
  <c r="M223" i="2"/>
  <c r="M9" i="2"/>
  <c r="L9" i="2"/>
  <c r="K9" i="2"/>
  <c r="P9" i="2"/>
  <c r="Q9" i="2" s="1"/>
  <c r="E24" i="4"/>
  <c r="D24" i="4"/>
  <c r="C24" i="4"/>
  <c r="C23" i="4"/>
  <c r="D23" i="4"/>
  <c r="E23" i="4"/>
  <c r="L75" i="3"/>
  <c r="K75" i="3"/>
  <c r="L74" i="3"/>
  <c r="K74" i="3"/>
  <c r="J74" i="3"/>
  <c r="J75" i="3"/>
  <c r="L151" i="2"/>
  <c r="K151" i="2"/>
  <c r="K317" i="2"/>
  <c r="L317" i="2"/>
  <c r="L17" i="2"/>
  <c r="M17" i="2"/>
  <c r="K17" i="2"/>
  <c r="P17" i="2"/>
  <c r="Q17" i="2" s="1"/>
  <c r="L194" i="2"/>
  <c r="L186" i="2"/>
  <c r="K186" i="2"/>
  <c r="L244" i="2"/>
  <c r="K244" i="2"/>
  <c r="K33" i="2"/>
  <c r="L33" i="2"/>
  <c r="K283" i="2"/>
  <c r="L283" i="2"/>
  <c r="K98" i="2"/>
  <c r="L98" i="2"/>
  <c r="L260" i="2"/>
  <c r="K260" i="2"/>
  <c r="L135" i="2"/>
  <c r="K135" i="2"/>
  <c r="K18" i="2"/>
  <c r="M18" i="2"/>
  <c r="L18" i="2"/>
  <c r="P18" i="2"/>
  <c r="Q18" i="2" s="1"/>
  <c r="K213" i="2"/>
  <c r="L213" i="2"/>
  <c r="K282" i="2"/>
  <c r="L282" i="2"/>
  <c r="L160" i="2"/>
  <c r="K160" i="2"/>
  <c r="L70" i="2"/>
  <c r="K68" i="2"/>
  <c r="L68" i="2"/>
  <c r="L25" i="3"/>
  <c r="L41" i="3"/>
  <c r="K41" i="3"/>
  <c r="L40" i="3"/>
  <c r="K40" i="3"/>
  <c r="J41" i="3"/>
  <c r="J40" i="3"/>
  <c r="K97" i="2"/>
  <c r="L97" i="2"/>
  <c r="L227" i="2"/>
  <c r="K227" i="2"/>
  <c r="L122" i="2"/>
  <c r="K122" i="2"/>
  <c r="K154" i="2"/>
  <c r="L154" i="2"/>
  <c r="L132" i="2"/>
  <c r="K132" i="2"/>
  <c r="K47" i="2"/>
  <c r="L47" i="2"/>
  <c r="L334" i="2"/>
  <c r="K334" i="2"/>
  <c r="L211" i="2"/>
  <c r="K211" i="2"/>
  <c r="K337" i="2"/>
  <c r="L337" i="2"/>
  <c r="L28" i="2"/>
  <c r="K28" i="2"/>
  <c r="L332" i="2"/>
  <c r="K332" i="2"/>
  <c r="L171" i="2"/>
  <c r="K171" i="2"/>
  <c r="L87" i="2"/>
  <c r="K87" i="2"/>
  <c r="L249" i="2"/>
  <c r="K249" i="2"/>
  <c r="L156" i="2"/>
  <c r="K156" i="2"/>
  <c r="L300" i="2"/>
  <c r="K300" i="2"/>
  <c r="L232" i="2"/>
  <c r="K232" i="2"/>
  <c r="L214" i="2"/>
  <c r="K214" i="2"/>
  <c r="L169" i="2"/>
  <c r="K169" i="2"/>
  <c r="L150" i="2"/>
  <c r="K150" i="2"/>
  <c r="K136" i="2"/>
  <c r="L136" i="2"/>
  <c r="D78" i="2"/>
  <c r="M82" i="2" s="1"/>
  <c r="D66" i="2"/>
  <c r="L117" i="2"/>
  <c r="K117" i="2"/>
  <c r="I30" i="4"/>
  <c r="P30" i="4" s="1"/>
  <c r="B43" i="4"/>
  <c r="I16" i="4"/>
  <c r="P16" i="4"/>
  <c r="B31" i="4"/>
  <c r="D22" i="4"/>
  <c r="E22" i="4"/>
  <c r="C22" i="4"/>
  <c r="D124" i="2"/>
  <c r="D127" i="2" s="1"/>
  <c r="K241" i="2"/>
  <c r="P241" i="2"/>
  <c r="Q241" i="2" s="1"/>
  <c r="L241" i="2"/>
  <c r="L209" i="2"/>
  <c r="K209" i="2"/>
  <c r="L114" i="2"/>
  <c r="K114" i="2"/>
  <c r="L82" i="2"/>
  <c r="K82" i="2"/>
  <c r="L67" i="2"/>
  <c r="K67" i="2"/>
  <c r="L152" i="2"/>
  <c r="K152" i="2"/>
  <c r="L12" i="2"/>
  <c r="K12" i="2"/>
  <c r="P12" i="2"/>
  <c r="Q12" i="2" s="1"/>
  <c r="M12" i="2"/>
  <c r="L279" i="2"/>
  <c r="K279" i="2"/>
  <c r="L102" i="2"/>
  <c r="K102" i="2"/>
  <c r="L106" i="2"/>
  <c r="K106" i="2"/>
  <c r="L23" i="3"/>
  <c r="I24" i="4"/>
  <c r="P24" i="4" s="1"/>
  <c r="B37" i="4"/>
  <c r="K259" i="2"/>
  <c r="L259" i="2"/>
  <c r="L65" i="2"/>
  <c r="K65" i="2"/>
  <c r="L245" i="2"/>
  <c r="K245" i="2"/>
  <c r="P245" i="2"/>
  <c r="Q245" i="2" s="1"/>
  <c r="K104" i="2"/>
  <c r="L104" i="2"/>
  <c r="L204" i="2"/>
  <c r="K204" i="2"/>
  <c r="M49" i="2"/>
  <c r="M222" i="2"/>
  <c r="L13" i="2"/>
  <c r="K13" i="2"/>
  <c r="M13" i="2"/>
  <c r="K262" i="2"/>
  <c r="L262" i="2"/>
  <c r="L175" i="2"/>
  <c r="K175" i="2"/>
  <c r="L265" i="2"/>
  <c r="K265" i="2"/>
  <c r="K134" i="2"/>
  <c r="L134" i="2"/>
  <c r="K225" i="2"/>
  <c r="L225" i="2"/>
  <c r="L69" i="2"/>
  <c r="K69" i="2"/>
  <c r="L267" i="2"/>
  <c r="K267" i="2"/>
  <c r="L210" i="2"/>
  <c r="K210" i="2"/>
  <c r="L246" i="2"/>
  <c r="K246" i="2"/>
  <c r="L88" i="2"/>
  <c r="K88" i="2"/>
  <c r="K250" i="2"/>
  <c r="L250" i="2"/>
  <c r="L159" i="2"/>
  <c r="K159" i="2"/>
  <c r="L338" i="2"/>
  <c r="K338" i="2"/>
  <c r="B73" i="4"/>
  <c r="I60" i="4"/>
  <c r="P60" i="4" s="1"/>
  <c r="A41" i="4"/>
  <c r="H28" i="4"/>
  <c r="O28" i="4" s="1"/>
  <c r="L331" i="2"/>
  <c r="K331" i="2"/>
  <c r="L205" i="2"/>
  <c r="K205" i="2"/>
  <c r="L14" i="2"/>
  <c r="K14" i="2"/>
  <c r="M14" i="2"/>
  <c r="K263" i="2"/>
  <c r="L263" i="2"/>
  <c r="L86" i="2"/>
  <c r="K86" i="2"/>
  <c r="L78" i="2"/>
  <c r="K78" i="2"/>
  <c r="K226" i="2"/>
  <c r="L226" i="2"/>
  <c r="L298" i="2"/>
  <c r="K298" i="2"/>
  <c r="K103" i="2"/>
  <c r="L103" i="2"/>
  <c r="L193" i="2"/>
  <c r="K193" i="2"/>
  <c r="L170" i="2"/>
  <c r="K170" i="2"/>
  <c r="K81" i="2"/>
  <c r="L81" i="2"/>
  <c r="K261" i="2"/>
  <c r="L261" i="2"/>
  <c r="L177" i="2"/>
  <c r="K177" i="2"/>
  <c r="K195" i="2"/>
  <c r="L195" i="2"/>
  <c r="L174" i="2"/>
  <c r="K174" i="2"/>
  <c r="K264" i="2"/>
  <c r="L264" i="2"/>
  <c r="K19" i="2"/>
  <c r="P19" i="2"/>
  <c r="Q19" i="2" s="1"/>
  <c r="M19" i="2"/>
  <c r="L19" i="2"/>
  <c r="K322" i="2"/>
  <c r="L322" i="2"/>
  <c r="R246" i="2" l="1"/>
  <c r="N53" i="2"/>
  <c r="O53" i="2"/>
  <c r="R53" i="2" s="1"/>
  <c r="P53" i="2"/>
  <c r="Q53" i="2" s="1"/>
  <c r="R206" i="2"/>
  <c r="K14" i="5"/>
  <c r="O103" i="2"/>
  <c r="P103" i="2"/>
  <c r="Q103" i="2" s="1"/>
  <c r="R301" i="2"/>
  <c r="O81" i="2"/>
  <c r="R81" i="2" s="1"/>
  <c r="P81" i="2"/>
  <c r="Q81" i="2" s="1"/>
  <c r="O82" i="2"/>
  <c r="R82" i="2" s="1"/>
  <c r="P82" i="2"/>
  <c r="Q82" i="2" s="1"/>
  <c r="A60" i="4"/>
  <c r="H47" i="4"/>
  <c r="O47" i="4" s="1"/>
  <c r="K13" i="5"/>
  <c r="O102" i="2"/>
  <c r="L77" i="2"/>
  <c r="K77" i="2"/>
  <c r="O246" i="2"/>
  <c r="M249" i="2"/>
  <c r="M212" i="2"/>
  <c r="M106" i="2"/>
  <c r="M87" i="2"/>
  <c r="M105" i="2"/>
  <c r="M88" i="2"/>
  <c r="M104" i="2"/>
  <c r="M70" i="2"/>
  <c r="M86" i="2"/>
  <c r="M69" i="2"/>
  <c r="L59" i="2"/>
  <c r="K59" i="2"/>
  <c r="M186" i="2"/>
  <c r="M63" i="2"/>
  <c r="O206" i="2"/>
  <c r="M207" i="2"/>
  <c r="H40" i="4"/>
  <c r="O40" i="4" s="1"/>
  <c r="A53" i="4"/>
  <c r="K33" i="4"/>
  <c r="K46" i="4" s="1"/>
  <c r="K59" i="4" s="1"/>
  <c r="K72" i="4" s="1"/>
  <c r="K85" i="4" s="1"/>
  <c r="K98" i="4" s="1"/>
  <c r="K111" i="4" s="1"/>
  <c r="K124" i="4" s="1"/>
  <c r="K137" i="4" s="1"/>
  <c r="K150" i="4" s="1"/>
  <c r="R20" i="4"/>
  <c r="R33" i="4" s="1"/>
  <c r="R46" i="4" s="1"/>
  <c r="R59" i="4" s="1"/>
  <c r="R72" i="4" s="1"/>
  <c r="R85" i="4" s="1"/>
  <c r="R98" i="4" s="1"/>
  <c r="R111" i="4" s="1"/>
  <c r="R124" i="4" s="1"/>
  <c r="R137" i="4" s="1"/>
  <c r="R150" i="4" s="1"/>
  <c r="N30" i="2"/>
  <c r="O30" i="2"/>
  <c r="R30" i="2" s="1"/>
  <c r="M210" i="2"/>
  <c r="O209" i="2"/>
  <c r="R209" i="2" s="1"/>
  <c r="L203" i="2"/>
  <c r="K203" i="2"/>
  <c r="M304" i="2"/>
  <c r="O301" i="2"/>
  <c r="N10" i="2"/>
  <c r="O10" i="2"/>
  <c r="R10" i="2" s="1"/>
  <c r="E30" i="4"/>
  <c r="E27" i="4"/>
  <c r="L21" i="4" s="1"/>
  <c r="E25" i="4"/>
  <c r="N13" i="2"/>
  <c r="O13" i="2"/>
  <c r="R13" i="2" s="1"/>
  <c r="O17" i="2"/>
  <c r="R17" i="2" s="1"/>
  <c r="N17" i="2"/>
  <c r="O241" i="2"/>
  <c r="R241" i="2" s="1"/>
  <c r="M244" i="2"/>
  <c r="K12" i="5"/>
  <c r="O101" i="2"/>
  <c r="L95" i="2"/>
  <c r="K95" i="2"/>
  <c r="L25" i="2"/>
  <c r="K25" i="2"/>
  <c r="K268" i="2"/>
  <c r="P30" i="2"/>
  <c r="Q30" i="2" s="1"/>
  <c r="K191" i="2"/>
  <c r="O118" i="2"/>
  <c r="R118" i="2" s="1"/>
  <c r="P118" i="2"/>
  <c r="Q118" i="2" s="1"/>
  <c r="P206" i="2"/>
  <c r="Q206" i="2" s="1"/>
  <c r="P246" i="2"/>
  <c r="Q246" i="2" s="1"/>
  <c r="P102" i="2"/>
  <c r="Q102" i="2" s="1"/>
  <c r="O18" i="2"/>
  <c r="R18" i="2" s="1"/>
  <c r="N18" i="2"/>
  <c r="L221" i="2"/>
  <c r="K221" i="2"/>
  <c r="C31" i="4"/>
  <c r="F22" i="4"/>
  <c r="M224" i="2"/>
  <c r="M51" i="2"/>
  <c r="P301" i="2"/>
  <c r="Q301" i="2" s="1"/>
  <c r="A63" i="4"/>
  <c r="H50" i="4"/>
  <c r="O50" i="4" s="1"/>
  <c r="M311" i="2"/>
  <c r="K34" i="2"/>
  <c r="K313" i="2"/>
  <c r="K121" i="2"/>
  <c r="K84" i="2"/>
  <c r="K299" i="2"/>
  <c r="K31" i="2"/>
  <c r="K35" i="2"/>
  <c r="K49" i="2"/>
  <c r="K85" i="2"/>
  <c r="K123" i="2"/>
  <c r="K115" i="2"/>
  <c r="K83" i="2"/>
  <c r="K222" i="2"/>
  <c r="K118" i="2"/>
  <c r="K61" i="2"/>
  <c r="K48" i="2"/>
  <c r="K26" i="2"/>
  <c r="L113" i="2"/>
  <c r="K113" i="2"/>
  <c r="I36" i="4"/>
  <c r="P36" i="4" s="1"/>
  <c r="B49" i="4"/>
  <c r="K80" i="2"/>
  <c r="C30" i="4"/>
  <c r="C27" i="4"/>
  <c r="J22" i="4" s="1"/>
  <c r="J21" i="4"/>
  <c r="C25" i="4"/>
  <c r="F21" i="4"/>
  <c r="M232" i="2"/>
  <c r="O226" i="2"/>
  <c r="R226" i="2" s="1"/>
  <c r="O14" i="2"/>
  <c r="R14" i="2" s="1"/>
  <c r="N14" i="2"/>
  <c r="E31" i="4"/>
  <c r="L22" i="4"/>
  <c r="M278" i="2"/>
  <c r="M279" i="2"/>
  <c r="M280" i="2"/>
  <c r="M170" i="2"/>
  <c r="O9" i="2"/>
  <c r="R9" i="2" s="1"/>
  <c r="N9" i="2"/>
  <c r="B48" i="4"/>
  <c r="I35" i="4"/>
  <c r="P35" i="4" s="1"/>
  <c r="M67" i="2"/>
  <c r="D44" i="2"/>
  <c r="N82" i="2" s="1"/>
  <c r="D54" i="2"/>
  <c r="D77" i="2"/>
  <c r="M33" i="2" s="1"/>
  <c r="D82" i="2"/>
  <c r="M68" i="2" s="1"/>
  <c r="D63" i="2"/>
  <c r="D72" i="2"/>
  <c r="M45" i="2" s="1"/>
  <c r="D47" i="2"/>
  <c r="L149" i="2"/>
  <c r="K149" i="2"/>
  <c r="M114" i="2"/>
  <c r="K105" i="2"/>
  <c r="K224" i="2"/>
  <c r="A62" i="4"/>
  <c r="H49" i="4"/>
  <c r="O49" i="4" s="1"/>
  <c r="M225" i="2"/>
  <c r="M52" i="2"/>
  <c r="K30" i="2"/>
  <c r="D25" i="4"/>
  <c r="D30" i="4"/>
  <c r="D27" i="4"/>
  <c r="K21" i="4" s="1"/>
  <c r="M124" i="2"/>
  <c r="M121" i="2"/>
  <c r="M36" i="2"/>
  <c r="M247" i="2"/>
  <c r="N19" i="2"/>
  <c r="O19" i="2"/>
  <c r="R19" i="2" s="1"/>
  <c r="P13" i="2"/>
  <c r="Q13" i="2" s="1"/>
  <c r="D31" i="4"/>
  <c r="M229" i="2"/>
  <c r="O223" i="2"/>
  <c r="R223" i="2" s="1"/>
  <c r="K301" i="2"/>
  <c r="K278" i="2"/>
  <c r="L42" i="2"/>
  <c r="K42" i="2"/>
  <c r="K167" i="2"/>
  <c r="L167" i="2"/>
  <c r="M29" i="2"/>
  <c r="K336" i="2"/>
  <c r="K100" i="2"/>
  <c r="K137" i="2"/>
  <c r="K294" i="2"/>
  <c r="M35" i="2"/>
  <c r="P14" i="2"/>
  <c r="Q14" i="2" s="1"/>
  <c r="H41" i="4"/>
  <c r="O41" i="4" s="1"/>
  <c r="A54" i="4"/>
  <c r="M228" i="2"/>
  <c r="O222" i="2"/>
  <c r="R222" i="2" s="1"/>
  <c r="N222" i="2"/>
  <c r="P222" i="2"/>
  <c r="Q222" i="2" s="1"/>
  <c r="B50" i="4"/>
  <c r="I37" i="4"/>
  <c r="P37" i="4" s="1"/>
  <c r="I31" i="4"/>
  <c r="P31" i="4" s="1"/>
  <c r="B44" i="4"/>
  <c r="E28" i="4"/>
  <c r="L24" i="4" s="1"/>
  <c r="L23" i="4"/>
  <c r="O16" i="2"/>
  <c r="R16" i="2" s="1"/>
  <c r="N16" i="2"/>
  <c r="K153" i="2"/>
  <c r="K285" i="2"/>
  <c r="K302" i="2"/>
  <c r="N11" i="2"/>
  <c r="O11" i="2"/>
  <c r="R11" i="2" s="1"/>
  <c r="P8" i="2"/>
  <c r="Q8" i="2" s="1"/>
  <c r="M8" i="2"/>
  <c r="L8" i="2"/>
  <c r="K8" i="2"/>
  <c r="K293" i="2"/>
  <c r="L293" i="2"/>
  <c r="M117" i="2"/>
  <c r="K53" i="2"/>
  <c r="K101" i="2"/>
  <c r="M64" i="2"/>
  <c r="M120" i="2"/>
  <c r="M34" i="2"/>
  <c r="L275" i="2"/>
  <c r="K275" i="2"/>
  <c r="D28" i="4"/>
  <c r="K24" i="4" s="1"/>
  <c r="O50" i="2"/>
  <c r="R50" i="2" s="1"/>
  <c r="N50" i="2"/>
  <c r="K50" i="2"/>
  <c r="K96" i="2"/>
  <c r="K335" i="2"/>
  <c r="K62" i="2"/>
  <c r="K266" i="2"/>
  <c r="K120" i="2"/>
  <c r="K178" i="2"/>
  <c r="K315" i="2"/>
  <c r="P11" i="2"/>
  <c r="Q11" i="2" s="1"/>
  <c r="K176" i="2"/>
  <c r="L185" i="2"/>
  <c r="K185" i="2"/>
  <c r="L329" i="2"/>
  <c r="K329" i="2"/>
  <c r="O155" i="2"/>
  <c r="R155" i="2" s="1"/>
  <c r="N155" i="2"/>
  <c r="M156" i="2"/>
  <c r="K207" i="2"/>
  <c r="M80" i="2"/>
  <c r="M248" i="2"/>
  <c r="O245" i="2"/>
  <c r="R245" i="2" s="1"/>
  <c r="B86" i="4"/>
  <c r="I73" i="4"/>
  <c r="P73" i="4" s="1"/>
  <c r="O49" i="2"/>
  <c r="R49" i="2" s="1"/>
  <c r="N49" i="2"/>
  <c r="P49" i="2"/>
  <c r="Q49" i="2" s="1"/>
  <c r="P209" i="2"/>
  <c r="Q209" i="2" s="1"/>
  <c r="K70" i="2"/>
  <c r="K194" i="2"/>
  <c r="C28" i="4"/>
  <c r="F23" i="4"/>
  <c r="J23" i="4"/>
  <c r="K208" i="2"/>
  <c r="K157" i="2"/>
  <c r="A87" i="4"/>
  <c r="H74" i="4"/>
  <c r="O74" i="4" s="1"/>
  <c r="K230" i="2"/>
  <c r="K11" i="2"/>
  <c r="M190" i="2"/>
  <c r="M196" i="2"/>
  <c r="O187" i="2"/>
  <c r="R187" i="2" s="1"/>
  <c r="M193" i="2"/>
  <c r="L131" i="2"/>
  <c r="K131" i="2"/>
  <c r="L311" i="2"/>
  <c r="K311" i="2"/>
  <c r="M243" i="2"/>
  <c r="N240" i="2"/>
  <c r="O240" i="2"/>
  <c r="R240" i="2" s="1"/>
  <c r="M300" i="2"/>
  <c r="K192" i="2"/>
  <c r="K36" i="2"/>
  <c r="K281" i="2"/>
  <c r="P101" i="2"/>
  <c r="Q101" i="2" s="1"/>
  <c r="M122" i="2"/>
  <c r="N12" i="2"/>
  <c r="O12" i="2"/>
  <c r="R12" i="2" s="1"/>
  <c r="I43" i="4"/>
  <c r="P43" i="4" s="1"/>
  <c r="B56" i="4"/>
  <c r="J24" i="4"/>
  <c r="F24" i="4"/>
  <c r="P115" i="2"/>
  <c r="Q115" i="2" s="1"/>
  <c r="O115" i="2"/>
  <c r="R115" i="2" s="1"/>
  <c r="K212" i="2"/>
  <c r="M66" i="2"/>
  <c r="K239" i="2"/>
  <c r="L239" i="2"/>
  <c r="L257" i="2"/>
  <c r="K257" i="2"/>
  <c r="N15" i="2"/>
  <c r="O15" i="2"/>
  <c r="R15" i="2" s="1"/>
  <c r="K189" i="2"/>
  <c r="K139" i="2"/>
  <c r="K196" i="2"/>
  <c r="M123" i="2"/>
  <c r="O33" i="2" l="1"/>
  <c r="R33" i="2" s="1"/>
  <c r="N33" i="2"/>
  <c r="P33" i="2"/>
  <c r="Q33" i="2" s="1"/>
  <c r="S21" i="4"/>
  <c r="L30" i="4"/>
  <c r="S23" i="4" s="1"/>
  <c r="L27" i="4"/>
  <c r="L25" i="4"/>
  <c r="K30" i="4"/>
  <c r="R21" i="4" s="1"/>
  <c r="N68" i="2"/>
  <c r="O68" i="2"/>
  <c r="R68" i="2" s="1"/>
  <c r="P68" i="2"/>
  <c r="Q68" i="2" s="1"/>
  <c r="O45" i="2"/>
  <c r="R45" i="2" s="1"/>
  <c r="N45" i="2"/>
  <c r="P45" i="2"/>
  <c r="Q45" i="2" s="1"/>
  <c r="J31" i="4"/>
  <c r="Q24" i="4" s="1"/>
  <c r="M113" i="2"/>
  <c r="M28" i="2"/>
  <c r="M116" i="2"/>
  <c r="E54" i="2"/>
  <c r="M239" i="2"/>
  <c r="M25" i="2"/>
  <c r="D60" i="2"/>
  <c r="M98" i="2"/>
  <c r="N114" i="2"/>
  <c r="O114" i="2"/>
  <c r="R114" i="2" s="1"/>
  <c r="P114" i="2"/>
  <c r="Q114" i="2" s="1"/>
  <c r="N67" i="2"/>
  <c r="O67" i="2"/>
  <c r="R67" i="2" s="1"/>
  <c r="P67" i="2"/>
  <c r="Q67" i="2" s="1"/>
  <c r="L13" i="5"/>
  <c r="R102" i="2"/>
  <c r="N241" i="2"/>
  <c r="K17" i="5"/>
  <c r="O106" i="2"/>
  <c r="N106" i="2"/>
  <c r="P106" i="2"/>
  <c r="Q106" i="2" s="1"/>
  <c r="N81" i="2"/>
  <c r="N103" i="2"/>
  <c r="N196" i="2"/>
  <c r="O196" i="2"/>
  <c r="R196" i="2" s="1"/>
  <c r="P196" i="2"/>
  <c r="Q196" i="2" s="1"/>
  <c r="N190" i="2"/>
  <c r="O190" i="2"/>
  <c r="R190" i="2" s="1"/>
  <c r="P190" i="2"/>
  <c r="Q190" i="2" s="1"/>
  <c r="N229" i="2"/>
  <c r="O229" i="2"/>
  <c r="R229" i="2" s="1"/>
  <c r="P229" i="2"/>
  <c r="Q229" i="2" s="1"/>
  <c r="O311" i="2"/>
  <c r="R311" i="2" s="1"/>
  <c r="M312" i="2"/>
  <c r="N311" i="2"/>
  <c r="M211" i="2"/>
  <c r="O210" i="2"/>
  <c r="R210" i="2" s="1"/>
  <c r="N210" i="2"/>
  <c r="P210" i="2"/>
  <c r="Q210" i="2" s="1"/>
  <c r="M266" i="2"/>
  <c r="L28" i="4"/>
  <c r="N226" i="2"/>
  <c r="M213" i="2"/>
  <c r="O212" i="2"/>
  <c r="R212" i="2" s="1"/>
  <c r="N212" i="2"/>
  <c r="P212" i="2"/>
  <c r="Q212" i="2" s="1"/>
  <c r="M157" i="2"/>
  <c r="O156" i="2"/>
  <c r="R156" i="2" s="1"/>
  <c r="N156" i="2"/>
  <c r="P156" i="2"/>
  <c r="Q156" i="2" s="1"/>
  <c r="L31" i="4"/>
  <c r="S22" i="4" s="1"/>
  <c r="N102" i="2"/>
  <c r="H63" i="4"/>
  <c r="O63" i="4" s="1"/>
  <c r="A76" i="4"/>
  <c r="O244" i="2"/>
  <c r="R244" i="2" s="1"/>
  <c r="N244" i="2"/>
  <c r="P244" i="2"/>
  <c r="Q244" i="2" s="1"/>
  <c r="O87" i="2"/>
  <c r="R87" i="2" s="1"/>
  <c r="N87" i="2"/>
  <c r="P87" i="2"/>
  <c r="Q87" i="2" s="1"/>
  <c r="O123" i="2"/>
  <c r="R123" i="2" s="1"/>
  <c r="N123" i="2"/>
  <c r="P123" i="2"/>
  <c r="Q123" i="2" s="1"/>
  <c r="N122" i="2"/>
  <c r="O122" i="2"/>
  <c r="R122" i="2" s="1"/>
  <c r="P122" i="2"/>
  <c r="Q122" i="2" s="1"/>
  <c r="O34" i="2"/>
  <c r="R34" i="2" s="1"/>
  <c r="N34" i="2"/>
  <c r="P34" i="2"/>
  <c r="Q34" i="2" s="1"/>
  <c r="O35" i="2"/>
  <c r="R35" i="2" s="1"/>
  <c r="N35" i="2"/>
  <c r="P35" i="2"/>
  <c r="Q35" i="2" s="1"/>
  <c r="M46" i="2"/>
  <c r="N51" i="2"/>
  <c r="O51" i="2"/>
  <c r="R51" i="2" s="1"/>
  <c r="P51" i="2"/>
  <c r="Q51" i="2" s="1"/>
  <c r="N301" i="2"/>
  <c r="A66" i="4"/>
  <c r="H53" i="4"/>
  <c r="O53" i="4" s="1"/>
  <c r="A73" i="4"/>
  <c r="H60" i="4"/>
  <c r="O60" i="4" s="1"/>
  <c r="B69" i="4"/>
  <c r="I56" i="4"/>
  <c r="P56" i="4" s="1"/>
  <c r="A67" i="4"/>
  <c r="H54" i="4"/>
  <c r="O54" i="4" s="1"/>
  <c r="B61" i="4"/>
  <c r="I48" i="4"/>
  <c r="P48" i="4" s="1"/>
  <c r="N304" i="2"/>
  <c r="O304" i="2"/>
  <c r="R304" i="2" s="1"/>
  <c r="P304" i="2"/>
  <c r="Q304" i="2" s="1"/>
  <c r="N66" i="2"/>
  <c r="O66" i="2"/>
  <c r="R66" i="2" s="1"/>
  <c r="P66" i="2"/>
  <c r="Q66" i="2" s="1"/>
  <c r="N120" i="2"/>
  <c r="O120" i="2"/>
  <c r="R120" i="2" s="1"/>
  <c r="P120" i="2"/>
  <c r="Q120" i="2" s="1"/>
  <c r="N52" i="2"/>
  <c r="O52" i="2"/>
  <c r="R52" i="2" s="1"/>
  <c r="P52" i="2"/>
  <c r="Q52" i="2" s="1"/>
  <c r="O232" i="2"/>
  <c r="R232" i="2" s="1"/>
  <c r="N232" i="2"/>
  <c r="P232" i="2"/>
  <c r="Q232" i="2" s="1"/>
  <c r="O69" i="2"/>
  <c r="R69" i="2" s="1"/>
  <c r="N69" i="2"/>
  <c r="P69" i="2"/>
  <c r="Q69" i="2" s="1"/>
  <c r="N249" i="2"/>
  <c r="O249" i="2"/>
  <c r="R249" i="2" s="1"/>
  <c r="P249" i="2"/>
  <c r="Q249" i="2" s="1"/>
  <c r="M192" i="2"/>
  <c r="M195" i="2"/>
  <c r="M189" i="2"/>
  <c r="O186" i="2"/>
  <c r="R186" i="2" s="1"/>
  <c r="N186" i="2"/>
  <c r="P186" i="2"/>
  <c r="Q186" i="2" s="1"/>
  <c r="N228" i="2"/>
  <c r="O228" i="2"/>
  <c r="R228" i="2" s="1"/>
  <c r="P228" i="2"/>
  <c r="Q228" i="2" s="1"/>
  <c r="I49" i="4"/>
  <c r="P49" i="4" s="1"/>
  <c r="B62" i="4"/>
  <c r="A100" i="4"/>
  <c r="H87" i="4"/>
  <c r="O87" i="4" s="1"/>
  <c r="B99" i="4"/>
  <c r="I86" i="4"/>
  <c r="P86" i="4" s="1"/>
  <c r="I44" i="4"/>
  <c r="P44" i="4" s="1"/>
  <c r="B57" i="4"/>
  <c r="O64" i="2"/>
  <c r="R64" i="2" s="1"/>
  <c r="N64" i="2"/>
  <c r="P64" i="2"/>
  <c r="Q64" i="2" s="1"/>
  <c r="N8" i="2"/>
  <c r="O8" i="2"/>
  <c r="R8" i="2" s="1"/>
  <c r="R20" i="2" s="1"/>
  <c r="U7" i="2" s="1"/>
  <c r="B107" i="2" s="1"/>
  <c r="M141" i="2"/>
  <c r="N247" i="2"/>
  <c r="M250" i="2"/>
  <c r="O247" i="2"/>
  <c r="R247" i="2" s="1"/>
  <c r="P247" i="2"/>
  <c r="Q247" i="2" s="1"/>
  <c r="M96" i="2"/>
  <c r="M203" i="2"/>
  <c r="M59" i="2"/>
  <c r="M97" i="2"/>
  <c r="M79" i="2"/>
  <c r="M78" i="2"/>
  <c r="M77" i="2"/>
  <c r="M60" i="2"/>
  <c r="E47" i="2"/>
  <c r="M95" i="2"/>
  <c r="M61" i="2"/>
  <c r="D51" i="2"/>
  <c r="F25" i="4"/>
  <c r="M230" i="2"/>
  <c r="O224" i="2"/>
  <c r="R224" i="2" s="1"/>
  <c r="N224" i="2"/>
  <c r="P224" i="2"/>
  <c r="Q224" i="2" s="1"/>
  <c r="N206" i="2"/>
  <c r="O86" i="2"/>
  <c r="R86" i="2" s="1"/>
  <c r="N86" i="2"/>
  <c r="P86" i="2"/>
  <c r="Q86" i="2" s="1"/>
  <c r="N246" i="2"/>
  <c r="P311" i="2"/>
  <c r="Q311" i="2" s="1"/>
  <c r="K16" i="5"/>
  <c r="N105" i="2"/>
  <c r="O105" i="2"/>
  <c r="P105" i="2"/>
  <c r="Q105" i="2" s="1"/>
  <c r="O225" i="2"/>
  <c r="R225" i="2" s="1"/>
  <c r="M231" i="2"/>
  <c r="N225" i="2"/>
  <c r="P225" i="2"/>
  <c r="Q225" i="2" s="1"/>
  <c r="M136" i="2"/>
  <c r="M131" i="2"/>
  <c r="M293" i="2"/>
  <c r="M294" i="2"/>
  <c r="E72" i="2"/>
  <c r="M135" i="2"/>
  <c r="M133" i="2"/>
  <c r="M295" i="2"/>
  <c r="M260" i="2"/>
  <c r="M257" i="2"/>
  <c r="M149" i="2"/>
  <c r="M132" i="2"/>
  <c r="M134" i="2"/>
  <c r="D74" i="2"/>
  <c r="M100" i="2"/>
  <c r="M43" i="2"/>
  <c r="M44" i="2"/>
  <c r="M47" i="2"/>
  <c r="M99" i="2"/>
  <c r="N170" i="2"/>
  <c r="M171" i="2"/>
  <c r="O170" i="2"/>
  <c r="R170" i="2" s="1"/>
  <c r="M176" i="2"/>
  <c r="P170" i="2"/>
  <c r="Q170" i="2" s="1"/>
  <c r="M208" i="2"/>
  <c r="N207" i="2"/>
  <c r="O207" i="2"/>
  <c r="R207" i="2" s="1"/>
  <c r="P207" i="2"/>
  <c r="Q207" i="2" s="1"/>
  <c r="O243" i="2"/>
  <c r="R243" i="2" s="1"/>
  <c r="N243" i="2"/>
  <c r="P243" i="2"/>
  <c r="Q243" i="2" s="1"/>
  <c r="L12" i="5"/>
  <c r="R101" i="2"/>
  <c r="O88" i="2"/>
  <c r="R88" i="2" s="1"/>
  <c r="N88" i="2"/>
  <c r="P88" i="2"/>
  <c r="Q88" i="2" s="1"/>
  <c r="N187" i="2"/>
  <c r="K22" i="4"/>
  <c r="L14" i="5"/>
  <c r="R103" i="2"/>
  <c r="J28" i="4"/>
  <c r="N245" i="2"/>
  <c r="N115" i="2"/>
  <c r="N300" i="2"/>
  <c r="M303" i="2"/>
  <c r="O300" i="2"/>
  <c r="R300" i="2" s="1"/>
  <c r="P300" i="2"/>
  <c r="Q300" i="2" s="1"/>
  <c r="O193" i="2"/>
  <c r="R193" i="2" s="1"/>
  <c r="N193" i="2"/>
  <c r="P193" i="2"/>
  <c r="Q193" i="2" s="1"/>
  <c r="N248" i="2"/>
  <c r="O248" i="2"/>
  <c r="R248" i="2" s="1"/>
  <c r="P248" i="2"/>
  <c r="Q248" i="2" s="1"/>
  <c r="B63" i="4"/>
  <c r="I50" i="4"/>
  <c r="P50" i="4" s="1"/>
  <c r="O36" i="2"/>
  <c r="R36" i="2" s="1"/>
  <c r="N36" i="2"/>
  <c r="P36" i="2"/>
  <c r="Q36" i="2" s="1"/>
  <c r="M140" i="2"/>
  <c r="M221" i="2"/>
  <c r="E63" i="2"/>
  <c r="D69" i="2"/>
  <c r="M42" i="2"/>
  <c r="M48" i="2"/>
  <c r="M83" i="2"/>
  <c r="M119" i="2"/>
  <c r="M286" i="2"/>
  <c r="O280" i="2"/>
  <c r="R280" i="2" s="1"/>
  <c r="N280" i="2"/>
  <c r="P280" i="2"/>
  <c r="Q280" i="2" s="1"/>
  <c r="J30" i="4"/>
  <c r="Q23" i="4" s="1"/>
  <c r="Q21" i="4"/>
  <c r="J27" i="4"/>
  <c r="M21" i="4"/>
  <c r="J25" i="4"/>
  <c r="M24" i="4"/>
  <c r="O80" i="2"/>
  <c r="R80" i="2" s="1"/>
  <c r="N80" i="2"/>
  <c r="P80" i="2"/>
  <c r="Q80" i="2" s="1"/>
  <c r="M142" i="2"/>
  <c r="N223" i="2"/>
  <c r="N121" i="2"/>
  <c r="O121" i="2"/>
  <c r="R121" i="2" s="1"/>
  <c r="P121" i="2"/>
  <c r="Q121" i="2" s="1"/>
  <c r="E82" i="2"/>
  <c r="D85" i="2"/>
  <c r="M185" i="2"/>
  <c r="M299" i="2"/>
  <c r="M65" i="2"/>
  <c r="M62" i="2"/>
  <c r="N279" i="2"/>
  <c r="M285" i="2"/>
  <c r="O279" i="2"/>
  <c r="R279" i="2" s="1"/>
  <c r="P279" i="2"/>
  <c r="Q279" i="2" s="1"/>
  <c r="N118" i="2"/>
  <c r="N209" i="2"/>
  <c r="O63" i="2"/>
  <c r="R63" i="2" s="1"/>
  <c r="N63" i="2"/>
  <c r="P63" i="2"/>
  <c r="Q63" i="2" s="1"/>
  <c r="O70" i="2"/>
  <c r="R70" i="2" s="1"/>
  <c r="N70" i="2"/>
  <c r="P70" i="2"/>
  <c r="Q70" i="2" s="1"/>
  <c r="K23" i="4"/>
  <c r="O117" i="2"/>
  <c r="R117" i="2" s="1"/>
  <c r="N117" i="2"/>
  <c r="P117" i="2"/>
  <c r="Q117" i="2" s="1"/>
  <c r="N29" i="2"/>
  <c r="O29" i="2"/>
  <c r="R29" i="2" s="1"/>
  <c r="P29" i="2"/>
  <c r="Q29" i="2" s="1"/>
  <c r="O124" i="2"/>
  <c r="R124" i="2" s="1"/>
  <c r="N124" i="2"/>
  <c r="P124" i="2"/>
  <c r="Q124" i="2" s="1"/>
  <c r="A75" i="4"/>
  <c r="H62" i="4"/>
  <c r="O62" i="4" s="1"/>
  <c r="M277" i="2"/>
  <c r="M275" i="2"/>
  <c r="M276" i="2"/>
  <c r="M167" i="2"/>
  <c r="D79" i="2"/>
  <c r="E77" i="2"/>
  <c r="M32" i="2"/>
  <c r="M84" i="2"/>
  <c r="M31" i="2"/>
  <c r="M137" i="2"/>
  <c r="M139" i="2"/>
  <c r="M26" i="2"/>
  <c r="M85" i="2"/>
  <c r="M138" i="2"/>
  <c r="M27" i="2"/>
  <c r="M263" i="2"/>
  <c r="N278" i="2"/>
  <c r="O278" i="2"/>
  <c r="R278" i="2" s="1"/>
  <c r="M284" i="2"/>
  <c r="P278" i="2"/>
  <c r="Q278" i="2" s="1"/>
  <c r="N101" i="2"/>
  <c r="O104" i="2"/>
  <c r="N104" i="2"/>
  <c r="K15" i="5"/>
  <c r="P104" i="2"/>
  <c r="Q104" i="2" s="1"/>
  <c r="T23" i="4" l="1"/>
  <c r="C36" i="4" s="1"/>
  <c r="Q28" i="4"/>
  <c r="S31" i="4"/>
  <c r="E36" i="4"/>
  <c r="T24" i="4"/>
  <c r="C37" i="4" s="1"/>
  <c r="R22" i="4"/>
  <c r="R27" i="4" s="1"/>
  <c r="K31" i="4"/>
  <c r="R24" i="4" s="1"/>
  <c r="K27" i="4"/>
  <c r="Q30" i="4"/>
  <c r="T21" i="4"/>
  <c r="E34" i="4" s="1"/>
  <c r="O134" i="2"/>
  <c r="R134" i="2" s="1"/>
  <c r="N134" i="2"/>
  <c r="P134" i="2"/>
  <c r="Q134" i="2" s="1"/>
  <c r="N60" i="2"/>
  <c r="O60" i="2"/>
  <c r="R60" i="2" s="1"/>
  <c r="P60" i="2"/>
  <c r="Q60" i="2" s="1"/>
  <c r="N27" i="2"/>
  <c r="O27" i="2"/>
  <c r="R27" i="2" s="1"/>
  <c r="P27" i="2"/>
  <c r="Q27" i="2" s="1"/>
  <c r="K11" i="5"/>
  <c r="O100" i="2"/>
  <c r="N100" i="2"/>
  <c r="P100" i="2"/>
  <c r="Q100" i="2" s="1"/>
  <c r="S27" i="4"/>
  <c r="S30" i="4"/>
  <c r="S25" i="4"/>
  <c r="B75" i="4"/>
  <c r="I62" i="4"/>
  <c r="P62" i="4" s="1"/>
  <c r="N293" i="2"/>
  <c r="O293" i="2"/>
  <c r="R293" i="2" s="1"/>
  <c r="M296" i="2"/>
  <c r="P293" i="2"/>
  <c r="Q293" i="2" s="1"/>
  <c r="N250" i="2"/>
  <c r="O250" i="2"/>
  <c r="R250" i="2" s="1"/>
  <c r="P250" i="2"/>
  <c r="Q250" i="2" s="1"/>
  <c r="N46" i="2"/>
  <c r="O46" i="2"/>
  <c r="R46" i="2" s="1"/>
  <c r="P46" i="2"/>
  <c r="Q46" i="2" s="1"/>
  <c r="N131" i="2"/>
  <c r="O131" i="2"/>
  <c r="R131" i="2" s="1"/>
  <c r="P131" i="2"/>
  <c r="Q131" i="2" s="1"/>
  <c r="O140" i="2"/>
  <c r="R140" i="2" s="1"/>
  <c r="N140" i="2"/>
  <c r="P140" i="2"/>
  <c r="Q140" i="2" s="1"/>
  <c r="O136" i="2"/>
  <c r="R136" i="2" s="1"/>
  <c r="N136" i="2"/>
  <c r="P136" i="2"/>
  <c r="Q136" i="2" s="1"/>
  <c r="N276" i="2"/>
  <c r="M282" i="2"/>
  <c r="O276" i="2"/>
  <c r="R276" i="2" s="1"/>
  <c r="P276" i="2"/>
  <c r="Q276" i="2" s="1"/>
  <c r="O149" i="2"/>
  <c r="R149" i="2" s="1"/>
  <c r="N149" i="2"/>
  <c r="M150" i="2"/>
  <c r="P149" i="2"/>
  <c r="Q149" i="2" s="1"/>
  <c r="O78" i="2"/>
  <c r="R78" i="2" s="1"/>
  <c r="N78" i="2"/>
  <c r="P78" i="2"/>
  <c r="Q78" i="2" s="1"/>
  <c r="M22" i="4"/>
  <c r="O28" i="2"/>
  <c r="R28" i="2" s="1"/>
  <c r="N28" i="2"/>
  <c r="P28" i="2"/>
  <c r="Q28" i="2" s="1"/>
  <c r="O141" i="2"/>
  <c r="R141" i="2" s="1"/>
  <c r="N141" i="2"/>
  <c r="P141" i="2"/>
  <c r="Q141" i="2" s="1"/>
  <c r="O142" i="2"/>
  <c r="R142" i="2" s="1"/>
  <c r="N142" i="2"/>
  <c r="P142" i="2"/>
  <c r="Q142" i="2" s="1"/>
  <c r="O116" i="2"/>
  <c r="R116" i="2" s="1"/>
  <c r="N116" i="2"/>
  <c r="P116" i="2"/>
  <c r="Q116" i="2" s="1"/>
  <c r="O221" i="2"/>
  <c r="R221" i="2" s="1"/>
  <c r="N221" i="2"/>
  <c r="M227" i="2"/>
  <c r="P221" i="2"/>
  <c r="Q221" i="2" s="1"/>
  <c r="M173" i="2"/>
  <c r="N167" i="2"/>
  <c r="M168" i="2"/>
  <c r="O167" i="2"/>
  <c r="R167" i="2" s="1"/>
  <c r="P167" i="2"/>
  <c r="Q167" i="2" s="1"/>
  <c r="O132" i="2"/>
  <c r="R132" i="2" s="1"/>
  <c r="N132" i="2"/>
  <c r="P132" i="2"/>
  <c r="Q132" i="2" s="1"/>
  <c r="N77" i="2"/>
  <c r="O77" i="2"/>
  <c r="R77" i="2" s="1"/>
  <c r="P77" i="2"/>
  <c r="Q77" i="2" s="1"/>
  <c r="B82" i="4"/>
  <c r="I69" i="4"/>
  <c r="P69" i="4" s="1"/>
  <c r="N157" i="2"/>
  <c r="M158" i="2"/>
  <c r="O157" i="2"/>
  <c r="R157" i="2" s="1"/>
  <c r="P157" i="2"/>
  <c r="Q157" i="2" s="1"/>
  <c r="N211" i="2"/>
  <c r="O211" i="2"/>
  <c r="R211" i="2" s="1"/>
  <c r="P211" i="2"/>
  <c r="Q211" i="2" s="1"/>
  <c r="O138" i="2"/>
  <c r="R138" i="2" s="1"/>
  <c r="N138" i="2"/>
  <c r="P138" i="2"/>
  <c r="Q138" i="2" s="1"/>
  <c r="O275" i="2"/>
  <c r="R275" i="2" s="1"/>
  <c r="M281" i="2"/>
  <c r="N275" i="2"/>
  <c r="P275" i="2"/>
  <c r="Q275" i="2" s="1"/>
  <c r="O285" i="2"/>
  <c r="R285" i="2" s="1"/>
  <c r="N285" i="2"/>
  <c r="P285" i="2"/>
  <c r="Q285" i="2" s="1"/>
  <c r="N303" i="2"/>
  <c r="O303" i="2"/>
  <c r="R303" i="2" s="1"/>
  <c r="P303" i="2"/>
  <c r="Q303" i="2" s="1"/>
  <c r="O176" i="2"/>
  <c r="R176" i="2" s="1"/>
  <c r="N176" i="2"/>
  <c r="M177" i="2"/>
  <c r="P176" i="2"/>
  <c r="Q176" i="2" s="1"/>
  <c r="K25" i="4"/>
  <c r="O85" i="2"/>
  <c r="R85" i="2" s="1"/>
  <c r="N85" i="2"/>
  <c r="P85" i="2"/>
  <c r="Q85" i="2" s="1"/>
  <c r="N277" i="2"/>
  <c r="M283" i="2"/>
  <c r="O277" i="2"/>
  <c r="R277" i="2" s="1"/>
  <c r="P277" i="2"/>
  <c r="Q277" i="2" s="1"/>
  <c r="K28" i="4"/>
  <c r="R23" i="4"/>
  <c r="R30" i="4" s="1"/>
  <c r="N257" i="2"/>
  <c r="O257" i="2"/>
  <c r="R257" i="2" s="1"/>
  <c r="M258" i="2"/>
  <c r="P257" i="2"/>
  <c r="Q257" i="2" s="1"/>
  <c r="N231" i="2"/>
  <c r="O231" i="2"/>
  <c r="R231" i="2" s="1"/>
  <c r="P231" i="2"/>
  <c r="Q231" i="2" s="1"/>
  <c r="O79" i="2"/>
  <c r="R79" i="2" s="1"/>
  <c r="N79" i="2"/>
  <c r="P79" i="2"/>
  <c r="Q79" i="2" s="1"/>
  <c r="A86" i="4"/>
  <c r="H73" i="4"/>
  <c r="O73" i="4" s="1"/>
  <c r="N312" i="2"/>
  <c r="O312" i="2"/>
  <c r="R312" i="2" s="1"/>
  <c r="M313" i="2"/>
  <c r="P312" i="2"/>
  <c r="Q312" i="2" s="1"/>
  <c r="Q22" i="4"/>
  <c r="N26" i="2"/>
  <c r="P26" i="2"/>
  <c r="Q26" i="2" s="1"/>
  <c r="O26" i="2"/>
  <c r="R26" i="2" s="1"/>
  <c r="N62" i="2"/>
  <c r="O62" i="2"/>
  <c r="R62" i="2" s="1"/>
  <c r="P62" i="2"/>
  <c r="Q62" i="2" s="1"/>
  <c r="O286" i="2"/>
  <c r="R286" i="2" s="1"/>
  <c r="N286" i="2"/>
  <c r="P286" i="2"/>
  <c r="Q286" i="2" s="1"/>
  <c r="N171" i="2"/>
  <c r="M172" i="2"/>
  <c r="O171" i="2"/>
  <c r="R171" i="2" s="1"/>
  <c r="P171" i="2"/>
  <c r="Q171" i="2" s="1"/>
  <c r="O260" i="2"/>
  <c r="R260" i="2" s="1"/>
  <c r="M261" i="2"/>
  <c r="N260" i="2"/>
  <c r="P260" i="2"/>
  <c r="Q260" i="2" s="1"/>
  <c r="K8" i="5"/>
  <c r="N97" i="2"/>
  <c r="O97" i="2"/>
  <c r="P97" i="2"/>
  <c r="Q97" i="2" s="1"/>
  <c r="N139" i="2"/>
  <c r="O139" i="2"/>
  <c r="R139" i="2" s="1"/>
  <c r="P139" i="2"/>
  <c r="Q139" i="2" s="1"/>
  <c r="A88" i="4"/>
  <c r="H75" i="4"/>
  <c r="O75" i="4" s="1"/>
  <c r="O65" i="2"/>
  <c r="R65" i="2" s="1"/>
  <c r="N65" i="2"/>
  <c r="P65" i="2"/>
  <c r="Q65" i="2" s="1"/>
  <c r="N119" i="2"/>
  <c r="O119" i="2"/>
  <c r="R119" i="2" s="1"/>
  <c r="P119" i="2"/>
  <c r="Q119" i="2" s="1"/>
  <c r="B76" i="4"/>
  <c r="I63" i="4"/>
  <c r="P63" i="4" s="1"/>
  <c r="O295" i="2"/>
  <c r="R295" i="2" s="1"/>
  <c r="M298" i="2"/>
  <c r="N295" i="2"/>
  <c r="P295" i="2"/>
  <c r="Q295" i="2" s="1"/>
  <c r="N59" i="2"/>
  <c r="O59" i="2"/>
  <c r="R59" i="2" s="1"/>
  <c r="P59" i="2"/>
  <c r="Q59" i="2" s="1"/>
  <c r="A79" i="4"/>
  <c r="H66" i="4"/>
  <c r="O66" i="4" s="1"/>
  <c r="A89" i="4"/>
  <c r="H76" i="4"/>
  <c r="O76" i="4" s="1"/>
  <c r="M214" i="2"/>
  <c r="O213" i="2"/>
  <c r="R213" i="2" s="1"/>
  <c r="N213" i="2"/>
  <c r="P213" i="2"/>
  <c r="Q213" i="2" s="1"/>
  <c r="K9" i="5"/>
  <c r="O98" i="2"/>
  <c r="N98" i="2"/>
  <c r="P98" i="2"/>
  <c r="Q98" i="2" s="1"/>
  <c r="L15" i="5"/>
  <c r="R104" i="2"/>
  <c r="N137" i="2"/>
  <c r="O137" i="2"/>
  <c r="R137" i="2" s="1"/>
  <c r="P137" i="2"/>
  <c r="Q137" i="2" s="1"/>
  <c r="N299" i="2"/>
  <c r="M302" i="2"/>
  <c r="O299" i="2"/>
  <c r="R299" i="2" s="1"/>
  <c r="P299" i="2"/>
  <c r="Q299" i="2" s="1"/>
  <c r="O83" i="2"/>
  <c r="R83" i="2" s="1"/>
  <c r="N83" i="2"/>
  <c r="P83" i="2"/>
  <c r="Q83" i="2" s="1"/>
  <c r="K10" i="5"/>
  <c r="O99" i="2"/>
  <c r="N99" i="2"/>
  <c r="P99" i="2"/>
  <c r="Q99" i="2" s="1"/>
  <c r="O133" i="2"/>
  <c r="R133" i="2" s="1"/>
  <c r="N133" i="2"/>
  <c r="P133" i="2"/>
  <c r="Q133" i="2" s="1"/>
  <c r="L16" i="5"/>
  <c r="O10" i="5" s="1"/>
  <c r="R105" i="2"/>
  <c r="O230" i="2"/>
  <c r="R230" i="2" s="1"/>
  <c r="N230" i="2"/>
  <c r="P230" i="2"/>
  <c r="Q230" i="2" s="1"/>
  <c r="O203" i="2"/>
  <c r="R203" i="2" s="1"/>
  <c r="N203" i="2"/>
  <c r="M204" i="2"/>
  <c r="P203" i="2"/>
  <c r="Q203" i="2" s="1"/>
  <c r="B70" i="4"/>
  <c r="I57" i="4"/>
  <c r="P57" i="4" s="1"/>
  <c r="L17" i="5"/>
  <c r="O6" i="5" s="1"/>
  <c r="O8" i="5" s="1"/>
  <c r="R106" i="2"/>
  <c r="E58" i="2"/>
  <c r="E65" i="2"/>
  <c r="E55" i="2"/>
  <c r="E84" i="2"/>
  <c r="E64" i="2"/>
  <c r="E73" i="2"/>
  <c r="E57" i="2"/>
  <c r="E68" i="2"/>
  <c r="E56" i="2"/>
  <c r="E83" i="2"/>
  <c r="E78" i="2"/>
  <c r="E67" i="2"/>
  <c r="E59" i="2"/>
  <c r="E66" i="2"/>
  <c r="O31" i="2"/>
  <c r="R31" i="2" s="1"/>
  <c r="N31" i="2"/>
  <c r="P31" i="2"/>
  <c r="Q31" i="2" s="1"/>
  <c r="N185" i="2"/>
  <c r="M191" i="2"/>
  <c r="O185" i="2"/>
  <c r="R185" i="2" s="1"/>
  <c r="M188" i="2"/>
  <c r="M194" i="2"/>
  <c r="P185" i="2"/>
  <c r="Q185" i="2" s="1"/>
  <c r="O48" i="2"/>
  <c r="R48" i="2" s="1"/>
  <c r="N48" i="2"/>
  <c r="P48" i="2"/>
  <c r="Q48" i="2" s="1"/>
  <c r="M23" i="4"/>
  <c r="O47" i="2"/>
  <c r="R47" i="2" s="1"/>
  <c r="N47" i="2"/>
  <c r="P47" i="2"/>
  <c r="Q47" i="2" s="1"/>
  <c r="O135" i="2"/>
  <c r="R135" i="2" s="1"/>
  <c r="N135" i="2"/>
  <c r="P135" i="2"/>
  <c r="Q135" i="2" s="1"/>
  <c r="K7" i="5"/>
  <c r="O96" i="2"/>
  <c r="N96" i="2"/>
  <c r="P96" i="2"/>
  <c r="Q96" i="2" s="1"/>
  <c r="N25" i="2"/>
  <c r="O25" i="2"/>
  <c r="R25" i="2" s="1"/>
  <c r="P25" i="2"/>
  <c r="Q25" i="2" s="1"/>
  <c r="S24" i="4"/>
  <c r="S28" i="4" s="1"/>
  <c r="K6" i="5"/>
  <c r="O95" i="2"/>
  <c r="N95" i="2"/>
  <c r="P95" i="2"/>
  <c r="Q95" i="2" s="1"/>
  <c r="O192" i="2"/>
  <c r="R192" i="2" s="1"/>
  <c r="N192" i="2"/>
  <c r="P192" i="2"/>
  <c r="Q192" i="2" s="1"/>
  <c r="A80" i="4"/>
  <c r="H67" i="4"/>
  <c r="O67" i="4" s="1"/>
  <c r="N208" i="2"/>
  <c r="O208" i="2"/>
  <c r="R208" i="2" s="1"/>
  <c r="P208" i="2"/>
  <c r="Q208" i="2" s="1"/>
  <c r="O84" i="2"/>
  <c r="R84" i="2" s="1"/>
  <c r="N84" i="2"/>
  <c r="P84" i="2"/>
  <c r="Q84" i="2" s="1"/>
  <c r="O42" i="2"/>
  <c r="R42" i="2" s="1"/>
  <c r="N42" i="2"/>
  <c r="P42" i="2"/>
  <c r="Q42" i="2" s="1"/>
  <c r="N44" i="2"/>
  <c r="O44" i="2"/>
  <c r="R44" i="2" s="1"/>
  <c r="P44" i="2"/>
  <c r="Q44" i="2" s="1"/>
  <c r="E48" i="2"/>
  <c r="E49" i="2"/>
  <c r="E50" i="2"/>
  <c r="N189" i="2"/>
  <c r="O189" i="2"/>
  <c r="R189" i="2" s="1"/>
  <c r="P189" i="2"/>
  <c r="Q189" i="2" s="1"/>
  <c r="N239" i="2"/>
  <c r="M242" i="2"/>
  <c r="O239" i="2"/>
  <c r="R239" i="2" s="1"/>
  <c r="P239" i="2"/>
  <c r="Q239" i="2" s="1"/>
  <c r="A113" i="4"/>
  <c r="H100" i="4"/>
  <c r="O100" i="4" s="1"/>
  <c r="O263" i="2"/>
  <c r="R263" i="2" s="1"/>
  <c r="M264" i="2"/>
  <c r="N263" i="2"/>
  <c r="P263" i="2"/>
  <c r="Q263" i="2" s="1"/>
  <c r="O113" i="2"/>
  <c r="R113" i="2" s="1"/>
  <c r="N113" i="2"/>
  <c r="P113" i="2"/>
  <c r="Q113" i="2" s="1"/>
  <c r="N284" i="2"/>
  <c r="O284" i="2"/>
  <c r="R284" i="2" s="1"/>
  <c r="P284" i="2"/>
  <c r="Q284" i="2" s="1"/>
  <c r="O32" i="2"/>
  <c r="R32" i="2" s="1"/>
  <c r="N32" i="2"/>
  <c r="P32" i="2"/>
  <c r="Q32" i="2" s="1"/>
  <c r="M25" i="4"/>
  <c r="O43" i="2"/>
  <c r="R43" i="2" s="1"/>
  <c r="N43" i="2"/>
  <c r="P43" i="2"/>
  <c r="Q43" i="2" s="1"/>
  <c r="N294" i="2"/>
  <c r="M297" i="2"/>
  <c r="O294" i="2"/>
  <c r="R294" i="2" s="1"/>
  <c r="P294" i="2"/>
  <c r="Q294" i="2" s="1"/>
  <c r="N61" i="2"/>
  <c r="O61" i="2"/>
  <c r="R61" i="2" s="1"/>
  <c r="P61" i="2"/>
  <c r="Q61" i="2" s="1"/>
  <c r="I99" i="4"/>
  <c r="P99" i="4" s="1"/>
  <c r="B112" i="4"/>
  <c r="N195" i="2"/>
  <c r="O195" i="2"/>
  <c r="R195" i="2" s="1"/>
  <c r="P195" i="2"/>
  <c r="Q195" i="2" s="1"/>
  <c r="B74" i="4"/>
  <c r="I61" i="4"/>
  <c r="P61" i="4" s="1"/>
  <c r="O266" i="2"/>
  <c r="R266" i="2" s="1"/>
  <c r="N266" i="2"/>
  <c r="M267" i="2"/>
  <c r="P266" i="2"/>
  <c r="Q266" i="2" s="1"/>
  <c r="F36" i="4" l="1"/>
  <c r="J36" i="4"/>
  <c r="C41" i="4"/>
  <c r="E43" i="4"/>
  <c r="E38" i="4"/>
  <c r="F37" i="4"/>
  <c r="J37" i="4"/>
  <c r="H80" i="4"/>
  <c r="O80" i="4" s="1"/>
  <c r="A93" i="4"/>
  <c r="N261" i="2"/>
  <c r="O261" i="2"/>
  <c r="R261" i="2" s="1"/>
  <c r="M262" i="2"/>
  <c r="P261" i="2"/>
  <c r="Q261" i="2" s="1"/>
  <c r="O283" i="2"/>
  <c r="R283" i="2" s="1"/>
  <c r="N283" i="2"/>
  <c r="P283" i="2"/>
  <c r="Q283" i="2" s="1"/>
  <c r="H88" i="4"/>
  <c r="O88" i="4" s="1"/>
  <c r="A101" i="4"/>
  <c r="E41" i="4"/>
  <c r="L36" i="4"/>
  <c r="L9" i="5"/>
  <c r="O12" i="5" s="1"/>
  <c r="R98" i="2"/>
  <c r="O267" i="2"/>
  <c r="R267" i="2" s="1"/>
  <c r="M268" i="2"/>
  <c r="N267" i="2"/>
  <c r="P267" i="2"/>
  <c r="Q267" i="2" s="1"/>
  <c r="O296" i="2"/>
  <c r="R296" i="2" s="1"/>
  <c r="N296" i="2"/>
  <c r="P296" i="2"/>
  <c r="Q296" i="2" s="1"/>
  <c r="M169" i="2"/>
  <c r="O168" i="2"/>
  <c r="R168" i="2" s="1"/>
  <c r="N168" i="2"/>
  <c r="P168" i="2"/>
  <c r="Q168" i="2" s="1"/>
  <c r="C34" i="4"/>
  <c r="D34" i="4"/>
  <c r="Q31" i="4"/>
  <c r="T22" i="4"/>
  <c r="E35" i="4" s="1"/>
  <c r="N188" i="2"/>
  <c r="O188" i="2"/>
  <c r="R188" i="2" s="1"/>
  <c r="R197" i="2" s="1"/>
  <c r="U184" i="2" s="1"/>
  <c r="P188" i="2"/>
  <c r="Q188" i="2" s="1"/>
  <c r="B83" i="4"/>
  <c r="I70" i="4"/>
  <c r="P70" i="4" s="1"/>
  <c r="O214" i="2"/>
  <c r="R214" i="2" s="1"/>
  <c r="N214" i="2"/>
  <c r="P214" i="2"/>
  <c r="Q214" i="2" s="1"/>
  <c r="M159" i="2"/>
  <c r="O158" i="2"/>
  <c r="R158" i="2" s="1"/>
  <c r="N158" i="2"/>
  <c r="P158" i="2"/>
  <c r="Q158" i="2" s="1"/>
  <c r="O150" i="2"/>
  <c r="R150" i="2" s="1"/>
  <c r="M151" i="2"/>
  <c r="N150" i="2"/>
  <c r="P150" i="2"/>
  <c r="Q150" i="2" s="1"/>
  <c r="I76" i="4"/>
  <c r="P76" i="4" s="1"/>
  <c r="B89" i="4"/>
  <c r="O313" i="2"/>
  <c r="R313" i="2" s="1"/>
  <c r="N313" i="2"/>
  <c r="M314" i="2"/>
  <c r="P313" i="2"/>
  <c r="Q313" i="2" s="1"/>
  <c r="Q25" i="4"/>
  <c r="H113" i="4"/>
  <c r="O113" i="4" s="1"/>
  <c r="A126" i="4"/>
  <c r="L7" i="5"/>
  <c r="R96" i="2"/>
  <c r="N302" i="2"/>
  <c r="O302" i="2"/>
  <c r="R302" i="2" s="1"/>
  <c r="P302" i="2"/>
  <c r="Q302" i="2" s="1"/>
  <c r="N298" i="2"/>
  <c r="O298" i="2"/>
  <c r="R298" i="2" s="1"/>
  <c r="P298" i="2"/>
  <c r="Q298" i="2" s="1"/>
  <c r="O194" i="2"/>
  <c r="R194" i="2" s="1"/>
  <c r="N194" i="2"/>
  <c r="P194" i="2"/>
  <c r="Q194" i="2" s="1"/>
  <c r="L11" i="5"/>
  <c r="O7" i="5" s="1"/>
  <c r="R100" i="2"/>
  <c r="O297" i="2"/>
  <c r="R297" i="2" s="1"/>
  <c r="N297" i="2"/>
  <c r="P297" i="2"/>
  <c r="Q297" i="2" s="1"/>
  <c r="R54" i="2"/>
  <c r="U41" i="2" s="1"/>
  <c r="R305" i="2"/>
  <c r="U292" i="2" s="1"/>
  <c r="I74" i="4"/>
  <c r="P74" i="4" s="1"/>
  <c r="B87" i="4"/>
  <c r="N258" i="2"/>
  <c r="M259" i="2"/>
  <c r="O258" i="2"/>
  <c r="R258" i="2" s="1"/>
  <c r="P258" i="2"/>
  <c r="Q258" i="2" s="1"/>
  <c r="R125" i="2"/>
  <c r="U112" i="2" s="1"/>
  <c r="L6" i="5"/>
  <c r="R95" i="2"/>
  <c r="R107" i="2" s="1"/>
  <c r="U94" i="2" s="1"/>
  <c r="O191" i="2"/>
  <c r="R191" i="2" s="1"/>
  <c r="N191" i="2"/>
  <c r="P191" i="2"/>
  <c r="Q191" i="2" s="1"/>
  <c r="O204" i="2"/>
  <c r="R204" i="2" s="1"/>
  <c r="M205" i="2"/>
  <c r="N204" i="2"/>
  <c r="P204" i="2"/>
  <c r="Q204" i="2" s="1"/>
  <c r="A102" i="4"/>
  <c r="H89" i="4"/>
  <c r="O89" i="4" s="1"/>
  <c r="O281" i="2"/>
  <c r="R281" i="2" s="1"/>
  <c r="R287" i="2" s="1"/>
  <c r="U274" i="2" s="1"/>
  <c r="N281" i="2"/>
  <c r="P281" i="2"/>
  <c r="Q281" i="2" s="1"/>
  <c r="O173" i="2"/>
  <c r="R173" i="2" s="1"/>
  <c r="N173" i="2"/>
  <c r="M174" i="2"/>
  <c r="P173" i="2"/>
  <c r="Q173" i="2" s="1"/>
  <c r="R143" i="2"/>
  <c r="U130" i="2" s="1"/>
  <c r="Q27" i="4"/>
  <c r="R25" i="4"/>
  <c r="N172" i="2"/>
  <c r="O172" i="2"/>
  <c r="R172" i="2" s="1"/>
  <c r="P172" i="2"/>
  <c r="Q172" i="2" s="1"/>
  <c r="L10" i="5"/>
  <c r="O13" i="5" s="1"/>
  <c r="R99" i="2"/>
  <c r="L8" i="5"/>
  <c r="R97" i="2"/>
  <c r="O177" i="2"/>
  <c r="R177" i="2" s="1"/>
  <c r="M178" i="2"/>
  <c r="N177" i="2"/>
  <c r="P177" i="2"/>
  <c r="Q177" i="2" s="1"/>
  <c r="I82" i="4"/>
  <c r="P82" i="4" s="1"/>
  <c r="B95" i="4"/>
  <c r="N242" i="2"/>
  <c r="O242" i="2"/>
  <c r="R242" i="2" s="1"/>
  <c r="R251" i="2" s="1"/>
  <c r="U238" i="2" s="1"/>
  <c r="P242" i="2"/>
  <c r="Q242" i="2" s="1"/>
  <c r="E37" i="4"/>
  <c r="O9" i="5"/>
  <c r="H79" i="4"/>
  <c r="O79" i="4" s="1"/>
  <c r="A92" i="4"/>
  <c r="D36" i="4"/>
  <c r="R28" i="4"/>
  <c r="O227" i="2"/>
  <c r="R227" i="2" s="1"/>
  <c r="R233" i="2" s="1"/>
  <c r="U220" i="2" s="1"/>
  <c r="N227" i="2"/>
  <c r="P227" i="2"/>
  <c r="Q227" i="2" s="1"/>
  <c r="I75" i="4"/>
  <c r="P75" i="4" s="1"/>
  <c r="B88" i="4"/>
  <c r="D37" i="4"/>
  <c r="H86" i="4"/>
  <c r="O86" i="4" s="1"/>
  <c r="A99" i="4"/>
  <c r="R89" i="2"/>
  <c r="U76" i="2" s="1"/>
  <c r="N282" i="2"/>
  <c r="O282" i="2"/>
  <c r="R282" i="2" s="1"/>
  <c r="P282" i="2"/>
  <c r="Q282" i="2" s="1"/>
  <c r="R31" i="4"/>
  <c r="D35" i="4"/>
  <c r="B125" i="4"/>
  <c r="I112" i="4"/>
  <c r="P112" i="4" s="1"/>
  <c r="O264" i="2"/>
  <c r="R264" i="2" s="1"/>
  <c r="M265" i="2"/>
  <c r="N264" i="2"/>
  <c r="P264" i="2"/>
  <c r="Q264" i="2" s="1"/>
  <c r="R37" i="2"/>
  <c r="U24" i="2" s="1"/>
  <c r="R71" i="2"/>
  <c r="U58" i="2" s="1"/>
  <c r="U241" i="2" l="1"/>
  <c r="B99" i="2"/>
  <c r="U187" i="2"/>
  <c r="B92" i="2"/>
  <c r="U223" i="2"/>
  <c r="B98" i="2"/>
  <c r="U277" i="2"/>
  <c r="B94" i="2"/>
  <c r="B103" i="2"/>
  <c r="U97" i="2"/>
  <c r="D44" i="4"/>
  <c r="I95" i="4"/>
  <c r="P95" i="4" s="1"/>
  <c r="B108" i="4"/>
  <c r="H93" i="4"/>
  <c r="O93" i="4" s="1"/>
  <c r="A106" i="4"/>
  <c r="N169" i="2"/>
  <c r="O169" i="2"/>
  <c r="R169" i="2" s="1"/>
  <c r="P169" i="2"/>
  <c r="Q169" i="2" s="1"/>
  <c r="U133" i="2"/>
  <c r="B96" i="2"/>
  <c r="B101" i="2"/>
  <c r="U27" i="2"/>
  <c r="B104" i="2"/>
  <c r="C114" i="2" s="1"/>
  <c r="U79" i="2"/>
  <c r="O178" i="2"/>
  <c r="R178" i="2" s="1"/>
  <c r="N178" i="2"/>
  <c r="P178" i="2"/>
  <c r="Q178" i="2" s="1"/>
  <c r="H126" i="4"/>
  <c r="O126" i="4" s="1"/>
  <c r="A139" i="4"/>
  <c r="I125" i="4"/>
  <c r="P125" i="4" s="1"/>
  <c r="B138" i="4"/>
  <c r="U115" i="2"/>
  <c r="B105" i="2"/>
  <c r="H92" i="4"/>
  <c r="O92" i="4" s="1"/>
  <c r="A105" i="4"/>
  <c r="O259" i="2"/>
  <c r="R259" i="2" s="1"/>
  <c r="N259" i="2"/>
  <c r="P259" i="2"/>
  <c r="Q259" i="2" s="1"/>
  <c r="E44" i="4"/>
  <c r="E40" i="4"/>
  <c r="L34" i="4" s="1"/>
  <c r="B102" i="4"/>
  <c r="I89" i="4"/>
  <c r="P89" i="4" s="1"/>
  <c r="B96" i="4"/>
  <c r="I83" i="4"/>
  <c r="P83" i="4" s="1"/>
  <c r="H101" i="4"/>
  <c r="O101" i="4" s="1"/>
  <c r="A114" i="4"/>
  <c r="U61" i="2"/>
  <c r="B102" i="2"/>
  <c r="C132" i="2" s="1"/>
  <c r="O151" i="2"/>
  <c r="R151" i="2" s="1"/>
  <c r="M152" i="2"/>
  <c r="N151" i="2"/>
  <c r="P151" i="2"/>
  <c r="Q151" i="2" s="1"/>
  <c r="H99" i="4"/>
  <c r="O99" i="4" s="1"/>
  <c r="A112" i="4"/>
  <c r="O205" i="2"/>
  <c r="R205" i="2" s="1"/>
  <c r="R215" i="2" s="1"/>
  <c r="U202" i="2" s="1"/>
  <c r="N205" i="2"/>
  <c r="P205" i="2"/>
  <c r="Q205" i="2" s="1"/>
  <c r="T25" i="4"/>
  <c r="O174" i="2"/>
  <c r="R174" i="2" s="1"/>
  <c r="N174" i="2"/>
  <c r="M175" i="2"/>
  <c r="P174" i="2"/>
  <c r="Q174" i="2" s="1"/>
  <c r="B100" i="4"/>
  <c r="I87" i="4"/>
  <c r="P87" i="4" s="1"/>
  <c r="C35" i="4"/>
  <c r="C40" i="4" s="1"/>
  <c r="J34" i="4" s="1"/>
  <c r="D41" i="4"/>
  <c r="K36" i="4" s="1"/>
  <c r="A115" i="4"/>
  <c r="H102" i="4"/>
  <c r="O102" i="4" s="1"/>
  <c r="O265" i="2"/>
  <c r="R265" i="2" s="1"/>
  <c r="N265" i="2"/>
  <c r="P265" i="2"/>
  <c r="Q265" i="2" s="1"/>
  <c r="L37" i="4"/>
  <c r="O11" i="5"/>
  <c r="U295" i="2"/>
  <c r="B95" i="2"/>
  <c r="O314" i="2"/>
  <c r="R314" i="2" s="1"/>
  <c r="N314" i="2"/>
  <c r="M315" i="2"/>
  <c r="P314" i="2"/>
  <c r="Q314" i="2" s="1"/>
  <c r="M160" i="2"/>
  <c r="O159" i="2"/>
  <c r="R159" i="2" s="1"/>
  <c r="N159" i="2"/>
  <c r="P159" i="2"/>
  <c r="Q159" i="2" s="1"/>
  <c r="D43" i="4"/>
  <c r="D40" i="4"/>
  <c r="K35" i="4" s="1"/>
  <c r="K34" i="4"/>
  <c r="D38" i="4"/>
  <c r="O268" i="2"/>
  <c r="R268" i="2" s="1"/>
  <c r="N268" i="2"/>
  <c r="P268" i="2"/>
  <c r="Q268" i="2" s="1"/>
  <c r="O262" i="2"/>
  <c r="R262" i="2" s="1"/>
  <c r="N262" i="2"/>
  <c r="P262" i="2"/>
  <c r="Q262" i="2" s="1"/>
  <c r="J41" i="4"/>
  <c r="B101" i="4"/>
  <c r="I88" i="4"/>
  <c r="P88" i="4" s="1"/>
  <c r="B100" i="2"/>
  <c r="U44" i="2"/>
  <c r="C43" i="4"/>
  <c r="F34" i="4"/>
  <c r="M36" i="4" l="1"/>
  <c r="J43" i="4"/>
  <c r="Q36" i="4" s="1"/>
  <c r="Q34" i="4"/>
  <c r="M34" i="4"/>
  <c r="D100" i="2"/>
  <c r="U46" i="2"/>
  <c r="E100" i="2" s="1"/>
  <c r="A125" i="4"/>
  <c r="H112" i="4"/>
  <c r="O112" i="4" s="1"/>
  <c r="U297" i="2"/>
  <c r="E95" i="2" s="1"/>
  <c r="D95" i="2"/>
  <c r="B151" i="4"/>
  <c r="I151" i="4" s="1"/>
  <c r="P151" i="4" s="1"/>
  <c r="I138" i="4"/>
  <c r="P138" i="4" s="1"/>
  <c r="D103" i="2"/>
  <c r="U99" i="2"/>
  <c r="E103" i="2" s="1"/>
  <c r="O152" i="2"/>
  <c r="R152" i="2" s="1"/>
  <c r="N152" i="2"/>
  <c r="M153" i="2"/>
  <c r="P152" i="2"/>
  <c r="Q152" i="2" s="1"/>
  <c r="L35" i="4"/>
  <c r="C123" i="2"/>
  <c r="B132" i="2"/>
  <c r="D132" i="2" s="1"/>
  <c r="D135" i="2" s="1"/>
  <c r="K43" i="4"/>
  <c r="R36" i="4" s="1"/>
  <c r="K40" i="4"/>
  <c r="K38" i="4"/>
  <c r="R34" i="4"/>
  <c r="U135" i="2"/>
  <c r="E96" i="2" s="1"/>
  <c r="D96" i="2"/>
  <c r="K37" i="4"/>
  <c r="K44" i="4" s="1"/>
  <c r="R35" i="4" s="1"/>
  <c r="O175" i="2"/>
  <c r="R175" i="2" s="1"/>
  <c r="R179" i="2" s="1"/>
  <c r="U166" i="2" s="1"/>
  <c r="N175" i="2"/>
  <c r="P175" i="2"/>
  <c r="Q175" i="2" s="1"/>
  <c r="A152" i="4"/>
  <c r="H152" i="4" s="1"/>
  <c r="O152" i="4" s="1"/>
  <c r="H139" i="4"/>
  <c r="O139" i="4" s="1"/>
  <c r="U279" i="2"/>
  <c r="E94" i="2" s="1"/>
  <c r="D94" i="2"/>
  <c r="D102" i="2"/>
  <c r="U63" i="2"/>
  <c r="E102" i="2" s="1"/>
  <c r="R269" i="2"/>
  <c r="U256" i="2" s="1"/>
  <c r="L41" i="4"/>
  <c r="C38" i="4"/>
  <c r="N160" i="2"/>
  <c r="O160" i="2"/>
  <c r="R160" i="2" s="1"/>
  <c r="P160" i="2"/>
  <c r="Q160" i="2" s="1"/>
  <c r="A127" i="4"/>
  <c r="H114" i="4"/>
  <c r="O114" i="4" s="1"/>
  <c r="A118" i="4"/>
  <c r="H105" i="4"/>
  <c r="O105" i="4" s="1"/>
  <c r="U225" i="2"/>
  <c r="E98" i="2" s="1"/>
  <c r="D98" i="2"/>
  <c r="A119" i="4"/>
  <c r="H106" i="4"/>
  <c r="O106" i="4" s="1"/>
  <c r="L38" i="4"/>
  <c r="L43" i="4"/>
  <c r="S36" i="4" s="1"/>
  <c r="L40" i="4"/>
  <c r="H115" i="4"/>
  <c r="O115" i="4" s="1"/>
  <c r="A128" i="4"/>
  <c r="D92" i="2"/>
  <c r="U189" i="2"/>
  <c r="E92" i="2" s="1"/>
  <c r="I101" i="4"/>
  <c r="P101" i="4" s="1"/>
  <c r="B114" i="4"/>
  <c r="I100" i="4"/>
  <c r="P100" i="4" s="1"/>
  <c r="B113" i="4"/>
  <c r="O315" i="2"/>
  <c r="R315" i="2" s="1"/>
  <c r="M316" i="2"/>
  <c r="N315" i="2"/>
  <c r="P315" i="2"/>
  <c r="Q315" i="2" s="1"/>
  <c r="U81" i="2"/>
  <c r="E104" i="2" s="1"/>
  <c r="D104" i="2"/>
  <c r="U205" i="2"/>
  <c r="B97" i="2"/>
  <c r="I96" i="4"/>
  <c r="P96" i="4" s="1"/>
  <c r="B109" i="4"/>
  <c r="B121" i="4"/>
  <c r="I108" i="4"/>
  <c r="P108" i="4" s="1"/>
  <c r="U29" i="2"/>
  <c r="E101" i="2" s="1"/>
  <c r="D101" i="2"/>
  <c r="U243" i="2"/>
  <c r="E99" i="2" s="1"/>
  <c r="D99" i="2"/>
  <c r="J35" i="4"/>
  <c r="J40" i="4" s="1"/>
  <c r="C44" i="4"/>
  <c r="F35" i="4"/>
  <c r="F38" i="4" s="1"/>
  <c r="I102" i="4"/>
  <c r="P102" i="4" s="1"/>
  <c r="B115" i="4"/>
  <c r="U117" i="2"/>
  <c r="E105" i="2" s="1"/>
  <c r="D105" i="2"/>
  <c r="U169" i="2" l="1"/>
  <c r="B91" i="2"/>
  <c r="M38" i="4"/>
  <c r="A131" i="4"/>
  <c r="H118" i="4"/>
  <c r="O118" i="4" s="1"/>
  <c r="J38" i="4"/>
  <c r="R40" i="4"/>
  <c r="R43" i="4"/>
  <c r="T36" i="4"/>
  <c r="D49" i="4" s="1"/>
  <c r="C49" i="4"/>
  <c r="E49" i="4"/>
  <c r="S41" i="4"/>
  <c r="O316" i="2"/>
  <c r="R316" i="2" s="1"/>
  <c r="N316" i="2"/>
  <c r="M317" i="2"/>
  <c r="P316" i="2"/>
  <c r="Q316" i="2" s="1"/>
  <c r="S34" i="4"/>
  <c r="A140" i="4"/>
  <c r="H127" i="4"/>
  <c r="O127" i="4" s="1"/>
  <c r="L44" i="4"/>
  <c r="S37" i="4" s="1"/>
  <c r="B134" i="4"/>
  <c r="I121" i="4"/>
  <c r="P121" i="4" s="1"/>
  <c r="B126" i="4"/>
  <c r="I113" i="4"/>
  <c r="P113" i="4" s="1"/>
  <c r="A138" i="4"/>
  <c r="H125" i="4"/>
  <c r="O125" i="4" s="1"/>
  <c r="U207" i="2"/>
  <c r="E97" i="2" s="1"/>
  <c r="D97" i="2"/>
  <c r="J44" i="4"/>
  <c r="Q37" i="4" s="1"/>
  <c r="Q41" i="4" s="1"/>
  <c r="M35" i="4"/>
  <c r="O153" i="2"/>
  <c r="R153" i="2" s="1"/>
  <c r="N153" i="2"/>
  <c r="M154" i="2"/>
  <c r="P153" i="2"/>
  <c r="Q153" i="2" s="1"/>
  <c r="T34" i="4"/>
  <c r="C47" i="4"/>
  <c r="Q43" i="4"/>
  <c r="H128" i="4"/>
  <c r="O128" i="4" s="1"/>
  <c r="A141" i="4"/>
  <c r="A132" i="4"/>
  <c r="H119" i="4"/>
  <c r="O119" i="4" s="1"/>
  <c r="B128" i="4"/>
  <c r="I115" i="4"/>
  <c r="P115" i="4" s="1"/>
  <c r="B122" i="4"/>
  <c r="I109" i="4"/>
  <c r="P109" i="4" s="1"/>
  <c r="B127" i="4"/>
  <c r="I114" i="4"/>
  <c r="P114" i="4" s="1"/>
  <c r="U259" i="2"/>
  <c r="B93" i="2"/>
  <c r="R37" i="4"/>
  <c r="R44" i="4" s="1"/>
  <c r="M37" i="4"/>
  <c r="K41" i="4"/>
  <c r="C56" i="4" l="1"/>
  <c r="I127" i="4"/>
  <c r="P127" i="4" s="1"/>
  <c r="B140" i="4"/>
  <c r="H138" i="4"/>
  <c r="O138" i="4" s="1"/>
  <c r="A151" i="4"/>
  <c r="H151" i="4" s="1"/>
  <c r="O151" i="4" s="1"/>
  <c r="N317" i="2"/>
  <c r="M318" i="2"/>
  <c r="O317" i="2"/>
  <c r="R317" i="2" s="1"/>
  <c r="P317" i="2"/>
  <c r="Q317" i="2" s="1"/>
  <c r="I126" i="4"/>
  <c r="P126" i="4" s="1"/>
  <c r="B139" i="4"/>
  <c r="A144" i="4"/>
  <c r="H131" i="4"/>
  <c r="O131" i="4" s="1"/>
  <c r="I128" i="4"/>
  <c r="P128" i="4" s="1"/>
  <c r="B141" i="4"/>
  <c r="B135" i="4"/>
  <c r="I122" i="4"/>
  <c r="P122" i="4" s="1"/>
  <c r="O154" i="2"/>
  <c r="R154" i="2" s="1"/>
  <c r="R161" i="2" s="1"/>
  <c r="U148" i="2" s="1"/>
  <c r="N154" i="2"/>
  <c r="P154" i="2"/>
  <c r="Q154" i="2" s="1"/>
  <c r="B147" i="4"/>
  <c r="I134" i="4"/>
  <c r="P134" i="4" s="1"/>
  <c r="F49" i="4"/>
  <c r="A145" i="4"/>
  <c r="H132" i="4"/>
  <c r="O132" i="4" s="1"/>
  <c r="Q35" i="4"/>
  <c r="S35" i="4"/>
  <c r="A154" i="4"/>
  <c r="H154" i="4" s="1"/>
  <c r="O154" i="4" s="1"/>
  <c r="H141" i="4"/>
  <c r="O141" i="4" s="1"/>
  <c r="T37" i="4"/>
  <c r="D50" i="4" s="1"/>
  <c r="H140" i="4"/>
  <c r="O140" i="4" s="1"/>
  <c r="A153" i="4"/>
  <c r="H153" i="4" s="1"/>
  <c r="O153" i="4" s="1"/>
  <c r="D47" i="4"/>
  <c r="D91" i="2"/>
  <c r="U171" i="2"/>
  <c r="E91" i="2" s="1"/>
  <c r="R41" i="4"/>
  <c r="U261" i="2"/>
  <c r="E93" i="2" s="1"/>
  <c r="D93" i="2"/>
  <c r="S43" i="4"/>
  <c r="S40" i="4"/>
  <c r="S38" i="4"/>
  <c r="E47" i="4"/>
  <c r="R38" i="4"/>
  <c r="D54" i="4" l="1"/>
  <c r="K49" i="4" s="1"/>
  <c r="D56" i="4"/>
  <c r="B148" i="4"/>
  <c r="I135" i="4"/>
  <c r="P135" i="4" s="1"/>
  <c r="B154" i="4"/>
  <c r="I154" i="4" s="1"/>
  <c r="P154" i="4" s="1"/>
  <c r="I141" i="4"/>
  <c r="P141" i="4" s="1"/>
  <c r="B153" i="4"/>
  <c r="I153" i="4" s="1"/>
  <c r="P153" i="4" s="1"/>
  <c r="I140" i="4"/>
  <c r="P140" i="4" s="1"/>
  <c r="E50" i="4"/>
  <c r="C50" i="4"/>
  <c r="H144" i="4"/>
  <c r="O144" i="4" s="1"/>
  <c r="A157" i="4"/>
  <c r="H157" i="4" s="1"/>
  <c r="O157" i="4" s="1"/>
  <c r="B152" i="4"/>
  <c r="I152" i="4" s="1"/>
  <c r="P152" i="4" s="1"/>
  <c r="I139" i="4"/>
  <c r="P139" i="4" s="1"/>
  <c r="F47" i="4"/>
  <c r="I147" i="4"/>
  <c r="P147" i="4" s="1"/>
  <c r="B160" i="4"/>
  <c r="I160" i="4" s="1"/>
  <c r="P160" i="4" s="1"/>
  <c r="E56" i="4"/>
  <c r="S44" i="4"/>
  <c r="T35" i="4"/>
  <c r="Q44" i="4"/>
  <c r="Q40" i="4"/>
  <c r="Q38" i="4"/>
  <c r="H145" i="4"/>
  <c r="O145" i="4" s="1"/>
  <c r="A158" i="4"/>
  <c r="H158" i="4" s="1"/>
  <c r="O158" i="4" s="1"/>
  <c r="U151" i="2"/>
  <c r="B90" i="2"/>
  <c r="M319" i="2"/>
  <c r="O318" i="2"/>
  <c r="R318" i="2" s="1"/>
  <c r="N318" i="2"/>
  <c r="P318" i="2"/>
  <c r="Q318" i="2" s="1"/>
  <c r="I148" i="4" l="1"/>
  <c r="P148" i="4" s="1"/>
  <c r="B161" i="4"/>
  <c r="I161" i="4" s="1"/>
  <c r="P161" i="4" s="1"/>
  <c r="D48" i="4"/>
  <c r="T38" i="4"/>
  <c r="E48" i="4"/>
  <c r="F50" i="4"/>
  <c r="C54" i="4"/>
  <c r="J49" i="4" s="1"/>
  <c r="K54" i="4"/>
  <c r="U153" i="2"/>
  <c r="E90" i="2" s="1"/>
  <c r="D90" i="2"/>
  <c r="C48" i="4"/>
  <c r="O319" i="2"/>
  <c r="R319" i="2" s="1"/>
  <c r="N319" i="2"/>
  <c r="M320" i="2"/>
  <c r="P319" i="2"/>
  <c r="Q319" i="2" s="1"/>
  <c r="E54" i="4"/>
  <c r="L49" i="4" s="1"/>
  <c r="K50" i="4"/>
  <c r="M49" i="4" l="1"/>
  <c r="L50" i="4"/>
  <c r="J50" i="4"/>
  <c r="N320" i="2"/>
  <c r="M321" i="2"/>
  <c r="O320" i="2"/>
  <c r="R320" i="2" s="1"/>
  <c r="P320" i="2"/>
  <c r="Q320" i="2" s="1"/>
  <c r="L48" i="4"/>
  <c r="E57" i="4"/>
  <c r="E51" i="4"/>
  <c r="E53" i="4"/>
  <c r="L47" i="4" s="1"/>
  <c r="D57" i="4"/>
  <c r="D53" i="4"/>
  <c r="K47" i="4" s="1"/>
  <c r="D51" i="4"/>
  <c r="J48" i="4"/>
  <c r="C57" i="4"/>
  <c r="F48" i="4"/>
  <c r="F51" i="4" s="1"/>
  <c r="C51" i="4"/>
  <c r="C53" i="4"/>
  <c r="J47" i="4" s="1"/>
  <c r="O321" i="2" l="1"/>
  <c r="R321" i="2" s="1"/>
  <c r="M322" i="2"/>
  <c r="N321" i="2"/>
  <c r="P321" i="2"/>
  <c r="Q321" i="2" s="1"/>
  <c r="J57" i="4"/>
  <c r="Q50" i="4" s="1"/>
  <c r="K56" i="4"/>
  <c r="R49" i="4" s="1"/>
  <c r="R47" i="4"/>
  <c r="L57" i="4"/>
  <c r="S50" i="4" s="1"/>
  <c r="S48" i="4"/>
  <c r="K48" i="4"/>
  <c r="M48" i="4" s="1"/>
  <c r="M50" i="4"/>
  <c r="J54" i="4"/>
  <c r="L54" i="4"/>
  <c r="L56" i="4"/>
  <c r="S49" i="4" s="1"/>
  <c r="L53" i="4"/>
  <c r="L51" i="4"/>
  <c r="S47" i="4"/>
  <c r="M47" i="4"/>
  <c r="J56" i="4"/>
  <c r="Q49" i="4" s="1"/>
  <c r="J53" i="4"/>
  <c r="J51" i="4"/>
  <c r="S57" i="4" l="1"/>
  <c r="M51" i="4"/>
  <c r="Q47" i="4"/>
  <c r="K51" i="4"/>
  <c r="R54" i="4"/>
  <c r="Q54" i="4"/>
  <c r="T49" i="4"/>
  <c r="C62" i="4" s="1"/>
  <c r="N322" i="2"/>
  <c r="O322" i="2"/>
  <c r="R322" i="2" s="1"/>
  <c r="R323" i="2" s="1"/>
  <c r="U310" i="2" s="1"/>
  <c r="P322" i="2"/>
  <c r="Q322" i="2" s="1"/>
  <c r="R56" i="4"/>
  <c r="S56" i="4"/>
  <c r="S51" i="4"/>
  <c r="S53" i="4"/>
  <c r="K53" i="4"/>
  <c r="S54" i="4"/>
  <c r="Q48" i="4"/>
  <c r="K57" i="4"/>
  <c r="R50" i="4" s="1"/>
  <c r="D62" i="4" l="1"/>
  <c r="Q56" i="4"/>
  <c r="Q53" i="4"/>
  <c r="Q51" i="4"/>
  <c r="T47" i="4"/>
  <c r="D63" i="4"/>
  <c r="R48" i="4"/>
  <c r="Q57" i="4"/>
  <c r="E62" i="4"/>
  <c r="U313" i="2"/>
  <c r="B89" i="2"/>
  <c r="T50" i="4"/>
  <c r="R57" i="4" l="1"/>
  <c r="R51" i="4"/>
  <c r="R53" i="4"/>
  <c r="T51" i="4"/>
  <c r="D60" i="4"/>
  <c r="E60" i="4"/>
  <c r="C60" i="4"/>
  <c r="E63" i="4"/>
  <c r="E67" i="4" s="1"/>
  <c r="L62" i="4" s="1"/>
  <c r="C63" i="4"/>
  <c r="U315" i="2"/>
  <c r="E89" i="2" s="1"/>
  <c r="D89" i="2"/>
  <c r="D67" i="4"/>
  <c r="K62" i="4" s="1"/>
  <c r="T48" i="4"/>
  <c r="K63" i="4"/>
  <c r="F62" i="4"/>
  <c r="K67" i="4" l="1"/>
  <c r="L67" i="4"/>
  <c r="F63" i="4"/>
  <c r="C67" i="4"/>
  <c r="J62" i="4" s="1"/>
  <c r="C69" i="4"/>
  <c r="F60" i="4"/>
  <c r="D69" i="4"/>
  <c r="D64" i="4"/>
  <c r="L63" i="4"/>
  <c r="E69" i="4"/>
  <c r="E61" i="4"/>
  <c r="E66" i="4" s="1"/>
  <c r="L60" i="4" s="1"/>
  <c r="C61" i="4"/>
  <c r="C66" i="4" s="1"/>
  <c r="J60" i="4" s="1"/>
  <c r="D61" i="4"/>
  <c r="D66" i="4" s="1"/>
  <c r="K60" i="4" s="1"/>
  <c r="L69" i="4" l="1"/>
  <c r="S62" i="4" s="1"/>
  <c r="S60" i="4"/>
  <c r="M60" i="4"/>
  <c r="J69" i="4"/>
  <c r="Q62" i="4" s="1"/>
  <c r="K69" i="4"/>
  <c r="R62" i="4" s="1"/>
  <c r="K64" i="4"/>
  <c r="K66" i="4"/>
  <c r="E64" i="4"/>
  <c r="M62" i="4"/>
  <c r="J63" i="4"/>
  <c r="F61" i="4"/>
  <c r="F64" i="4" s="1"/>
  <c r="C70" i="4"/>
  <c r="J61" i="4"/>
  <c r="E70" i="4"/>
  <c r="L61" i="4"/>
  <c r="C64" i="4"/>
  <c r="K61" i="4"/>
  <c r="D70" i="4"/>
  <c r="T62" i="4" l="1"/>
  <c r="C75" i="4" s="1"/>
  <c r="L70" i="4"/>
  <c r="S63" i="4" s="1"/>
  <c r="M61" i="4"/>
  <c r="J70" i="4"/>
  <c r="Q61" i="4" s="1"/>
  <c r="J64" i="4"/>
  <c r="Q60" i="4"/>
  <c r="J66" i="4"/>
  <c r="M64" i="4"/>
  <c r="S69" i="4"/>
  <c r="D75" i="4"/>
  <c r="R67" i="4"/>
  <c r="L66" i="4"/>
  <c r="L64" i="4"/>
  <c r="Q63" i="4"/>
  <c r="M63" i="4"/>
  <c r="J67" i="4"/>
  <c r="R61" i="4"/>
  <c r="K70" i="4"/>
  <c r="R63" i="4" s="1"/>
  <c r="R60" i="4"/>
  <c r="E75" i="4"/>
  <c r="Q70" i="4" l="1"/>
  <c r="F75" i="4"/>
  <c r="R70" i="4"/>
  <c r="T63" i="4"/>
  <c r="D76" i="4" s="1"/>
  <c r="S61" i="4"/>
  <c r="S67" i="4"/>
  <c r="R69" i="4"/>
  <c r="R66" i="4"/>
  <c r="R64" i="4"/>
  <c r="Q67" i="4"/>
  <c r="Q69" i="4"/>
  <c r="Q66" i="4"/>
  <c r="T60" i="4"/>
  <c r="Q64" i="4"/>
  <c r="D80" i="4" l="1"/>
  <c r="K75" i="4" s="1"/>
  <c r="E73" i="4"/>
  <c r="E76" i="4"/>
  <c r="C76" i="4"/>
  <c r="S70" i="4"/>
  <c r="S66" i="4"/>
  <c r="S64" i="4"/>
  <c r="T61" i="4"/>
  <c r="C73" i="4"/>
  <c r="D73" i="4"/>
  <c r="C74" i="4" l="1"/>
  <c r="D74" i="4"/>
  <c r="T64" i="4"/>
  <c r="C82" i="4"/>
  <c r="C79" i="4"/>
  <c r="C77" i="4"/>
  <c r="J73" i="4"/>
  <c r="F73" i="4"/>
  <c r="E74" i="4"/>
  <c r="F76" i="4"/>
  <c r="C80" i="4"/>
  <c r="J75" i="4" s="1"/>
  <c r="E80" i="4"/>
  <c r="L75" i="4" s="1"/>
  <c r="E82" i="4"/>
  <c r="K80" i="4"/>
  <c r="D77" i="4"/>
  <c r="D82" i="4"/>
  <c r="D79" i="4"/>
  <c r="K73" i="4"/>
  <c r="K76" i="4"/>
  <c r="K82" i="4" l="1"/>
  <c r="R75" i="4" s="1"/>
  <c r="K77" i="4"/>
  <c r="J76" i="4"/>
  <c r="E83" i="4"/>
  <c r="E79" i="4"/>
  <c r="L73" i="4" s="1"/>
  <c r="M73" i="4" s="1"/>
  <c r="F77" i="4"/>
  <c r="D83" i="4"/>
  <c r="K74" i="4"/>
  <c r="M75" i="4"/>
  <c r="J79" i="4"/>
  <c r="J82" i="4"/>
  <c r="Q73" i="4" s="1"/>
  <c r="J77" i="4"/>
  <c r="E77" i="4"/>
  <c r="L76" i="4"/>
  <c r="C83" i="4"/>
  <c r="J74" i="4"/>
  <c r="F74" i="4"/>
  <c r="L82" i="4" l="1"/>
  <c r="S75" i="4" s="1"/>
  <c r="L79" i="4"/>
  <c r="S73" i="4"/>
  <c r="L77" i="4"/>
  <c r="L80" i="4"/>
  <c r="L74" i="4"/>
  <c r="M76" i="4"/>
  <c r="J83" i="4"/>
  <c r="Q74" i="4" s="1"/>
  <c r="M74" i="4"/>
  <c r="M77" i="4" s="1"/>
  <c r="Q75" i="4"/>
  <c r="Q82" i="4" s="1"/>
  <c r="R73" i="4"/>
  <c r="J80" i="4"/>
  <c r="K83" i="4"/>
  <c r="R76" i="4" s="1"/>
  <c r="K79" i="4"/>
  <c r="Q77" i="4" l="1"/>
  <c r="Q79" i="4"/>
  <c r="D86" i="4"/>
  <c r="R82" i="4"/>
  <c r="R79" i="4"/>
  <c r="R77" i="4"/>
  <c r="T73" i="4"/>
  <c r="Q76" i="4"/>
  <c r="Q83" i="4" s="1"/>
  <c r="E86" i="4"/>
  <c r="S82" i="4"/>
  <c r="R80" i="4"/>
  <c r="Q80" i="4"/>
  <c r="T75" i="4"/>
  <c r="D88" i="4" s="1"/>
  <c r="L83" i="4"/>
  <c r="S76" i="4" s="1"/>
  <c r="S80" i="4" s="1"/>
  <c r="S74" i="4"/>
  <c r="R74" i="4"/>
  <c r="S83" i="4" l="1"/>
  <c r="E88" i="4"/>
  <c r="S77" i="4"/>
  <c r="T74" i="4"/>
  <c r="C87" i="4" s="1"/>
  <c r="C88" i="4"/>
  <c r="D95" i="4"/>
  <c r="D92" i="4"/>
  <c r="K86" i="4" s="1"/>
  <c r="D90" i="4"/>
  <c r="S79" i="4"/>
  <c r="E95" i="4"/>
  <c r="T76" i="4"/>
  <c r="D89" i="4" s="1"/>
  <c r="C89" i="4"/>
  <c r="R83" i="4"/>
  <c r="D87" i="4"/>
  <c r="T77" i="4"/>
  <c r="C86" i="4"/>
  <c r="K92" i="4" l="1"/>
  <c r="F89" i="4"/>
  <c r="F86" i="4"/>
  <c r="C92" i="4"/>
  <c r="J87" i="4" s="1"/>
  <c r="C90" i="4"/>
  <c r="C95" i="4"/>
  <c r="K89" i="4"/>
  <c r="K87" i="4"/>
  <c r="D96" i="4"/>
  <c r="F88" i="4"/>
  <c r="C93" i="4"/>
  <c r="J89" i="4" s="1"/>
  <c r="F87" i="4"/>
  <c r="C96" i="4"/>
  <c r="E89" i="4"/>
  <c r="D93" i="4"/>
  <c r="K88" i="4" s="1"/>
  <c r="E93" i="4"/>
  <c r="L88" i="4"/>
  <c r="E87" i="4"/>
  <c r="J96" i="4" l="1"/>
  <c r="Q89" i="4" s="1"/>
  <c r="Q87" i="4"/>
  <c r="L93" i="4"/>
  <c r="R88" i="4"/>
  <c r="K93" i="4"/>
  <c r="J88" i="4"/>
  <c r="K90" i="4"/>
  <c r="R89" i="4"/>
  <c r="J86" i="4"/>
  <c r="F90" i="4"/>
  <c r="K95" i="4"/>
  <c r="R86" i="4" s="1"/>
  <c r="L89" i="4"/>
  <c r="E96" i="4"/>
  <c r="E92" i="4"/>
  <c r="L86" i="4" s="1"/>
  <c r="E90" i="4"/>
  <c r="K96" i="4"/>
  <c r="R87" i="4"/>
  <c r="M88" i="4" l="1"/>
  <c r="J93" i="4"/>
  <c r="R93" i="4"/>
  <c r="L87" i="4"/>
  <c r="L92" i="4" s="1"/>
  <c r="R96" i="4"/>
  <c r="L95" i="4"/>
  <c r="S88" i="4" s="1"/>
  <c r="Q96" i="4"/>
  <c r="R95" i="4"/>
  <c r="R92" i="4"/>
  <c r="R90" i="4"/>
  <c r="J90" i="4"/>
  <c r="Q86" i="4"/>
  <c r="M86" i="4"/>
  <c r="J95" i="4"/>
  <c r="Q88" i="4" s="1"/>
  <c r="J92" i="4"/>
  <c r="M89" i="4"/>
  <c r="T88" i="4" l="1"/>
  <c r="D101" i="4" s="1"/>
  <c r="Q93" i="4"/>
  <c r="L96" i="4"/>
  <c r="S89" i="4" s="1"/>
  <c r="M87" i="4"/>
  <c r="S93" i="4"/>
  <c r="E101" i="4"/>
  <c r="M90" i="4"/>
  <c r="L90" i="4"/>
  <c r="C99" i="4"/>
  <c r="T86" i="4"/>
  <c r="Q92" i="4"/>
  <c r="Q95" i="4"/>
  <c r="Q90" i="4"/>
  <c r="S86" i="4"/>
  <c r="D99" i="4" l="1"/>
  <c r="T89" i="4"/>
  <c r="S87" i="4"/>
  <c r="S90" i="4" s="1"/>
  <c r="S95" i="4"/>
  <c r="E99" i="4"/>
  <c r="C101" i="4"/>
  <c r="D108" i="4" l="1"/>
  <c r="E108" i="4"/>
  <c r="C102" i="4"/>
  <c r="D102" i="4"/>
  <c r="S96" i="4"/>
  <c r="E100" i="4"/>
  <c r="E103" i="4" s="1"/>
  <c r="T87" i="4"/>
  <c r="F101" i="4"/>
  <c r="C108" i="4"/>
  <c r="E102" i="4"/>
  <c r="S92" i="4"/>
  <c r="F99" i="4"/>
  <c r="D106" i="4" l="1"/>
  <c r="K101" i="4" s="1"/>
  <c r="E109" i="4"/>
  <c r="F102" i="4"/>
  <c r="L102" i="4"/>
  <c r="E106" i="4"/>
  <c r="L101" i="4" s="1"/>
  <c r="E105" i="4"/>
  <c r="L99" i="4" s="1"/>
  <c r="C106" i="4"/>
  <c r="J101" i="4" s="1"/>
  <c r="C100" i="4"/>
  <c r="D100" i="4"/>
  <c r="T90" i="4"/>
  <c r="J102" i="4" l="1"/>
  <c r="L108" i="4"/>
  <c r="S99" i="4"/>
  <c r="L100" i="4"/>
  <c r="C109" i="4"/>
  <c r="F100" i="4"/>
  <c r="F103" i="4" s="1"/>
  <c r="C105" i="4"/>
  <c r="J99" i="4" s="1"/>
  <c r="C103" i="4"/>
  <c r="M101" i="4"/>
  <c r="L106" i="4"/>
  <c r="S101" i="4"/>
  <c r="D109" i="4"/>
  <c r="D105" i="4"/>
  <c r="K99" i="4" s="1"/>
  <c r="D103" i="4"/>
  <c r="K102" i="4"/>
  <c r="K106" i="4" s="1"/>
  <c r="L109" i="4" l="1"/>
  <c r="S102" i="4" s="1"/>
  <c r="L103" i="4"/>
  <c r="L105" i="4"/>
  <c r="S106" i="4"/>
  <c r="J108" i="4"/>
  <c r="Q101" i="4" s="1"/>
  <c r="J105" i="4"/>
  <c r="Q99" i="4"/>
  <c r="M99" i="4"/>
  <c r="J103" i="4"/>
  <c r="K100" i="4"/>
  <c r="M102" i="4"/>
  <c r="K108" i="4"/>
  <c r="R101" i="4" s="1"/>
  <c r="K105" i="4"/>
  <c r="K103" i="4"/>
  <c r="R99" i="4"/>
  <c r="J100" i="4"/>
  <c r="S108" i="4"/>
  <c r="J106" i="4"/>
  <c r="T101" i="4" l="1"/>
  <c r="E114" i="4" s="1"/>
  <c r="D114" i="4"/>
  <c r="R108" i="4"/>
  <c r="T99" i="4"/>
  <c r="D112" i="4" s="1"/>
  <c r="Q108" i="4"/>
  <c r="J109" i="4"/>
  <c r="Q102" i="4" s="1"/>
  <c r="Q106" i="4" s="1"/>
  <c r="M100" i="4"/>
  <c r="M103" i="4" s="1"/>
  <c r="Q100" i="4"/>
  <c r="S100" i="4"/>
  <c r="K109" i="4"/>
  <c r="R102" i="4" s="1"/>
  <c r="R100" i="4"/>
  <c r="R105" i="4" s="1"/>
  <c r="D121" i="4" l="1"/>
  <c r="C114" i="4"/>
  <c r="D115" i="4"/>
  <c r="D119" i="4"/>
  <c r="K114" i="4" s="1"/>
  <c r="E113" i="4"/>
  <c r="S109" i="4"/>
  <c r="S105" i="4"/>
  <c r="S103" i="4"/>
  <c r="Q109" i="4"/>
  <c r="T100" i="4"/>
  <c r="C113" i="4" s="1"/>
  <c r="E119" i="4"/>
  <c r="L114" i="4" s="1"/>
  <c r="T103" i="4"/>
  <c r="E112" i="4"/>
  <c r="D113" i="4"/>
  <c r="D116" i="4" s="1"/>
  <c r="R109" i="4"/>
  <c r="R103" i="4"/>
  <c r="R106" i="4"/>
  <c r="C115" i="4"/>
  <c r="T102" i="4"/>
  <c r="E115" i="4" s="1"/>
  <c r="C112" i="4"/>
  <c r="Q103" i="4"/>
  <c r="Q105" i="4"/>
  <c r="F113" i="4" l="1"/>
  <c r="C122" i="4"/>
  <c r="L119" i="4"/>
  <c r="F115" i="4"/>
  <c r="J115" i="4"/>
  <c r="L113" i="4"/>
  <c r="E122" i="4"/>
  <c r="K115" i="4"/>
  <c r="K119" i="4" s="1"/>
  <c r="L112" i="4"/>
  <c r="E118" i="4"/>
  <c r="E116" i="4"/>
  <c r="E121" i="4"/>
  <c r="D118" i="4"/>
  <c r="K112" i="4" s="1"/>
  <c r="F112" i="4"/>
  <c r="F116" i="4" s="1"/>
  <c r="C116" i="4"/>
  <c r="C121" i="4"/>
  <c r="C118" i="4"/>
  <c r="J113" i="4" s="1"/>
  <c r="K113" i="4"/>
  <c r="D122" i="4"/>
  <c r="F114" i="4"/>
  <c r="C119" i="4"/>
  <c r="J114" i="4" s="1"/>
  <c r="L115" i="4"/>
  <c r="J119" i="4" l="1"/>
  <c r="M114" i="4"/>
  <c r="J122" i="4"/>
  <c r="Q113" i="4" s="1"/>
  <c r="M113" i="4"/>
  <c r="Q115" i="4"/>
  <c r="M115" i="4"/>
  <c r="K122" i="4"/>
  <c r="R115" i="4" s="1"/>
  <c r="J112" i="4"/>
  <c r="K121" i="4"/>
  <c r="R114" i="4" s="1"/>
  <c r="K118" i="4"/>
  <c r="K116" i="4"/>
  <c r="L122" i="4"/>
  <c r="S113" i="4" s="1"/>
  <c r="S115" i="4"/>
  <c r="L116" i="4"/>
  <c r="L121" i="4"/>
  <c r="S114" i="4" s="1"/>
  <c r="L118" i="4"/>
  <c r="S122" i="4" l="1"/>
  <c r="Q122" i="4"/>
  <c r="D128" i="4"/>
  <c r="J121" i="4"/>
  <c r="Q114" i="4" s="1"/>
  <c r="J118" i="4"/>
  <c r="J116" i="4"/>
  <c r="M112" i="4"/>
  <c r="M116" i="4" s="1"/>
  <c r="Q112" i="4"/>
  <c r="R119" i="4"/>
  <c r="S112" i="4"/>
  <c r="T115" i="4"/>
  <c r="C128" i="4" s="1"/>
  <c r="S119" i="4"/>
  <c r="R113" i="4"/>
  <c r="E128" i="4"/>
  <c r="R112" i="4"/>
  <c r="F128" i="4" l="1"/>
  <c r="Q121" i="4"/>
  <c r="Q118" i="4"/>
  <c r="Q116" i="4"/>
  <c r="T112" i="4"/>
  <c r="C125" i="4"/>
  <c r="R121" i="4"/>
  <c r="R118" i="4"/>
  <c r="R116" i="4"/>
  <c r="D125" i="4"/>
  <c r="R122" i="4"/>
  <c r="Q119" i="4"/>
  <c r="T114" i="4"/>
  <c r="C127" i="4"/>
  <c r="T113" i="4"/>
  <c r="S116" i="4"/>
  <c r="S121" i="4"/>
  <c r="S118" i="4"/>
  <c r="E125" i="4"/>
  <c r="E126" i="4" l="1"/>
  <c r="C126" i="4"/>
  <c r="C134" i="4"/>
  <c r="C131" i="4"/>
  <c r="J125" i="4" s="1"/>
  <c r="F125" i="4"/>
  <c r="T116" i="4"/>
  <c r="C132" i="4"/>
  <c r="J128" i="4" s="1"/>
  <c r="D127" i="4"/>
  <c r="F127" i="4" s="1"/>
  <c r="E127" i="4"/>
  <c r="D126" i="4"/>
  <c r="D131" i="4" s="1"/>
  <c r="K125" i="4" s="1"/>
  <c r="J134" i="4" l="1"/>
  <c r="Q125" i="4" s="1"/>
  <c r="J129" i="4"/>
  <c r="J131" i="4"/>
  <c r="E135" i="4"/>
  <c r="L126" i="4"/>
  <c r="D129" i="4"/>
  <c r="E132" i="4"/>
  <c r="L128" i="4" s="1"/>
  <c r="L127" i="4"/>
  <c r="J127" i="4"/>
  <c r="F129" i="4"/>
  <c r="E129" i="4"/>
  <c r="K126" i="4"/>
  <c r="D135" i="4"/>
  <c r="D132" i="4"/>
  <c r="K128" i="4" s="1"/>
  <c r="D134" i="4"/>
  <c r="E131" i="4"/>
  <c r="L125" i="4" s="1"/>
  <c r="M125" i="4" s="1"/>
  <c r="C135" i="4"/>
  <c r="F126" i="4"/>
  <c r="J126" i="4"/>
  <c r="C129" i="4"/>
  <c r="E134" i="4"/>
  <c r="Q134" i="4" l="1"/>
  <c r="L135" i="4"/>
  <c r="S128" i="4" s="1"/>
  <c r="K127" i="4"/>
  <c r="K135" i="4"/>
  <c r="R126" i="4" s="1"/>
  <c r="K131" i="4"/>
  <c r="M126" i="4"/>
  <c r="J135" i="4"/>
  <c r="Q128" i="4" s="1"/>
  <c r="L132" i="4"/>
  <c r="L134" i="4"/>
  <c r="S127" i="4" s="1"/>
  <c r="L131" i="4"/>
  <c r="S125" i="4"/>
  <c r="L129" i="4"/>
  <c r="M128" i="4"/>
  <c r="Q127" i="4"/>
  <c r="J132" i="4"/>
  <c r="S132" i="4" l="1"/>
  <c r="R128" i="4"/>
  <c r="S134" i="4"/>
  <c r="S131" i="4"/>
  <c r="S129" i="4"/>
  <c r="R127" i="4"/>
  <c r="K132" i="4"/>
  <c r="K134" i="4"/>
  <c r="R125" i="4" s="1"/>
  <c r="Q126" i="4"/>
  <c r="Q132" i="4"/>
  <c r="S126" i="4"/>
  <c r="M127" i="4"/>
  <c r="M129" i="4" s="1"/>
  <c r="K129" i="4"/>
  <c r="S135" i="4" l="1"/>
  <c r="T126" i="4"/>
  <c r="D139" i="4" s="1"/>
  <c r="Q135" i="4"/>
  <c r="C139" i="4"/>
  <c r="Q131" i="4"/>
  <c r="Q129" i="4"/>
  <c r="T128" i="4"/>
  <c r="D141" i="4" s="1"/>
  <c r="R135" i="4"/>
  <c r="D140" i="4"/>
  <c r="R132" i="4"/>
  <c r="R129" i="4"/>
  <c r="R134" i="4"/>
  <c r="R131" i="4"/>
  <c r="T125" i="4"/>
  <c r="T127" i="4"/>
  <c r="D145" i="4" l="1"/>
  <c r="K141" i="4" s="1"/>
  <c r="K140" i="4"/>
  <c r="F139" i="4"/>
  <c r="C148" i="4"/>
  <c r="D148" i="4"/>
  <c r="T129" i="4"/>
  <c r="C138" i="4"/>
  <c r="E138" i="4"/>
  <c r="E141" i="4"/>
  <c r="C141" i="4"/>
  <c r="E139" i="4"/>
  <c r="E140" i="4"/>
  <c r="C140" i="4"/>
  <c r="D138" i="4"/>
  <c r="E147" i="4" l="1"/>
  <c r="E144" i="4"/>
  <c r="E142" i="4"/>
  <c r="L138" i="4"/>
  <c r="C142" i="4"/>
  <c r="F138" i="4"/>
  <c r="F142" i="4" s="1"/>
  <c r="C147" i="4"/>
  <c r="C144" i="4"/>
  <c r="J139" i="4" s="1"/>
  <c r="D147" i="4"/>
  <c r="D144" i="4"/>
  <c r="K139" i="4" s="1"/>
  <c r="D142" i="4"/>
  <c r="K138" i="4"/>
  <c r="F140" i="4"/>
  <c r="C145" i="4"/>
  <c r="J141" i="4" s="1"/>
  <c r="E145" i="4"/>
  <c r="L141" i="4" s="1"/>
  <c r="L140" i="4"/>
  <c r="K145" i="4"/>
  <c r="L139" i="4"/>
  <c r="E148" i="4"/>
  <c r="F141" i="4"/>
  <c r="M141" i="4" l="1"/>
  <c r="J148" i="4"/>
  <c r="Q141" i="4" s="1"/>
  <c r="M139" i="4"/>
  <c r="Q139" i="4"/>
  <c r="J138" i="4"/>
  <c r="L142" i="4"/>
  <c r="L147" i="4"/>
  <c r="S140" i="4" s="1"/>
  <c r="L144" i="4"/>
  <c r="R138" i="4"/>
  <c r="K147" i="4"/>
  <c r="R140" i="4" s="1"/>
  <c r="K144" i="4"/>
  <c r="K142" i="4"/>
  <c r="L145" i="4"/>
  <c r="J140" i="4"/>
  <c r="L148" i="4"/>
  <c r="S141" i="4" s="1"/>
  <c r="K148" i="4"/>
  <c r="R141" i="4" s="1"/>
  <c r="R139" i="4"/>
  <c r="S145" i="4" l="1"/>
  <c r="T141" i="4"/>
  <c r="E154" i="4" s="1"/>
  <c r="C154" i="4"/>
  <c r="R148" i="4"/>
  <c r="S138" i="4"/>
  <c r="R147" i="4"/>
  <c r="R144" i="4"/>
  <c r="R142" i="4"/>
  <c r="M140" i="4"/>
  <c r="J145" i="4"/>
  <c r="J142" i="4"/>
  <c r="M138" i="4"/>
  <c r="M142" i="4" s="1"/>
  <c r="J147" i="4"/>
  <c r="Q140" i="4" s="1"/>
  <c r="J144" i="4"/>
  <c r="D154" i="4"/>
  <c r="S139" i="4"/>
  <c r="Q148" i="4"/>
  <c r="R145" i="4"/>
  <c r="T140" i="4" l="1"/>
  <c r="Q145" i="4"/>
  <c r="S148" i="4"/>
  <c r="Q138" i="4"/>
  <c r="T139" i="4"/>
  <c r="E152" i="4" s="1"/>
  <c r="S147" i="4"/>
  <c r="S144" i="4"/>
  <c r="S142" i="4"/>
  <c r="F154" i="4"/>
  <c r="E161" i="4" l="1"/>
  <c r="T138" i="4"/>
  <c r="Q142" i="4"/>
  <c r="Q147" i="4"/>
  <c r="Q144" i="4"/>
  <c r="D152" i="4"/>
  <c r="C152" i="4"/>
  <c r="D153" i="4"/>
  <c r="E153" i="4"/>
  <c r="C153" i="4"/>
  <c r="F153" i="4" l="1"/>
  <c r="C158" i="4"/>
  <c r="J154" i="4" s="1"/>
  <c r="E158" i="4"/>
  <c r="L154" i="4" s="1"/>
  <c r="L153" i="4"/>
  <c r="D161" i="4"/>
  <c r="T142" i="4"/>
  <c r="D151" i="4"/>
  <c r="E151" i="4"/>
  <c r="C151" i="4"/>
  <c r="D158" i="4"/>
  <c r="K154" i="4" s="1"/>
  <c r="C161" i="4"/>
  <c r="F152" i="4"/>
  <c r="F151" i="4" l="1"/>
  <c r="F155" i="4" s="1"/>
  <c r="C160" i="4"/>
  <c r="C157" i="4"/>
  <c r="J152" i="4" s="1"/>
  <c r="C155" i="4"/>
  <c r="D160" i="4"/>
  <c r="D157" i="4"/>
  <c r="K152" i="4" s="1"/>
  <c r="D155" i="4"/>
  <c r="K151" i="4"/>
  <c r="L158" i="4"/>
  <c r="J153" i="4"/>
  <c r="M154" i="4"/>
  <c r="E160" i="4"/>
  <c r="E157" i="4"/>
  <c r="L152" i="4" s="1"/>
  <c r="E155" i="4"/>
  <c r="L151" i="4"/>
  <c r="K153" i="4"/>
  <c r="K160" i="4" l="1"/>
  <c r="K157" i="4"/>
  <c r="K155" i="4"/>
  <c r="R151" i="4"/>
  <c r="J161" i="4"/>
  <c r="Q154" i="4" s="1"/>
  <c r="M152" i="4"/>
  <c r="Q152" i="4"/>
  <c r="L160" i="4"/>
  <c r="S153" i="4" s="1"/>
  <c r="L157" i="4"/>
  <c r="L155" i="4"/>
  <c r="S151" i="4"/>
  <c r="K158" i="4"/>
  <c r="R153" i="4"/>
  <c r="K161" i="4"/>
  <c r="R154" i="4" s="1"/>
  <c r="K9" i="4" s="1"/>
  <c r="R152" i="4"/>
  <c r="L161" i="4"/>
  <c r="S154" i="4" s="1"/>
  <c r="L9" i="4" s="1"/>
  <c r="S152" i="4"/>
  <c r="J151" i="4"/>
  <c r="J158" i="4"/>
  <c r="M153" i="4"/>
  <c r="S161" i="4" l="1"/>
  <c r="L7" i="4"/>
  <c r="Q161" i="4"/>
  <c r="T152" i="4"/>
  <c r="J7" i="4"/>
  <c r="R161" i="4"/>
  <c r="K7" i="4"/>
  <c r="S160" i="4"/>
  <c r="S155" i="4"/>
  <c r="L6" i="4"/>
  <c r="S157" i="4"/>
  <c r="S158" i="4"/>
  <c r="L8" i="4"/>
  <c r="J160" i="4"/>
  <c r="Q153" i="4" s="1"/>
  <c r="J157" i="4"/>
  <c r="Q151" i="4"/>
  <c r="M151" i="4"/>
  <c r="M155" i="4" s="1"/>
  <c r="J155" i="4"/>
  <c r="T154" i="4"/>
  <c r="J9" i="4"/>
  <c r="Y331" i="2"/>
  <c r="M340" i="2" s="1"/>
  <c r="L60" i="3"/>
  <c r="R155" i="4"/>
  <c r="R160" i="4"/>
  <c r="K6" i="4"/>
  <c r="R157" i="4"/>
  <c r="K60" i="3"/>
  <c r="X331" i="2"/>
  <c r="M339" i="2" s="1"/>
  <c r="R158" i="4"/>
  <c r="K8" i="4"/>
  <c r="N340" i="2" l="1"/>
  <c r="O340" i="2"/>
  <c r="R340" i="2" s="1"/>
  <c r="P340" i="2"/>
  <c r="Q340" i="2" s="1"/>
  <c r="K59" i="3"/>
  <c r="W7" i="4"/>
  <c r="K13" i="4"/>
  <c r="X330" i="2"/>
  <c r="M336" i="2" s="1"/>
  <c r="L57" i="3"/>
  <c r="L10" i="4"/>
  <c r="L12" i="4"/>
  <c r="L15" i="4"/>
  <c r="Y328" i="2"/>
  <c r="M331" i="2" s="1"/>
  <c r="W331" i="2"/>
  <c r="M338" i="2" s="1"/>
  <c r="J60" i="3"/>
  <c r="M9" i="4"/>
  <c r="J16" i="4"/>
  <c r="W329" i="2"/>
  <c r="M332" i="2" s="1"/>
  <c r="M7" i="4"/>
  <c r="J58" i="3"/>
  <c r="T151" i="4"/>
  <c r="T155" i="4" s="1"/>
  <c r="Q160" i="4"/>
  <c r="Q157" i="4"/>
  <c r="Q155" i="4"/>
  <c r="J6" i="4"/>
  <c r="O339" i="2"/>
  <c r="R339" i="2" s="1"/>
  <c r="N339" i="2"/>
  <c r="P339" i="2"/>
  <c r="Q339" i="2" s="1"/>
  <c r="X329" i="2"/>
  <c r="M333" i="2" s="1"/>
  <c r="K16" i="4"/>
  <c r="K58" i="3"/>
  <c r="T153" i="4"/>
  <c r="Q158" i="4"/>
  <c r="J8" i="4"/>
  <c r="L58" i="3"/>
  <c r="Y329" i="2"/>
  <c r="M334" i="2" s="1"/>
  <c r="L16" i="4"/>
  <c r="K12" i="4"/>
  <c r="K15" i="4"/>
  <c r="K10" i="4"/>
  <c r="V7" i="4"/>
  <c r="X328" i="2"/>
  <c r="M330" i="2" s="1"/>
  <c r="K57" i="3"/>
  <c r="L13" i="4"/>
  <c r="Y330" i="2"/>
  <c r="M337" i="2" s="1"/>
  <c r="L59" i="3"/>
  <c r="V8" i="4" l="1"/>
  <c r="J10" i="4"/>
  <c r="V6" i="4"/>
  <c r="J57" i="3"/>
  <c r="W328" i="2"/>
  <c r="M329" i="2" s="1"/>
  <c r="J15" i="4"/>
  <c r="M15" i="4" s="1"/>
  <c r="J12" i="4"/>
  <c r="M12" i="4" s="1"/>
  <c r="M6" i="4"/>
  <c r="M10" i="4" s="1"/>
  <c r="O332" i="2"/>
  <c r="R332" i="2" s="1"/>
  <c r="N332" i="2"/>
  <c r="P332" i="2"/>
  <c r="Q332" i="2" s="1"/>
  <c r="N331" i="2"/>
  <c r="O331" i="2"/>
  <c r="R331" i="2" s="1"/>
  <c r="P331" i="2"/>
  <c r="Q331" i="2" s="1"/>
  <c r="J13" i="4"/>
  <c r="M13" i="4" s="1"/>
  <c r="M8" i="4"/>
  <c r="W8" i="4"/>
  <c r="W6" i="4"/>
  <c r="W330" i="2"/>
  <c r="M335" i="2" s="1"/>
  <c r="J59" i="3"/>
  <c r="O333" i="2"/>
  <c r="R333" i="2" s="1"/>
  <c r="N333" i="2"/>
  <c r="P333" i="2"/>
  <c r="Q333" i="2" s="1"/>
  <c r="O334" i="2"/>
  <c r="R334" i="2" s="1"/>
  <c r="N334" i="2"/>
  <c r="P334" i="2"/>
  <c r="Q334" i="2" s="1"/>
  <c r="O337" i="2"/>
  <c r="R337" i="2" s="1"/>
  <c r="N337" i="2"/>
  <c r="P337" i="2"/>
  <c r="Q337" i="2" s="1"/>
  <c r="O336" i="2"/>
  <c r="R336" i="2" s="1"/>
  <c r="N336" i="2"/>
  <c r="P336" i="2"/>
  <c r="Q336" i="2" s="1"/>
  <c r="O330" i="2"/>
  <c r="R330" i="2" s="1"/>
  <c r="N330" i="2"/>
  <c r="P330" i="2"/>
  <c r="Q330" i="2" s="1"/>
  <c r="M16" i="4"/>
  <c r="N338" i="2"/>
  <c r="O338" i="2"/>
  <c r="R338" i="2" s="1"/>
  <c r="P338" i="2"/>
  <c r="Q338" i="2" s="1"/>
  <c r="O335" i="2" l="1"/>
  <c r="R335" i="2" s="1"/>
  <c r="N335" i="2"/>
  <c r="P335" i="2"/>
  <c r="Q335" i="2" s="1"/>
  <c r="N329" i="2"/>
  <c r="O329" i="2"/>
  <c r="R329" i="2" s="1"/>
  <c r="R341" i="2" s="1"/>
  <c r="U328" i="2" s="1"/>
  <c r="P329" i="2"/>
  <c r="Q329" i="2" s="1"/>
  <c r="U331" i="2" l="1"/>
  <c r="B106" i="2"/>
  <c r="B114" i="2" l="1"/>
  <c r="D114" i="2" s="1"/>
  <c r="D117" i="2" s="1"/>
  <c r="B123" i="2"/>
  <c r="D123" i="2" s="1"/>
  <c r="D126" i="2" s="1"/>
  <c r="U333" i="2"/>
  <c r="E106" i="2" s="1"/>
  <c r="D106" i="2"/>
</calcChain>
</file>

<file path=xl/sharedStrings.xml><?xml version="1.0" encoding="utf-8"?>
<sst xmlns="http://schemas.openxmlformats.org/spreadsheetml/2006/main" count="778" uniqueCount="131">
  <si>
    <t>Log-linear models for three-way contingency tables</t>
  </si>
  <si>
    <t>Therapy 1</t>
  </si>
  <si>
    <t>Therapy 2</t>
  </si>
  <si>
    <t>Therapy 3</t>
  </si>
  <si>
    <t>Cure</t>
  </si>
  <si>
    <t>Gender</t>
  </si>
  <si>
    <t>Therapy</t>
  </si>
  <si>
    <t>Obs</t>
  </si>
  <si>
    <t>Positive</t>
  </si>
  <si>
    <t>Male</t>
  </si>
  <si>
    <t>Female</t>
  </si>
  <si>
    <t>Negative</t>
  </si>
  <si>
    <t>Odds ratios</t>
  </si>
  <si>
    <t>Odds Ratio (Therapy 1 vs. Therapy 2)</t>
  </si>
  <si>
    <t>Log of odds ratio</t>
  </si>
  <si>
    <t>Odds</t>
  </si>
  <si>
    <t>Odds Ratio (Male vs. Female)</t>
  </si>
  <si>
    <t>Observations</t>
  </si>
  <si>
    <t>Saturated Model (CGT)</t>
  </si>
  <si>
    <t>Observation</t>
  </si>
  <si>
    <t>Expectation</t>
  </si>
  <si>
    <t>Residuals</t>
  </si>
  <si>
    <t>Count (y)</t>
  </si>
  <si>
    <t>%</t>
  </si>
  <si>
    <t>ln y</t>
  </si>
  <si>
    <r>
      <t>Count (</t>
    </r>
    <r>
      <rPr>
        <sz val="11"/>
        <color theme="1"/>
        <rFont val="Calibri"/>
        <family val="2"/>
      </rPr>
      <t>ŷ)</t>
    </r>
  </si>
  <si>
    <r>
      <t xml:space="preserve">ln </t>
    </r>
    <r>
      <rPr>
        <sz val="11"/>
        <color theme="1"/>
        <rFont val="Calibri"/>
        <family val="2"/>
      </rPr>
      <t>ŷ</t>
    </r>
  </si>
  <si>
    <t>Res</t>
  </si>
  <si>
    <t>Std Res</t>
  </si>
  <si>
    <t>χ2</t>
  </si>
  <si>
    <t>df</t>
  </si>
  <si>
    <t>α</t>
  </si>
  <si>
    <t>p-value</t>
  </si>
  <si>
    <t>χ2-crit</t>
  </si>
  <si>
    <t>sig</t>
  </si>
  <si>
    <t>no</t>
  </si>
  <si>
    <t>t1 = 1 if Guilty, -1 if Innocent</t>
  </si>
  <si>
    <t>t2 = 1 if Low Fault, -1 if High Fault</t>
  </si>
  <si>
    <t>t3 = 1 if High Morality, -1 if Low Morality, 0 otherwise</t>
  </si>
  <si>
    <t>t4 = 1 if Neutral Morality, -1 if Low Morality, 0 otherwise</t>
  </si>
  <si>
    <t>G, CT Model</t>
  </si>
  <si>
    <t>Counts</t>
  </si>
  <si>
    <t>C, GT Model</t>
  </si>
  <si>
    <t>Prob</t>
  </si>
  <si>
    <t>T, CG Model</t>
  </si>
  <si>
    <t>CG, GT Model</t>
  </si>
  <si>
    <t>Summary</t>
  </si>
  <si>
    <t>Equiprob</t>
  </si>
  <si>
    <t>C</t>
  </si>
  <si>
    <t>G</t>
  </si>
  <si>
    <t>CG, CT Model</t>
  </si>
  <si>
    <t>T</t>
  </si>
  <si>
    <t>C, G</t>
  </si>
  <si>
    <t>G, T</t>
  </si>
  <si>
    <t>C, T</t>
  </si>
  <si>
    <t>C, G, T</t>
  </si>
  <si>
    <t>CG</t>
  </si>
  <si>
    <t>GT</t>
  </si>
  <si>
    <t>CT</t>
  </si>
  <si>
    <t>C, GT</t>
  </si>
  <si>
    <t>G, CT</t>
  </si>
  <si>
    <t>T, CG</t>
  </si>
  <si>
    <t>CG, CT</t>
  </si>
  <si>
    <t>CG, GT</t>
  </si>
  <si>
    <t>CT, GT</t>
  </si>
  <si>
    <t>CG, GT, CT</t>
  </si>
  <si>
    <t>CGT</t>
  </si>
  <si>
    <t>CT, GT Model</t>
  </si>
  <si>
    <t>(CG, GT, CT) vs. (CG, GT)</t>
  </si>
  <si>
    <t>model 1</t>
  </si>
  <si>
    <t>model 2</t>
  </si>
  <si>
    <t>difference</t>
  </si>
  <si>
    <t xml:space="preserve"> χ2</t>
  </si>
  <si>
    <t>(CG, GT, CT) vs. (CG, CT)</t>
  </si>
  <si>
    <t>C, G, T Model</t>
  </si>
  <si>
    <t>(CG, CT) vs. (T, CG)</t>
  </si>
  <si>
    <t>C Model</t>
  </si>
  <si>
    <t>G Model</t>
  </si>
  <si>
    <t>T Model</t>
  </si>
  <si>
    <t>CG Model</t>
  </si>
  <si>
    <t>GT Model</t>
  </si>
  <si>
    <t>CT Model</t>
  </si>
  <si>
    <t>C, G Model</t>
  </si>
  <si>
    <t>G, T Model</t>
  </si>
  <si>
    <t>C, T Model</t>
  </si>
  <si>
    <t>Eqipiprob Model</t>
  </si>
  <si>
    <t>CG, GT, CT Model</t>
  </si>
  <si>
    <t>Expectation for CG, CT model</t>
  </si>
  <si>
    <t>Expectations</t>
  </si>
  <si>
    <t>Expectation for C, GT model</t>
  </si>
  <si>
    <t>Expectation for C, G, T model</t>
  </si>
  <si>
    <t>Expectation for CG, CT, GT model</t>
  </si>
  <si>
    <t>Expectation for C, T model</t>
  </si>
  <si>
    <t>Iterative Proportional Fitting for Homogeneous Association Model</t>
  </si>
  <si>
    <t>Observed</t>
  </si>
  <si>
    <t>Expected (IPF)</t>
  </si>
  <si>
    <t>Seed</t>
  </si>
  <si>
    <t>Associations</t>
  </si>
  <si>
    <t>Row/Column Adjustment</t>
  </si>
  <si>
    <t>Row/Layer Adjustment</t>
  </si>
  <si>
    <t>Column/Layer Adjustment</t>
  </si>
  <si>
    <t>Log-linear regression (calculating coefficients)</t>
  </si>
  <si>
    <r>
      <t>t</t>
    </r>
    <r>
      <rPr>
        <vertAlign val="subscript"/>
        <sz val="11"/>
        <color theme="1"/>
        <rFont val="Aptos Narrow"/>
        <family val="2"/>
        <scheme val="minor"/>
      </rPr>
      <t>C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</si>
  <si>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>G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</si>
  <si>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>T1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</si>
  <si>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>T2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</si>
  <si>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 xml:space="preserve">C </t>
    </r>
    <r>
      <rPr>
        <sz val="11"/>
        <color theme="1"/>
        <rFont val="Aptos Narrow"/>
        <family val="2"/>
        <scheme val="minor"/>
      </rPr>
      <t>* t</t>
    </r>
    <r>
      <rPr>
        <vertAlign val="subscript"/>
        <sz val="11"/>
        <color theme="1"/>
        <rFont val="Aptos Narrow"/>
        <family val="2"/>
        <scheme val="minor"/>
      </rPr>
      <t>G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</si>
  <si>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 xml:space="preserve">C </t>
    </r>
    <r>
      <rPr>
        <sz val="11"/>
        <color theme="1"/>
        <rFont val="Aptos Narrow"/>
        <family val="2"/>
        <scheme val="minor"/>
      </rPr>
      <t>* t</t>
    </r>
    <r>
      <rPr>
        <vertAlign val="subscript"/>
        <sz val="11"/>
        <color theme="1"/>
        <rFont val="Aptos Narrow"/>
        <family val="2"/>
        <scheme val="minor"/>
      </rPr>
      <t>T1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</si>
  <si>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 xml:space="preserve">C </t>
    </r>
    <r>
      <rPr>
        <sz val="11"/>
        <color theme="1"/>
        <rFont val="Aptos Narrow"/>
        <family val="2"/>
        <scheme val="minor"/>
      </rPr>
      <t>* t</t>
    </r>
    <r>
      <rPr>
        <vertAlign val="subscript"/>
        <sz val="11"/>
        <color theme="1"/>
        <rFont val="Aptos Narrow"/>
        <family val="2"/>
        <scheme val="minor"/>
      </rPr>
      <t>T2</t>
    </r>
  </si>
  <si>
    <t xml:space="preserve"> ŷ</t>
  </si>
  <si>
    <t>coefficient</t>
  </si>
  <si>
    <t>Intercept</t>
  </si>
  <si>
    <t>=L18</t>
  </si>
  <si>
    <t>tC</t>
  </si>
  <si>
    <t>=L12-O7</t>
  </si>
  <si>
    <t>tG</t>
  </si>
  <si>
    <t>=L15-O7</t>
  </si>
  <si>
    <t>tT1</t>
  </si>
  <si>
    <t>=L16-O7</t>
  </si>
  <si>
    <t>tT2</t>
  </si>
  <si>
    <t>=L17-O7</t>
  </si>
  <si>
    <t>tC * tG</t>
  </si>
  <si>
    <t>=L9-O7-O8-O9</t>
  </si>
  <si>
    <t>tC * tT1</t>
  </si>
  <si>
    <t>=L10-O7-O8-O10</t>
  </si>
  <si>
    <t>tC * tT2</t>
  </si>
  <si>
    <t>=L11-O7-O8-O11</t>
  </si>
  <si>
    <t>Real Statistics Using Excel</t>
  </si>
  <si>
    <t>Updated</t>
  </si>
  <si>
    <t>Copyright © 2013 - 2024 Charles Zaiontz</t>
  </si>
  <si>
    <t>Log-Linear Regression Model (Three-way Contingency 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</si>
</sst>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/>
    <xf numFmtId="10" fontId="0" fillId="0" borderId="0" xfId="0" applyNumberFormat="1"/>
    <xf numFmtId="0" fontId="0" fillId="0" borderId="14" xfId="0" applyBorder="1"/>
    <xf numFmtId="0" fontId="2" fillId="0" borderId="0" xfId="0" applyFont="1"/>
    <xf numFmtId="0" fontId="0" fillId="0" borderId="15" xfId="0" applyBorder="1" applyAlignment="1">
      <alignment horizontal="right"/>
    </xf>
    <xf numFmtId="10" fontId="0" fillId="0" borderId="8" xfId="0" applyNumberFormat="1" applyBorder="1"/>
    <xf numFmtId="0" fontId="0" fillId="0" borderId="15" xfId="0" applyBorder="1"/>
    <xf numFmtId="10" fontId="0" fillId="0" borderId="3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4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quotePrefix="1"/>
    <xf numFmtId="0" fontId="0" fillId="0" borderId="7" xfId="0" applyBorder="1" applyAlignment="1">
      <alignment horizontal="center"/>
    </xf>
    <xf numFmtId="15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8D4C-EF31-4CEA-B338-75D719F070B8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127</v>
      </c>
    </row>
    <row r="2" spans="1:2" x14ac:dyDescent="0.35">
      <c r="A2" t="s">
        <v>130</v>
      </c>
    </row>
    <row r="4" spans="1:2" x14ac:dyDescent="0.35">
      <c r="A4" t="s">
        <v>128</v>
      </c>
      <c r="B4" s="42">
        <v>45363</v>
      </c>
    </row>
    <row r="6" spans="1:2" x14ac:dyDescent="0.35">
      <c r="A6" s="43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28CA-C71A-400D-91B9-254ABBA99BA5}">
  <sheetPr codeName="Sheet136"/>
  <dimension ref="A1:L27"/>
  <sheetViews>
    <sheetView workbookViewId="0"/>
  </sheetViews>
  <sheetFormatPr defaultRowHeight="14.5" x14ac:dyDescent="0.35"/>
  <sheetData>
    <row r="1" spans="1:12" x14ac:dyDescent="0.35">
      <c r="A1" s="1" t="s">
        <v>0</v>
      </c>
    </row>
    <row r="3" spans="1:12" x14ac:dyDescent="0.35">
      <c r="C3" s="2" t="s">
        <v>1</v>
      </c>
      <c r="D3" s="2" t="s">
        <v>2</v>
      </c>
      <c r="E3" s="2" t="s">
        <v>3</v>
      </c>
      <c r="I3" s="3" t="s">
        <v>4</v>
      </c>
      <c r="J3" s="3" t="s">
        <v>5</v>
      </c>
      <c r="K3" s="3" t="s">
        <v>6</v>
      </c>
      <c r="L3" s="4" t="s">
        <v>7</v>
      </c>
    </row>
    <row r="4" spans="1:12" x14ac:dyDescent="0.35">
      <c r="A4" t="s">
        <v>8</v>
      </c>
      <c r="B4" t="s">
        <v>9</v>
      </c>
      <c r="C4" s="5">
        <v>59</v>
      </c>
      <c r="D4" s="6">
        <v>55</v>
      </c>
      <c r="E4" s="7">
        <v>107</v>
      </c>
      <c r="F4">
        <f>SUM(C4:E4)</f>
        <v>221</v>
      </c>
      <c r="I4" t="s">
        <v>8</v>
      </c>
      <c r="J4" t="s">
        <v>9</v>
      </c>
      <c r="K4" t="s">
        <v>1</v>
      </c>
      <c r="L4">
        <f>C4</f>
        <v>59</v>
      </c>
    </row>
    <row r="5" spans="1:12" x14ac:dyDescent="0.35">
      <c r="A5" t="s">
        <v>8</v>
      </c>
      <c r="B5" t="s">
        <v>10</v>
      </c>
      <c r="C5" s="8">
        <v>32</v>
      </c>
      <c r="D5">
        <v>24</v>
      </c>
      <c r="E5" s="9">
        <v>80</v>
      </c>
      <c r="F5">
        <f t="shared" ref="F5:F14" si="0">SUM(C5:E5)</f>
        <v>136</v>
      </c>
      <c r="I5" t="s">
        <v>8</v>
      </c>
      <c r="J5" t="s">
        <v>9</v>
      </c>
      <c r="K5" t="s">
        <v>2</v>
      </c>
      <c r="L5">
        <f>D4</f>
        <v>55</v>
      </c>
    </row>
    <row r="6" spans="1:12" x14ac:dyDescent="0.35">
      <c r="A6" t="s">
        <v>11</v>
      </c>
      <c r="B6" t="s">
        <v>9</v>
      </c>
      <c r="C6" s="8">
        <v>9</v>
      </c>
      <c r="D6">
        <v>12</v>
      </c>
      <c r="E6" s="9">
        <v>17</v>
      </c>
      <c r="F6">
        <f t="shared" si="0"/>
        <v>38</v>
      </c>
      <c r="I6" t="s">
        <v>8</v>
      </c>
      <c r="J6" t="s">
        <v>9</v>
      </c>
      <c r="K6" t="s">
        <v>3</v>
      </c>
      <c r="L6">
        <f>E4</f>
        <v>107</v>
      </c>
    </row>
    <row r="7" spans="1:12" x14ac:dyDescent="0.35">
      <c r="A7" t="s">
        <v>11</v>
      </c>
      <c r="B7" t="s">
        <v>10</v>
      </c>
      <c r="C7" s="10">
        <v>16</v>
      </c>
      <c r="D7" s="11">
        <v>33</v>
      </c>
      <c r="E7" s="12">
        <v>56</v>
      </c>
      <c r="F7">
        <f t="shared" si="0"/>
        <v>105</v>
      </c>
      <c r="I7" t="s">
        <v>8</v>
      </c>
      <c r="J7" t="s">
        <v>10</v>
      </c>
      <c r="K7" t="s">
        <v>1</v>
      </c>
      <c r="L7">
        <f>C5</f>
        <v>32</v>
      </c>
    </row>
    <row r="8" spans="1:12" x14ac:dyDescent="0.35">
      <c r="C8">
        <f>SUM(C4:C7)</f>
        <v>116</v>
      </c>
      <c r="D8">
        <f>SUM(D4:D7)</f>
        <v>124</v>
      </c>
      <c r="E8">
        <f>SUM(E4:E7)</f>
        <v>260</v>
      </c>
      <c r="F8">
        <f t="shared" si="0"/>
        <v>500</v>
      </c>
      <c r="I8" t="s">
        <v>8</v>
      </c>
      <c r="J8" t="s">
        <v>10</v>
      </c>
      <c r="K8" t="s">
        <v>2</v>
      </c>
      <c r="L8">
        <f>D5</f>
        <v>24</v>
      </c>
    </row>
    <row r="9" spans="1:12" x14ac:dyDescent="0.35">
      <c r="I9" t="s">
        <v>8</v>
      </c>
      <c r="J9" t="s">
        <v>10</v>
      </c>
      <c r="K9" t="s">
        <v>3</v>
      </c>
      <c r="L9">
        <f>E5</f>
        <v>80</v>
      </c>
    </row>
    <row r="10" spans="1:12" x14ac:dyDescent="0.35">
      <c r="A10" t="s">
        <v>8</v>
      </c>
      <c r="C10" s="5">
        <f>SUM(C4:C5)</f>
        <v>91</v>
      </c>
      <c r="D10" s="6">
        <f>SUM(D4:D5)</f>
        <v>79</v>
      </c>
      <c r="E10" s="7">
        <f>SUM(E4:E5)</f>
        <v>187</v>
      </c>
      <c r="F10">
        <f t="shared" si="0"/>
        <v>357</v>
      </c>
      <c r="I10" t="s">
        <v>11</v>
      </c>
      <c r="J10" t="s">
        <v>9</v>
      </c>
      <c r="K10" t="s">
        <v>1</v>
      </c>
      <c r="L10">
        <f>C6</f>
        <v>9</v>
      </c>
    </row>
    <row r="11" spans="1:12" x14ac:dyDescent="0.35">
      <c r="A11" t="s">
        <v>11</v>
      </c>
      <c r="C11" s="10">
        <f>SUM(C6:C7)</f>
        <v>25</v>
      </c>
      <c r="D11" s="11">
        <f>SUM(D6:D7)</f>
        <v>45</v>
      </c>
      <c r="E11" s="12">
        <f>SUM(E6:E7)</f>
        <v>73</v>
      </c>
      <c r="F11">
        <f t="shared" si="0"/>
        <v>143</v>
      </c>
      <c r="I11" t="s">
        <v>11</v>
      </c>
      <c r="J11" t="s">
        <v>9</v>
      </c>
      <c r="K11" t="s">
        <v>2</v>
      </c>
      <c r="L11">
        <f>D6</f>
        <v>12</v>
      </c>
    </row>
    <row r="12" spans="1:12" x14ac:dyDescent="0.35">
      <c r="I12" t="s">
        <v>11</v>
      </c>
      <c r="J12" t="s">
        <v>9</v>
      </c>
      <c r="K12" t="s">
        <v>3</v>
      </c>
      <c r="L12">
        <f>E6</f>
        <v>17</v>
      </c>
    </row>
    <row r="13" spans="1:12" x14ac:dyDescent="0.35">
      <c r="B13" t="s">
        <v>9</v>
      </c>
      <c r="C13" s="5">
        <f t="shared" ref="C13:E14" si="1">C4+C6</f>
        <v>68</v>
      </c>
      <c r="D13" s="6">
        <f t="shared" si="1"/>
        <v>67</v>
      </c>
      <c r="E13" s="7">
        <f t="shared" si="1"/>
        <v>124</v>
      </c>
      <c r="F13">
        <f t="shared" si="0"/>
        <v>259</v>
      </c>
      <c r="I13" t="s">
        <v>11</v>
      </c>
      <c r="J13" t="s">
        <v>10</v>
      </c>
      <c r="K13" t="s">
        <v>1</v>
      </c>
      <c r="L13">
        <f>C7</f>
        <v>16</v>
      </c>
    </row>
    <row r="14" spans="1:12" x14ac:dyDescent="0.35">
      <c r="B14" t="s">
        <v>10</v>
      </c>
      <c r="C14" s="10">
        <f t="shared" si="1"/>
        <v>48</v>
      </c>
      <c r="D14" s="11">
        <f t="shared" si="1"/>
        <v>57</v>
      </c>
      <c r="E14" s="12">
        <f t="shared" si="1"/>
        <v>136</v>
      </c>
      <c r="F14">
        <f t="shared" si="0"/>
        <v>241</v>
      </c>
      <c r="I14" t="s">
        <v>11</v>
      </c>
      <c r="J14" t="s">
        <v>10</v>
      </c>
      <c r="K14" t="s">
        <v>2</v>
      </c>
      <c r="L14">
        <f>D7</f>
        <v>33</v>
      </c>
    </row>
    <row r="15" spans="1:12" x14ac:dyDescent="0.35">
      <c r="I15" s="11" t="s">
        <v>11</v>
      </c>
      <c r="J15" s="11" t="s">
        <v>10</v>
      </c>
      <c r="K15" s="11" t="s">
        <v>3</v>
      </c>
      <c r="L15" s="11">
        <f>E7</f>
        <v>56</v>
      </c>
    </row>
    <row r="16" spans="1:12" x14ac:dyDescent="0.35">
      <c r="L16">
        <f>SUM(L4:L15)</f>
        <v>500</v>
      </c>
    </row>
    <row r="18" spans="1:11" x14ac:dyDescent="0.35">
      <c r="A18" t="s">
        <v>12</v>
      </c>
    </row>
    <row r="19" spans="1:11" x14ac:dyDescent="0.35">
      <c r="C19" s="2" t="s">
        <v>1</v>
      </c>
      <c r="D19" s="2" t="s">
        <v>2</v>
      </c>
      <c r="E19" s="2" t="s">
        <v>3</v>
      </c>
    </row>
    <row r="20" spans="1:11" x14ac:dyDescent="0.35">
      <c r="A20" t="s">
        <v>8</v>
      </c>
      <c r="C20" s="5">
        <f t="shared" ref="C20:E21" si="2">C10</f>
        <v>91</v>
      </c>
      <c r="D20" s="6">
        <f t="shared" si="2"/>
        <v>79</v>
      </c>
      <c r="E20" s="7">
        <f t="shared" si="2"/>
        <v>187</v>
      </c>
      <c r="G20" t="s">
        <v>13</v>
      </c>
      <c r="K20">
        <f>C22/D22</f>
        <v>2.0734177215189873</v>
      </c>
    </row>
    <row r="21" spans="1:11" x14ac:dyDescent="0.35">
      <c r="A21" t="s">
        <v>11</v>
      </c>
      <c r="C21" s="10">
        <f t="shared" si="2"/>
        <v>25</v>
      </c>
      <c r="D21" s="11">
        <f t="shared" si="2"/>
        <v>45</v>
      </c>
      <c r="E21" s="12">
        <f t="shared" si="2"/>
        <v>73</v>
      </c>
      <c r="G21" t="s">
        <v>14</v>
      </c>
      <c r="K21">
        <f>LN(K20)</f>
        <v>0.72919831895194753</v>
      </c>
    </row>
    <row r="22" spans="1:11" x14ac:dyDescent="0.35">
      <c r="A22" t="s">
        <v>15</v>
      </c>
      <c r="C22">
        <f>C20/C21</f>
        <v>3.64</v>
      </c>
      <c r="D22">
        <f>D20/D21</f>
        <v>1.7555555555555555</v>
      </c>
      <c r="E22">
        <f>E20/E21</f>
        <v>2.5616438356164384</v>
      </c>
    </row>
    <row r="24" spans="1:11" x14ac:dyDescent="0.35">
      <c r="C24" s="2" t="s">
        <v>9</v>
      </c>
      <c r="D24" s="2" t="s">
        <v>10</v>
      </c>
    </row>
    <row r="25" spans="1:11" x14ac:dyDescent="0.35">
      <c r="A25" t="s">
        <v>8</v>
      </c>
      <c r="C25" s="5">
        <f>F4</f>
        <v>221</v>
      </c>
      <c r="D25" s="7">
        <f>F5</f>
        <v>136</v>
      </c>
      <c r="G25" t="s">
        <v>16</v>
      </c>
      <c r="K25">
        <f>C27/D27</f>
        <v>4.4901315789473681</v>
      </c>
    </row>
    <row r="26" spans="1:11" x14ac:dyDescent="0.35">
      <c r="A26" t="s">
        <v>11</v>
      </c>
      <c r="C26" s="10">
        <f>F6</f>
        <v>38</v>
      </c>
      <c r="D26" s="12">
        <f>F7</f>
        <v>105</v>
      </c>
      <c r="G26" t="s">
        <v>14</v>
      </c>
      <c r="K26">
        <f>LN(K25)</f>
        <v>1.5018820062128384</v>
      </c>
    </row>
    <row r="27" spans="1:11" x14ac:dyDescent="0.35">
      <c r="A27" t="s">
        <v>15</v>
      </c>
      <c r="C27">
        <f>C25/C26</f>
        <v>5.8157894736842106</v>
      </c>
      <c r="D27">
        <f>D25/D26</f>
        <v>1.2952380952380953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C302-A2E5-4F48-A8C6-B7A576DEC4B6}">
  <sheetPr codeName="Sheet137"/>
  <dimension ref="A1:Y341"/>
  <sheetViews>
    <sheetView workbookViewId="0"/>
  </sheetViews>
  <sheetFormatPr defaultRowHeight="14.5" x14ac:dyDescent="0.35"/>
  <cols>
    <col min="1" max="1" width="11.453125" customWidth="1"/>
    <col min="3" max="3" width="9.26953125" customWidth="1"/>
    <col min="6" max="6" width="6" customWidth="1"/>
    <col min="13" max="13" width="9.1796875" customWidth="1"/>
  </cols>
  <sheetData>
    <row r="1" spans="1:21" x14ac:dyDescent="0.35">
      <c r="A1" s="1" t="s">
        <v>0</v>
      </c>
    </row>
    <row r="3" spans="1:21" x14ac:dyDescent="0.35">
      <c r="A3" t="s">
        <v>17</v>
      </c>
    </row>
    <row r="5" spans="1:21" x14ac:dyDescent="0.35">
      <c r="A5" s="3" t="s">
        <v>4</v>
      </c>
      <c r="B5" s="3" t="s">
        <v>5</v>
      </c>
      <c r="C5" s="3" t="s">
        <v>6</v>
      </c>
      <c r="D5" s="4" t="s">
        <v>7</v>
      </c>
      <c r="G5" s="1" t="s">
        <v>18</v>
      </c>
    </row>
    <row r="6" spans="1:21" x14ac:dyDescent="0.35">
      <c r="A6" t="s">
        <v>8</v>
      </c>
      <c r="B6" t="s">
        <v>9</v>
      </c>
      <c r="C6" t="s">
        <v>1</v>
      </c>
      <c r="D6">
        <f>'Log Lin 2.1'!L4</f>
        <v>59</v>
      </c>
      <c r="J6" s="13" t="s">
        <v>19</v>
      </c>
      <c r="K6" s="14"/>
      <c r="L6" s="15"/>
      <c r="M6" s="13" t="s">
        <v>20</v>
      </c>
      <c r="N6" s="14"/>
      <c r="O6" s="15"/>
      <c r="P6" s="13" t="s">
        <v>21</v>
      </c>
      <c r="Q6" s="15"/>
    </row>
    <row r="7" spans="1:21" x14ac:dyDescent="0.35">
      <c r="A7" t="s">
        <v>8</v>
      </c>
      <c r="B7" t="s">
        <v>9</v>
      </c>
      <c r="C7" t="s">
        <v>2</v>
      </c>
      <c r="D7">
        <f>'Log Lin 2.1'!L5</f>
        <v>55</v>
      </c>
      <c r="G7" s="16" t="str">
        <f>$A$5</f>
        <v>Cure</v>
      </c>
      <c r="H7" s="3" t="str">
        <f>$B$5</f>
        <v>Gender</v>
      </c>
      <c r="I7" s="3" t="str">
        <f>$C$5</f>
        <v>Therapy</v>
      </c>
      <c r="J7" s="17" t="s">
        <v>22</v>
      </c>
      <c r="K7" s="18" t="s">
        <v>23</v>
      </c>
      <c r="L7" s="19" t="s">
        <v>24</v>
      </c>
      <c r="M7" s="17" t="s">
        <v>25</v>
      </c>
      <c r="N7" s="18" t="s">
        <v>23</v>
      </c>
      <c r="O7" s="19" t="s">
        <v>26</v>
      </c>
      <c r="P7" s="18" t="s">
        <v>27</v>
      </c>
      <c r="Q7" s="19" t="s">
        <v>28</v>
      </c>
      <c r="R7" s="20" t="s">
        <v>29</v>
      </c>
      <c r="T7" s="21" t="s">
        <v>29</v>
      </c>
      <c r="U7" s="22">
        <f>R20</f>
        <v>0</v>
      </c>
    </row>
    <row r="8" spans="1:21" x14ac:dyDescent="0.35">
      <c r="A8" t="s">
        <v>8</v>
      </c>
      <c r="B8" t="s">
        <v>9</v>
      </c>
      <c r="C8" t="s">
        <v>3</v>
      </c>
      <c r="D8">
        <f>'Log Lin 2.1'!L6</f>
        <v>107</v>
      </c>
      <c r="G8" s="8" t="str">
        <f>$A$6</f>
        <v>Positive</v>
      </c>
      <c r="H8" t="str">
        <f>$B$6</f>
        <v>Male</v>
      </c>
      <c r="I8" t="str">
        <f>$C$6</f>
        <v>Therapy 1</v>
      </c>
      <c r="J8" s="8">
        <f>$D$6</f>
        <v>59</v>
      </c>
      <c r="K8" s="23">
        <f>J8/$D$18</f>
        <v>0.11799999999999999</v>
      </c>
      <c r="L8" s="9">
        <f>LN(J8)</f>
        <v>4.0775374439057197</v>
      </c>
      <c r="M8" s="8">
        <f>J8</f>
        <v>59</v>
      </c>
      <c r="N8" s="23">
        <f>M8/$D$18</f>
        <v>0.11799999999999999</v>
      </c>
      <c r="O8" s="9">
        <f>LN(M8)</f>
        <v>4.0775374439057197</v>
      </c>
      <c r="P8" s="5">
        <f>J8-M8</f>
        <v>0</v>
      </c>
      <c r="Q8" s="7">
        <f>P8/SQRT(M8)</f>
        <v>0</v>
      </c>
      <c r="R8" s="24">
        <f>2*J8*(L8-O8)</f>
        <v>0</v>
      </c>
      <c r="T8" t="s">
        <v>30</v>
      </c>
      <c r="U8" s="24">
        <v>0</v>
      </c>
    </row>
    <row r="9" spans="1:21" x14ac:dyDescent="0.35">
      <c r="A9" t="s">
        <v>8</v>
      </c>
      <c r="B9" t="s">
        <v>10</v>
      </c>
      <c r="C9" t="s">
        <v>1</v>
      </c>
      <c r="D9">
        <f>'Log Lin 2.1'!L7</f>
        <v>32</v>
      </c>
      <c r="G9" s="8" t="str">
        <f>$A$7</f>
        <v>Positive</v>
      </c>
      <c r="H9" t="str">
        <f>$B$7</f>
        <v>Male</v>
      </c>
      <c r="I9" t="str">
        <f>$C$7</f>
        <v>Therapy 2</v>
      </c>
      <c r="J9" s="8">
        <f>$D$7</f>
        <v>55</v>
      </c>
      <c r="K9" s="23">
        <f t="shared" ref="K9:K19" si="0">J9/$D$18</f>
        <v>0.11</v>
      </c>
      <c r="L9" s="9">
        <f t="shared" ref="L9:L19" si="1">LN(J9)</f>
        <v>4.0073331852324712</v>
      </c>
      <c r="M9" s="8">
        <f t="shared" ref="M9:M19" si="2">J9</f>
        <v>55</v>
      </c>
      <c r="N9" s="23">
        <f t="shared" ref="N9:N19" si="3">M9/$D$18</f>
        <v>0.11</v>
      </c>
      <c r="O9" s="9">
        <f t="shared" ref="O9:O19" si="4">LN(M9)</f>
        <v>4.0073331852324712</v>
      </c>
      <c r="P9" s="8">
        <f t="shared" ref="P9:P19" si="5">J9-M9</f>
        <v>0</v>
      </c>
      <c r="Q9" s="9">
        <f t="shared" ref="Q9:Q19" si="6">P9/SQRT(M9)</f>
        <v>0</v>
      </c>
      <c r="R9" s="24">
        <f t="shared" ref="R9:R19" si="7">2*J9*(L9-O9)</f>
        <v>0</v>
      </c>
      <c r="T9" s="25" t="s">
        <v>31</v>
      </c>
      <c r="U9" s="24">
        <v>0.05</v>
      </c>
    </row>
    <row r="10" spans="1:21" x14ac:dyDescent="0.35">
      <c r="A10" t="s">
        <v>8</v>
      </c>
      <c r="B10" t="s">
        <v>10</v>
      </c>
      <c r="C10" t="s">
        <v>2</v>
      </c>
      <c r="D10">
        <f>'Log Lin 2.1'!L8</f>
        <v>24</v>
      </c>
      <c r="G10" s="8" t="str">
        <f>$A$8</f>
        <v>Positive</v>
      </c>
      <c r="H10" t="str">
        <f>$B$8</f>
        <v>Male</v>
      </c>
      <c r="I10" t="str">
        <f>$C$8</f>
        <v>Therapy 3</v>
      </c>
      <c r="J10" s="8">
        <f>$D$8</f>
        <v>107</v>
      </c>
      <c r="K10" s="23">
        <f t="shared" si="0"/>
        <v>0.214</v>
      </c>
      <c r="L10" s="9">
        <f t="shared" si="1"/>
        <v>4.6728288344619058</v>
      </c>
      <c r="M10" s="8">
        <f t="shared" si="2"/>
        <v>107</v>
      </c>
      <c r="N10" s="23">
        <f t="shared" si="3"/>
        <v>0.214</v>
      </c>
      <c r="O10" s="9">
        <f t="shared" si="4"/>
        <v>4.6728288344619058</v>
      </c>
      <c r="P10" s="8">
        <f t="shared" si="5"/>
        <v>0</v>
      </c>
      <c r="Q10" s="9">
        <f t="shared" si="6"/>
        <v>0</v>
      </c>
      <c r="R10" s="24">
        <f t="shared" si="7"/>
        <v>0</v>
      </c>
      <c r="T10" s="25" t="s">
        <v>32</v>
      </c>
      <c r="U10" s="24"/>
    </row>
    <row r="11" spans="1:21" x14ac:dyDescent="0.35">
      <c r="A11" t="s">
        <v>8</v>
      </c>
      <c r="B11" t="s">
        <v>10</v>
      </c>
      <c r="C11" t="s">
        <v>3</v>
      </c>
      <c r="D11">
        <f>'Log Lin 2.1'!L9</f>
        <v>80</v>
      </c>
      <c r="G11" s="8" t="str">
        <f>$A$9</f>
        <v>Positive</v>
      </c>
      <c r="H11" t="str">
        <f>$B$9</f>
        <v>Female</v>
      </c>
      <c r="I11" t="str">
        <f>$C$9</f>
        <v>Therapy 1</v>
      </c>
      <c r="J11" s="8">
        <f>$D$9</f>
        <v>32</v>
      </c>
      <c r="K11" s="23">
        <f t="shared" si="0"/>
        <v>6.4000000000000001E-2</v>
      </c>
      <c r="L11" s="9">
        <f t="shared" si="1"/>
        <v>3.4657359027997265</v>
      </c>
      <c r="M11" s="8">
        <f t="shared" si="2"/>
        <v>32</v>
      </c>
      <c r="N11" s="23">
        <f t="shared" si="3"/>
        <v>6.4000000000000001E-2</v>
      </c>
      <c r="O11" s="9">
        <f t="shared" si="4"/>
        <v>3.4657359027997265</v>
      </c>
      <c r="P11" s="8">
        <f t="shared" si="5"/>
        <v>0</v>
      </c>
      <c r="Q11" s="9">
        <f t="shared" si="6"/>
        <v>0</v>
      </c>
      <c r="R11" s="24">
        <f t="shared" si="7"/>
        <v>0</v>
      </c>
      <c r="T11" s="21" t="s">
        <v>33</v>
      </c>
      <c r="U11" s="24"/>
    </row>
    <row r="12" spans="1:21" x14ac:dyDescent="0.35">
      <c r="A12" t="s">
        <v>11</v>
      </c>
      <c r="B12" t="s">
        <v>9</v>
      </c>
      <c r="C12" t="s">
        <v>1</v>
      </c>
      <c r="D12">
        <f>'Log Lin 2.1'!L10</f>
        <v>9</v>
      </c>
      <c r="G12" s="8" t="str">
        <f>$A$10</f>
        <v>Positive</v>
      </c>
      <c r="H12" t="str">
        <f>$B$10</f>
        <v>Female</v>
      </c>
      <c r="I12" t="str">
        <f>$C$10</f>
        <v>Therapy 2</v>
      </c>
      <c r="J12" s="8">
        <f>$D$10</f>
        <v>24</v>
      </c>
      <c r="K12" s="23">
        <f t="shared" si="0"/>
        <v>4.8000000000000001E-2</v>
      </c>
      <c r="L12" s="9">
        <f t="shared" si="1"/>
        <v>3.1780538303479458</v>
      </c>
      <c r="M12" s="8">
        <f t="shared" si="2"/>
        <v>24</v>
      </c>
      <c r="N12" s="23">
        <f t="shared" si="3"/>
        <v>4.8000000000000001E-2</v>
      </c>
      <c r="O12" s="9">
        <f t="shared" si="4"/>
        <v>3.1780538303479458</v>
      </c>
      <c r="P12" s="8">
        <f t="shared" si="5"/>
        <v>0</v>
      </c>
      <c r="Q12" s="9">
        <f t="shared" si="6"/>
        <v>0</v>
      </c>
      <c r="R12" s="24">
        <f t="shared" si="7"/>
        <v>0</v>
      </c>
      <c r="T12" s="25" t="s">
        <v>34</v>
      </c>
      <c r="U12" s="26" t="s">
        <v>35</v>
      </c>
    </row>
    <row r="13" spans="1:21" x14ac:dyDescent="0.35">
      <c r="A13" t="s">
        <v>11</v>
      </c>
      <c r="B13" t="s">
        <v>9</v>
      </c>
      <c r="C13" t="s">
        <v>2</v>
      </c>
      <c r="D13">
        <f>'Log Lin 2.1'!L11</f>
        <v>12</v>
      </c>
      <c r="G13" s="8" t="str">
        <f>$A$11</f>
        <v>Positive</v>
      </c>
      <c r="H13" t="str">
        <f>$B$11</f>
        <v>Female</v>
      </c>
      <c r="I13" t="str">
        <f>$C$11</f>
        <v>Therapy 3</v>
      </c>
      <c r="J13" s="8">
        <f>$D$11</f>
        <v>80</v>
      </c>
      <c r="K13" s="23">
        <f t="shared" si="0"/>
        <v>0.16</v>
      </c>
      <c r="L13" s="9">
        <f t="shared" si="1"/>
        <v>4.3820266346738812</v>
      </c>
      <c r="M13" s="8">
        <f t="shared" si="2"/>
        <v>80</v>
      </c>
      <c r="N13" s="23">
        <f t="shared" si="3"/>
        <v>0.16</v>
      </c>
      <c r="O13" s="9">
        <f t="shared" si="4"/>
        <v>4.3820266346738812</v>
      </c>
      <c r="P13" s="8">
        <f t="shared" si="5"/>
        <v>0</v>
      </c>
      <c r="Q13" s="9">
        <f t="shared" si="6"/>
        <v>0</v>
      </c>
      <c r="R13" s="24">
        <f t="shared" si="7"/>
        <v>0</v>
      </c>
    </row>
    <row r="14" spans="1:21" x14ac:dyDescent="0.35">
      <c r="A14" t="s">
        <v>11</v>
      </c>
      <c r="B14" t="s">
        <v>9</v>
      </c>
      <c r="C14" t="s">
        <v>3</v>
      </c>
      <c r="D14">
        <f>'Log Lin 2.1'!L12</f>
        <v>17</v>
      </c>
      <c r="G14" s="8" t="str">
        <f>$A$12</f>
        <v>Negative</v>
      </c>
      <c r="H14" t="str">
        <f>$B$12</f>
        <v>Male</v>
      </c>
      <c r="I14" t="str">
        <f>$C$12</f>
        <v>Therapy 1</v>
      </c>
      <c r="J14" s="8">
        <f>$D$12</f>
        <v>9</v>
      </c>
      <c r="K14" s="23">
        <f t="shared" si="0"/>
        <v>1.7999999999999999E-2</v>
      </c>
      <c r="L14" s="9">
        <f t="shared" si="1"/>
        <v>2.1972245773362196</v>
      </c>
      <c r="M14" s="8">
        <f t="shared" si="2"/>
        <v>9</v>
      </c>
      <c r="N14" s="23">
        <f t="shared" si="3"/>
        <v>1.7999999999999999E-2</v>
      </c>
      <c r="O14" s="9">
        <f t="shared" si="4"/>
        <v>2.1972245773362196</v>
      </c>
      <c r="P14" s="8">
        <f t="shared" si="5"/>
        <v>0</v>
      </c>
      <c r="Q14" s="9">
        <f t="shared" si="6"/>
        <v>0</v>
      </c>
      <c r="R14" s="24">
        <f t="shared" si="7"/>
        <v>0</v>
      </c>
    </row>
    <row r="15" spans="1:21" x14ac:dyDescent="0.35">
      <c r="A15" t="s">
        <v>11</v>
      </c>
      <c r="B15" t="s">
        <v>10</v>
      </c>
      <c r="C15" t="s">
        <v>1</v>
      </c>
      <c r="D15">
        <f>'Log Lin 2.1'!L13</f>
        <v>16</v>
      </c>
      <c r="G15" s="8" t="str">
        <f>$A$13</f>
        <v>Negative</v>
      </c>
      <c r="H15" t="str">
        <f>$B$13</f>
        <v>Male</v>
      </c>
      <c r="I15" t="str">
        <f>$C$13</f>
        <v>Therapy 2</v>
      </c>
      <c r="J15" s="8">
        <f>$D$13</f>
        <v>12</v>
      </c>
      <c r="K15" s="23">
        <f t="shared" si="0"/>
        <v>2.4E-2</v>
      </c>
      <c r="L15" s="9">
        <f t="shared" si="1"/>
        <v>2.4849066497880004</v>
      </c>
      <c r="M15" s="8">
        <f t="shared" si="2"/>
        <v>12</v>
      </c>
      <c r="N15" s="23">
        <f t="shared" si="3"/>
        <v>2.4E-2</v>
      </c>
      <c r="O15" s="9">
        <f t="shared" si="4"/>
        <v>2.4849066497880004</v>
      </c>
      <c r="P15" s="8">
        <f t="shared" si="5"/>
        <v>0</v>
      </c>
      <c r="Q15" s="9">
        <f t="shared" si="6"/>
        <v>0</v>
      </c>
      <c r="R15" s="24">
        <f t="shared" si="7"/>
        <v>0</v>
      </c>
    </row>
    <row r="16" spans="1:21" x14ac:dyDescent="0.35">
      <c r="A16" t="s">
        <v>11</v>
      </c>
      <c r="B16" t="s">
        <v>10</v>
      </c>
      <c r="C16" t="s">
        <v>2</v>
      </c>
      <c r="D16">
        <f>'Log Lin 2.1'!L14</f>
        <v>33</v>
      </c>
      <c r="G16" s="8" t="str">
        <f>$A$14</f>
        <v>Negative</v>
      </c>
      <c r="H16" t="str">
        <f>$B$14</f>
        <v>Male</v>
      </c>
      <c r="I16" t="str">
        <f>$C$14</f>
        <v>Therapy 3</v>
      </c>
      <c r="J16" s="8">
        <f>$D$14</f>
        <v>17</v>
      </c>
      <c r="K16" s="23">
        <f t="shared" si="0"/>
        <v>3.4000000000000002E-2</v>
      </c>
      <c r="L16" s="9">
        <f t="shared" si="1"/>
        <v>2.8332133440562162</v>
      </c>
      <c r="M16" s="8">
        <f t="shared" si="2"/>
        <v>17</v>
      </c>
      <c r="N16" s="23">
        <f t="shared" si="3"/>
        <v>3.4000000000000002E-2</v>
      </c>
      <c r="O16" s="9">
        <f t="shared" si="4"/>
        <v>2.8332133440562162</v>
      </c>
      <c r="P16" s="8">
        <f t="shared" si="5"/>
        <v>0</v>
      </c>
      <c r="Q16" s="9">
        <f t="shared" si="6"/>
        <v>0</v>
      </c>
      <c r="R16" s="24">
        <f t="shared" si="7"/>
        <v>0</v>
      </c>
    </row>
    <row r="17" spans="1:21" x14ac:dyDescent="0.35">
      <c r="A17" s="11" t="s">
        <v>11</v>
      </c>
      <c r="B17" s="11" t="s">
        <v>10</v>
      </c>
      <c r="C17" s="11" t="s">
        <v>3</v>
      </c>
      <c r="D17" s="11">
        <f>'Log Lin 2.1'!L15</f>
        <v>56</v>
      </c>
      <c r="G17" s="8" t="str">
        <f>$A$15</f>
        <v>Negative</v>
      </c>
      <c r="H17" t="str">
        <f>$B$15</f>
        <v>Female</v>
      </c>
      <c r="I17" t="str">
        <f>$C$15</f>
        <v>Therapy 1</v>
      </c>
      <c r="J17" s="8">
        <f>$D$15</f>
        <v>16</v>
      </c>
      <c r="K17" s="23">
        <f t="shared" si="0"/>
        <v>3.2000000000000001E-2</v>
      </c>
      <c r="L17" s="9">
        <f t="shared" si="1"/>
        <v>2.7725887222397811</v>
      </c>
      <c r="M17" s="8">
        <f t="shared" si="2"/>
        <v>16</v>
      </c>
      <c r="N17" s="23">
        <f t="shared" si="3"/>
        <v>3.2000000000000001E-2</v>
      </c>
      <c r="O17" s="9">
        <f t="shared" si="4"/>
        <v>2.7725887222397811</v>
      </c>
      <c r="P17" s="8">
        <f t="shared" si="5"/>
        <v>0</v>
      </c>
      <c r="Q17" s="9">
        <f t="shared" si="6"/>
        <v>0</v>
      </c>
      <c r="R17" s="24">
        <f t="shared" si="7"/>
        <v>0</v>
      </c>
    </row>
    <row r="18" spans="1:21" x14ac:dyDescent="0.35">
      <c r="D18">
        <f>SUM(D6:D17)</f>
        <v>500</v>
      </c>
      <c r="G18" s="8" t="str">
        <f>$A$16</f>
        <v>Negative</v>
      </c>
      <c r="H18" t="str">
        <f>$B$16</f>
        <v>Female</v>
      </c>
      <c r="I18" t="str">
        <f>$C$16</f>
        <v>Therapy 2</v>
      </c>
      <c r="J18" s="8">
        <f>$D$16</f>
        <v>33</v>
      </c>
      <c r="K18" s="23">
        <f t="shared" si="0"/>
        <v>6.6000000000000003E-2</v>
      </c>
      <c r="L18" s="9">
        <f t="shared" si="1"/>
        <v>3.4965075614664802</v>
      </c>
      <c r="M18" s="8">
        <f t="shared" si="2"/>
        <v>33</v>
      </c>
      <c r="N18" s="23">
        <f t="shared" si="3"/>
        <v>6.6000000000000003E-2</v>
      </c>
      <c r="O18" s="9">
        <f t="shared" si="4"/>
        <v>3.4965075614664802</v>
      </c>
      <c r="P18" s="8">
        <f t="shared" si="5"/>
        <v>0</v>
      </c>
      <c r="Q18" s="9">
        <f t="shared" si="6"/>
        <v>0</v>
      </c>
      <c r="R18" s="24">
        <f t="shared" si="7"/>
        <v>0</v>
      </c>
    </row>
    <row r="19" spans="1:21" x14ac:dyDescent="0.35">
      <c r="A19" t="s">
        <v>36</v>
      </c>
      <c r="G19" s="10" t="str">
        <f>$A$17</f>
        <v>Negative</v>
      </c>
      <c r="H19" s="11" t="str">
        <f>$B$17</f>
        <v>Female</v>
      </c>
      <c r="I19" s="11" t="str">
        <f>$C$17</f>
        <v>Therapy 3</v>
      </c>
      <c r="J19" s="10">
        <f>$D$17</f>
        <v>56</v>
      </c>
      <c r="K19" s="27">
        <f t="shared" si="0"/>
        <v>0.112</v>
      </c>
      <c r="L19" s="12">
        <f t="shared" si="1"/>
        <v>4.0253516907351496</v>
      </c>
      <c r="M19" s="10">
        <f t="shared" si="2"/>
        <v>56</v>
      </c>
      <c r="N19" s="27">
        <f t="shared" si="3"/>
        <v>0.112</v>
      </c>
      <c r="O19" s="12">
        <f t="shared" si="4"/>
        <v>4.0253516907351496</v>
      </c>
      <c r="P19" s="10">
        <f t="shared" si="5"/>
        <v>0</v>
      </c>
      <c r="Q19" s="12">
        <f t="shared" si="6"/>
        <v>0</v>
      </c>
      <c r="R19" s="28">
        <f t="shared" si="7"/>
        <v>0</v>
      </c>
    </row>
    <row r="20" spans="1:21" x14ac:dyDescent="0.35">
      <c r="A20" t="s">
        <v>37</v>
      </c>
      <c r="R20">
        <f>SUM(R8:R19)</f>
        <v>0</v>
      </c>
    </row>
    <row r="21" spans="1:21" x14ac:dyDescent="0.35">
      <c r="A21" t="s">
        <v>38</v>
      </c>
    </row>
    <row r="22" spans="1:21" x14ac:dyDescent="0.35">
      <c r="A22" t="s">
        <v>39</v>
      </c>
      <c r="G22" s="1" t="s">
        <v>40</v>
      </c>
    </row>
    <row r="23" spans="1:21" x14ac:dyDescent="0.35">
      <c r="J23" s="13" t="s">
        <v>19</v>
      </c>
      <c r="K23" s="14"/>
      <c r="L23" s="15"/>
      <c r="M23" s="13" t="s">
        <v>20</v>
      </c>
      <c r="N23" s="14"/>
      <c r="O23" s="15"/>
      <c r="P23" s="13" t="s">
        <v>21</v>
      </c>
      <c r="Q23" s="15"/>
    </row>
    <row r="24" spans="1:21" x14ac:dyDescent="0.35">
      <c r="A24" t="s">
        <v>41</v>
      </c>
      <c r="G24" s="16" t="str">
        <f>$A$5</f>
        <v>Cure</v>
      </c>
      <c r="H24" s="3" t="str">
        <f>$B$5</f>
        <v>Gender</v>
      </c>
      <c r="I24" s="3" t="str">
        <f>$C$5</f>
        <v>Therapy</v>
      </c>
      <c r="J24" s="17" t="s">
        <v>22</v>
      </c>
      <c r="K24" s="18" t="s">
        <v>23</v>
      </c>
      <c r="L24" s="19" t="s">
        <v>24</v>
      </c>
      <c r="M24" s="17" t="s">
        <v>25</v>
      </c>
      <c r="N24" s="18" t="s">
        <v>23</v>
      </c>
      <c r="O24" s="19" t="s">
        <v>26</v>
      </c>
      <c r="P24" s="18" t="s">
        <v>27</v>
      </c>
      <c r="Q24" s="19" t="s">
        <v>28</v>
      </c>
      <c r="R24" s="20" t="s">
        <v>29</v>
      </c>
      <c r="T24" s="21" t="s">
        <v>29</v>
      </c>
      <c r="U24" s="22">
        <f>R37</f>
        <v>58.032898940132199</v>
      </c>
    </row>
    <row r="25" spans="1:21" x14ac:dyDescent="0.35">
      <c r="G25" s="8" t="str">
        <f>$A$6</f>
        <v>Positive</v>
      </c>
      <c r="H25" t="str">
        <f>$B$6</f>
        <v>Male</v>
      </c>
      <c r="I25" t="str">
        <f>$C$6</f>
        <v>Therapy 1</v>
      </c>
      <c r="J25" s="8">
        <f>$D$6</f>
        <v>59</v>
      </c>
      <c r="K25" s="23">
        <f>J25/$D$18</f>
        <v>0.11799999999999999</v>
      </c>
      <c r="L25" s="9">
        <f>LN(J25)</f>
        <v>4.0775374439057197</v>
      </c>
      <c r="M25" s="5">
        <f>D54*D77/D18</f>
        <v>47.137999999999998</v>
      </c>
      <c r="N25" s="29">
        <f>M25/$D$18</f>
        <v>9.4275999999999999E-2</v>
      </c>
      <c r="O25" s="7">
        <f>LN(M25)</f>
        <v>3.8530794697941961</v>
      </c>
      <c r="P25" s="5">
        <f>J25-M25</f>
        <v>11.862000000000002</v>
      </c>
      <c r="Q25" s="7">
        <f>P25/SQRT(M25)</f>
        <v>1.7277159542097742</v>
      </c>
      <c r="R25" s="24">
        <f>2*J25*(L25-O25)</f>
        <v>26.486040945159782</v>
      </c>
      <c r="T25" t="s">
        <v>30</v>
      </c>
      <c r="U25" s="24">
        <f>(B27-1)*(A27*C27-1)</f>
        <v>5</v>
      </c>
    </row>
    <row r="26" spans="1:21" x14ac:dyDescent="0.35">
      <c r="A26" s="3" t="str">
        <f>A5</f>
        <v>Cure</v>
      </c>
      <c r="B26" s="3" t="str">
        <f>B5</f>
        <v>Gender</v>
      </c>
      <c r="C26" s="3" t="str">
        <f>C5</f>
        <v>Therapy</v>
      </c>
      <c r="G26" s="8" t="str">
        <f>$A$7</f>
        <v>Positive</v>
      </c>
      <c r="H26" t="str">
        <f>$B$7</f>
        <v>Male</v>
      </c>
      <c r="I26" t="str">
        <f>$C$7</f>
        <v>Therapy 2</v>
      </c>
      <c r="J26" s="8">
        <f>$D$7</f>
        <v>55</v>
      </c>
      <c r="K26" s="23">
        <f t="shared" ref="K26:K36" si="8">J26/$D$18</f>
        <v>0.11</v>
      </c>
      <c r="L26" s="9">
        <f t="shared" ref="L26:L36" si="9">LN(J26)</f>
        <v>4.0073331852324712</v>
      </c>
      <c r="M26" s="8">
        <f>D55*D77/D18</f>
        <v>40.921999999999997</v>
      </c>
      <c r="N26" s="23">
        <f t="shared" ref="N26:N36" si="10">M26/$D$18</f>
        <v>8.1844E-2</v>
      </c>
      <c r="O26" s="9">
        <f t="shared" ref="O26:O36" si="11">LN(M26)</f>
        <v>3.7116678157443674</v>
      </c>
      <c r="P26" s="8">
        <f t="shared" ref="P26:P36" si="12">J26-M26</f>
        <v>14.078000000000003</v>
      </c>
      <c r="Q26" s="9">
        <f t="shared" ref="Q26:Q36" si="13">P26/SQRT(M26)</f>
        <v>2.2007085733726068</v>
      </c>
      <c r="R26" s="24">
        <f t="shared" ref="R26:R36" si="14">2*J26*(L26-O26)</f>
        <v>32.523190643691407</v>
      </c>
      <c r="T26" s="25" t="s">
        <v>31</v>
      </c>
      <c r="U26" s="24">
        <v>0.05</v>
      </c>
    </row>
    <row r="27" spans="1:21" x14ac:dyDescent="0.35">
      <c r="A27" s="11">
        <v>2</v>
      </c>
      <c r="B27" s="11">
        <v>2</v>
      </c>
      <c r="C27" s="11">
        <v>3</v>
      </c>
      <c r="G27" s="8" t="str">
        <f>$A$8</f>
        <v>Positive</v>
      </c>
      <c r="H27" t="str">
        <f>$B$8</f>
        <v>Male</v>
      </c>
      <c r="I27" t="str">
        <f>$C$8</f>
        <v>Therapy 3</v>
      </c>
      <c r="J27" s="8">
        <f>$D$8</f>
        <v>107</v>
      </c>
      <c r="K27" s="23">
        <f t="shared" si="8"/>
        <v>0.214</v>
      </c>
      <c r="L27" s="9">
        <f t="shared" si="9"/>
        <v>4.6728288344619058</v>
      </c>
      <c r="M27" s="8">
        <f>D56*D77/D18</f>
        <v>96.866</v>
      </c>
      <c r="N27" s="23">
        <f t="shared" si="10"/>
        <v>0.19373199999999999</v>
      </c>
      <c r="O27" s="9">
        <f t="shared" si="11"/>
        <v>4.5733285801319328</v>
      </c>
      <c r="P27" s="8">
        <f t="shared" si="12"/>
        <v>10.134</v>
      </c>
      <c r="Q27" s="9">
        <f t="shared" si="13"/>
        <v>1.0296632602460609</v>
      </c>
      <c r="R27" s="24">
        <f t="shared" si="14"/>
        <v>21.293054426614223</v>
      </c>
      <c r="T27" s="25" t="s">
        <v>32</v>
      </c>
      <c r="U27" s="24">
        <f>CHIDIST(U24,U25)</f>
        <v>3.0966898390729441E-11</v>
      </c>
    </row>
    <row r="28" spans="1:21" x14ac:dyDescent="0.35">
      <c r="G28" s="8" t="str">
        <f>$A$9</f>
        <v>Positive</v>
      </c>
      <c r="H28" t="str">
        <f>$B$9</f>
        <v>Female</v>
      </c>
      <c r="I28" t="str">
        <f>$C$9</f>
        <v>Therapy 1</v>
      </c>
      <c r="J28" s="8">
        <f>$D$9</f>
        <v>32</v>
      </c>
      <c r="K28" s="23">
        <f t="shared" si="8"/>
        <v>6.4000000000000001E-2</v>
      </c>
      <c r="L28" s="9">
        <f t="shared" si="9"/>
        <v>3.4657359027997265</v>
      </c>
      <c r="M28" s="8">
        <f>D54*D78/D18</f>
        <v>43.862000000000002</v>
      </c>
      <c r="N28" s="23">
        <f t="shared" si="10"/>
        <v>8.772400000000001E-2</v>
      </c>
      <c r="O28" s="9">
        <f t="shared" si="11"/>
        <v>3.7810483415853136</v>
      </c>
      <c r="P28" s="8">
        <f t="shared" si="12"/>
        <v>-11.862000000000002</v>
      </c>
      <c r="Q28" s="9">
        <f t="shared" si="13"/>
        <v>-1.7910747212642966</v>
      </c>
      <c r="R28" s="24">
        <f t="shared" si="14"/>
        <v>-20.179996082277569</v>
      </c>
      <c r="T28" s="21" t="s">
        <v>33</v>
      </c>
      <c r="U28" s="24">
        <f>CHIINV(U26,U25)</f>
        <v>11.070497693516353</v>
      </c>
    </row>
    <row r="29" spans="1:21" x14ac:dyDescent="0.35">
      <c r="A29" t="s">
        <v>17</v>
      </c>
      <c r="G29" s="8" t="str">
        <f>$A$10</f>
        <v>Positive</v>
      </c>
      <c r="H29" t="str">
        <f>$B$10</f>
        <v>Female</v>
      </c>
      <c r="I29" t="str">
        <f>$C$10</f>
        <v>Therapy 2</v>
      </c>
      <c r="J29" s="8">
        <f>$D$10</f>
        <v>24</v>
      </c>
      <c r="K29" s="23">
        <f t="shared" si="8"/>
        <v>4.8000000000000001E-2</v>
      </c>
      <c r="L29" s="9">
        <f t="shared" si="9"/>
        <v>3.1780538303479458</v>
      </c>
      <c r="M29" s="8">
        <f>D55*D78/D18</f>
        <v>38.078000000000003</v>
      </c>
      <c r="N29" s="23">
        <f t="shared" si="10"/>
        <v>7.6156000000000001E-2</v>
      </c>
      <c r="O29" s="9">
        <f t="shared" si="11"/>
        <v>3.6396366875354849</v>
      </c>
      <c r="P29" s="8">
        <f t="shared" si="12"/>
        <v>-14.078000000000003</v>
      </c>
      <c r="Q29" s="9">
        <f t="shared" si="13"/>
        <v>-2.2814129168820001</v>
      </c>
      <c r="R29" s="24">
        <f t="shared" si="14"/>
        <v>-22.155977145001877</v>
      </c>
      <c r="T29" s="25" t="s">
        <v>34</v>
      </c>
      <c r="U29" s="26" t="str">
        <f>IF(U27&lt;U26,"yes","no")</f>
        <v>yes</v>
      </c>
    </row>
    <row r="30" spans="1:21" x14ac:dyDescent="0.35">
      <c r="G30" s="8" t="str">
        <f>$A$11</f>
        <v>Positive</v>
      </c>
      <c r="H30" t="str">
        <f>$B$11</f>
        <v>Female</v>
      </c>
      <c r="I30" t="str">
        <f>$C$11</f>
        <v>Therapy 3</v>
      </c>
      <c r="J30" s="8">
        <f>$D$11</f>
        <v>80</v>
      </c>
      <c r="K30" s="23">
        <f t="shared" si="8"/>
        <v>0.16</v>
      </c>
      <c r="L30" s="9">
        <f t="shared" si="9"/>
        <v>4.3820266346738812</v>
      </c>
      <c r="M30" s="8">
        <f>D56*D78/D18</f>
        <v>90.134</v>
      </c>
      <c r="N30" s="23">
        <f t="shared" si="10"/>
        <v>0.18026800000000001</v>
      </c>
      <c r="O30" s="9">
        <f t="shared" si="11"/>
        <v>4.5012974519230502</v>
      </c>
      <c r="P30" s="8">
        <f t="shared" si="12"/>
        <v>-10.134</v>
      </c>
      <c r="Q30" s="9">
        <f t="shared" si="13"/>
        <v>-1.0674230520055628</v>
      </c>
      <c r="R30" s="24">
        <f t="shared" si="14"/>
        <v>-19.083330759867039</v>
      </c>
    </row>
    <row r="31" spans="1:21" x14ac:dyDescent="0.35">
      <c r="A31" s="16" t="str">
        <f>$A$5</f>
        <v>Cure</v>
      </c>
      <c r="B31" s="3" t="str">
        <f>$B$5</f>
        <v>Gender</v>
      </c>
      <c r="C31" s="3" t="str">
        <f>$C$5</f>
        <v>Therapy</v>
      </c>
      <c r="D31" s="4" t="str">
        <f>$D$5</f>
        <v>Obs</v>
      </c>
      <c r="G31" s="8" t="str">
        <f>$A$12</f>
        <v>Negative</v>
      </c>
      <c r="H31" t="str">
        <f>$B$12</f>
        <v>Male</v>
      </c>
      <c r="I31" t="str">
        <f>$C$12</f>
        <v>Therapy 1</v>
      </c>
      <c r="J31" s="8">
        <f>$D$12</f>
        <v>9</v>
      </c>
      <c r="K31" s="23">
        <f t="shared" si="8"/>
        <v>1.7999999999999999E-2</v>
      </c>
      <c r="L31" s="9">
        <f t="shared" si="9"/>
        <v>2.1972245773362196</v>
      </c>
      <c r="M31" s="8">
        <f>D57*D77/D18</f>
        <v>12.95</v>
      </c>
      <c r="N31" s="23">
        <f t="shared" si="10"/>
        <v>2.5899999999999999E-2</v>
      </c>
      <c r="O31" s="9">
        <f t="shared" si="11"/>
        <v>2.5610957881455465</v>
      </c>
      <c r="P31" s="8">
        <f t="shared" si="12"/>
        <v>-3.9499999999999993</v>
      </c>
      <c r="Q31" s="9">
        <f t="shared" si="13"/>
        <v>-1.0976457783940385</v>
      </c>
      <c r="R31" s="24">
        <f t="shared" si="14"/>
        <v>-6.5496817945678849</v>
      </c>
    </row>
    <row r="32" spans="1:21" x14ac:dyDescent="0.35">
      <c r="A32" s="8" t="str">
        <f>$A$6</f>
        <v>Positive</v>
      </c>
      <c r="B32" t="str">
        <f>$B$6</f>
        <v>Male</v>
      </c>
      <c r="C32" t="str">
        <f>$C$6</f>
        <v>Therapy 1</v>
      </c>
      <c r="D32" s="6">
        <f>$D$6</f>
        <v>59</v>
      </c>
      <c r="G32" s="8" t="str">
        <f>$A$13</f>
        <v>Negative</v>
      </c>
      <c r="H32" t="str">
        <f>$B$13</f>
        <v>Male</v>
      </c>
      <c r="I32" t="str">
        <f>$C$13</f>
        <v>Therapy 2</v>
      </c>
      <c r="J32" s="8">
        <f>$D$13</f>
        <v>12</v>
      </c>
      <c r="K32" s="23">
        <f t="shared" si="8"/>
        <v>2.4E-2</v>
      </c>
      <c r="L32" s="9">
        <f t="shared" si="9"/>
        <v>2.4849066497880004</v>
      </c>
      <c r="M32" s="8">
        <f>D58*D77/D18</f>
        <v>23.31</v>
      </c>
      <c r="N32" s="23">
        <f t="shared" si="10"/>
        <v>4.6619999999999995E-2</v>
      </c>
      <c r="O32" s="9">
        <f t="shared" si="11"/>
        <v>3.1488824530476656</v>
      </c>
      <c r="P32" s="8">
        <f t="shared" si="12"/>
        <v>-11.309999999999999</v>
      </c>
      <c r="Q32" s="9">
        <f t="shared" si="13"/>
        <v>-2.3425640178245239</v>
      </c>
      <c r="R32" s="24">
        <f t="shared" si="14"/>
        <v>-15.935419278231965</v>
      </c>
    </row>
    <row r="33" spans="1:21" x14ac:dyDescent="0.35">
      <c r="A33" s="8" t="str">
        <f>$A$7</f>
        <v>Positive</v>
      </c>
      <c r="B33" t="str">
        <f>$B$7</f>
        <v>Male</v>
      </c>
      <c r="C33" t="str">
        <f>$C$7</f>
        <v>Therapy 2</v>
      </c>
      <c r="D33">
        <f>$D$7</f>
        <v>55</v>
      </c>
      <c r="G33" s="8" t="str">
        <f>$A$14</f>
        <v>Negative</v>
      </c>
      <c r="H33" t="str">
        <f>$B$14</f>
        <v>Male</v>
      </c>
      <c r="I33" t="str">
        <f>$C$14</f>
        <v>Therapy 3</v>
      </c>
      <c r="J33" s="8">
        <f>$D$14</f>
        <v>17</v>
      </c>
      <c r="K33" s="23">
        <f t="shared" si="8"/>
        <v>3.4000000000000002E-2</v>
      </c>
      <c r="L33" s="9">
        <f t="shared" si="9"/>
        <v>2.8332133440562162</v>
      </c>
      <c r="M33" s="8">
        <f>D59*D77/D18</f>
        <v>37.814</v>
      </c>
      <c r="N33" s="23">
        <f t="shared" si="10"/>
        <v>7.5628000000000001E-2</v>
      </c>
      <c r="O33" s="9">
        <f t="shared" si="11"/>
        <v>3.6326794044257373</v>
      </c>
      <c r="P33" s="8">
        <f t="shared" si="12"/>
        <v>-20.814</v>
      </c>
      <c r="Q33" s="9">
        <f t="shared" si="13"/>
        <v>-3.384770601714933</v>
      </c>
      <c r="R33" s="24">
        <f t="shared" si="14"/>
        <v>-27.181846052563721</v>
      </c>
    </row>
    <row r="34" spans="1:21" x14ac:dyDescent="0.35">
      <c r="A34" s="8" t="str">
        <f>$A$8</f>
        <v>Positive</v>
      </c>
      <c r="B34" t="str">
        <f>$B$8</f>
        <v>Male</v>
      </c>
      <c r="C34" t="str">
        <f>$C$8</f>
        <v>Therapy 3</v>
      </c>
      <c r="D34">
        <f>$D$8</f>
        <v>107</v>
      </c>
      <c r="G34" s="8" t="str">
        <f>$A$15</f>
        <v>Negative</v>
      </c>
      <c r="H34" t="str">
        <f>$B$15</f>
        <v>Female</v>
      </c>
      <c r="I34" t="str">
        <f>$C$15</f>
        <v>Therapy 1</v>
      </c>
      <c r="J34" s="8">
        <f>$D$15</f>
        <v>16</v>
      </c>
      <c r="K34" s="23">
        <f t="shared" si="8"/>
        <v>3.2000000000000001E-2</v>
      </c>
      <c r="L34" s="9">
        <f t="shared" si="9"/>
        <v>2.7725887222397811</v>
      </c>
      <c r="M34" s="8">
        <f>D57*D78/D18</f>
        <v>12.05</v>
      </c>
      <c r="N34" s="23">
        <f t="shared" si="10"/>
        <v>2.41E-2</v>
      </c>
      <c r="O34" s="9">
        <f t="shared" si="11"/>
        <v>2.4890646599366639</v>
      </c>
      <c r="P34" s="8">
        <f t="shared" si="12"/>
        <v>3.9499999999999993</v>
      </c>
      <c r="Q34" s="9">
        <f t="shared" si="13"/>
        <v>1.1378986237834625</v>
      </c>
      <c r="R34" s="24">
        <f t="shared" si="14"/>
        <v>9.072769993699751</v>
      </c>
    </row>
    <row r="35" spans="1:21" x14ac:dyDescent="0.35">
      <c r="A35" s="8" t="str">
        <f>$A$9</f>
        <v>Positive</v>
      </c>
      <c r="B35" t="str">
        <f>$B$9</f>
        <v>Female</v>
      </c>
      <c r="C35" t="str">
        <f>$C$9</f>
        <v>Therapy 1</v>
      </c>
      <c r="D35">
        <f>$D$9</f>
        <v>32</v>
      </c>
      <c r="G35" s="8" t="str">
        <f>$A$16</f>
        <v>Negative</v>
      </c>
      <c r="H35" t="str">
        <f>$B$16</f>
        <v>Female</v>
      </c>
      <c r="I35" t="str">
        <f>$C$16</f>
        <v>Therapy 2</v>
      </c>
      <c r="J35" s="8">
        <f>$D$16</f>
        <v>33</v>
      </c>
      <c r="K35" s="23">
        <f t="shared" si="8"/>
        <v>6.6000000000000003E-2</v>
      </c>
      <c r="L35" s="9">
        <f t="shared" si="9"/>
        <v>3.4965075614664802</v>
      </c>
      <c r="M35" s="8">
        <f>D58*D78/D18</f>
        <v>21.69</v>
      </c>
      <c r="N35" s="23">
        <f t="shared" si="10"/>
        <v>4.3380000000000002E-2</v>
      </c>
      <c r="O35" s="9">
        <f t="shared" si="11"/>
        <v>3.076851324838783</v>
      </c>
      <c r="P35" s="8">
        <f t="shared" si="12"/>
        <v>11.309999999999999</v>
      </c>
      <c r="Q35" s="9">
        <f t="shared" si="13"/>
        <v>2.4284704815311318</v>
      </c>
      <c r="R35" s="24">
        <f t="shared" si="14"/>
        <v>27.697311617428017</v>
      </c>
    </row>
    <row r="36" spans="1:21" x14ac:dyDescent="0.35">
      <c r="A36" s="8" t="str">
        <f>$A$10</f>
        <v>Positive</v>
      </c>
      <c r="B36" t="str">
        <f>$B$10</f>
        <v>Female</v>
      </c>
      <c r="C36" t="str">
        <f>$C$10</f>
        <v>Therapy 2</v>
      </c>
      <c r="D36">
        <f>$D$10</f>
        <v>24</v>
      </c>
      <c r="G36" s="10" t="str">
        <f>$A$17</f>
        <v>Negative</v>
      </c>
      <c r="H36" s="11" t="str">
        <f>$B$17</f>
        <v>Female</v>
      </c>
      <c r="I36" s="11" t="str">
        <f>$C$17</f>
        <v>Therapy 3</v>
      </c>
      <c r="J36" s="10">
        <f>$D$17</f>
        <v>56</v>
      </c>
      <c r="K36" s="27">
        <f t="shared" si="8"/>
        <v>0.112</v>
      </c>
      <c r="L36" s="12">
        <f t="shared" si="9"/>
        <v>4.0253516907351496</v>
      </c>
      <c r="M36" s="10">
        <f>D59*D78/D18</f>
        <v>35.186</v>
      </c>
      <c r="N36" s="27">
        <f t="shared" si="10"/>
        <v>7.0372000000000004E-2</v>
      </c>
      <c r="O36" s="12">
        <f t="shared" si="11"/>
        <v>3.5606482762168543</v>
      </c>
      <c r="P36" s="10">
        <f t="shared" si="12"/>
        <v>20.814</v>
      </c>
      <c r="Q36" s="12">
        <f t="shared" si="13"/>
        <v>3.5088968457103702</v>
      </c>
      <c r="R36" s="28">
        <f t="shared" si="14"/>
        <v>52.046782426049077</v>
      </c>
    </row>
    <row r="37" spans="1:21" x14ac:dyDescent="0.35">
      <c r="A37" s="8" t="str">
        <f>$A$11</f>
        <v>Positive</v>
      </c>
      <c r="B37" t="str">
        <f>$B$11</f>
        <v>Female</v>
      </c>
      <c r="C37" t="str">
        <f>$C$11</f>
        <v>Therapy 3</v>
      </c>
      <c r="D37">
        <f>$D$11</f>
        <v>80</v>
      </c>
      <c r="R37">
        <f>SUM(R25:R36)</f>
        <v>58.032898940132199</v>
      </c>
    </row>
    <row r="38" spans="1:21" x14ac:dyDescent="0.35">
      <c r="A38" s="8" t="str">
        <f>$A$12</f>
        <v>Negative</v>
      </c>
      <c r="B38" t="str">
        <f>$B$12</f>
        <v>Male</v>
      </c>
      <c r="C38" t="str">
        <f>$C$12</f>
        <v>Therapy 1</v>
      </c>
      <c r="D38">
        <f>$D$12</f>
        <v>9</v>
      </c>
    </row>
    <row r="39" spans="1:21" x14ac:dyDescent="0.35">
      <c r="A39" s="8" t="str">
        <f>$A$13</f>
        <v>Negative</v>
      </c>
      <c r="B39" t="str">
        <f>$B$13</f>
        <v>Male</v>
      </c>
      <c r="C39" t="str">
        <f>$C$13</f>
        <v>Therapy 2</v>
      </c>
      <c r="D39">
        <f>$D$13</f>
        <v>12</v>
      </c>
      <c r="G39" s="1" t="s">
        <v>42</v>
      </c>
    </row>
    <row r="40" spans="1:21" x14ac:dyDescent="0.35">
      <c r="A40" s="8" t="str">
        <f>$A$14</f>
        <v>Negative</v>
      </c>
      <c r="B40" t="str">
        <f>$B$14</f>
        <v>Male</v>
      </c>
      <c r="C40" t="str">
        <f>$C$14</f>
        <v>Therapy 3</v>
      </c>
      <c r="D40">
        <f>$D$14</f>
        <v>17</v>
      </c>
      <c r="J40" s="13" t="s">
        <v>19</v>
      </c>
      <c r="K40" s="14"/>
      <c r="L40" s="15"/>
      <c r="M40" s="13" t="s">
        <v>20</v>
      </c>
      <c r="N40" s="14"/>
      <c r="O40" s="15"/>
      <c r="P40" s="13" t="s">
        <v>21</v>
      </c>
      <c r="Q40" s="15"/>
    </row>
    <row r="41" spans="1:21" x14ac:dyDescent="0.35">
      <c r="A41" s="8" t="str">
        <f>$A$15</f>
        <v>Negative</v>
      </c>
      <c r="B41" t="str">
        <f>$B$15</f>
        <v>Female</v>
      </c>
      <c r="C41" t="str">
        <f>$C$15</f>
        <v>Therapy 1</v>
      </c>
      <c r="D41">
        <f>$D$15</f>
        <v>16</v>
      </c>
      <c r="G41" s="16" t="str">
        <f>$A$5</f>
        <v>Cure</v>
      </c>
      <c r="H41" s="3" t="str">
        <f>$B$5</f>
        <v>Gender</v>
      </c>
      <c r="I41" s="3" t="str">
        <f>$C$5</f>
        <v>Therapy</v>
      </c>
      <c r="J41" s="17" t="s">
        <v>22</v>
      </c>
      <c r="K41" s="18" t="s">
        <v>23</v>
      </c>
      <c r="L41" s="19" t="s">
        <v>24</v>
      </c>
      <c r="M41" s="17" t="s">
        <v>25</v>
      </c>
      <c r="N41" s="18" t="s">
        <v>23</v>
      </c>
      <c r="O41" s="19" t="s">
        <v>26</v>
      </c>
      <c r="P41" s="18" t="s">
        <v>27</v>
      </c>
      <c r="Q41" s="19" t="s">
        <v>28</v>
      </c>
      <c r="R41" s="20" t="s">
        <v>29</v>
      </c>
      <c r="T41" s="21" t="s">
        <v>29</v>
      </c>
      <c r="U41" s="22">
        <f>R54</f>
        <v>60.302394034976658</v>
      </c>
    </row>
    <row r="42" spans="1:21" x14ac:dyDescent="0.35">
      <c r="A42" s="8" t="str">
        <f>$A$16</f>
        <v>Negative</v>
      </c>
      <c r="B42" t="str">
        <f>$B$16</f>
        <v>Female</v>
      </c>
      <c r="C42" t="str">
        <f>$C$16</f>
        <v>Therapy 2</v>
      </c>
      <c r="D42">
        <f>$D$16</f>
        <v>33</v>
      </c>
      <c r="G42" s="8" t="str">
        <f>$A$6</f>
        <v>Positive</v>
      </c>
      <c r="H42" t="str">
        <f>$B$6</f>
        <v>Male</v>
      </c>
      <c r="I42" t="str">
        <f>$C$6</f>
        <v>Therapy 1</v>
      </c>
      <c r="J42" s="8">
        <f>$D$6</f>
        <v>59</v>
      </c>
      <c r="K42" s="23">
        <f>J42/$D$18</f>
        <v>0.11799999999999999</v>
      </c>
      <c r="L42" s="9">
        <f>LN(J42)</f>
        <v>4.0775374439057197</v>
      </c>
      <c r="M42" s="5">
        <f>D63*D72/$D$18</f>
        <v>48.552</v>
      </c>
      <c r="N42" s="29">
        <f>M42/$D$18</f>
        <v>9.7103999999999996E-2</v>
      </c>
      <c r="O42" s="7">
        <f>LN(M42)</f>
        <v>3.8826353885335538</v>
      </c>
      <c r="P42" s="5">
        <f>J42-M42</f>
        <v>10.448</v>
      </c>
      <c r="Q42" s="7">
        <f>P42/SQRT(M42)</f>
        <v>1.4994417591420992</v>
      </c>
      <c r="R42" s="24">
        <f>2*J42*(L42-O42)</f>
        <v>22.998442533915572</v>
      </c>
      <c r="T42" t="s">
        <v>30</v>
      </c>
      <c r="U42" s="24">
        <f>(A27-1)*(B27*C27-1)</f>
        <v>5</v>
      </c>
    </row>
    <row r="43" spans="1:21" x14ac:dyDescent="0.35">
      <c r="A43" s="10" t="str">
        <f>$A$17</f>
        <v>Negative</v>
      </c>
      <c r="B43" s="11" t="str">
        <f>$B$17</f>
        <v>Female</v>
      </c>
      <c r="C43" s="11" t="str">
        <f>$C$17</f>
        <v>Therapy 3</v>
      </c>
      <c r="D43" s="11">
        <f>$D$17</f>
        <v>56</v>
      </c>
      <c r="G43" s="8" t="str">
        <f>$A$7</f>
        <v>Positive</v>
      </c>
      <c r="H43" t="str">
        <f>$B$7</f>
        <v>Male</v>
      </c>
      <c r="I43" t="str">
        <f>$C$7</f>
        <v>Therapy 2</v>
      </c>
      <c r="J43" s="8">
        <f>$D$7</f>
        <v>55</v>
      </c>
      <c r="K43" s="23">
        <f t="shared" ref="K43:K53" si="15">J43/$D$18</f>
        <v>0.11</v>
      </c>
      <c r="L43" s="9">
        <f t="shared" ref="L43:L53" si="16">LN(J43)</f>
        <v>4.0073331852324712</v>
      </c>
      <c r="M43" s="8">
        <f>D64*D72/$D$18</f>
        <v>47.838000000000001</v>
      </c>
      <c r="N43" s="23">
        <f t="shared" ref="N43:N53" si="17">M43/$D$18</f>
        <v>9.5675999999999997E-2</v>
      </c>
      <c r="O43" s="9">
        <f t="shared" ref="O43:O53" si="18">LN(M43)</f>
        <v>3.8678203027484135</v>
      </c>
      <c r="P43" s="8">
        <f t="shared" ref="P43:P53" si="19">J43-M43</f>
        <v>7.161999999999999</v>
      </c>
      <c r="Q43" s="9">
        <f t="shared" ref="Q43:Q53" si="20">P43/SQRT(M43)</f>
        <v>1.0354945308643482</v>
      </c>
      <c r="R43" s="24">
        <f t="shared" ref="R43:R53" si="21">2*J43*(L43-O43)</f>
        <v>15.346417073246347</v>
      </c>
      <c r="T43" s="25" t="s">
        <v>31</v>
      </c>
      <c r="U43" s="24">
        <v>0.05</v>
      </c>
    </row>
    <row r="44" spans="1:21" x14ac:dyDescent="0.35">
      <c r="D44">
        <f>SUM(D32:D43)</f>
        <v>500</v>
      </c>
      <c r="G44" s="8" t="str">
        <f>$A$8</f>
        <v>Positive</v>
      </c>
      <c r="H44" t="str">
        <f>$B$8</f>
        <v>Male</v>
      </c>
      <c r="I44" t="str">
        <f>$C$8</f>
        <v>Therapy 3</v>
      </c>
      <c r="J44" s="8">
        <f>$D$8</f>
        <v>107</v>
      </c>
      <c r="K44" s="23">
        <f t="shared" si="15"/>
        <v>0.214</v>
      </c>
      <c r="L44" s="9">
        <f t="shared" si="16"/>
        <v>4.6728288344619058</v>
      </c>
      <c r="M44" s="8">
        <f>D65*D72/$D$18</f>
        <v>88.536000000000001</v>
      </c>
      <c r="N44" s="23">
        <f t="shared" si="17"/>
        <v>0.17707200000000001</v>
      </c>
      <c r="O44" s="9">
        <f t="shared" si="18"/>
        <v>4.4834092489624844</v>
      </c>
      <c r="P44" s="8">
        <f t="shared" si="19"/>
        <v>18.463999999999999</v>
      </c>
      <c r="Q44" s="9">
        <f t="shared" si="20"/>
        <v>1.9623019842617053</v>
      </c>
      <c r="R44" s="24">
        <f t="shared" si="21"/>
        <v>40.535791296876177</v>
      </c>
      <c r="T44" s="25" t="s">
        <v>32</v>
      </c>
      <c r="U44" s="24">
        <f>CHIDIST(U41,U42)</f>
        <v>1.0525518854310249E-11</v>
      </c>
    </row>
    <row r="45" spans="1:21" x14ac:dyDescent="0.35">
      <c r="G45" s="8" t="str">
        <f>$A$9</f>
        <v>Positive</v>
      </c>
      <c r="H45" t="str">
        <f>$B$9</f>
        <v>Female</v>
      </c>
      <c r="I45" t="str">
        <f>$C$9</f>
        <v>Therapy 1</v>
      </c>
      <c r="J45" s="8">
        <f>$D$9</f>
        <v>32</v>
      </c>
      <c r="K45" s="23">
        <f t="shared" si="15"/>
        <v>6.4000000000000001E-2</v>
      </c>
      <c r="L45" s="9">
        <f t="shared" si="16"/>
        <v>3.4657359027997265</v>
      </c>
      <c r="M45" s="8">
        <f>D66*D72/$D$18</f>
        <v>34.271999999999998</v>
      </c>
      <c r="N45" s="23">
        <f t="shared" si="17"/>
        <v>6.8543999999999994E-2</v>
      </c>
      <c r="O45" s="9">
        <f t="shared" si="18"/>
        <v>3.534328694265338</v>
      </c>
      <c r="P45" s="8">
        <f t="shared" si="19"/>
        <v>-2.2719999999999985</v>
      </c>
      <c r="Q45" s="9">
        <f t="shared" si="20"/>
        <v>-0.38809549586697262</v>
      </c>
      <c r="R45" s="24">
        <f t="shared" si="21"/>
        <v>-4.3899386537991347</v>
      </c>
      <c r="T45" s="21" t="s">
        <v>33</v>
      </c>
      <c r="U45" s="24">
        <f>CHIINV(U43,U42)</f>
        <v>11.070497693516353</v>
      </c>
    </row>
    <row r="46" spans="1:21" x14ac:dyDescent="0.35">
      <c r="A46" s="16" t="str">
        <f>$A$5</f>
        <v>Cure</v>
      </c>
      <c r="B46" s="3" t="str">
        <f>$B$5</f>
        <v>Gender</v>
      </c>
      <c r="C46" s="3" t="str">
        <f>$C$5</f>
        <v>Therapy</v>
      </c>
      <c r="D46" s="4" t="str">
        <f>$D$5</f>
        <v>Obs</v>
      </c>
      <c r="E46" s="4" t="s">
        <v>43</v>
      </c>
      <c r="G46" s="8" t="str">
        <f>$A$10</f>
        <v>Positive</v>
      </c>
      <c r="H46" t="str">
        <f>$B$10</f>
        <v>Female</v>
      </c>
      <c r="I46" t="str">
        <f>$C$10</f>
        <v>Therapy 2</v>
      </c>
      <c r="J46" s="8">
        <f>$D$10</f>
        <v>24</v>
      </c>
      <c r="K46" s="23">
        <f t="shared" si="15"/>
        <v>4.8000000000000001E-2</v>
      </c>
      <c r="L46" s="9">
        <f t="shared" si="16"/>
        <v>3.1780538303479458</v>
      </c>
      <c r="M46" s="8">
        <f>D67*D72/$D$18</f>
        <v>40.698</v>
      </c>
      <c r="N46" s="23">
        <f t="shared" si="17"/>
        <v>8.1395999999999996E-2</v>
      </c>
      <c r="O46" s="9">
        <f t="shared" si="18"/>
        <v>3.7061789511919976</v>
      </c>
      <c r="P46" s="8">
        <f t="shared" si="19"/>
        <v>-16.698</v>
      </c>
      <c r="Q46" s="9">
        <f t="shared" si="20"/>
        <v>-2.6174471595250579</v>
      </c>
      <c r="R46" s="24">
        <f t="shared" si="21"/>
        <v>-25.350005800514488</v>
      </c>
      <c r="T46" s="25" t="s">
        <v>34</v>
      </c>
      <c r="U46" s="26" t="str">
        <f>IF(U44&lt;U43,"yes","no")</f>
        <v>yes</v>
      </c>
    </row>
    <row r="47" spans="1:21" x14ac:dyDescent="0.35">
      <c r="A47" t="str">
        <f>A6</f>
        <v>Positive</v>
      </c>
      <c r="B47" t="str">
        <f>B6</f>
        <v>Male</v>
      </c>
      <c r="D47">
        <f>SUMIFS($D$32:$D$43,$A$32:$A$43,A47,$B$32:$B$43,B47)</f>
        <v>221</v>
      </c>
      <c r="E47" s="23">
        <f>D47/$D$51</f>
        <v>0.442</v>
      </c>
      <c r="G47" s="8" t="str">
        <f>$A$11</f>
        <v>Positive</v>
      </c>
      <c r="H47" t="str">
        <f>$B$11</f>
        <v>Female</v>
      </c>
      <c r="I47" t="str">
        <f>$C$11</f>
        <v>Therapy 3</v>
      </c>
      <c r="J47" s="8">
        <f>$D$11</f>
        <v>80</v>
      </c>
      <c r="K47" s="23">
        <f t="shared" si="15"/>
        <v>0.16</v>
      </c>
      <c r="L47" s="9">
        <f t="shared" si="16"/>
        <v>4.3820266346738812</v>
      </c>
      <c r="M47" s="8">
        <f>D68*D72/$D$18</f>
        <v>97.103999999999999</v>
      </c>
      <c r="N47" s="23">
        <f t="shared" si="17"/>
        <v>0.19420799999999999</v>
      </c>
      <c r="O47" s="9">
        <f t="shared" si="18"/>
        <v>4.5757825690934997</v>
      </c>
      <c r="P47" s="8">
        <f t="shared" si="19"/>
        <v>-17.103999999999999</v>
      </c>
      <c r="Q47" s="9">
        <f t="shared" si="20"/>
        <v>-1.7357178422046509</v>
      </c>
      <c r="R47" s="24">
        <f t="shared" si="21"/>
        <v>-31.000949507138955</v>
      </c>
    </row>
    <row r="48" spans="1:21" x14ac:dyDescent="0.35">
      <c r="A48" t="str">
        <f>A47</f>
        <v>Positive</v>
      </c>
      <c r="B48" t="str">
        <f>B9</f>
        <v>Female</v>
      </c>
      <c r="D48">
        <f>SUMIFS($D$32:$D$43,$A$32:$A$43,A48,$B$32:$B$43,B48)</f>
        <v>136</v>
      </c>
      <c r="E48" s="23">
        <f>D48/$D$51</f>
        <v>0.27200000000000002</v>
      </c>
      <c r="G48" s="8" t="str">
        <f>$A$12</f>
        <v>Negative</v>
      </c>
      <c r="H48" t="str">
        <f>$B$12</f>
        <v>Male</v>
      </c>
      <c r="I48" t="str">
        <f>$C$12</f>
        <v>Therapy 1</v>
      </c>
      <c r="J48" s="8">
        <f>$D$12</f>
        <v>9</v>
      </c>
      <c r="K48" s="23">
        <f t="shared" si="15"/>
        <v>1.7999999999999999E-2</v>
      </c>
      <c r="L48" s="9">
        <f t="shared" si="16"/>
        <v>2.1972245773362196</v>
      </c>
      <c r="M48" s="8">
        <f>D63*D73/$D$18</f>
        <v>19.448</v>
      </c>
      <c r="N48" s="23">
        <f t="shared" si="17"/>
        <v>3.8896E-2</v>
      </c>
      <c r="O48" s="9">
        <f t="shared" si="18"/>
        <v>2.9677442370138221</v>
      </c>
      <c r="P48" s="8">
        <f t="shared" si="19"/>
        <v>-10.448</v>
      </c>
      <c r="Q48" s="9">
        <f t="shared" si="20"/>
        <v>-2.3691670887390908</v>
      </c>
      <c r="R48" s="24">
        <f t="shared" si="21"/>
        <v>-13.869353874196845</v>
      </c>
    </row>
    <row r="49" spans="1:21" x14ac:dyDescent="0.35">
      <c r="A49" t="str">
        <f>A12</f>
        <v>Negative</v>
      </c>
      <c r="B49" t="str">
        <f>B47</f>
        <v>Male</v>
      </c>
      <c r="D49">
        <f>SUMIFS($D$32:$D$43,$A$32:$A$43,A49,$B$32:$B$43,B49)</f>
        <v>38</v>
      </c>
      <c r="E49" s="23">
        <f>D49/$D$51</f>
        <v>7.5999999999999998E-2</v>
      </c>
      <c r="G49" s="8" t="str">
        <f>$A$13</f>
        <v>Negative</v>
      </c>
      <c r="H49" t="str">
        <f>$B$13</f>
        <v>Male</v>
      </c>
      <c r="I49" t="str">
        <f>$C$13</f>
        <v>Therapy 2</v>
      </c>
      <c r="J49" s="8">
        <f>$D$13</f>
        <v>12</v>
      </c>
      <c r="K49" s="23">
        <f t="shared" si="15"/>
        <v>2.4E-2</v>
      </c>
      <c r="L49" s="9">
        <f t="shared" si="16"/>
        <v>2.4849066497880004</v>
      </c>
      <c r="M49" s="8">
        <f>D64*D73/$D$18</f>
        <v>19.161999999999999</v>
      </c>
      <c r="N49" s="23">
        <f t="shared" si="17"/>
        <v>3.8323999999999997E-2</v>
      </c>
      <c r="O49" s="9">
        <f t="shared" si="18"/>
        <v>2.9529291512286817</v>
      </c>
      <c r="P49" s="8">
        <f t="shared" si="19"/>
        <v>-7.161999999999999</v>
      </c>
      <c r="Q49" s="9">
        <f t="shared" si="20"/>
        <v>-1.6361152729911719</v>
      </c>
      <c r="R49" s="24">
        <f t="shared" si="21"/>
        <v>-11.232540034576353</v>
      </c>
    </row>
    <row r="50" spans="1:21" x14ac:dyDescent="0.35">
      <c r="A50" s="11" t="str">
        <f>A49</f>
        <v>Negative</v>
      </c>
      <c r="B50" s="11" t="str">
        <f>B48</f>
        <v>Female</v>
      </c>
      <c r="C50" s="11"/>
      <c r="D50" s="11">
        <f>SUMIFS($D$32:$D$43,$A$32:$A$43,A50,$B$32:$B$43,B50)</f>
        <v>105</v>
      </c>
      <c r="E50" s="27">
        <f>D50/$D$51</f>
        <v>0.21</v>
      </c>
      <c r="G50" s="8" t="str">
        <f>$A$14</f>
        <v>Negative</v>
      </c>
      <c r="H50" t="str">
        <f>$B$14</f>
        <v>Male</v>
      </c>
      <c r="I50" t="str">
        <f>$C$14</f>
        <v>Therapy 3</v>
      </c>
      <c r="J50" s="8">
        <f>$D$14</f>
        <v>17</v>
      </c>
      <c r="K50" s="23">
        <f t="shared" si="15"/>
        <v>3.4000000000000002E-2</v>
      </c>
      <c r="L50" s="9">
        <f t="shared" si="16"/>
        <v>2.8332133440562162</v>
      </c>
      <c r="M50" s="8">
        <f>D65*D73/$D$18</f>
        <v>35.463999999999999</v>
      </c>
      <c r="N50" s="23">
        <f t="shared" si="17"/>
        <v>7.0927999999999991E-2</v>
      </c>
      <c r="O50" s="9">
        <f t="shared" si="18"/>
        <v>3.5685180974427522</v>
      </c>
      <c r="P50" s="8">
        <f t="shared" si="19"/>
        <v>-18.463999999999999</v>
      </c>
      <c r="Q50" s="9">
        <f t="shared" si="20"/>
        <v>-3.1005014038959193</v>
      </c>
      <c r="R50" s="24">
        <f t="shared" si="21"/>
        <v>-25.000361615142225</v>
      </c>
    </row>
    <row r="51" spans="1:21" x14ac:dyDescent="0.35">
      <c r="D51">
        <f>SUM(D47:D50)</f>
        <v>500</v>
      </c>
      <c r="G51" s="8" t="str">
        <f>$A$15</f>
        <v>Negative</v>
      </c>
      <c r="H51" t="str">
        <f>$B$15</f>
        <v>Female</v>
      </c>
      <c r="I51" t="str">
        <f>$C$15</f>
        <v>Therapy 1</v>
      </c>
      <c r="J51" s="8">
        <f>$D$15</f>
        <v>16</v>
      </c>
      <c r="K51" s="23">
        <f t="shared" si="15"/>
        <v>3.2000000000000001E-2</v>
      </c>
      <c r="L51" s="9">
        <f t="shared" si="16"/>
        <v>2.7725887222397811</v>
      </c>
      <c r="M51" s="8">
        <f>D66*D73/$D$18</f>
        <v>13.728</v>
      </c>
      <c r="N51" s="23">
        <f t="shared" si="17"/>
        <v>2.7456000000000001E-2</v>
      </c>
      <c r="O51" s="9">
        <f t="shared" si="18"/>
        <v>2.6194375427456063</v>
      </c>
      <c r="P51" s="8">
        <f t="shared" si="19"/>
        <v>2.2720000000000002</v>
      </c>
      <c r="Q51" s="9">
        <f t="shared" si="20"/>
        <v>0.61320359426429338</v>
      </c>
      <c r="R51" s="24">
        <f t="shared" si="21"/>
        <v>4.9008377438135966</v>
      </c>
    </row>
    <row r="52" spans="1:21" x14ac:dyDescent="0.35">
      <c r="G52" s="8" t="str">
        <f>$A$16</f>
        <v>Negative</v>
      </c>
      <c r="H52" t="str">
        <f>$B$16</f>
        <v>Female</v>
      </c>
      <c r="I52" t="str">
        <f>$C$16</f>
        <v>Therapy 2</v>
      </c>
      <c r="J52" s="8">
        <f>$D$16</f>
        <v>33</v>
      </c>
      <c r="K52" s="23">
        <f t="shared" si="15"/>
        <v>6.6000000000000003E-2</v>
      </c>
      <c r="L52" s="9">
        <f t="shared" si="16"/>
        <v>3.4965075614664802</v>
      </c>
      <c r="M52" s="8">
        <f>D67*D73/$D$18</f>
        <v>16.302</v>
      </c>
      <c r="N52" s="23">
        <f t="shared" si="17"/>
        <v>3.2604000000000001E-2</v>
      </c>
      <c r="O52" s="9">
        <f t="shared" si="18"/>
        <v>2.7912877996722658</v>
      </c>
      <c r="P52" s="8">
        <f t="shared" si="19"/>
        <v>16.698</v>
      </c>
      <c r="Q52" s="9">
        <f t="shared" si="20"/>
        <v>4.1356522379424483</v>
      </c>
      <c r="R52" s="24">
        <f t="shared" si="21"/>
        <v>46.544504278418152</v>
      </c>
    </row>
    <row r="53" spans="1:21" x14ac:dyDescent="0.35">
      <c r="A53" s="16" t="str">
        <f>$A$5</f>
        <v>Cure</v>
      </c>
      <c r="B53" s="3" t="str">
        <f>$B$5</f>
        <v>Gender</v>
      </c>
      <c r="C53" s="3" t="str">
        <f>$C$5</f>
        <v>Therapy</v>
      </c>
      <c r="D53" s="4" t="str">
        <f>$D$5</f>
        <v>Obs</v>
      </c>
      <c r="E53" s="4" t="str">
        <f>$E$46</f>
        <v>Prob</v>
      </c>
      <c r="G53" s="10" t="str">
        <f>$A$17</f>
        <v>Negative</v>
      </c>
      <c r="H53" s="11" t="str">
        <f>$B$17</f>
        <v>Female</v>
      </c>
      <c r="I53" s="11" t="str">
        <f>$C$17</f>
        <v>Therapy 3</v>
      </c>
      <c r="J53" s="10">
        <f>$D$17</f>
        <v>56</v>
      </c>
      <c r="K53" s="27">
        <f t="shared" si="15"/>
        <v>0.112</v>
      </c>
      <c r="L53" s="12">
        <f t="shared" si="16"/>
        <v>4.0253516907351496</v>
      </c>
      <c r="M53" s="10">
        <f>D68*D73/$D$18</f>
        <v>38.896000000000001</v>
      </c>
      <c r="N53" s="27">
        <f t="shared" si="17"/>
        <v>7.7792E-2</v>
      </c>
      <c r="O53" s="12">
        <f t="shared" si="18"/>
        <v>3.6608914175737675</v>
      </c>
      <c r="P53" s="10">
        <f t="shared" si="19"/>
        <v>17.103999999999999</v>
      </c>
      <c r="Q53" s="12">
        <f t="shared" si="20"/>
        <v>2.7424910384257104</v>
      </c>
      <c r="R53" s="28">
        <f t="shared" si="21"/>
        <v>40.819550594074805</v>
      </c>
    </row>
    <row r="54" spans="1:21" x14ac:dyDescent="0.35">
      <c r="A54" t="str">
        <f>A6</f>
        <v>Positive</v>
      </c>
      <c r="C54" t="str">
        <f>C6</f>
        <v>Therapy 1</v>
      </c>
      <c r="D54">
        <f t="shared" ref="D54:D59" si="22">SUMIFS($D$32:$D$43,$A$32:$A$43,A54,$C$32:$C$43,C54)</f>
        <v>91</v>
      </c>
      <c r="E54" s="23">
        <f t="shared" ref="E54:E59" si="23">D54/$D$60</f>
        <v>0.182</v>
      </c>
      <c r="R54">
        <f>SUM(R42:R53)</f>
        <v>60.302394034976658</v>
      </c>
    </row>
    <row r="55" spans="1:21" x14ac:dyDescent="0.35">
      <c r="A55" t="str">
        <f>A54</f>
        <v>Positive</v>
      </c>
      <c r="C55" t="str">
        <f>C7</f>
        <v>Therapy 2</v>
      </c>
      <c r="D55">
        <f t="shared" si="22"/>
        <v>79</v>
      </c>
      <c r="E55" s="23">
        <f t="shared" si="23"/>
        <v>0.158</v>
      </c>
    </row>
    <row r="56" spans="1:21" x14ac:dyDescent="0.35">
      <c r="A56" t="str">
        <f>A55</f>
        <v>Positive</v>
      </c>
      <c r="C56" t="str">
        <f>C8</f>
        <v>Therapy 3</v>
      </c>
      <c r="D56">
        <f t="shared" si="22"/>
        <v>187</v>
      </c>
      <c r="E56" s="23">
        <f t="shared" si="23"/>
        <v>0.374</v>
      </c>
      <c r="G56" s="1" t="s">
        <v>44</v>
      </c>
    </row>
    <row r="57" spans="1:21" x14ac:dyDescent="0.35">
      <c r="A57" t="str">
        <f>A12</f>
        <v>Negative</v>
      </c>
      <c r="C57" t="str">
        <f>C54</f>
        <v>Therapy 1</v>
      </c>
      <c r="D57">
        <f t="shared" si="22"/>
        <v>25</v>
      </c>
      <c r="E57" s="23">
        <f t="shared" si="23"/>
        <v>0.05</v>
      </c>
      <c r="J57" s="13" t="s">
        <v>19</v>
      </c>
      <c r="K57" s="14"/>
      <c r="L57" s="15"/>
      <c r="M57" s="13" t="s">
        <v>20</v>
      </c>
      <c r="N57" s="14"/>
      <c r="O57" s="15"/>
      <c r="P57" s="13" t="s">
        <v>21</v>
      </c>
      <c r="Q57" s="15"/>
    </row>
    <row r="58" spans="1:21" x14ac:dyDescent="0.35">
      <c r="A58" t="str">
        <f>A57</f>
        <v>Negative</v>
      </c>
      <c r="C58" t="str">
        <f>C55</f>
        <v>Therapy 2</v>
      </c>
      <c r="D58">
        <f t="shared" si="22"/>
        <v>45</v>
      </c>
      <c r="E58" s="23">
        <f t="shared" si="23"/>
        <v>0.09</v>
      </c>
      <c r="G58" s="16" t="str">
        <f>$A$5</f>
        <v>Cure</v>
      </c>
      <c r="H58" s="3" t="str">
        <f>$B$5</f>
        <v>Gender</v>
      </c>
      <c r="I58" s="3" t="str">
        <f>$C$5</f>
        <v>Therapy</v>
      </c>
      <c r="J58" s="17" t="s">
        <v>22</v>
      </c>
      <c r="K58" s="18" t="s">
        <v>23</v>
      </c>
      <c r="L58" s="19" t="s">
        <v>24</v>
      </c>
      <c r="M58" s="17" t="s">
        <v>25</v>
      </c>
      <c r="N58" s="18" t="s">
        <v>23</v>
      </c>
      <c r="O58" s="19" t="s">
        <v>26</v>
      </c>
      <c r="P58" s="18" t="s">
        <v>27</v>
      </c>
      <c r="Q58" s="19" t="s">
        <v>28</v>
      </c>
      <c r="R58" s="20" t="s">
        <v>29</v>
      </c>
      <c r="T58" s="21" t="s">
        <v>29</v>
      </c>
      <c r="U58" s="22">
        <f>R71</f>
        <v>12.040798754725822</v>
      </c>
    </row>
    <row r="59" spans="1:21" x14ac:dyDescent="0.35">
      <c r="A59" s="11" t="str">
        <f>A58</f>
        <v>Negative</v>
      </c>
      <c r="B59" s="11"/>
      <c r="C59" s="11" t="str">
        <f>C56</f>
        <v>Therapy 3</v>
      </c>
      <c r="D59" s="11">
        <f t="shared" si="22"/>
        <v>73</v>
      </c>
      <c r="E59" s="27">
        <f t="shared" si="23"/>
        <v>0.14599999999999999</v>
      </c>
      <c r="G59" s="8" t="str">
        <f>$A$6</f>
        <v>Positive</v>
      </c>
      <c r="H59" t="str">
        <f>$B$6</f>
        <v>Male</v>
      </c>
      <c r="I59" t="str">
        <f>$C$6</f>
        <v>Therapy 1</v>
      </c>
      <c r="J59" s="8">
        <f>$D$6</f>
        <v>59</v>
      </c>
      <c r="K59" s="23">
        <f>J59/$D$18</f>
        <v>0.11799999999999999</v>
      </c>
      <c r="L59" s="9">
        <f>LN(J59)</f>
        <v>4.0775374439057197</v>
      </c>
      <c r="M59" s="5">
        <f>D47*D82/$D$18</f>
        <v>51.271999999999998</v>
      </c>
      <c r="N59" s="29">
        <f>M59/$D$18</f>
        <v>0.102544</v>
      </c>
      <c r="O59" s="7">
        <f>LN(M59)</f>
        <v>3.9371447942019255</v>
      </c>
      <c r="P59" s="5">
        <f>J59-M59</f>
        <v>7.7280000000000015</v>
      </c>
      <c r="Q59" s="7">
        <f>P59/SQRT(M59)</f>
        <v>1.0792622434654489</v>
      </c>
      <c r="R59" s="24">
        <f>2*J59*(L59-O59)</f>
        <v>16.56633266504771</v>
      </c>
      <c r="T59" t="s">
        <v>30</v>
      </c>
      <c r="U59" s="24">
        <f>(C27-1)*(A27*B27-1)</f>
        <v>6</v>
      </c>
    </row>
    <row r="60" spans="1:21" x14ac:dyDescent="0.35">
      <c r="D60">
        <f>SUM(D54:D59)</f>
        <v>500</v>
      </c>
      <c r="G60" s="8" t="str">
        <f>$A$7</f>
        <v>Positive</v>
      </c>
      <c r="H60" t="str">
        <f>$B$7</f>
        <v>Male</v>
      </c>
      <c r="I60" t="str">
        <f>$C$7</f>
        <v>Therapy 2</v>
      </c>
      <c r="J60" s="8">
        <f>$D$7</f>
        <v>55</v>
      </c>
      <c r="K60" s="23">
        <f t="shared" ref="K60:K70" si="24">J60/$D$18</f>
        <v>0.11</v>
      </c>
      <c r="L60" s="9">
        <f t="shared" ref="L60:L70" si="25">LN(J60)</f>
        <v>4.0073331852324712</v>
      </c>
      <c r="M60" s="8">
        <f>D47*D83/$D$18</f>
        <v>54.808</v>
      </c>
      <c r="N60" s="23">
        <f t="shared" ref="N60:N70" si="26">M60/$D$18</f>
        <v>0.10961600000000001</v>
      </c>
      <c r="O60" s="9">
        <f t="shared" ref="O60:O70" si="27">LN(M60)</f>
        <v>4.0038361687005981</v>
      </c>
      <c r="P60" s="8">
        <f t="shared" ref="P60:P70" si="28">J60-M60</f>
        <v>0.19200000000000017</v>
      </c>
      <c r="Q60" s="9">
        <f t="shared" ref="Q60:Q70" si="29">P60/SQRT(M60)</f>
        <v>2.5934581927904998E-2</v>
      </c>
      <c r="R60" s="24">
        <f t="shared" ref="R60:R70" si="30">2*J60*(L60-O60)</f>
        <v>0.38467181850603716</v>
      </c>
      <c r="T60" s="25" t="s">
        <v>31</v>
      </c>
      <c r="U60" s="24">
        <v>0.05</v>
      </c>
    </row>
    <row r="61" spans="1:21" x14ac:dyDescent="0.35">
      <c r="G61" s="8" t="str">
        <f>$A$8</f>
        <v>Positive</v>
      </c>
      <c r="H61" t="str">
        <f>$B$8</f>
        <v>Male</v>
      </c>
      <c r="I61" t="str">
        <f>$C$8</f>
        <v>Therapy 3</v>
      </c>
      <c r="J61" s="8">
        <f>$D$8</f>
        <v>107</v>
      </c>
      <c r="K61" s="23">
        <f t="shared" si="24"/>
        <v>0.214</v>
      </c>
      <c r="L61" s="9">
        <f t="shared" si="25"/>
        <v>4.6728288344619058</v>
      </c>
      <c r="M61" s="8">
        <f>D47*D84/$D$18</f>
        <v>114.92</v>
      </c>
      <c r="N61" s="23">
        <f t="shared" si="26"/>
        <v>0.22984000000000002</v>
      </c>
      <c r="O61" s="9">
        <f t="shared" si="27"/>
        <v>4.7442362341110886</v>
      </c>
      <c r="P61" s="8">
        <f t="shared" si="28"/>
        <v>-7.9200000000000017</v>
      </c>
      <c r="Q61" s="9">
        <f t="shared" si="29"/>
        <v>-0.73880082703375294</v>
      </c>
      <c r="R61" s="24">
        <f t="shared" si="30"/>
        <v>-15.281183524925131</v>
      </c>
      <c r="T61" s="25" t="s">
        <v>32</v>
      </c>
      <c r="U61" s="24">
        <f>CHIDIST(U58,U59)</f>
        <v>6.1064798869981202E-2</v>
      </c>
    </row>
    <row r="62" spans="1:21" x14ac:dyDescent="0.35">
      <c r="A62" s="16" t="str">
        <f>$A$5</f>
        <v>Cure</v>
      </c>
      <c r="B62" s="3" t="str">
        <f>$B$5</f>
        <v>Gender</v>
      </c>
      <c r="C62" s="3" t="str">
        <f>$C$5</f>
        <v>Therapy</v>
      </c>
      <c r="D62" s="4" t="str">
        <f>$D$5</f>
        <v>Obs</v>
      </c>
      <c r="E62" s="4" t="str">
        <f>$E$46</f>
        <v>Prob</v>
      </c>
      <c r="G62" s="8" t="str">
        <f>$A$9</f>
        <v>Positive</v>
      </c>
      <c r="H62" t="str">
        <f>$B$9</f>
        <v>Female</v>
      </c>
      <c r="I62" t="str">
        <f>$C$9</f>
        <v>Therapy 1</v>
      </c>
      <c r="J62" s="8">
        <f>$D$9</f>
        <v>32</v>
      </c>
      <c r="K62" s="23">
        <f t="shared" si="24"/>
        <v>6.4000000000000001E-2</v>
      </c>
      <c r="L62" s="9">
        <f t="shared" si="25"/>
        <v>3.4657359027997265</v>
      </c>
      <c r="M62" s="8">
        <f>D48*D82/$D$18</f>
        <v>31.552</v>
      </c>
      <c r="N62" s="23">
        <f t="shared" si="26"/>
        <v>6.3103999999999993E-2</v>
      </c>
      <c r="O62" s="9">
        <f t="shared" si="27"/>
        <v>3.451636978420225</v>
      </c>
      <c r="P62" s="8">
        <f t="shared" si="28"/>
        <v>0.4480000000000004</v>
      </c>
      <c r="Q62" s="9">
        <f t="shared" si="29"/>
        <v>7.9756220865423971E-2</v>
      </c>
      <c r="R62" s="24">
        <f t="shared" si="30"/>
        <v>0.90233116028809945</v>
      </c>
      <c r="T62" s="21" t="s">
        <v>33</v>
      </c>
      <c r="U62" s="24">
        <f>CHIINV(U60,U59)</f>
        <v>12.591587243743978</v>
      </c>
    </row>
    <row r="63" spans="1:21" x14ac:dyDescent="0.35">
      <c r="B63" t="str">
        <f t="shared" ref="B63:C68" si="31">B6</f>
        <v>Male</v>
      </c>
      <c r="C63" t="str">
        <f t="shared" si="31"/>
        <v>Therapy 1</v>
      </c>
      <c r="D63">
        <f t="shared" ref="D63:D68" si="32">SUMIFS($D$32:$D$43,$B$32:$B$43,B63,$C$32:$C$43,C63)</f>
        <v>68</v>
      </c>
      <c r="E63" s="23">
        <f t="shared" ref="E63:E68" si="33">D63/$D$60</f>
        <v>0.13600000000000001</v>
      </c>
      <c r="G63" s="8" t="str">
        <f>$A$10</f>
        <v>Positive</v>
      </c>
      <c r="H63" t="str">
        <f>$B$10</f>
        <v>Female</v>
      </c>
      <c r="I63" t="str">
        <f>$C$10</f>
        <v>Therapy 2</v>
      </c>
      <c r="J63" s="8">
        <f>$D$10</f>
        <v>24</v>
      </c>
      <c r="K63" s="23">
        <f t="shared" si="24"/>
        <v>4.8000000000000001E-2</v>
      </c>
      <c r="L63" s="9">
        <f t="shared" si="25"/>
        <v>3.1780538303479458</v>
      </c>
      <c r="M63" s="8">
        <f>D48*D83/$D$18</f>
        <v>33.728000000000002</v>
      </c>
      <c r="N63" s="23">
        <f t="shared" si="26"/>
        <v>6.7456000000000002E-2</v>
      </c>
      <c r="O63" s="9">
        <f t="shared" si="27"/>
        <v>3.5183283529188971</v>
      </c>
      <c r="P63" s="8">
        <f t="shared" si="28"/>
        <v>-9.7280000000000015</v>
      </c>
      <c r="Q63" s="9">
        <f t="shared" si="29"/>
        <v>-1.6750518981452713</v>
      </c>
      <c r="R63" s="24">
        <f t="shared" si="30"/>
        <v>-16.333177083405666</v>
      </c>
      <c r="T63" s="25" t="s">
        <v>34</v>
      </c>
      <c r="U63" s="26" t="str">
        <f>IF(U61&lt;U60,"yes","no")</f>
        <v>no</v>
      </c>
    </row>
    <row r="64" spans="1:21" x14ac:dyDescent="0.35">
      <c r="B64" t="str">
        <f t="shared" si="31"/>
        <v>Male</v>
      </c>
      <c r="C64" t="str">
        <f t="shared" si="31"/>
        <v>Therapy 2</v>
      </c>
      <c r="D64">
        <f t="shared" si="32"/>
        <v>67</v>
      </c>
      <c r="E64" s="23">
        <f t="shared" si="33"/>
        <v>0.13400000000000001</v>
      </c>
      <c r="G64" s="8" t="str">
        <f>$A$11</f>
        <v>Positive</v>
      </c>
      <c r="H64" t="str">
        <f>$B$11</f>
        <v>Female</v>
      </c>
      <c r="I64" t="str">
        <f>$C$11</f>
        <v>Therapy 3</v>
      </c>
      <c r="J64" s="8">
        <f>$D$11</f>
        <v>80</v>
      </c>
      <c r="K64" s="23">
        <f t="shared" si="24"/>
        <v>0.16</v>
      </c>
      <c r="L64" s="9">
        <f t="shared" si="25"/>
        <v>4.3820266346738812</v>
      </c>
      <c r="M64" s="8">
        <f>D48*D84/$D$18</f>
        <v>70.72</v>
      </c>
      <c r="N64" s="23">
        <f t="shared" si="26"/>
        <v>0.14144000000000001</v>
      </c>
      <c r="O64" s="9">
        <f t="shared" si="27"/>
        <v>4.2587284183293876</v>
      </c>
      <c r="P64" s="8">
        <f t="shared" si="28"/>
        <v>9.2800000000000011</v>
      </c>
      <c r="Q64" s="9">
        <f t="shared" si="29"/>
        <v>1.1035114664384265</v>
      </c>
      <c r="R64" s="24">
        <f t="shared" si="30"/>
        <v>19.72771461511897</v>
      </c>
    </row>
    <row r="65" spans="1:21" x14ac:dyDescent="0.35">
      <c r="B65" t="str">
        <f t="shared" si="31"/>
        <v>Male</v>
      </c>
      <c r="C65" t="str">
        <f t="shared" si="31"/>
        <v>Therapy 3</v>
      </c>
      <c r="D65">
        <f t="shared" si="32"/>
        <v>124</v>
      </c>
      <c r="E65" s="23">
        <f t="shared" si="33"/>
        <v>0.248</v>
      </c>
      <c r="G65" s="8" t="str">
        <f>$A$12</f>
        <v>Negative</v>
      </c>
      <c r="H65" t="str">
        <f>$B$12</f>
        <v>Male</v>
      </c>
      <c r="I65" t="str">
        <f>$C$12</f>
        <v>Therapy 1</v>
      </c>
      <c r="J65" s="8">
        <f>$D$12</f>
        <v>9</v>
      </c>
      <c r="K65" s="23">
        <f t="shared" si="24"/>
        <v>1.7999999999999999E-2</v>
      </c>
      <c r="L65" s="9">
        <f t="shared" si="25"/>
        <v>2.1972245773362196</v>
      </c>
      <c r="M65" s="8">
        <f>D49*D82/$D$18</f>
        <v>8.8160000000000007</v>
      </c>
      <c r="N65" s="23">
        <f t="shared" si="26"/>
        <v>1.7632000000000002E-2</v>
      </c>
      <c r="O65" s="9">
        <f t="shared" si="27"/>
        <v>2.1765682524105587</v>
      </c>
      <c r="P65" s="8">
        <f t="shared" si="28"/>
        <v>0.18399999999999928</v>
      </c>
      <c r="Q65" s="9">
        <f t="shared" si="29"/>
        <v>6.1970076497654868E-2</v>
      </c>
      <c r="R65" s="24">
        <f t="shared" si="30"/>
        <v>0.37181384866189493</v>
      </c>
    </row>
    <row r="66" spans="1:21" x14ac:dyDescent="0.35">
      <c r="B66" t="str">
        <f t="shared" si="31"/>
        <v>Female</v>
      </c>
      <c r="C66" t="str">
        <f t="shared" si="31"/>
        <v>Therapy 1</v>
      </c>
      <c r="D66">
        <f t="shared" si="32"/>
        <v>48</v>
      </c>
      <c r="E66" s="23">
        <f t="shared" si="33"/>
        <v>9.6000000000000002E-2</v>
      </c>
      <c r="G66" s="8" t="str">
        <f>$A$13</f>
        <v>Negative</v>
      </c>
      <c r="H66" t="str">
        <f>$B$13</f>
        <v>Male</v>
      </c>
      <c r="I66" t="str">
        <f>$C$13</f>
        <v>Therapy 2</v>
      </c>
      <c r="J66" s="8">
        <f>$D$13</f>
        <v>12</v>
      </c>
      <c r="K66" s="23">
        <f t="shared" si="24"/>
        <v>2.4E-2</v>
      </c>
      <c r="L66" s="9">
        <f t="shared" si="25"/>
        <v>2.4849066497880004</v>
      </c>
      <c r="M66" s="8">
        <f>D49*D83/$D$18</f>
        <v>9.4239999999999995</v>
      </c>
      <c r="N66" s="23">
        <f t="shared" si="26"/>
        <v>1.8848E-2</v>
      </c>
      <c r="O66" s="9">
        <f t="shared" si="27"/>
        <v>2.2432596269092309</v>
      </c>
      <c r="P66" s="8">
        <f t="shared" si="28"/>
        <v>2.5760000000000005</v>
      </c>
      <c r="Q66" s="9">
        <f t="shared" si="29"/>
        <v>0.83912801373183932</v>
      </c>
      <c r="R66" s="24">
        <f t="shared" si="30"/>
        <v>5.7995285490904678</v>
      </c>
    </row>
    <row r="67" spans="1:21" x14ac:dyDescent="0.35">
      <c r="B67" t="str">
        <f t="shared" si="31"/>
        <v>Female</v>
      </c>
      <c r="C67" t="str">
        <f t="shared" si="31"/>
        <v>Therapy 2</v>
      </c>
      <c r="D67">
        <f t="shared" si="32"/>
        <v>57</v>
      </c>
      <c r="E67" s="23">
        <f t="shared" si="33"/>
        <v>0.114</v>
      </c>
      <c r="G67" s="8" t="str">
        <f>$A$14</f>
        <v>Negative</v>
      </c>
      <c r="H67" t="str">
        <f>$B$14</f>
        <v>Male</v>
      </c>
      <c r="I67" t="str">
        <f>$C$14</f>
        <v>Therapy 3</v>
      </c>
      <c r="J67" s="8">
        <f>$D$14</f>
        <v>17</v>
      </c>
      <c r="K67" s="23">
        <f t="shared" si="24"/>
        <v>3.4000000000000002E-2</v>
      </c>
      <c r="L67" s="9">
        <f t="shared" si="25"/>
        <v>2.8332133440562162</v>
      </c>
      <c r="M67" s="8">
        <f>D49*D84/$D$18</f>
        <v>19.760000000000002</v>
      </c>
      <c r="N67" s="23">
        <f t="shared" si="26"/>
        <v>3.9520000000000007E-2</v>
      </c>
      <c r="O67" s="9">
        <f t="shared" si="27"/>
        <v>2.9836596923197218</v>
      </c>
      <c r="P67" s="8">
        <f t="shared" si="28"/>
        <v>-2.7600000000000016</v>
      </c>
      <c r="Q67" s="9">
        <f t="shared" si="29"/>
        <v>-0.62089135351886993</v>
      </c>
      <c r="R67" s="24">
        <f t="shared" si="30"/>
        <v>-5.1151758409591928</v>
      </c>
    </row>
    <row r="68" spans="1:21" x14ac:dyDescent="0.35">
      <c r="A68" s="11"/>
      <c r="B68" s="11" t="str">
        <f t="shared" si="31"/>
        <v>Female</v>
      </c>
      <c r="C68" s="11" t="str">
        <f t="shared" si="31"/>
        <v>Therapy 3</v>
      </c>
      <c r="D68" s="11">
        <f t="shared" si="32"/>
        <v>136</v>
      </c>
      <c r="E68" s="27">
        <f t="shared" si="33"/>
        <v>0.27200000000000002</v>
      </c>
      <c r="G68" s="8" t="str">
        <f>$A$15</f>
        <v>Negative</v>
      </c>
      <c r="H68" t="str">
        <f>$B$15</f>
        <v>Female</v>
      </c>
      <c r="I68" t="str">
        <f>$C$15</f>
        <v>Therapy 1</v>
      </c>
      <c r="J68" s="8">
        <f>$D$15</f>
        <v>16</v>
      </c>
      <c r="K68" s="23">
        <f t="shared" si="24"/>
        <v>3.2000000000000001E-2</v>
      </c>
      <c r="L68" s="9">
        <f t="shared" si="25"/>
        <v>2.7725887222397811</v>
      </c>
      <c r="M68" s="8">
        <f>D50*D82/$D$18</f>
        <v>24.36</v>
      </c>
      <c r="N68" s="23">
        <f t="shared" si="26"/>
        <v>4.8719999999999999E-2</v>
      </c>
      <c r="O68" s="9">
        <f t="shared" si="27"/>
        <v>3.1929424428416961</v>
      </c>
      <c r="P68" s="8">
        <f t="shared" si="28"/>
        <v>-8.36</v>
      </c>
      <c r="Q68" s="9">
        <f t="shared" si="29"/>
        <v>-1.6938214778087952</v>
      </c>
      <c r="R68" s="24">
        <f t="shared" si="30"/>
        <v>-13.45131905926128</v>
      </c>
    </row>
    <row r="69" spans="1:21" x14ac:dyDescent="0.35">
      <c r="D69">
        <f>SUM(D63:D68)</f>
        <v>500</v>
      </c>
      <c r="G69" s="8" t="str">
        <f>$A$16</f>
        <v>Negative</v>
      </c>
      <c r="H69" t="str">
        <f>$B$16</f>
        <v>Female</v>
      </c>
      <c r="I69" t="str">
        <f>$C$16</f>
        <v>Therapy 2</v>
      </c>
      <c r="J69" s="8">
        <f>$D$16</f>
        <v>33</v>
      </c>
      <c r="K69" s="23">
        <f t="shared" si="24"/>
        <v>6.6000000000000003E-2</v>
      </c>
      <c r="L69" s="9">
        <f t="shared" si="25"/>
        <v>3.4965075614664802</v>
      </c>
      <c r="M69" s="8">
        <f>D50*D83/$D$18</f>
        <v>26.04</v>
      </c>
      <c r="N69" s="23">
        <f t="shared" si="26"/>
        <v>5.2080000000000001E-2</v>
      </c>
      <c r="O69" s="9">
        <f t="shared" si="27"/>
        <v>3.2596338173403683</v>
      </c>
      <c r="P69" s="8">
        <f t="shared" si="28"/>
        <v>6.9600000000000009</v>
      </c>
      <c r="Q69" s="9">
        <f t="shared" si="29"/>
        <v>1.3639195349051401</v>
      </c>
      <c r="R69" s="24">
        <f t="shared" si="30"/>
        <v>15.633667112323389</v>
      </c>
    </row>
    <row r="70" spans="1:21" x14ac:dyDescent="0.35">
      <c r="G70" s="10" t="str">
        <f>$A$17</f>
        <v>Negative</v>
      </c>
      <c r="H70" s="11" t="str">
        <f>$B$17</f>
        <v>Female</v>
      </c>
      <c r="I70" s="11" t="str">
        <f>$C$17</f>
        <v>Therapy 3</v>
      </c>
      <c r="J70" s="10">
        <f>$D$17</f>
        <v>56</v>
      </c>
      <c r="K70" s="27">
        <f t="shared" si="24"/>
        <v>0.112</v>
      </c>
      <c r="L70" s="12">
        <f t="shared" si="25"/>
        <v>4.0253516907351496</v>
      </c>
      <c r="M70" s="10">
        <f>D50*D84/$D$18</f>
        <v>54.6</v>
      </c>
      <c r="N70" s="27">
        <f t="shared" si="26"/>
        <v>0.10920000000000001</v>
      </c>
      <c r="O70" s="12">
        <f t="shared" si="27"/>
        <v>4.0000338827508592</v>
      </c>
      <c r="P70" s="10">
        <f t="shared" si="28"/>
        <v>1.3999999999999986</v>
      </c>
      <c r="Q70" s="12">
        <f t="shared" si="29"/>
        <v>0.18946618668626816</v>
      </c>
      <c r="R70" s="28">
        <f t="shared" si="30"/>
        <v>2.8355944942405245</v>
      </c>
    </row>
    <row r="71" spans="1:21" x14ac:dyDescent="0.35">
      <c r="A71" s="16" t="str">
        <f>$A$5</f>
        <v>Cure</v>
      </c>
      <c r="B71" s="3" t="str">
        <f>$B$5</f>
        <v>Gender</v>
      </c>
      <c r="C71" s="3" t="str">
        <f>$C$5</f>
        <v>Therapy</v>
      </c>
      <c r="D71" s="4" t="str">
        <f>$D$5</f>
        <v>Obs</v>
      </c>
      <c r="E71" s="4" t="str">
        <f>$E$46</f>
        <v>Prob</v>
      </c>
      <c r="R71">
        <f>SUM(R59:R70)</f>
        <v>12.040798754725822</v>
      </c>
    </row>
    <row r="72" spans="1:21" x14ac:dyDescent="0.35">
      <c r="A72" t="str">
        <f>A6</f>
        <v>Positive</v>
      </c>
      <c r="D72">
        <f>SUMIF($A$32:$A$43,A72,$D$32:$D$43)</f>
        <v>357</v>
      </c>
      <c r="E72" s="23">
        <f>D72/$D$60</f>
        <v>0.71399999999999997</v>
      </c>
    </row>
    <row r="73" spans="1:21" x14ac:dyDescent="0.35">
      <c r="A73" s="11" t="str">
        <f>A12</f>
        <v>Negative</v>
      </c>
      <c r="B73" s="11"/>
      <c r="C73" s="11"/>
      <c r="D73" s="11">
        <f>SUMIF($A$32:$A$43,A73,$D$32:$D$43)</f>
        <v>143</v>
      </c>
      <c r="E73" s="27">
        <f>D73/$D$60</f>
        <v>0.28599999999999998</v>
      </c>
      <c r="G73" s="1" t="s">
        <v>45</v>
      </c>
    </row>
    <row r="74" spans="1:21" x14ac:dyDescent="0.35">
      <c r="D74">
        <f>SUM(D72:D73)</f>
        <v>500</v>
      </c>
    </row>
    <row r="75" spans="1:21" x14ac:dyDescent="0.35">
      <c r="J75" s="13" t="s">
        <v>19</v>
      </c>
      <c r="K75" s="14"/>
      <c r="L75" s="15"/>
      <c r="M75" s="13" t="s">
        <v>20</v>
      </c>
      <c r="N75" s="14"/>
      <c r="O75" s="15"/>
      <c r="P75" s="13" t="s">
        <v>21</v>
      </c>
      <c r="Q75" s="15"/>
    </row>
    <row r="76" spans="1:21" x14ac:dyDescent="0.35">
      <c r="A76" s="16" t="str">
        <f>$A$5</f>
        <v>Cure</v>
      </c>
      <c r="B76" s="3" t="str">
        <f>$B$5</f>
        <v>Gender</v>
      </c>
      <c r="C76" s="3" t="str">
        <f>$C$5</f>
        <v>Therapy</v>
      </c>
      <c r="D76" s="4" t="str">
        <f>$D$5</f>
        <v>Obs</v>
      </c>
      <c r="E76" s="4" t="str">
        <f>$E$46</f>
        <v>Prob</v>
      </c>
      <c r="G76" s="16" t="str">
        <f>$A$5</f>
        <v>Cure</v>
      </c>
      <c r="H76" s="3" t="str">
        <f>$B$5</f>
        <v>Gender</v>
      </c>
      <c r="I76" s="3" t="str">
        <f>$C$5</f>
        <v>Therapy</v>
      </c>
      <c r="J76" s="17" t="s">
        <v>22</v>
      </c>
      <c r="K76" s="18" t="s">
        <v>23</v>
      </c>
      <c r="L76" s="19" t="s">
        <v>24</v>
      </c>
      <c r="M76" s="17" t="s">
        <v>25</v>
      </c>
      <c r="N76" s="18" t="s">
        <v>23</v>
      </c>
      <c r="O76" s="19" t="s">
        <v>26</v>
      </c>
      <c r="P76" s="18" t="s">
        <v>27</v>
      </c>
      <c r="Q76" s="19" t="s">
        <v>28</v>
      </c>
      <c r="R76" s="20" t="s">
        <v>29</v>
      </c>
      <c r="T76" s="21" t="s">
        <v>29</v>
      </c>
      <c r="U76" s="22">
        <f>R89</f>
        <v>7.8620012972988071</v>
      </c>
    </row>
    <row r="77" spans="1:21" x14ac:dyDescent="0.35">
      <c r="B77" t="str">
        <f>B6</f>
        <v>Male</v>
      </c>
      <c r="D77">
        <f>SUMIF($B$32:$B$43,B77,$D$32:$D$43)</f>
        <v>259</v>
      </c>
      <c r="E77" s="23">
        <f>D77/$D$60</f>
        <v>0.51800000000000002</v>
      </c>
      <c r="G77" s="8" t="str">
        <f>$A$6</f>
        <v>Positive</v>
      </c>
      <c r="H77" t="str">
        <f>$B$6</f>
        <v>Male</v>
      </c>
      <c r="I77" t="str">
        <f>$C$6</f>
        <v>Therapy 1</v>
      </c>
      <c r="J77" s="8">
        <f>$D$6</f>
        <v>59</v>
      </c>
      <c r="K77" s="23">
        <f>J77/$D$18</f>
        <v>0.11799999999999999</v>
      </c>
      <c r="L77" s="9">
        <f>LN(J77)</f>
        <v>4.0775374439057197</v>
      </c>
      <c r="M77" s="8">
        <f>(D47*D63)/D77</f>
        <v>58.02316602316602</v>
      </c>
      <c r="N77" s="23">
        <f t="shared" ref="N77:N88" si="34">M77/D$44</f>
        <v>0.11604633204633204</v>
      </c>
      <c r="O77" s="9">
        <f>LN(M77)</f>
        <v>4.0608423449943221</v>
      </c>
      <c r="P77" s="5">
        <f>J77-M77</f>
        <v>0.97683397683397999</v>
      </c>
      <c r="Q77" s="7">
        <f>P77/SQRT(M77)</f>
        <v>0.1282389773172217</v>
      </c>
      <c r="R77" s="24">
        <f>2*J77*(L77-O77)</f>
        <v>1.9700216715449219</v>
      </c>
      <c r="T77" t="s">
        <v>30</v>
      </c>
      <c r="U77" s="24">
        <f>(A27-1)*B27*(C27-1)</f>
        <v>4</v>
      </c>
    </row>
    <row r="78" spans="1:21" x14ac:dyDescent="0.35">
      <c r="A78" s="11"/>
      <c r="B78" s="11" t="str">
        <f>B9</f>
        <v>Female</v>
      </c>
      <c r="C78" s="11"/>
      <c r="D78" s="11">
        <f>SUMIF($B$32:$B$43,B78,$D$32:$D$43)</f>
        <v>241</v>
      </c>
      <c r="E78" s="27">
        <f>D78/$D$60</f>
        <v>0.48199999999999998</v>
      </c>
      <c r="G78" s="8" t="str">
        <f>$A$7</f>
        <v>Positive</v>
      </c>
      <c r="H78" t="str">
        <f>$B$7</f>
        <v>Male</v>
      </c>
      <c r="I78" t="str">
        <f>$C$7</f>
        <v>Therapy 2</v>
      </c>
      <c r="J78" s="8">
        <f>$D$7</f>
        <v>55</v>
      </c>
      <c r="K78" s="23">
        <f t="shared" ref="K78:K88" si="35">J78/$D$18</f>
        <v>0.11</v>
      </c>
      <c r="L78" s="9">
        <f t="shared" ref="L78:L88" si="36">LN(J78)</f>
        <v>4.0073331852324712</v>
      </c>
      <c r="M78" s="8">
        <f>(D47*D64)/D77</f>
        <v>57.16988416988417</v>
      </c>
      <c r="N78" s="23">
        <f t="shared" si="34"/>
        <v>0.11433976833976835</v>
      </c>
      <c r="O78" s="9">
        <f t="shared" ref="O78:O88" si="37">LN(M78)</f>
        <v>4.0460272592091808</v>
      </c>
      <c r="P78" s="8">
        <f t="shared" ref="P78:P88" si="38">J78-M78</f>
        <v>-2.1698841698841704</v>
      </c>
      <c r="Q78" s="9">
        <f t="shared" ref="Q78:Q88" si="39">P78/SQRT(M78)</f>
        <v>-0.28698083529996576</v>
      </c>
      <c r="R78" s="24">
        <f t="shared" ref="R78:R88" si="40">2*J78*(L78-O78)</f>
        <v>-4.2563481374380618</v>
      </c>
      <c r="T78" s="25" t="s">
        <v>31</v>
      </c>
      <c r="U78" s="24">
        <v>0.05</v>
      </c>
    </row>
    <row r="79" spans="1:21" x14ac:dyDescent="0.35">
      <c r="D79">
        <f>SUM(D77:D78)</f>
        <v>500</v>
      </c>
      <c r="G79" s="8" t="str">
        <f>$A$8</f>
        <v>Positive</v>
      </c>
      <c r="H79" t="str">
        <f>$B$8</f>
        <v>Male</v>
      </c>
      <c r="I79" t="str">
        <f>$C$8</f>
        <v>Therapy 3</v>
      </c>
      <c r="J79" s="8">
        <f>$D$8</f>
        <v>107</v>
      </c>
      <c r="K79" s="23">
        <f t="shared" si="35"/>
        <v>0.214</v>
      </c>
      <c r="L79" s="9">
        <f t="shared" si="36"/>
        <v>4.6728288344619058</v>
      </c>
      <c r="M79" s="8">
        <f>(D47*D65)/D77</f>
        <v>105.8069498069498</v>
      </c>
      <c r="N79" s="23">
        <f t="shared" si="34"/>
        <v>0.21161389961389959</v>
      </c>
      <c r="O79" s="9">
        <f t="shared" si="37"/>
        <v>4.6616162054232522</v>
      </c>
      <c r="P79" s="8">
        <f t="shared" si="38"/>
        <v>1.1930501930501975</v>
      </c>
      <c r="Q79" s="9">
        <f t="shared" si="39"/>
        <v>0.1159849442191721</v>
      </c>
      <c r="R79" s="24">
        <f t="shared" si="40"/>
        <v>2.3995026142718725</v>
      </c>
      <c r="T79" s="25" t="s">
        <v>32</v>
      </c>
      <c r="U79" s="24">
        <f>CHIDIST(U76,U77)</f>
        <v>9.6766084786978152E-2</v>
      </c>
    </row>
    <row r="80" spans="1:21" x14ac:dyDescent="0.35">
      <c r="G80" s="8" t="str">
        <f>$A$9</f>
        <v>Positive</v>
      </c>
      <c r="H80" t="str">
        <f>$B$9</f>
        <v>Female</v>
      </c>
      <c r="I80" t="str">
        <f>$C$9</f>
        <v>Therapy 1</v>
      </c>
      <c r="J80" s="8">
        <f>$D$9</f>
        <v>32</v>
      </c>
      <c r="K80" s="23">
        <f t="shared" si="35"/>
        <v>6.4000000000000001E-2</v>
      </c>
      <c r="L80" s="9">
        <f t="shared" si="36"/>
        <v>3.4657359027997265</v>
      </c>
      <c r="M80" s="8">
        <f>(D48*D66)/D78</f>
        <v>27.087136929460581</v>
      </c>
      <c r="N80" s="23">
        <f t="shared" si="34"/>
        <v>5.4174273858921158E-2</v>
      </c>
      <c r="O80" s="9">
        <f t="shared" si="37"/>
        <v>3.2990589631532878</v>
      </c>
      <c r="P80" s="8">
        <f t="shared" si="38"/>
        <v>4.9128630705394194</v>
      </c>
      <c r="Q80" s="9">
        <f t="shared" si="39"/>
        <v>0.94395894936593083</v>
      </c>
      <c r="R80" s="24">
        <f t="shared" si="40"/>
        <v>10.667324137372077</v>
      </c>
      <c r="T80" s="21" t="s">
        <v>33</v>
      </c>
      <c r="U80" s="24">
        <f>CHIINV(U78,U77)</f>
        <v>9.4877290367811575</v>
      </c>
    </row>
    <row r="81" spans="1:21" x14ac:dyDescent="0.35">
      <c r="A81" s="16" t="str">
        <f>$A$5</f>
        <v>Cure</v>
      </c>
      <c r="B81" s="3" t="str">
        <f>$B$5</f>
        <v>Gender</v>
      </c>
      <c r="C81" s="3" t="str">
        <f>$C$5</f>
        <v>Therapy</v>
      </c>
      <c r="D81" s="4" t="str">
        <f>$D$5</f>
        <v>Obs</v>
      </c>
      <c r="E81" s="4" t="str">
        <f>$E$46</f>
        <v>Prob</v>
      </c>
      <c r="G81" s="8" t="str">
        <f>$A$10</f>
        <v>Positive</v>
      </c>
      <c r="H81" t="str">
        <f>$B$10</f>
        <v>Female</v>
      </c>
      <c r="I81" t="str">
        <f>$C$10</f>
        <v>Therapy 2</v>
      </c>
      <c r="J81" s="8">
        <f>$D$10</f>
        <v>24</v>
      </c>
      <c r="K81" s="23">
        <f t="shared" si="35"/>
        <v>4.8000000000000001E-2</v>
      </c>
      <c r="L81" s="9">
        <f t="shared" si="36"/>
        <v>3.1780538303479458</v>
      </c>
      <c r="M81" s="8">
        <f>(D48*D67)/D78</f>
        <v>32.165975103734439</v>
      </c>
      <c r="N81" s="23">
        <f t="shared" si="34"/>
        <v>6.4331950207468874E-2</v>
      </c>
      <c r="O81" s="9">
        <f t="shared" si="37"/>
        <v>3.470909220079947</v>
      </c>
      <c r="P81" s="8">
        <f t="shared" si="38"/>
        <v>-8.1659751037344392</v>
      </c>
      <c r="Q81" s="9">
        <f t="shared" si="39"/>
        <v>-1.4398249361531752</v>
      </c>
      <c r="R81" s="24">
        <f t="shared" si="40"/>
        <v>-14.057058707136058</v>
      </c>
      <c r="T81" s="25" t="s">
        <v>34</v>
      </c>
      <c r="U81" s="26" t="str">
        <f>IF(U79&lt;U78,"yes","no")</f>
        <v>no</v>
      </c>
    </row>
    <row r="82" spans="1:21" x14ac:dyDescent="0.35">
      <c r="C82" t="str">
        <f>C6</f>
        <v>Therapy 1</v>
      </c>
      <c r="D82">
        <f>SUMIF($C$32:$C$43,C82,$D$32:$D$43)</f>
        <v>116</v>
      </c>
      <c r="E82" s="23">
        <f>D82/$D$60</f>
        <v>0.23200000000000001</v>
      </c>
      <c r="G82" s="8" t="str">
        <f>$A$11</f>
        <v>Positive</v>
      </c>
      <c r="H82" t="str">
        <f>$B$11</f>
        <v>Female</v>
      </c>
      <c r="I82" t="str">
        <f>$C$11</f>
        <v>Therapy 3</v>
      </c>
      <c r="J82" s="8">
        <f>$D$11</f>
        <v>80</v>
      </c>
      <c r="K82" s="23">
        <f t="shared" si="35"/>
        <v>0.16</v>
      </c>
      <c r="L82" s="9">
        <f t="shared" si="36"/>
        <v>4.3820266346738812</v>
      </c>
      <c r="M82" s="8">
        <f>(D48*D68)/D78</f>
        <v>76.746887966804977</v>
      </c>
      <c r="N82" s="23">
        <f t="shared" si="34"/>
        <v>0.15349377593360997</v>
      </c>
      <c r="O82" s="9">
        <f t="shared" si="37"/>
        <v>4.340512837981449</v>
      </c>
      <c r="P82" s="8">
        <f t="shared" si="38"/>
        <v>3.2531120331950234</v>
      </c>
      <c r="Q82" s="9">
        <f t="shared" si="39"/>
        <v>0.37133734933694984</v>
      </c>
      <c r="R82" s="24">
        <f t="shared" si="40"/>
        <v>6.6422074707891454</v>
      </c>
    </row>
    <row r="83" spans="1:21" x14ac:dyDescent="0.35">
      <c r="C83" t="str">
        <f>C7</f>
        <v>Therapy 2</v>
      </c>
      <c r="D83">
        <f>SUMIF($C$32:$C$43,C83,$D$32:$D$43)</f>
        <v>124</v>
      </c>
      <c r="E83" s="23">
        <f>D83/$D$60</f>
        <v>0.248</v>
      </c>
      <c r="G83" s="8" t="str">
        <f>$A$12</f>
        <v>Negative</v>
      </c>
      <c r="H83" t="str">
        <f>$B$12</f>
        <v>Male</v>
      </c>
      <c r="I83" t="str">
        <f>$C$12</f>
        <v>Therapy 1</v>
      </c>
      <c r="J83" s="8">
        <f>$D$12</f>
        <v>9</v>
      </c>
      <c r="K83" s="23">
        <f t="shared" si="35"/>
        <v>1.7999999999999999E-2</v>
      </c>
      <c r="L83" s="9">
        <f t="shared" si="36"/>
        <v>2.1972245773362196</v>
      </c>
      <c r="M83" s="8">
        <f>(D49*D63)/D77</f>
        <v>9.9768339768339764</v>
      </c>
      <c r="N83" s="23">
        <f t="shared" si="34"/>
        <v>1.9953667953667951E-2</v>
      </c>
      <c r="O83" s="9">
        <f t="shared" si="37"/>
        <v>2.3002658032029548</v>
      </c>
      <c r="P83" s="8">
        <f t="shared" si="38"/>
        <v>-0.97683397683397644</v>
      </c>
      <c r="Q83" s="9">
        <f t="shared" si="39"/>
        <v>-0.30926045070390179</v>
      </c>
      <c r="R83" s="24">
        <f t="shared" si="40"/>
        <v>-1.8547420656012346</v>
      </c>
    </row>
    <row r="84" spans="1:21" x14ac:dyDescent="0.35">
      <c r="A84" s="11"/>
      <c r="B84" s="11"/>
      <c r="C84" s="11" t="str">
        <f>C8</f>
        <v>Therapy 3</v>
      </c>
      <c r="D84" s="11">
        <f>SUMIF($C$32:$C$43,C84,$D$32:$D$43)</f>
        <v>260</v>
      </c>
      <c r="E84" s="27">
        <f>D84/$D$60</f>
        <v>0.52</v>
      </c>
      <c r="G84" s="8" t="str">
        <f>$A$13</f>
        <v>Negative</v>
      </c>
      <c r="H84" t="str">
        <f>$B$13</f>
        <v>Male</v>
      </c>
      <c r="I84" t="str">
        <f>$C$13</f>
        <v>Therapy 2</v>
      </c>
      <c r="J84" s="8">
        <f>$D$13</f>
        <v>12</v>
      </c>
      <c r="K84" s="23">
        <f t="shared" si="35"/>
        <v>2.4E-2</v>
      </c>
      <c r="L84" s="9">
        <f t="shared" si="36"/>
        <v>2.4849066497880004</v>
      </c>
      <c r="M84" s="8">
        <f>(D49*D64)/D77</f>
        <v>9.8301158301158296</v>
      </c>
      <c r="N84" s="23">
        <f t="shared" si="34"/>
        <v>1.9660231660231658E-2</v>
      </c>
      <c r="O84" s="9">
        <f t="shared" si="37"/>
        <v>2.285450717417814</v>
      </c>
      <c r="P84" s="8">
        <f t="shared" si="38"/>
        <v>2.1698841698841704</v>
      </c>
      <c r="Q84" s="9">
        <f t="shared" si="39"/>
        <v>0.69208148976973427</v>
      </c>
      <c r="R84" s="24">
        <f t="shared" si="40"/>
        <v>4.7869423768844719</v>
      </c>
    </row>
    <row r="85" spans="1:21" x14ac:dyDescent="0.35">
      <c r="D85">
        <f>SUM(D82:D84)</f>
        <v>500</v>
      </c>
      <c r="G85" s="8" t="str">
        <f>$A$14</f>
        <v>Negative</v>
      </c>
      <c r="H85" t="str">
        <f>$B$14</f>
        <v>Male</v>
      </c>
      <c r="I85" t="str">
        <f>$C$14</f>
        <v>Therapy 3</v>
      </c>
      <c r="J85" s="8">
        <f>$D$14</f>
        <v>17</v>
      </c>
      <c r="K85" s="23">
        <f t="shared" si="35"/>
        <v>3.4000000000000002E-2</v>
      </c>
      <c r="L85" s="9">
        <f t="shared" si="36"/>
        <v>2.8332133440562162</v>
      </c>
      <c r="M85" s="8">
        <f>(D49*D65)/D77</f>
        <v>18.193050193050194</v>
      </c>
      <c r="N85" s="23">
        <f t="shared" si="34"/>
        <v>3.6386100386100385E-2</v>
      </c>
      <c r="O85" s="9">
        <f t="shared" si="37"/>
        <v>2.9010396636318849</v>
      </c>
      <c r="P85" s="8">
        <f t="shared" si="38"/>
        <v>-1.193050193050194</v>
      </c>
      <c r="Q85" s="9">
        <f t="shared" si="39"/>
        <v>-0.27970868822010669</v>
      </c>
      <c r="R85" s="24">
        <f t="shared" si="40"/>
        <v>-2.3060948655727378</v>
      </c>
    </row>
    <row r="86" spans="1:21" x14ac:dyDescent="0.35">
      <c r="G86" s="8" t="str">
        <f>$A$15</f>
        <v>Negative</v>
      </c>
      <c r="H86" t="str">
        <f>$B$15</f>
        <v>Female</v>
      </c>
      <c r="I86" t="str">
        <f>$C$15</f>
        <v>Therapy 1</v>
      </c>
      <c r="J86" s="8">
        <f>$D$15</f>
        <v>16</v>
      </c>
      <c r="K86" s="23">
        <f t="shared" si="35"/>
        <v>3.2000000000000001E-2</v>
      </c>
      <c r="L86" s="9">
        <f t="shared" si="36"/>
        <v>2.7725887222397811</v>
      </c>
      <c r="M86" s="8">
        <f>(D50*D66)/D78</f>
        <v>20.912863070539419</v>
      </c>
      <c r="N86" s="23">
        <f t="shared" si="34"/>
        <v>4.1825726141078837E-2</v>
      </c>
      <c r="O86" s="9">
        <f t="shared" si="37"/>
        <v>3.0403644275747594</v>
      </c>
      <c r="P86" s="8">
        <f t="shared" si="38"/>
        <v>-4.9128630705394194</v>
      </c>
      <c r="Q86" s="9">
        <f t="shared" si="39"/>
        <v>-1.0743057813347467</v>
      </c>
      <c r="R86" s="24">
        <f t="shared" si="40"/>
        <v>-8.5688225707193055</v>
      </c>
    </row>
    <row r="87" spans="1:21" x14ac:dyDescent="0.35">
      <c r="A87" s="1" t="s">
        <v>46</v>
      </c>
      <c r="G87" s="8" t="str">
        <f>$A$16</f>
        <v>Negative</v>
      </c>
      <c r="H87" t="str">
        <f>$B$16</f>
        <v>Female</v>
      </c>
      <c r="I87" t="str">
        <f>$C$16</f>
        <v>Therapy 2</v>
      </c>
      <c r="J87" s="8">
        <f>$D$16</f>
        <v>33</v>
      </c>
      <c r="K87" s="23">
        <f t="shared" si="35"/>
        <v>6.6000000000000003E-2</v>
      </c>
      <c r="L87" s="9">
        <f t="shared" si="36"/>
        <v>3.4965075614664802</v>
      </c>
      <c r="M87" s="8">
        <f>(D50*D67)/D78</f>
        <v>24.834024896265561</v>
      </c>
      <c r="N87" s="23">
        <f t="shared" si="34"/>
        <v>4.9668049792531123E-2</v>
      </c>
      <c r="O87" s="9">
        <f t="shared" si="37"/>
        <v>3.2122146845014186</v>
      </c>
      <c r="P87" s="8">
        <f t="shared" si="38"/>
        <v>8.1659751037344392</v>
      </c>
      <c r="Q87" s="9">
        <f t="shared" si="39"/>
        <v>1.6386435597207929</v>
      </c>
      <c r="R87" s="24">
        <f t="shared" si="40"/>
        <v>18.763329879694069</v>
      </c>
    </row>
    <row r="88" spans="1:21" x14ac:dyDescent="0.35">
      <c r="B88" s="30" t="s">
        <v>29</v>
      </c>
      <c r="C88" s="31" t="s">
        <v>30</v>
      </c>
      <c r="D88" s="31" t="s">
        <v>32</v>
      </c>
      <c r="E88" s="31" t="s">
        <v>34</v>
      </c>
      <c r="G88" s="10" t="str">
        <f>$A$17</f>
        <v>Negative</v>
      </c>
      <c r="H88" s="11" t="str">
        <f>$B$17</f>
        <v>Female</v>
      </c>
      <c r="I88" s="11" t="str">
        <f>$C$17</f>
        <v>Therapy 3</v>
      </c>
      <c r="J88" s="10">
        <f>$D$17</f>
        <v>56</v>
      </c>
      <c r="K88" s="27">
        <f t="shared" si="35"/>
        <v>0.112</v>
      </c>
      <c r="L88" s="12">
        <f t="shared" si="36"/>
        <v>4.0253516907351496</v>
      </c>
      <c r="M88" s="10">
        <f>(D50*D68)/D78</f>
        <v>59.253112033195023</v>
      </c>
      <c r="N88" s="27">
        <f t="shared" si="34"/>
        <v>0.11850622406639005</v>
      </c>
      <c r="O88" s="12">
        <f t="shared" si="37"/>
        <v>4.0818183024029207</v>
      </c>
      <c r="P88" s="10">
        <f t="shared" si="38"/>
        <v>-3.2531120331950234</v>
      </c>
      <c r="Q88" s="12">
        <f t="shared" si="39"/>
        <v>-0.42261356967500746</v>
      </c>
      <c r="R88" s="28">
        <f t="shared" si="40"/>
        <v>-6.3242605067903526</v>
      </c>
    </row>
    <row r="89" spans="1:21" x14ac:dyDescent="0.35">
      <c r="A89" t="s">
        <v>47</v>
      </c>
      <c r="B89" s="5">
        <f>U310</f>
        <v>233.56671709648069</v>
      </c>
      <c r="C89" s="32">
        <f>U311</f>
        <v>11</v>
      </c>
      <c r="D89" s="6">
        <f>U313</f>
        <v>7.6366473422312161E-44</v>
      </c>
      <c r="E89" s="33" t="str">
        <f>U315</f>
        <v>yes</v>
      </c>
      <c r="R89">
        <f>SUM(R77:R88)</f>
        <v>7.8620012972988071</v>
      </c>
    </row>
    <row r="90" spans="1:21" x14ac:dyDescent="0.35">
      <c r="A90" t="s">
        <v>48</v>
      </c>
      <c r="B90" s="8">
        <f>U148</f>
        <v>138.95072251373131</v>
      </c>
      <c r="C90" s="31">
        <f>U149</f>
        <v>10</v>
      </c>
      <c r="D90">
        <f>U151</f>
        <v>6.9136338267619402E-25</v>
      </c>
      <c r="E90" s="34" t="str">
        <f>U153</f>
        <v>yes</v>
      </c>
    </row>
    <row r="91" spans="1:21" x14ac:dyDescent="0.35">
      <c r="A91" t="s">
        <v>49</v>
      </c>
      <c r="B91" s="8">
        <f>U166</f>
        <v>232.91857705587103</v>
      </c>
      <c r="C91" s="31">
        <f>U167</f>
        <v>10</v>
      </c>
      <c r="D91">
        <f>U169</f>
        <v>2.0984703602669198E-44</v>
      </c>
      <c r="E91" s="34" t="str">
        <f>U171</f>
        <v>yes</v>
      </c>
      <c r="G91" s="1" t="s">
        <v>50</v>
      </c>
    </row>
    <row r="92" spans="1:21" x14ac:dyDescent="0.35">
      <c r="A92" t="s">
        <v>51</v>
      </c>
      <c r="B92" s="8">
        <f>U184</f>
        <v>159.74532611576285</v>
      </c>
      <c r="C92" s="31">
        <f>U185</f>
        <v>9</v>
      </c>
      <c r="D92">
        <f>U187</f>
        <v>8.3887848704672969E-30</v>
      </c>
      <c r="E92" s="34" t="str">
        <f>U189</f>
        <v>yes</v>
      </c>
    </row>
    <row r="93" spans="1:21" x14ac:dyDescent="0.35">
      <c r="A93" t="s">
        <v>52</v>
      </c>
      <c r="B93" s="8">
        <f>U256</f>
        <v>138.30258247312145</v>
      </c>
      <c r="C93" s="31">
        <f>U257</f>
        <v>9</v>
      </c>
      <c r="D93">
        <f>U259</f>
        <v>2.3112549398295275E-25</v>
      </c>
      <c r="E93" s="34" t="str">
        <f>U261</f>
        <v>yes</v>
      </c>
      <c r="J93" s="13" t="s">
        <v>19</v>
      </c>
      <c r="K93" s="14"/>
      <c r="L93" s="15"/>
      <c r="M93" s="13" t="s">
        <v>20</v>
      </c>
      <c r="N93" s="14"/>
      <c r="O93" s="15"/>
      <c r="P93" s="13" t="s">
        <v>21</v>
      </c>
      <c r="Q93" s="15"/>
    </row>
    <row r="94" spans="1:21" x14ac:dyDescent="0.35">
      <c r="A94" t="s">
        <v>53</v>
      </c>
      <c r="B94" s="8">
        <f>U274</f>
        <v>159.09718607515288</v>
      </c>
      <c r="C94" s="31">
        <f>U275</f>
        <v>8</v>
      </c>
      <c r="D94">
        <f>U277</f>
        <v>2.4700745086544901E-30</v>
      </c>
      <c r="E94" s="34" t="str">
        <f>U279</f>
        <v>yes</v>
      </c>
      <c r="G94" s="16" t="str">
        <f>$A$5</f>
        <v>Cure</v>
      </c>
      <c r="H94" s="3" t="str">
        <f>$B$5</f>
        <v>Gender</v>
      </c>
      <c r="I94" s="3" t="str">
        <f>$C$5</f>
        <v>Therapy</v>
      </c>
      <c r="J94" s="17" t="s">
        <v>22</v>
      </c>
      <c r="K94" s="18" t="s">
        <v>23</v>
      </c>
      <c r="L94" s="19" t="s">
        <v>24</v>
      </c>
      <c r="M94" s="17" t="s">
        <v>25</v>
      </c>
      <c r="N94" s="18" t="s">
        <v>23</v>
      </c>
      <c r="O94" s="19" t="s">
        <v>26</v>
      </c>
      <c r="P94" s="18" t="s">
        <v>27</v>
      </c>
      <c r="Q94" s="19" t="s">
        <v>28</v>
      </c>
      <c r="R94" s="20" t="s">
        <v>29</v>
      </c>
      <c r="T94" s="21" t="s">
        <v>29</v>
      </c>
      <c r="U94" s="22">
        <f>R107</f>
        <v>5.5925062024545165</v>
      </c>
    </row>
    <row r="95" spans="1:21" x14ac:dyDescent="0.35">
      <c r="A95" t="s">
        <v>54</v>
      </c>
      <c r="B95" s="8">
        <f>U292</f>
        <v>65.129331533013399</v>
      </c>
      <c r="C95" s="31">
        <f>U293</f>
        <v>8</v>
      </c>
      <c r="D95">
        <f>U295</f>
        <v>4.5500790504720033E-11</v>
      </c>
      <c r="E95" s="34" t="str">
        <f>U297</f>
        <v>yes</v>
      </c>
      <c r="G95" s="8" t="str">
        <f>$A$6</f>
        <v>Positive</v>
      </c>
      <c r="H95" t="str">
        <f>$B$6</f>
        <v>Male</v>
      </c>
      <c r="I95" t="str">
        <f>$C$6</f>
        <v>Therapy 1</v>
      </c>
      <c r="J95" s="8">
        <f>$D$6</f>
        <v>59</v>
      </c>
      <c r="K95" s="23">
        <f>J95/$D$18</f>
        <v>0.11799999999999999</v>
      </c>
      <c r="L95" s="9">
        <f>LN(J95)</f>
        <v>4.0775374439057197</v>
      </c>
      <c r="M95" s="8">
        <f>(D47*D54)/D72</f>
        <v>56.333333333333336</v>
      </c>
      <c r="N95" s="23">
        <f t="shared" ref="N95:N106" si="41">M95/D$44</f>
        <v>0.11266666666666666</v>
      </c>
      <c r="O95" s="9">
        <f>LN(M95)</f>
        <v>4.0312864262549635</v>
      </c>
      <c r="P95" s="5">
        <f>J95-M95</f>
        <v>2.6666666666666643</v>
      </c>
      <c r="Q95" s="7">
        <f>P95/SQRT(M95)</f>
        <v>0.35529247334746167</v>
      </c>
      <c r="R95" s="24">
        <f>2*J95*(L95-O95)</f>
        <v>5.4576200827892354</v>
      </c>
      <c r="T95" t="s">
        <v>30</v>
      </c>
      <c r="U95" s="24">
        <f>(B27-1)*A27*(C27-1)</f>
        <v>4</v>
      </c>
    </row>
    <row r="96" spans="1:21" x14ac:dyDescent="0.35">
      <c r="A96" t="s">
        <v>55</v>
      </c>
      <c r="B96" s="8">
        <f>U130</f>
        <v>64.481191492403582</v>
      </c>
      <c r="C96" s="31">
        <f>U131</f>
        <v>7</v>
      </c>
      <c r="D96">
        <f>U133</f>
        <v>1.9117300324482149E-11</v>
      </c>
      <c r="E96" s="34" t="str">
        <f>U135</f>
        <v>yes</v>
      </c>
      <c r="G96" s="8" t="str">
        <f>$A$7</f>
        <v>Positive</v>
      </c>
      <c r="H96" t="str">
        <f>$B$7</f>
        <v>Male</v>
      </c>
      <c r="I96" t="str">
        <f>$C$7</f>
        <v>Therapy 2</v>
      </c>
      <c r="J96" s="8">
        <f>$D$7</f>
        <v>55</v>
      </c>
      <c r="K96" s="23">
        <f t="shared" ref="K96:K106" si="42">J96/$D$18</f>
        <v>0.11</v>
      </c>
      <c r="L96" s="9">
        <f t="shared" ref="L96:L106" si="43">LN(J96)</f>
        <v>4.0073331852324712</v>
      </c>
      <c r="M96" s="8">
        <f>D47*D55/D72</f>
        <v>48.904761904761905</v>
      </c>
      <c r="N96" s="23">
        <f t="shared" si="41"/>
        <v>9.7809523809523805E-2</v>
      </c>
      <c r="O96" s="9">
        <f t="shared" ref="O96:O106" si="44">LN(M96)</f>
        <v>3.8898747722051352</v>
      </c>
      <c r="P96" s="8">
        <f t="shared" ref="P96:P106" si="45">J96-M96</f>
        <v>6.0952380952380949</v>
      </c>
      <c r="Q96" s="9">
        <f t="shared" ref="Q96:Q106" si="46">P96/SQRT(M96)</f>
        <v>0.87159574312061372</v>
      </c>
      <c r="R96" s="24">
        <f t="shared" ref="R96:R106" si="47">2*J96*(L96-O96)</f>
        <v>12.920425433006955</v>
      </c>
      <c r="T96" s="25" t="s">
        <v>31</v>
      </c>
      <c r="U96" s="24">
        <v>0.05</v>
      </c>
    </row>
    <row r="97" spans="1:21" x14ac:dyDescent="0.35">
      <c r="A97" t="s">
        <v>56</v>
      </c>
      <c r="B97" s="8">
        <f>U202</f>
        <v>85.862189735443735</v>
      </c>
      <c r="C97" s="31">
        <f>U203</f>
        <v>8</v>
      </c>
      <c r="D97">
        <f>U205</f>
        <v>3.2070964562435109E-15</v>
      </c>
      <c r="E97" s="34" t="str">
        <f>U207</f>
        <v>yes</v>
      </c>
      <c r="G97" s="8" t="str">
        <f>$A$8</f>
        <v>Positive</v>
      </c>
      <c r="H97" t="str">
        <f>$B$8</f>
        <v>Male</v>
      </c>
      <c r="I97" t="str">
        <f>$C$8</f>
        <v>Therapy 3</v>
      </c>
      <c r="J97" s="8">
        <f>$D$8</f>
        <v>107</v>
      </c>
      <c r="K97" s="23">
        <f t="shared" si="42"/>
        <v>0.214</v>
      </c>
      <c r="L97" s="9">
        <f t="shared" si="43"/>
        <v>4.6728288344619058</v>
      </c>
      <c r="M97" s="8">
        <f>(D47*D56)/D72</f>
        <v>115.76190476190476</v>
      </c>
      <c r="N97" s="23">
        <f t="shared" si="41"/>
        <v>0.23152380952380952</v>
      </c>
      <c r="O97" s="9">
        <f t="shared" si="44"/>
        <v>4.7515355365927006</v>
      </c>
      <c r="P97" s="8">
        <f t="shared" si="45"/>
        <v>-8.7619047619047592</v>
      </c>
      <c r="Q97" s="9">
        <f t="shared" si="46"/>
        <v>-0.81435861713228275</v>
      </c>
      <c r="R97" s="24">
        <f t="shared" si="47"/>
        <v>-16.843234255990083</v>
      </c>
      <c r="T97" s="25" t="s">
        <v>32</v>
      </c>
      <c r="U97" s="24">
        <f>CHIDIST(U94,U95)</f>
        <v>0.23171698437442412</v>
      </c>
    </row>
    <row r="98" spans="1:21" x14ac:dyDescent="0.35">
      <c r="A98" t="s">
        <v>57</v>
      </c>
      <c r="B98" s="8">
        <f>U220</f>
        <v>154.9183886177259</v>
      </c>
      <c r="C98" s="31">
        <f>U221</f>
        <v>6</v>
      </c>
      <c r="D98">
        <f>U223</f>
        <v>7.0506243364130613E-31</v>
      </c>
      <c r="E98" s="34" t="str">
        <f>U225</f>
        <v>yes</v>
      </c>
      <c r="G98" s="8" t="str">
        <f>$A$9</f>
        <v>Positive</v>
      </c>
      <c r="H98" t="str">
        <f>$B$9</f>
        <v>Female</v>
      </c>
      <c r="I98" t="str">
        <f>$C$9</f>
        <v>Therapy 1</v>
      </c>
      <c r="J98" s="8">
        <f>$D$9</f>
        <v>32</v>
      </c>
      <c r="K98" s="23">
        <f t="shared" si="42"/>
        <v>6.4000000000000001E-2</v>
      </c>
      <c r="L98" s="9">
        <f t="shared" si="43"/>
        <v>3.4657359027997265</v>
      </c>
      <c r="M98" s="8">
        <f>(D48*D54)/D72</f>
        <v>34.666666666666664</v>
      </c>
      <c r="N98" s="23">
        <f t="shared" si="41"/>
        <v>6.933333333333333E-2</v>
      </c>
      <c r="O98" s="9">
        <f t="shared" si="44"/>
        <v>3.5457786104732629</v>
      </c>
      <c r="P98" s="8">
        <f t="shared" si="45"/>
        <v>-2.6666666666666643</v>
      </c>
      <c r="Q98" s="9">
        <f t="shared" si="46"/>
        <v>-0.45291081365783792</v>
      </c>
      <c r="R98" s="24">
        <f t="shared" si="47"/>
        <v>-5.1227332911063286</v>
      </c>
      <c r="T98" s="21" t="s">
        <v>33</v>
      </c>
      <c r="U98" s="24">
        <f>CHIINV(U96,U95)</f>
        <v>9.4877290367811575</v>
      </c>
    </row>
    <row r="99" spans="1:21" x14ac:dyDescent="0.35">
      <c r="A99" t="s">
        <v>58</v>
      </c>
      <c r="B99" s="8">
        <f>U238</f>
        <v>58.681038980742066</v>
      </c>
      <c r="C99" s="31">
        <f>U239</f>
        <v>6</v>
      </c>
      <c r="D99">
        <f>U241</f>
        <v>8.3379990458365484E-11</v>
      </c>
      <c r="E99" s="34" t="str">
        <f>U243</f>
        <v>yes</v>
      </c>
      <c r="G99" s="8" t="str">
        <f>$A$10</f>
        <v>Positive</v>
      </c>
      <c r="H99" t="str">
        <f>$B$10</f>
        <v>Female</v>
      </c>
      <c r="I99" t="str">
        <f>$C$10</f>
        <v>Therapy 2</v>
      </c>
      <c r="J99" s="8">
        <f>$D$10</f>
        <v>24</v>
      </c>
      <c r="K99" s="23">
        <f t="shared" si="42"/>
        <v>4.8000000000000001E-2</v>
      </c>
      <c r="L99" s="9">
        <f t="shared" si="43"/>
        <v>3.1780538303479458</v>
      </c>
      <c r="M99" s="8">
        <f>(D48*D55)/D72</f>
        <v>30.095238095238095</v>
      </c>
      <c r="N99" s="23">
        <f t="shared" si="41"/>
        <v>6.019047619047619E-2</v>
      </c>
      <c r="O99" s="9">
        <f t="shared" si="44"/>
        <v>3.4043669564234342</v>
      </c>
      <c r="P99" s="8">
        <f t="shared" si="45"/>
        <v>-6.0952380952380949</v>
      </c>
      <c r="Q99" s="9">
        <f t="shared" si="46"/>
        <v>-1.1110709255341034</v>
      </c>
      <c r="R99" s="24">
        <f t="shared" si="47"/>
        <v>-10.863030051623447</v>
      </c>
      <c r="T99" s="25" t="s">
        <v>34</v>
      </c>
      <c r="U99" s="26" t="str">
        <f>IF(U97&lt;U96,"yes","no")</f>
        <v>no</v>
      </c>
    </row>
    <row r="100" spans="1:21" x14ac:dyDescent="0.35">
      <c r="A100" t="s">
        <v>59</v>
      </c>
      <c r="B100" s="8">
        <f>U41</f>
        <v>60.302394034976658</v>
      </c>
      <c r="C100" s="31">
        <f>U42</f>
        <v>5</v>
      </c>
      <c r="D100">
        <f>U44</f>
        <v>1.0525518854310249E-11</v>
      </c>
      <c r="E100" s="34" t="str">
        <f>U46</f>
        <v>yes</v>
      </c>
      <c r="G100" s="8" t="str">
        <f>$A$11</f>
        <v>Positive</v>
      </c>
      <c r="H100" t="str">
        <f>$B$11</f>
        <v>Female</v>
      </c>
      <c r="I100" t="str">
        <f>$C$11</f>
        <v>Therapy 3</v>
      </c>
      <c r="J100" s="8">
        <f>$D$11</f>
        <v>80</v>
      </c>
      <c r="K100" s="23">
        <f t="shared" si="42"/>
        <v>0.16</v>
      </c>
      <c r="L100" s="9">
        <f t="shared" si="43"/>
        <v>4.3820266346738812</v>
      </c>
      <c r="M100" s="8">
        <f>(D48*D56)/D72</f>
        <v>71.238095238095241</v>
      </c>
      <c r="N100" s="23">
        <f t="shared" si="41"/>
        <v>0.14247619047619048</v>
      </c>
      <c r="O100" s="9">
        <f t="shared" si="44"/>
        <v>4.2660277208109996</v>
      </c>
      <c r="P100" s="8">
        <f t="shared" si="45"/>
        <v>8.7619047619047592</v>
      </c>
      <c r="Q100" s="9">
        <f t="shared" si="46"/>
        <v>1.0381076199549863</v>
      </c>
      <c r="R100" s="24">
        <f t="shared" si="47"/>
        <v>18.559826218061062</v>
      </c>
    </row>
    <row r="101" spans="1:21" x14ac:dyDescent="0.35">
      <c r="A101" t="s">
        <v>60</v>
      </c>
      <c r="B101" s="8">
        <f>U24</f>
        <v>58.032898940132199</v>
      </c>
      <c r="C101" s="31">
        <f>U25</f>
        <v>5</v>
      </c>
      <c r="D101">
        <f>U27</f>
        <v>3.0966898390729441E-11</v>
      </c>
      <c r="E101" s="34" t="str">
        <f>U29</f>
        <v>yes</v>
      </c>
      <c r="G101" s="8" t="str">
        <f>$A$12</f>
        <v>Negative</v>
      </c>
      <c r="H101" t="str">
        <f>$B$12</f>
        <v>Male</v>
      </c>
      <c r="I101" t="str">
        <f>$C$12</f>
        <v>Therapy 1</v>
      </c>
      <c r="J101" s="8">
        <f>$D$12</f>
        <v>9</v>
      </c>
      <c r="K101" s="23">
        <f t="shared" si="42"/>
        <v>1.7999999999999999E-2</v>
      </c>
      <c r="L101" s="9">
        <f t="shared" si="43"/>
        <v>2.1972245773362196</v>
      </c>
      <c r="M101" s="8">
        <f>(D49*D57)/D73</f>
        <v>6.6433566433566433</v>
      </c>
      <c r="N101" s="23">
        <f t="shared" si="41"/>
        <v>1.3286713286713287E-2</v>
      </c>
      <c r="O101" s="9">
        <f t="shared" si="44"/>
        <v>1.8936173543346793</v>
      </c>
      <c r="P101" s="8">
        <f t="shared" si="45"/>
        <v>2.3566433566433567</v>
      </c>
      <c r="Q101" s="9">
        <f t="shared" si="46"/>
        <v>0.91432391541729441</v>
      </c>
      <c r="R101" s="24">
        <f t="shared" si="47"/>
        <v>5.4649300140277255</v>
      </c>
    </row>
    <row r="102" spans="1:21" x14ac:dyDescent="0.35">
      <c r="A102" t="s">
        <v>61</v>
      </c>
      <c r="B102" s="8">
        <f>U58</f>
        <v>12.040798754725822</v>
      </c>
      <c r="C102" s="31">
        <f>U59</f>
        <v>6</v>
      </c>
      <c r="D102">
        <f>U61</f>
        <v>6.1064798869981202E-2</v>
      </c>
      <c r="E102" s="34" t="str">
        <f>U63</f>
        <v>no</v>
      </c>
      <c r="G102" s="8" t="str">
        <f>$A$13</f>
        <v>Negative</v>
      </c>
      <c r="H102" t="str">
        <f>$B$13</f>
        <v>Male</v>
      </c>
      <c r="I102" t="str">
        <f>$C$13</f>
        <v>Therapy 2</v>
      </c>
      <c r="J102" s="8">
        <f>$D$13</f>
        <v>12</v>
      </c>
      <c r="K102" s="23">
        <f t="shared" si="42"/>
        <v>2.4E-2</v>
      </c>
      <c r="L102" s="9">
        <f t="shared" si="43"/>
        <v>2.4849066497880004</v>
      </c>
      <c r="M102" s="8">
        <f>(D49*D58)/D73</f>
        <v>11.958041958041958</v>
      </c>
      <c r="N102" s="23">
        <f t="shared" si="41"/>
        <v>2.3916083916083918E-2</v>
      </c>
      <c r="O102" s="9">
        <f t="shared" si="44"/>
        <v>2.4814040192367983</v>
      </c>
      <c r="P102" s="8">
        <f t="shared" si="45"/>
        <v>4.1958041958041647E-2</v>
      </c>
      <c r="Q102" s="9">
        <f t="shared" si="46"/>
        <v>1.2133474352087972E-2</v>
      </c>
      <c r="R102" s="24">
        <f t="shared" si="47"/>
        <v>8.4063133228848841E-2</v>
      </c>
    </row>
    <row r="103" spans="1:21" x14ac:dyDescent="0.35">
      <c r="A103" t="s">
        <v>62</v>
      </c>
      <c r="B103" s="8">
        <f>U94</f>
        <v>5.5925062024545165</v>
      </c>
      <c r="C103" s="31">
        <f>U95</f>
        <v>4</v>
      </c>
      <c r="D103">
        <f>U97</f>
        <v>0.23171698437442412</v>
      </c>
      <c r="E103" s="34" t="str">
        <f>U99</f>
        <v>no</v>
      </c>
      <c r="G103" s="8" t="str">
        <f>$A$14</f>
        <v>Negative</v>
      </c>
      <c r="H103" t="str">
        <f>$B$14</f>
        <v>Male</v>
      </c>
      <c r="I103" t="str">
        <f>$C$14</f>
        <v>Therapy 3</v>
      </c>
      <c r="J103" s="8">
        <f>$D$14</f>
        <v>17</v>
      </c>
      <c r="K103" s="23">
        <f t="shared" si="42"/>
        <v>3.4000000000000002E-2</v>
      </c>
      <c r="L103" s="9">
        <f t="shared" si="43"/>
        <v>2.8332133440562162</v>
      </c>
      <c r="M103" s="8">
        <f>(D49*D59)/D73</f>
        <v>19.3986013986014</v>
      </c>
      <c r="N103" s="23">
        <f t="shared" si="41"/>
        <v>3.87972027972028E-2</v>
      </c>
      <c r="O103" s="9">
        <f t="shared" si="44"/>
        <v>2.9652009706148696</v>
      </c>
      <c r="P103" s="8">
        <f t="shared" si="45"/>
        <v>-2.3986013986014001</v>
      </c>
      <c r="Q103" s="9">
        <f t="shared" si="46"/>
        <v>-0.54459402595651674</v>
      </c>
      <c r="R103" s="24">
        <f t="shared" si="47"/>
        <v>-4.4875793029942184</v>
      </c>
    </row>
    <row r="104" spans="1:21" x14ac:dyDescent="0.35">
      <c r="A104" t="s">
        <v>63</v>
      </c>
      <c r="B104" s="8">
        <f>U76</f>
        <v>7.8620012972988071</v>
      </c>
      <c r="C104" s="31">
        <f>U77</f>
        <v>4</v>
      </c>
      <c r="D104">
        <f>U79</f>
        <v>9.6766084786978152E-2</v>
      </c>
      <c r="E104" s="34" t="str">
        <f>U81</f>
        <v>no</v>
      </c>
      <c r="G104" s="8" t="str">
        <f>$A$15</f>
        <v>Negative</v>
      </c>
      <c r="H104" t="str">
        <f>$B$15</f>
        <v>Female</v>
      </c>
      <c r="I104" t="str">
        <f>$C$15</f>
        <v>Therapy 1</v>
      </c>
      <c r="J104" s="8">
        <f>$D$15</f>
        <v>16</v>
      </c>
      <c r="K104" s="23">
        <f t="shared" si="42"/>
        <v>3.2000000000000001E-2</v>
      </c>
      <c r="L104" s="9">
        <f t="shared" si="43"/>
        <v>2.7725887222397811</v>
      </c>
      <c r="M104" s="8">
        <f>(D50*D57)/D73</f>
        <v>18.356643356643357</v>
      </c>
      <c r="N104" s="23">
        <f t="shared" si="41"/>
        <v>3.6713286713286712E-2</v>
      </c>
      <c r="O104" s="9">
        <f t="shared" si="44"/>
        <v>2.9099915447658167</v>
      </c>
      <c r="P104" s="8">
        <f t="shared" si="45"/>
        <v>-2.3566433566433567</v>
      </c>
      <c r="Q104" s="9">
        <f t="shared" si="46"/>
        <v>-0.55004374239520126</v>
      </c>
      <c r="R104" s="24">
        <f t="shared" si="47"/>
        <v>-4.3968903208331369</v>
      </c>
    </row>
    <row r="105" spans="1:21" x14ac:dyDescent="0.35">
      <c r="A105" t="s">
        <v>64</v>
      </c>
      <c r="B105" s="8">
        <f>U112</f>
        <v>53.854101482705588</v>
      </c>
      <c r="C105" s="31">
        <f>U113</f>
        <v>3</v>
      </c>
      <c r="D105">
        <f>U115</f>
        <v>1.2053986552579523E-11</v>
      </c>
      <c r="E105" s="34" t="str">
        <f>U117</f>
        <v>yes</v>
      </c>
      <c r="G105" s="8" t="str">
        <f>$A$16</f>
        <v>Negative</v>
      </c>
      <c r="H105" t="str">
        <f>$B$16</f>
        <v>Female</v>
      </c>
      <c r="I105" t="str">
        <f>$C$16</f>
        <v>Therapy 2</v>
      </c>
      <c r="J105" s="8">
        <f>$D$16</f>
        <v>33</v>
      </c>
      <c r="K105" s="23">
        <f t="shared" si="42"/>
        <v>6.6000000000000003E-2</v>
      </c>
      <c r="L105" s="9">
        <f t="shared" si="43"/>
        <v>3.4965075614664802</v>
      </c>
      <c r="M105" s="8">
        <f>(D50*D58)/D73</f>
        <v>33.04195804195804</v>
      </c>
      <c r="N105" s="23">
        <f t="shared" si="41"/>
        <v>6.6083916083916075E-2</v>
      </c>
      <c r="O105" s="9">
        <f t="shared" si="44"/>
        <v>3.4977782096679357</v>
      </c>
      <c r="P105" s="8">
        <f t="shared" si="45"/>
        <v>-4.1958041958039871E-2</v>
      </c>
      <c r="Q105" s="9">
        <f t="shared" si="46"/>
        <v>-7.2993186860177564E-3</v>
      </c>
      <c r="R105" s="24">
        <f t="shared" si="47"/>
        <v>-8.3862781296063282E-2</v>
      </c>
    </row>
    <row r="106" spans="1:21" x14ac:dyDescent="0.35">
      <c r="A106" t="s">
        <v>65</v>
      </c>
      <c r="B106" s="8">
        <f>U328</f>
        <v>1.1104339218748036</v>
      </c>
      <c r="C106" s="31">
        <f>U329</f>
        <v>2</v>
      </c>
      <c r="D106">
        <f>U331</f>
        <v>0.57394772345091205</v>
      </c>
      <c r="E106" s="34" t="str">
        <f>U333</f>
        <v>no</v>
      </c>
      <c r="G106" s="10" t="str">
        <f>$A$17</f>
        <v>Negative</v>
      </c>
      <c r="H106" s="11" t="str">
        <f>$B$17</f>
        <v>Female</v>
      </c>
      <c r="I106" s="11" t="str">
        <f>$C$17</f>
        <v>Therapy 3</v>
      </c>
      <c r="J106" s="10">
        <f>$D$17</f>
        <v>56</v>
      </c>
      <c r="K106" s="27">
        <f t="shared" si="42"/>
        <v>0.112</v>
      </c>
      <c r="L106" s="12">
        <f t="shared" si="43"/>
        <v>4.0253516907351496</v>
      </c>
      <c r="M106" s="10">
        <f>(D50*D59)/D73</f>
        <v>53.6013986013986</v>
      </c>
      <c r="N106" s="27">
        <f t="shared" si="41"/>
        <v>0.1072027972027972</v>
      </c>
      <c r="O106" s="12">
        <f t="shared" si="44"/>
        <v>3.9815751610460071</v>
      </c>
      <c r="P106" s="10">
        <f t="shared" si="45"/>
        <v>2.3986013986014001</v>
      </c>
      <c r="Q106" s="12">
        <f t="shared" si="46"/>
        <v>0.32761971011824409</v>
      </c>
      <c r="R106" s="28">
        <f t="shared" si="47"/>
        <v>4.9029713251839695</v>
      </c>
    </row>
    <row r="107" spans="1:21" x14ac:dyDescent="0.35">
      <c r="A107" t="s">
        <v>66</v>
      </c>
      <c r="B107" s="10">
        <f>U7</f>
        <v>0</v>
      </c>
      <c r="C107" s="35">
        <f>U8</f>
        <v>0</v>
      </c>
      <c r="D107" s="11"/>
      <c r="E107" s="36" t="str">
        <f>U12</f>
        <v>no</v>
      </c>
      <c r="R107">
        <f>SUM(R95:R106)</f>
        <v>5.5925062024545165</v>
      </c>
    </row>
    <row r="109" spans="1:21" x14ac:dyDescent="0.35">
      <c r="G109" s="1" t="s">
        <v>67</v>
      </c>
    </row>
    <row r="111" spans="1:21" x14ac:dyDescent="0.35">
      <c r="A111" t="s">
        <v>68</v>
      </c>
      <c r="J111" s="13" t="s">
        <v>19</v>
      </c>
      <c r="K111" s="14"/>
      <c r="L111" s="15"/>
      <c r="M111" s="13" t="s">
        <v>20</v>
      </c>
      <c r="N111" s="14"/>
      <c r="O111" s="15"/>
      <c r="P111" s="13" t="s">
        <v>21</v>
      </c>
      <c r="Q111" s="15"/>
    </row>
    <row r="112" spans="1:21" x14ac:dyDescent="0.35">
      <c r="G112" s="16" t="str">
        <f>$A$5</f>
        <v>Cure</v>
      </c>
      <c r="H112" s="3" t="str">
        <f>$B$5</f>
        <v>Gender</v>
      </c>
      <c r="I112" s="3" t="str">
        <f>$C$5</f>
        <v>Therapy</v>
      </c>
      <c r="J112" s="17" t="s">
        <v>22</v>
      </c>
      <c r="K112" s="18" t="s">
        <v>23</v>
      </c>
      <c r="L112" s="19" t="s">
        <v>24</v>
      </c>
      <c r="M112" s="17" t="s">
        <v>25</v>
      </c>
      <c r="N112" s="18" t="s">
        <v>23</v>
      </c>
      <c r="O112" s="19" t="s">
        <v>26</v>
      </c>
      <c r="P112" s="18" t="s">
        <v>27</v>
      </c>
      <c r="Q112" s="19" t="s">
        <v>28</v>
      </c>
      <c r="R112" s="20" t="s">
        <v>29</v>
      </c>
      <c r="T112" s="21" t="s">
        <v>29</v>
      </c>
      <c r="U112" s="22">
        <f>R125</f>
        <v>53.854101482705588</v>
      </c>
    </row>
    <row r="113" spans="1:21" x14ac:dyDescent="0.35">
      <c r="B113" t="s">
        <v>69</v>
      </c>
      <c r="C113" t="s">
        <v>70</v>
      </c>
      <c r="D113" t="s">
        <v>71</v>
      </c>
      <c r="G113" s="8" t="str">
        <f>$A$6</f>
        <v>Positive</v>
      </c>
      <c r="H113" t="str">
        <f>$B$6</f>
        <v>Male</v>
      </c>
      <c r="I113" t="str">
        <f>$C$6</f>
        <v>Therapy 1</v>
      </c>
      <c r="J113" s="8">
        <f>$D$6</f>
        <v>59</v>
      </c>
      <c r="K113" s="23">
        <f>J113/$D$18</f>
        <v>0.11799999999999999</v>
      </c>
      <c r="L113" s="9">
        <f>LN(J113)</f>
        <v>4.0775374439057197</v>
      </c>
      <c r="M113" s="8">
        <f>(D54*D63)/D82</f>
        <v>53.344827586206897</v>
      </c>
      <c r="N113" s="23">
        <f t="shared" ref="N113:N124" si="48">M113/D$44</f>
        <v>0.1066896551724138</v>
      </c>
      <c r="O113" s="9">
        <f>LN(M113)</f>
        <v>3.9767770205865922</v>
      </c>
      <c r="P113" s="5">
        <f>J113-M113</f>
        <v>5.6551724137931032</v>
      </c>
      <c r="Q113" s="9">
        <f>P113/SQRT(M113)</f>
        <v>0.77428294323684033</v>
      </c>
      <c r="R113" s="24">
        <f>2*J113*(L113-O113)</f>
        <v>11.889729951657044</v>
      </c>
      <c r="T113" t="s">
        <v>30</v>
      </c>
      <c r="U113" s="24">
        <f>(A27-1)*C27*(B27-1)</f>
        <v>3</v>
      </c>
    </row>
    <row r="114" spans="1:21" x14ac:dyDescent="0.35">
      <c r="A114" s="21" t="s">
        <v>72</v>
      </c>
      <c r="B114" s="5">
        <f>B106</f>
        <v>1.1104339218748036</v>
      </c>
      <c r="C114" s="6">
        <f>B104</f>
        <v>7.8620012972988071</v>
      </c>
      <c r="D114" s="22">
        <f>C114-B114</f>
        <v>6.7515673754240035</v>
      </c>
      <c r="G114" s="8" t="str">
        <f>$A$7</f>
        <v>Positive</v>
      </c>
      <c r="H114" t="str">
        <f>$B$7</f>
        <v>Male</v>
      </c>
      <c r="I114" t="str">
        <f>$C$7</f>
        <v>Therapy 2</v>
      </c>
      <c r="J114" s="8">
        <f>$D$7</f>
        <v>55</v>
      </c>
      <c r="K114" s="23">
        <f t="shared" ref="K114:K124" si="49">J114/$D$18</f>
        <v>0.11</v>
      </c>
      <c r="L114" s="9">
        <f t="shared" ref="L114:L124" si="50">LN(J114)</f>
        <v>4.0073331852324712</v>
      </c>
      <c r="M114" s="8">
        <f>(D55*D64)/D83</f>
        <v>42.685483870967744</v>
      </c>
      <c r="N114" s="23">
        <f t="shared" si="48"/>
        <v>8.5370967741935491E-2</v>
      </c>
      <c r="O114" s="9">
        <f t="shared" ref="O114:O124" si="51">LN(M114)</f>
        <v>3.7538589062529506</v>
      </c>
      <c r="P114" s="8">
        <f t="shared" ref="P114:P124" si="52">J114-M114</f>
        <v>12.314516129032256</v>
      </c>
      <c r="Q114" s="9">
        <f t="shared" ref="Q114:Q124" si="53">P114/SQRT(M114)</f>
        <v>1.8848519684446319</v>
      </c>
      <c r="R114" s="24">
        <f t="shared" ref="R114:R124" si="54">2*J114*(L114-O114)</f>
        <v>27.882170687747262</v>
      </c>
      <c r="T114" s="25" t="s">
        <v>31</v>
      </c>
      <c r="U114" s="24">
        <v>0.05</v>
      </c>
    </row>
    <row r="115" spans="1:21" x14ac:dyDescent="0.35">
      <c r="A115" t="s">
        <v>30</v>
      </c>
      <c r="B115" s="10">
        <f>C106</f>
        <v>2</v>
      </c>
      <c r="C115" s="11">
        <f>C104</f>
        <v>4</v>
      </c>
      <c r="D115" s="28">
        <f>C115-B115</f>
        <v>2</v>
      </c>
      <c r="G115" s="8" t="str">
        <f>$A$8</f>
        <v>Positive</v>
      </c>
      <c r="H115" t="str">
        <f>$B$8</f>
        <v>Male</v>
      </c>
      <c r="I115" t="str">
        <f>$C$8</f>
        <v>Therapy 3</v>
      </c>
      <c r="J115" s="8">
        <f>$D$8</f>
        <v>107</v>
      </c>
      <c r="K115" s="23">
        <f t="shared" si="49"/>
        <v>0.214</v>
      </c>
      <c r="L115" s="9">
        <f t="shared" si="50"/>
        <v>4.6728288344619058</v>
      </c>
      <c r="M115" s="8">
        <f>(D56*D65)/D84</f>
        <v>89.184615384615384</v>
      </c>
      <c r="N115" s="23">
        <f t="shared" si="48"/>
        <v>0.17836923076923078</v>
      </c>
      <c r="O115" s="9">
        <f t="shared" si="51"/>
        <v>4.4907085514440954</v>
      </c>
      <c r="P115" s="8">
        <f t="shared" si="52"/>
        <v>17.815384615384616</v>
      </c>
      <c r="Q115" s="9">
        <f t="shared" si="53"/>
        <v>1.8864714236899325</v>
      </c>
      <c r="R115" s="24">
        <f t="shared" si="54"/>
        <v>38.973740565811418</v>
      </c>
      <c r="T115" s="25" t="s">
        <v>32</v>
      </c>
      <c r="U115" s="24">
        <f>CHIDIST(U112,U113)</f>
        <v>1.2053986552579523E-11</v>
      </c>
    </row>
    <row r="116" spans="1:21" x14ac:dyDescent="0.35">
      <c r="A116" s="25" t="s">
        <v>31</v>
      </c>
      <c r="D116" s="24">
        <v>0.05</v>
      </c>
      <c r="G116" s="8" t="str">
        <f>$A$9</f>
        <v>Positive</v>
      </c>
      <c r="H116" t="str">
        <f>$B$9</f>
        <v>Female</v>
      </c>
      <c r="I116" t="str">
        <f>$C$9</f>
        <v>Therapy 1</v>
      </c>
      <c r="J116" s="8">
        <f>$D$9</f>
        <v>32</v>
      </c>
      <c r="K116" s="23">
        <f t="shared" si="49"/>
        <v>6.4000000000000001E-2</v>
      </c>
      <c r="L116" s="9">
        <f t="shared" si="50"/>
        <v>3.4657359027997265</v>
      </c>
      <c r="M116" s="8">
        <f>(D54*D66)/D82</f>
        <v>37.655172413793103</v>
      </c>
      <c r="N116" s="23">
        <f t="shared" si="48"/>
        <v>7.5310344827586209E-2</v>
      </c>
      <c r="O116" s="9">
        <f t="shared" si="51"/>
        <v>3.6284703263183764</v>
      </c>
      <c r="P116" s="8">
        <f t="shared" si="52"/>
        <v>-5.6551724137931032</v>
      </c>
      <c r="Q116" s="9">
        <f t="shared" si="53"/>
        <v>-0.92158103709456685</v>
      </c>
      <c r="R116" s="24">
        <f t="shared" si="54"/>
        <v>-10.415003105193591</v>
      </c>
      <c r="T116" s="21" t="s">
        <v>33</v>
      </c>
      <c r="U116" s="24">
        <f>CHIINV(U114,U113)</f>
        <v>7.8147279032511792</v>
      </c>
    </row>
    <row r="117" spans="1:21" x14ac:dyDescent="0.35">
      <c r="A117" t="s">
        <v>32</v>
      </c>
      <c r="D117" s="24">
        <f>CHIDIST(D114,D115)</f>
        <v>3.419131249788273E-2</v>
      </c>
      <c r="G117" s="8" t="str">
        <f>$A$10</f>
        <v>Positive</v>
      </c>
      <c r="H117" t="str">
        <f>$B$10</f>
        <v>Female</v>
      </c>
      <c r="I117" t="str">
        <f>$C$10</f>
        <v>Therapy 2</v>
      </c>
      <c r="J117" s="8">
        <f>$D$10</f>
        <v>24</v>
      </c>
      <c r="K117" s="23">
        <f t="shared" si="49"/>
        <v>4.8000000000000001E-2</v>
      </c>
      <c r="L117" s="9">
        <f t="shared" si="50"/>
        <v>3.1780538303479458</v>
      </c>
      <c r="M117" s="8">
        <f>(D55*D67)/D83</f>
        <v>36.314516129032256</v>
      </c>
      <c r="N117" s="23">
        <f t="shared" si="48"/>
        <v>7.262903225806451E-2</v>
      </c>
      <c r="O117" s="9">
        <f t="shared" si="51"/>
        <v>3.5922175546965347</v>
      </c>
      <c r="P117" s="8">
        <f t="shared" si="52"/>
        <v>-12.314516129032256</v>
      </c>
      <c r="Q117" s="9">
        <f t="shared" si="53"/>
        <v>-2.043512134835872</v>
      </c>
      <c r="R117" s="24">
        <f t="shared" si="54"/>
        <v>-19.879858768732269</v>
      </c>
      <c r="T117" s="25" t="s">
        <v>34</v>
      </c>
      <c r="U117" s="26" t="str">
        <f>IF(U115&lt;U114,"yes","no")</f>
        <v>yes</v>
      </c>
    </row>
    <row r="118" spans="1:21" x14ac:dyDescent="0.35">
      <c r="A118" t="s">
        <v>34</v>
      </c>
      <c r="D118" s="26" t="str">
        <f>IF(D116&lt;D115,"yes","no")</f>
        <v>yes</v>
      </c>
      <c r="G118" s="8" t="str">
        <f>$A$11</f>
        <v>Positive</v>
      </c>
      <c r="H118" t="str">
        <f>$B$11</f>
        <v>Female</v>
      </c>
      <c r="I118" t="str">
        <f>$C$11</f>
        <v>Therapy 3</v>
      </c>
      <c r="J118" s="8">
        <f>$D$11</f>
        <v>80</v>
      </c>
      <c r="K118" s="23">
        <f t="shared" si="49"/>
        <v>0.16</v>
      </c>
      <c r="L118" s="9">
        <f t="shared" si="50"/>
        <v>4.3820266346738812</v>
      </c>
      <c r="M118" s="8">
        <f>(D56*D68)/D84</f>
        <v>97.815384615384616</v>
      </c>
      <c r="N118" s="23">
        <f t="shared" si="48"/>
        <v>0.19563076923076922</v>
      </c>
      <c r="O118" s="9">
        <f t="shared" si="51"/>
        <v>4.5830818715751107</v>
      </c>
      <c r="P118" s="8">
        <f t="shared" si="52"/>
        <v>-17.815384615384616</v>
      </c>
      <c r="Q118" s="9">
        <f t="shared" si="53"/>
        <v>-1.8013231036262367</v>
      </c>
      <c r="R118" s="24">
        <f t="shared" si="54"/>
        <v>-32.168837904196721</v>
      </c>
    </row>
    <row r="119" spans="1:21" x14ac:dyDescent="0.35">
      <c r="G119" s="8" t="str">
        <f>$A$12</f>
        <v>Negative</v>
      </c>
      <c r="H119" t="str">
        <f>$B$12</f>
        <v>Male</v>
      </c>
      <c r="I119" t="str">
        <f>$C$12</f>
        <v>Therapy 1</v>
      </c>
      <c r="J119" s="8">
        <f>$D$12</f>
        <v>9</v>
      </c>
      <c r="K119" s="23">
        <f t="shared" si="49"/>
        <v>1.7999999999999999E-2</v>
      </c>
      <c r="L119" s="9">
        <f t="shared" si="50"/>
        <v>2.1972245773362196</v>
      </c>
      <c r="M119" s="8">
        <f>(D57*D63)/D82</f>
        <v>14.655172413793103</v>
      </c>
      <c r="N119" s="23">
        <f t="shared" si="48"/>
        <v>2.9310344827586206E-2</v>
      </c>
      <c r="O119" s="9">
        <f t="shared" si="51"/>
        <v>2.6847933389379426</v>
      </c>
      <c r="P119" s="8">
        <f t="shared" si="52"/>
        <v>-5.6551724137931032</v>
      </c>
      <c r="Q119" s="9">
        <f t="shared" si="53"/>
        <v>-1.4772377050842276</v>
      </c>
      <c r="R119" s="24">
        <f t="shared" si="54"/>
        <v>-8.7762377088310153</v>
      </c>
    </row>
    <row r="120" spans="1:21" x14ac:dyDescent="0.35">
      <c r="A120" t="s">
        <v>73</v>
      </c>
      <c r="G120" s="8" t="str">
        <f>$A$13</f>
        <v>Negative</v>
      </c>
      <c r="H120" t="str">
        <f>$B$13</f>
        <v>Male</v>
      </c>
      <c r="I120" t="str">
        <f>$C$13</f>
        <v>Therapy 2</v>
      </c>
      <c r="J120" s="8">
        <f>$D$13</f>
        <v>12</v>
      </c>
      <c r="K120" s="23">
        <f t="shared" si="49"/>
        <v>2.4E-2</v>
      </c>
      <c r="L120" s="9">
        <f t="shared" si="50"/>
        <v>2.4849066497880004</v>
      </c>
      <c r="M120" s="8">
        <f>(D58*D64)/D83</f>
        <v>24.31451612903226</v>
      </c>
      <c r="N120" s="23">
        <f t="shared" si="48"/>
        <v>4.8629032258064517E-2</v>
      </c>
      <c r="O120" s="9">
        <f t="shared" si="51"/>
        <v>3.1910735435562492</v>
      </c>
      <c r="P120" s="8">
        <f t="shared" si="52"/>
        <v>-12.31451612903226</v>
      </c>
      <c r="Q120" s="9">
        <f t="shared" si="53"/>
        <v>-2.4973794643052849</v>
      </c>
      <c r="R120" s="24">
        <f t="shared" si="54"/>
        <v>-16.948005450437972</v>
      </c>
    </row>
    <row r="121" spans="1:21" x14ac:dyDescent="0.35">
      <c r="G121" s="8" t="str">
        <f>$A$14</f>
        <v>Negative</v>
      </c>
      <c r="H121" t="str">
        <f>$B$14</f>
        <v>Male</v>
      </c>
      <c r="I121" t="str">
        <f>$C$14</f>
        <v>Therapy 3</v>
      </c>
      <c r="J121" s="8">
        <f>$D$14</f>
        <v>17</v>
      </c>
      <c r="K121" s="23">
        <f t="shared" si="49"/>
        <v>3.4000000000000002E-2</v>
      </c>
      <c r="L121" s="9">
        <f t="shared" si="50"/>
        <v>2.8332133440562162</v>
      </c>
      <c r="M121" s="8">
        <f>(D59*D65)/D84</f>
        <v>34.815384615384616</v>
      </c>
      <c r="N121" s="23">
        <f t="shared" si="48"/>
        <v>6.9630769230769232E-2</v>
      </c>
      <c r="O121" s="9">
        <f t="shared" si="51"/>
        <v>3.5500593757379004</v>
      </c>
      <c r="P121" s="8">
        <f t="shared" si="52"/>
        <v>-17.815384615384616</v>
      </c>
      <c r="Q121" s="9">
        <f t="shared" si="53"/>
        <v>-3.0193232001731074</v>
      </c>
      <c r="R121" s="24">
        <f t="shared" si="54"/>
        <v>-24.372765077177263</v>
      </c>
    </row>
    <row r="122" spans="1:21" x14ac:dyDescent="0.35">
      <c r="B122" t="s">
        <v>69</v>
      </c>
      <c r="C122" t="s">
        <v>70</v>
      </c>
      <c r="D122" t="s">
        <v>71</v>
      </c>
      <c r="G122" s="8" t="str">
        <f>$A$15</f>
        <v>Negative</v>
      </c>
      <c r="H122" t="str">
        <f>$B$15</f>
        <v>Female</v>
      </c>
      <c r="I122" t="str">
        <f>$C$15</f>
        <v>Therapy 1</v>
      </c>
      <c r="J122" s="8">
        <f>$D$15</f>
        <v>16</v>
      </c>
      <c r="K122" s="23">
        <f t="shared" si="49"/>
        <v>3.2000000000000001E-2</v>
      </c>
      <c r="L122" s="9">
        <f t="shared" si="50"/>
        <v>2.7725887222397811</v>
      </c>
      <c r="M122" s="8">
        <f>(D57*D66)/D82</f>
        <v>10.344827586206897</v>
      </c>
      <c r="N122" s="23">
        <f t="shared" si="48"/>
        <v>2.0689655172413793E-2</v>
      </c>
      <c r="O122" s="9">
        <f t="shared" si="51"/>
        <v>2.3364866446697272</v>
      </c>
      <c r="P122" s="8">
        <f t="shared" si="52"/>
        <v>5.6551724137931032</v>
      </c>
      <c r="Q122" s="9">
        <f t="shared" si="53"/>
        <v>1.7582645571339834</v>
      </c>
      <c r="R122" s="24">
        <f t="shared" si="54"/>
        <v>13.955266482241726</v>
      </c>
    </row>
    <row r="123" spans="1:21" x14ac:dyDescent="0.35">
      <c r="A123" s="21" t="s">
        <v>72</v>
      </c>
      <c r="B123" s="5">
        <f>B106</f>
        <v>1.1104339218748036</v>
      </c>
      <c r="C123" s="6">
        <f>B103</f>
        <v>5.5925062024545165</v>
      </c>
      <c r="D123" s="22">
        <f>C123-B123</f>
        <v>4.4820722805797129</v>
      </c>
      <c r="G123" s="8" t="str">
        <f>$A$16</f>
        <v>Negative</v>
      </c>
      <c r="H123" t="str">
        <f>$B$16</f>
        <v>Female</v>
      </c>
      <c r="I123" t="str">
        <f>$C$16</f>
        <v>Therapy 2</v>
      </c>
      <c r="J123" s="8">
        <f>$D$16</f>
        <v>33</v>
      </c>
      <c r="K123" s="23">
        <f t="shared" si="49"/>
        <v>6.6000000000000003E-2</v>
      </c>
      <c r="L123" s="9">
        <f t="shared" si="50"/>
        <v>3.4965075614664802</v>
      </c>
      <c r="M123" s="8">
        <f>(D58*D67)/D83</f>
        <v>20.68548387096774</v>
      </c>
      <c r="N123" s="23">
        <f t="shared" si="48"/>
        <v>4.137096774193548E-2</v>
      </c>
      <c r="O123" s="9">
        <f t="shared" si="51"/>
        <v>3.0294321919998328</v>
      </c>
      <c r="P123" s="8">
        <f t="shared" si="52"/>
        <v>12.31451612903226</v>
      </c>
      <c r="Q123" s="9">
        <f t="shared" si="53"/>
        <v>2.7076000269713885</v>
      </c>
      <c r="R123" s="24">
        <f t="shared" si="54"/>
        <v>30.826974384798728</v>
      </c>
    </row>
    <row r="124" spans="1:21" x14ac:dyDescent="0.35">
      <c r="A124" t="s">
        <v>30</v>
      </c>
      <c r="B124" s="10">
        <f>C106</f>
        <v>2</v>
      </c>
      <c r="C124" s="11">
        <f>C104</f>
        <v>4</v>
      </c>
      <c r="D124" s="28">
        <f>C124-B124</f>
        <v>2</v>
      </c>
      <c r="G124" s="10" t="str">
        <f>$A$17</f>
        <v>Negative</v>
      </c>
      <c r="H124" s="11" t="str">
        <f>$B$17</f>
        <v>Female</v>
      </c>
      <c r="I124" s="11" t="str">
        <f>$C$17</f>
        <v>Therapy 3</v>
      </c>
      <c r="J124" s="10">
        <f>$D$17</f>
        <v>56</v>
      </c>
      <c r="K124" s="27">
        <f t="shared" si="49"/>
        <v>0.112</v>
      </c>
      <c r="L124" s="12">
        <f t="shared" si="50"/>
        <v>4.0253516907351496</v>
      </c>
      <c r="M124" s="10">
        <f>(D59*D68)/D84</f>
        <v>38.184615384615384</v>
      </c>
      <c r="N124" s="10">
        <f t="shared" si="48"/>
        <v>7.6369230769230773E-2</v>
      </c>
      <c r="O124" s="12">
        <f t="shared" si="51"/>
        <v>3.6424326958689153</v>
      </c>
      <c r="P124" s="10">
        <f t="shared" si="52"/>
        <v>17.815384615384616</v>
      </c>
      <c r="Q124" s="12">
        <f t="shared" si="53"/>
        <v>2.8830421545152753</v>
      </c>
      <c r="R124" s="28">
        <f t="shared" si="54"/>
        <v>42.88692742501825</v>
      </c>
    </row>
    <row r="125" spans="1:21" x14ac:dyDescent="0.35">
      <c r="A125" s="25" t="s">
        <v>31</v>
      </c>
      <c r="D125" s="24">
        <v>0.05</v>
      </c>
      <c r="R125">
        <f>SUM(R113:R124)</f>
        <v>53.854101482705588</v>
      </c>
    </row>
    <row r="126" spans="1:21" x14ac:dyDescent="0.35">
      <c r="A126" t="s">
        <v>32</v>
      </c>
      <c r="D126" s="24">
        <f>CHIDIST(D123,D124)</f>
        <v>0.10634825556015279</v>
      </c>
    </row>
    <row r="127" spans="1:21" x14ac:dyDescent="0.35">
      <c r="A127" t="s">
        <v>34</v>
      </c>
      <c r="D127" s="26" t="str">
        <f>IF(D125&lt;D124,"yes","no")</f>
        <v>yes</v>
      </c>
      <c r="G127" s="1" t="s">
        <v>74</v>
      </c>
    </row>
    <row r="129" spans="1:21" x14ac:dyDescent="0.35">
      <c r="A129" t="s">
        <v>75</v>
      </c>
      <c r="J129" s="13" t="s">
        <v>19</v>
      </c>
      <c r="K129" s="14"/>
      <c r="L129" s="15"/>
      <c r="M129" s="13" t="s">
        <v>20</v>
      </c>
      <c r="N129" s="14"/>
      <c r="O129" s="15"/>
      <c r="P129" s="13" t="s">
        <v>21</v>
      </c>
      <c r="Q129" s="15"/>
    </row>
    <row r="130" spans="1:21" x14ac:dyDescent="0.35">
      <c r="G130" s="16" t="str">
        <f>$A$5</f>
        <v>Cure</v>
      </c>
      <c r="H130" s="3" t="str">
        <f>$B$5</f>
        <v>Gender</v>
      </c>
      <c r="I130" s="3" t="str">
        <f>$C$5</f>
        <v>Therapy</v>
      </c>
      <c r="J130" s="17" t="s">
        <v>22</v>
      </c>
      <c r="K130" s="18" t="s">
        <v>23</v>
      </c>
      <c r="L130" s="19" t="s">
        <v>24</v>
      </c>
      <c r="M130" s="17" t="s">
        <v>25</v>
      </c>
      <c r="N130" s="18" t="s">
        <v>23</v>
      </c>
      <c r="O130" s="19" t="s">
        <v>26</v>
      </c>
      <c r="P130" s="18" t="s">
        <v>27</v>
      </c>
      <c r="Q130" s="19" t="s">
        <v>28</v>
      </c>
      <c r="R130" s="20" t="s">
        <v>29</v>
      </c>
      <c r="T130" s="21" t="s">
        <v>29</v>
      </c>
      <c r="U130" s="22">
        <f>R143</f>
        <v>64.481191492403582</v>
      </c>
    </row>
    <row r="131" spans="1:21" x14ac:dyDescent="0.35">
      <c r="B131" t="s">
        <v>69</v>
      </c>
      <c r="C131" t="s">
        <v>70</v>
      </c>
      <c r="D131" t="s">
        <v>71</v>
      </c>
      <c r="G131" s="8" t="str">
        <f>$A$6</f>
        <v>Positive</v>
      </c>
      <c r="H131" t="str">
        <f>$B$6</f>
        <v>Male</v>
      </c>
      <c r="I131" t="str">
        <f>$C$6</f>
        <v>Therapy 1</v>
      </c>
      <c r="J131" s="8">
        <f>$D$6</f>
        <v>59</v>
      </c>
      <c r="K131" s="23">
        <f>J131/$D$18</f>
        <v>0.11799999999999999</v>
      </c>
      <c r="L131" s="9">
        <f>LN(J131)</f>
        <v>4.0775374439057197</v>
      </c>
      <c r="M131" s="8">
        <f>D72*D77*D82/$D$44^2</f>
        <v>42.902831999999997</v>
      </c>
      <c r="N131" s="23">
        <f t="shared" ref="N131:N142" si="55">M131/D$44</f>
        <v>8.580566399999999E-2</v>
      </c>
      <c r="O131" s="9">
        <f>LN(M131)</f>
        <v>3.7589378377411578</v>
      </c>
      <c r="P131" s="5">
        <f>J131-M131</f>
        <v>16.097168000000003</v>
      </c>
      <c r="Q131" s="7">
        <f>P131/SQRT(M131)</f>
        <v>2.4575733918444431</v>
      </c>
      <c r="R131" s="24">
        <f>2*J131*(L131-O131)</f>
        <v>37.594753527418312</v>
      </c>
      <c r="T131" t="s">
        <v>30</v>
      </c>
      <c r="U131" s="24">
        <f>PRODUCT(A27:C27)-SUM(A27:C27)+2</f>
        <v>7</v>
      </c>
    </row>
    <row r="132" spans="1:21" x14ac:dyDescent="0.35">
      <c r="A132" s="21" t="s">
        <v>72</v>
      </c>
      <c r="B132" s="5">
        <f>B103</f>
        <v>5.5925062024545165</v>
      </c>
      <c r="C132" s="6">
        <f>B102</f>
        <v>12.040798754725822</v>
      </c>
      <c r="D132" s="22">
        <f>C132-B132</f>
        <v>6.4482925522713055</v>
      </c>
      <c r="G132" s="8" t="str">
        <f>$A$7</f>
        <v>Positive</v>
      </c>
      <c r="H132" t="str">
        <f>$B$7</f>
        <v>Male</v>
      </c>
      <c r="I132" t="str">
        <f>$C$7</f>
        <v>Therapy 2</v>
      </c>
      <c r="J132" s="8">
        <f>$D$7</f>
        <v>55</v>
      </c>
      <c r="K132" s="23">
        <f t="shared" ref="K132:K142" si="56">J132/$D$18</f>
        <v>0.11</v>
      </c>
      <c r="L132" s="9">
        <f t="shared" ref="L132:L142" si="57">LN(J132)</f>
        <v>4.0073331852324712</v>
      </c>
      <c r="M132" s="8">
        <f>D72*D77*D83/$D$44^2</f>
        <v>45.861648000000002</v>
      </c>
      <c r="N132" s="23">
        <f t="shared" si="55"/>
        <v>9.172329600000001E-2</v>
      </c>
      <c r="O132" s="9">
        <f t="shared" ref="O132:O142" si="58">LN(M132)</f>
        <v>3.8256292122398303</v>
      </c>
      <c r="P132" s="8">
        <f t="shared" ref="P132:P142" si="59">J132-M132</f>
        <v>9.1383519999999976</v>
      </c>
      <c r="Q132" s="9">
        <f t="shared" ref="Q132:Q142" si="60">P132/SQRT(M132)</f>
        <v>1.3494072969435165</v>
      </c>
      <c r="R132" s="24">
        <f t="shared" ref="R132:R142" si="61">2*J132*(L132-O132)</f>
        <v>19.987437029190495</v>
      </c>
      <c r="T132" s="25" t="s">
        <v>31</v>
      </c>
      <c r="U132" s="24">
        <v>0.05</v>
      </c>
    </row>
    <row r="133" spans="1:21" x14ac:dyDescent="0.35">
      <c r="A133" t="s">
        <v>30</v>
      </c>
      <c r="B133" s="10">
        <f>C103</f>
        <v>4</v>
      </c>
      <c r="C133" s="11">
        <f>C102</f>
        <v>6</v>
      </c>
      <c r="D133" s="28">
        <f>C133-B133</f>
        <v>2</v>
      </c>
      <c r="G133" s="8" t="str">
        <f>$A$8</f>
        <v>Positive</v>
      </c>
      <c r="H133" t="str">
        <f>$B$8</f>
        <v>Male</v>
      </c>
      <c r="I133" t="str">
        <f>$C$8</f>
        <v>Therapy 3</v>
      </c>
      <c r="J133" s="8">
        <f>$D$8</f>
        <v>107</v>
      </c>
      <c r="K133" s="23">
        <f t="shared" si="56"/>
        <v>0.214</v>
      </c>
      <c r="L133" s="9">
        <f t="shared" si="57"/>
        <v>4.6728288344619058</v>
      </c>
      <c r="M133" s="8">
        <f>D72*D77*D84/$D$44^2</f>
        <v>96.161519999999996</v>
      </c>
      <c r="N133" s="23">
        <f t="shared" si="55"/>
        <v>0.19232304</v>
      </c>
      <c r="O133" s="9">
        <f t="shared" si="58"/>
        <v>4.5660292776503209</v>
      </c>
      <c r="P133" s="8">
        <f t="shared" si="59"/>
        <v>10.838480000000004</v>
      </c>
      <c r="Q133" s="9">
        <f t="shared" si="60"/>
        <v>1.1052683166067374</v>
      </c>
      <c r="R133" s="24">
        <f t="shared" si="61"/>
        <v>22.855105157679176</v>
      </c>
      <c r="T133" s="25" t="s">
        <v>32</v>
      </c>
      <c r="U133" s="24">
        <f>CHIDIST(U130,U131)</f>
        <v>1.9117300324482149E-11</v>
      </c>
    </row>
    <row r="134" spans="1:21" x14ac:dyDescent="0.35">
      <c r="A134" s="25" t="s">
        <v>31</v>
      </c>
      <c r="D134" s="24">
        <v>0.05</v>
      </c>
      <c r="G134" s="8" t="str">
        <f>$A$9</f>
        <v>Positive</v>
      </c>
      <c r="H134" t="str">
        <f>$B$9</f>
        <v>Female</v>
      </c>
      <c r="I134" t="str">
        <f>$C$9</f>
        <v>Therapy 1</v>
      </c>
      <c r="J134" s="8">
        <f>$D$9</f>
        <v>32</v>
      </c>
      <c r="K134" s="23">
        <f t="shared" si="56"/>
        <v>6.4000000000000001E-2</v>
      </c>
      <c r="L134" s="9">
        <f t="shared" si="57"/>
        <v>3.4657359027997265</v>
      </c>
      <c r="M134" s="8">
        <f>D72*D78*D82/$D$44^2</f>
        <v>39.921168000000002</v>
      </c>
      <c r="N134" s="23">
        <f t="shared" si="55"/>
        <v>7.9842336E-2</v>
      </c>
      <c r="O134" s="9">
        <f t="shared" si="58"/>
        <v>3.6869067095322752</v>
      </c>
      <c r="P134" s="8">
        <f t="shared" si="59"/>
        <v>-7.9211680000000015</v>
      </c>
      <c r="Q134" s="9">
        <f t="shared" si="60"/>
        <v>-1.2536826185660521</v>
      </c>
      <c r="R134" s="24">
        <f t="shared" si="61"/>
        <v>-14.154931630883112</v>
      </c>
      <c r="T134" s="21" t="s">
        <v>33</v>
      </c>
      <c r="U134" s="24">
        <f>CHIINV(U132,U131)</f>
        <v>14.067140449340167</v>
      </c>
    </row>
    <row r="135" spans="1:21" x14ac:dyDescent="0.35">
      <c r="A135" t="s">
        <v>32</v>
      </c>
      <c r="D135" s="24">
        <f>CHIDIST(D132,D133)</f>
        <v>3.9789736527712581E-2</v>
      </c>
      <c r="G135" s="8" t="str">
        <f>$A$10</f>
        <v>Positive</v>
      </c>
      <c r="H135" t="str">
        <f>$B$10</f>
        <v>Female</v>
      </c>
      <c r="I135" t="str">
        <f>$C$10</f>
        <v>Therapy 2</v>
      </c>
      <c r="J135" s="8">
        <f>$D$10</f>
        <v>24</v>
      </c>
      <c r="K135" s="23">
        <f t="shared" si="56"/>
        <v>4.8000000000000001E-2</v>
      </c>
      <c r="L135" s="9">
        <f t="shared" si="57"/>
        <v>3.1780538303479458</v>
      </c>
      <c r="M135" s="8">
        <f>D72*D78*D83/$D$44^2</f>
        <v>42.674351999999999</v>
      </c>
      <c r="N135" s="23">
        <f t="shared" si="55"/>
        <v>8.5348703999999997E-2</v>
      </c>
      <c r="O135" s="9">
        <f t="shared" si="58"/>
        <v>3.7535980840309473</v>
      </c>
      <c r="P135" s="8">
        <f t="shared" si="59"/>
        <v>-18.674351999999999</v>
      </c>
      <c r="Q135" s="9">
        <f t="shared" si="60"/>
        <v>-2.8586571586024143</v>
      </c>
      <c r="R135" s="24">
        <f t="shared" si="61"/>
        <v>-27.626124176784074</v>
      </c>
      <c r="T135" s="25" t="s">
        <v>34</v>
      </c>
      <c r="U135" s="26" t="str">
        <f>IF(U133&lt;U132,"yes","no")</f>
        <v>yes</v>
      </c>
    </row>
    <row r="136" spans="1:21" x14ac:dyDescent="0.35">
      <c r="A136" t="s">
        <v>34</v>
      </c>
      <c r="D136" s="26" t="str">
        <f>IF(D134&lt;D133,"yes","no")</f>
        <v>yes</v>
      </c>
      <c r="G136" s="8" t="str">
        <f>$A$11</f>
        <v>Positive</v>
      </c>
      <c r="H136" t="str">
        <f>$B$11</f>
        <v>Female</v>
      </c>
      <c r="I136" t="str">
        <f>$C$11</f>
        <v>Therapy 3</v>
      </c>
      <c r="J136" s="8">
        <f>$D$11</f>
        <v>80</v>
      </c>
      <c r="K136" s="23">
        <f t="shared" si="56"/>
        <v>0.16</v>
      </c>
      <c r="L136" s="9">
        <f t="shared" si="57"/>
        <v>4.3820266346738812</v>
      </c>
      <c r="M136" s="8">
        <f>D72*D78*D84/$D$44^2</f>
        <v>89.478480000000005</v>
      </c>
      <c r="N136" s="23">
        <f t="shared" si="55"/>
        <v>0.17895696</v>
      </c>
      <c r="O136" s="9">
        <f t="shared" si="58"/>
        <v>4.4939981494414383</v>
      </c>
      <c r="P136" s="8">
        <f t="shared" si="59"/>
        <v>-9.4784800000000047</v>
      </c>
      <c r="Q136" s="9">
        <f t="shared" si="60"/>
        <v>-1.0020269426145285</v>
      </c>
      <c r="R136" s="24">
        <f t="shared" si="61"/>
        <v>-17.915442362809131</v>
      </c>
    </row>
    <row r="137" spans="1:21" x14ac:dyDescent="0.35">
      <c r="G137" s="8" t="str">
        <f>$A$12</f>
        <v>Negative</v>
      </c>
      <c r="H137" t="str">
        <f>$B$12</f>
        <v>Male</v>
      </c>
      <c r="I137" t="str">
        <f>$C$12</f>
        <v>Therapy 1</v>
      </c>
      <c r="J137" s="8">
        <f>$D$12</f>
        <v>9</v>
      </c>
      <c r="K137" s="23">
        <f t="shared" si="56"/>
        <v>1.7999999999999999E-2</v>
      </c>
      <c r="L137" s="9">
        <f t="shared" si="57"/>
        <v>2.1972245773362196</v>
      </c>
      <c r="M137" s="8">
        <f>D73*D77*D82/$D$44^2</f>
        <v>17.185168000000001</v>
      </c>
      <c r="N137" s="23">
        <f t="shared" si="55"/>
        <v>3.4370336000000001E-2</v>
      </c>
      <c r="O137" s="9">
        <f t="shared" si="58"/>
        <v>2.8440466862214264</v>
      </c>
      <c r="P137" s="8">
        <f t="shared" si="59"/>
        <v>-8.1851680000000009</v>
      </c>
      <c r="Q137" s="9">
        <f t="shared" si="60"/>
        <v>-1.9744707600600977</v>
      </c>
      <c r="R137" s="24">
        <f t="shared" si="61"/>
        <v>-11.642797959933723</v>
      </c>
    </row>
    <row r="138" spans="1:21" x14ac:dyDescent="0.35">
      <c r="G138" s="8" t="str">
        <f>$A$13</f>
        <v>Negative</v>
      </c>
      <c r="H138" t="str">
        <f>$B$13</f>
        <v>Male</v>
      </c>
      <c r="I138" t="str">
        <f>$C$13</f>
        <v>Therapy 2</v>
      </c>
      <c r="J138" s="8">
        <f>$D$13</f>
        <v>12</v>
      </c>
      <c r="K138" s="23">
        <f t="shared" si="56"/>
        <v>2.4E-2</v>
      </c>
      <c r="L138" s="9">
        <f t="shared" si="57"/>
        <v>2.4849066497880004</v>
      </c>
      <c r="M138" s="8">
        <f>D73*D77*D83/$D$44^2</f>
        <v>18.370352</v>
      </c>
      <c r="N138" s="23">
        <f t="shared" si="55"/>
        <v>3.6740703999999999E-2</v>
      </c>
      <c r="O138" s="9">
        <f t="shared" si="58"/>
        <v>2.9107380607200986</v>
      </c>
      <c r="P138" s="8">
        <f t="shared" si="59"/>
        <v>-6.3703520000000005</v>
      </c>
      <c r="Q138" s="9">
        <f t="shared" si="60"/>
        <v>-1.4862938861937338</v>
      </c>
      <c r="R138" s="24">
        <f t="shared" si="61"/>
        <v>-10.219953862370357</v>
      </c>
    </row>
    <row r="139" spans="1:21" x14ac:dyDescent="0.35">
      <c r="G139" s="8" t="str">
        <f>$A$14</f>
        <v>Negative</v>
      </c>
      <c r="H139" t="str">
        <f>$B$14</f>
        <v>Male</v>
      </c>
      <c r="I139" t="str">
        <f>$C$14</f>
        <v>Therapy 3</v>
      </c>
      <c r="J139" s="8">
        <f>$D$14</f>
        <v>17</v>
      </c>
      <c r="K139" s="23">
        <f t="shared" si="56"/>
        <v>3.4000000000000002E-2</v>
      </c>
      <c r="L139" s="9">
        <f t="shared" si="57"/>
        <v>2.8332133440562162</v>
      </c>
      <c r="M139" s="8">
        <f>D73*D77*D84/$D$44^2</f>
        <v>38.518479999999997</v>
      </c>
      <c r="N139" s="23">
        <f t="shared" si="55"/>
        <v>7.7036959999999988E-2</v>
      </c>
      <c r="O139" s="9">
        <f t="shared" si="58"/>
        <v>3.6511381261305891</v>
      </c>
      <c r="P139" s="8">
        <f t="shared" si="59"/>
        <v>-21.518479999999997</v>
      </c>
      <c r="Q139" s="9">
        <f t="shared" si="60"/>
        <v>-3.4671850424049668</v>
      </c>
      <c r="R139" s="24">
        <f t="shared" si="61"/>
        <v>-27.809442590528679</v>
      </c>
    </row>
    <row r="140" spans="1:21" x14ac:dyDescent="0.35">
      <c r="G140" s="8" t="str">
        <f>$A$15</f>
        <v>Negative</v>
      </c>
      <c r="H140" t="str">
        <f>$B$15</f>
        <v>Female</v>
      </c>
      <c r="I140" t="str">
        <f>$C$15</f>
        <v>Therapy 1</v>
      </c>
      <c r="J140" s="8">
        <f>$D$15</f>
        <v>16</v>
      </c>
      <c r="K140" s="23">
        <f t="shared" si="56"/>
        <v>3.2000000000000001E-2</v>
      </c>
      <c r="L140" s="9">
        <f t="shared" si="57"/>
        <v>2.7725887222397811</v>
      </c>
      <c r="M140" s="8">
        <f>D73*D78*D82/$D$44^2</f>
        <v>15.990831999999999</v>
      </c>
      <c r="N140" s="23">
        <f t="shared" si="55"/>
        <v>3.1981664E-2</v>
      </c>
      <c r="O140" s="9">
        <f t="shared" si="58"/>
        <v>2.7720155580125434</v>
      </c>
      <c r="P140" s="8">
        <f t="shared" si="59"/>
        <v>9.1680000000007311E-3</v>
      </c>
      <c r="Q140" s="9">
        <f t="shared" si="60"/>
        <v>2.2926569403337758E-3</v>
      </c>
      <c r="R140" s="24">
        <f t="shared" si="61"/>
        <v>1.8341255271607793E-2</v>
      </c>
    </row>
    <row r="141" spans="1:21" x14ac:dyDescent="0.35">
      <c r="G141" s="8" t="str">
        <f>$A$16</f>
        <v>Negative</v>
      </c>
      <c r="H141" t="str">
        <f>$B$16</f>
        <v>Female</v>
      </c>
      <c r="I141" t="str">
        <f>$C$16</f>
        <v>Therapy 2</v>
      </c>
      <c r="J141" s="8">
        <f>$D$16</f>
        <v>33</v>
      </c>
      <c r="K141" s="23">
        <f t="shared" si="56"/>
        <v>6.6000000000000003E-2</v>
      </c>
      <c r="L141" s="9">
        <f t="shared" si="57"/>
        <v>3.4965075614664802</v>
      </c>
      <c r="M141" s="8">
        <f>D73*D78*D83/$D$44^2</f>
        <v>17.093648000000002</v>
      </c>
      <c r="N141" s="23">
        <f t="shared" si="55"/>
        <v>3.4187296000000006E-2</v>
      </c>
      <c r="O141" s="9">
        <f t="shared" si="58"/>
        <v>2.838706932511216</v>
      </c>
      <c r="P141" s="8">
        <f t="shared" si="59"/>
        <v>15.906351999999998</v>
      </c>
      <c r="Q141" s="9">
        <f t="shared" si="60"/>
        <v>3.847274825178145</v>
      </c>
      <c r="R141" s="24">
        <f t="shared" si="61"/>
        <v>43.414841511047442</v>
      </c>
    </row>
    <row r="142" spans="1:21" x14ac:dyDescent="0.35">
      <c r="G142" s="10" t="str">
        <f>$A$17</f>
        <v>Negative</v>
      </c>
      <c r="H142" s="11" t="str">
        <f>$B$17</f>
        <v>Female</v>
      </c>
      <c r="I142" s="11" t="str">
        <f>$C$17</f>
        <v>Therapy 3</v>
      </c>
      <c r="J142" s="10">
        <f>$D$17</f>
        <v>56</v>
      </c>
      <c r="K142" s="27">
        <f t="shared" si="56"/>
        <v>0.112</v>
      </c>
      <c r="L142" s="12">
        <f t="shared" si="57"/>
        <v>4.0253516907351496</v>
      </c>
      <c r="M142" s="10">
        <f>D73*D78*D84/$D$44^2</f>
        <v>35.841520000000003</v>
      </c>
      <c r="N142" s="27">
        <f t="shared" si="55"/>
        <v>7.1683040000000003E-2</v>
      </c>
      <c r="O142" s="12">
        <f t="shared" si="58"/>
        <v>3.5791069979217065</v>
      </c>
      <c r="P142" s="10">
        <f t="shared" si="59"/>
        <v>20.158479999999997</v>
      </c>
      <c r="Q142" s="12">
        <f t="shared" si="60"/>
        <v>3.367166348708782</v>
      </c>
      <c r="R142" s="28">
        <f t="shared" si="61"/>
        <v>49.979405595105632</v>
      </c>
    </row>
    <row r="143" spans="1:21" x14ac:dyDescent="0.35">
      <c r="R143">
        <f>SUM(R131:R142)</f>
        <v>64.481191492403582</v>
      </c>
    </row>
    <row r="145" spans="7:21" x14ac:dyDescent="0.35">
      <c r="G145" s="1" t="s">
        <v>76</v>
      </c>
    </row>
    <row r="147" spans="7:21" x14ac:dyDescent="0.35">
      <c r="J147" s="13" t="s">
        <v>19</v>
      </c>
      <c r="K147" s="14"/>
      <c r="L147" s="15"/>
      <c r="M147" s="13" t="s">
        <v>20</v>
      </c>
      <c r="N147" s="14"/>
      <c r="O147" s="15"/>
      <c r="P147" s="13" t="s">
        <v>21</v>
      </c>
      <c r="Q147" s="15"/>
    </row>
    <row r="148" spans="7:21" x14ac:dyDescent="0.35">
      <c r="G148" s="16" t="str">
        <f>$A$5</f>
        <v>Cure</v>
      </c>
      <c r="H148" s="3" t="str">
        <f>$B$5</f>
        <v>Gender</v>
      </c>
      <c r="I148" s="3" t="str">
        <f>$C$5</f>
        <v>Therapy</v>
      </c>
      <c r="J148" s="17" t="s">
        <v>22</v>
      </c>
      <c r="K148" s="18" t="s">
        <v>23</v>
      </c>
      <c r="L148" s="19" t="s">
        <v>24</v>
      </c>
      <c r="M148" s="17" t="s">
        <v>25</v>
      </c>
      <c r="N148" s="18" t="s">
        <v>23</v>
      </c>
      <c r="O148" s="19" t="s">
        <v>26</v>
      </c>
      <c r="P148" s="18" t="s">
        <v>27</v>
      </c>
      <c r="Q148" s="19" t="s">
        <v>28</v>
      </c>
      <c r="R148" s="20" t="s">
        <v>29</v>
      </c>
      <c r="T148" s="21" t="s">
        <v>29</v>
      </c>
      <c r="U148" s="22">
        <f>R161</f>
        <v>138.95072251373131</v>
      </c>
    </row>
    <row r="149" spans="7:21" x14ac:dyDescent="0.35">
      <c r="G149" s="8" t="str">
        <f>$A$6</f>
        <v>Positive</v>
      </c>
      <c r="H149" t="str">
        <f>$B$6</f>
        <v>Male</v>
      </c>
      <c r="I149" t="str">
        <f>$C$6</f>
        <v>Therapy 1</v>
      </c>
      <c r="J149" s="8">
        <f>$D$6</f>
        <v>59</v>
      </c>
      <c r="K149" s="23">
        <f>J149/$D$18</f>
        <v>0.11799999999999999</v>
      </c>
      <c r="L149" s="9">
        <f>LN(J149)</f>
        <v>4.0775374439057197</v>
      </c>
      <c r="M149" s="8">
        <f>D72/(B27*C27)</f>
        <v>59.5</v>
      </c>
      <c r="N149" s="23">
        <f t="shared" ref="N149:N160" si="62">M149/D$44</f>
        <v>0.11899999999999999</v>
      </c>
      <c r="O149" s="9">
        <f>LN(M149)</f>
        <v>4.0859763125515842</v>
      </c>
      <c r="P149" s="5">
        <f>J149-M149</f>
        <v>-0.5</v>
      </c>
      <c r="Q149" s="7">
        <f>P149/SQRT(M149)</f>
        <v>-6.4820372355216441E-2</v>
      </c>
      <c r="R149" s="24">
        <f>2*J149*(L149-O149)</f>
        <v>-0.99578650021201298</v>
      </c>
      <c r="T149" t="s">
        <v>30</v>
      </c>
      <c r="U149" s="24">
        <f>A27*B27*C27-A27</f>
        <v>10</v>
      </c>
    </row>
    <row r="150" spans="7:21" x14ac:dyDescent="0.35">
      <c r="G150" s="8" t="str">
        <f>$A$7</f>
        <v>Positive</v>
      </c>
      <c r="H150" t="str">
        <f>$B$7</f>
        <v>Male</v>
      </c>
      <c r="I150" t="str">
        <f>$C$7</f>
        <v>Therapy 2</v>
      </c>
      <c r="J150" s="8">
        <f>$D$7</f>
        <v>55</v>
      </c>
      <c r="K150" s="23">
        <f t="shared" ref="K150:K160" si="63">J150/$D$18</f>
        <v>0.11</v>
      </c>
      <c r="L150" s="9">
        <f t="shared" ref="L150:L160" si="64">LN(J150)</f>
        <v>4.0073331852324712</v>
      </c>
      <c r="M150" s="8">
        <f>M149</f>
        <v>59.5</v>
      </c>
      <c r="N150" s="23">
        <f t="shared" si="62"/>
        <v>0.11899999999999999</v>
      </c>
      <c r="O150" s="9">
        <f t="shared" ref="O150:O160" si="65">LN(M150)</f>
        <v>4.0859763125515842</v>
      </c>
      <c r="P150" s="8">
        <f t="shared" ref="P150:P160" si="66">J150-M150</f>
        <v>-4.5</v>
      </c>
      <c r="Q150" s="9">
        <f t="shared" ref="Q150:Q160" si="67">P150/SQRT(M150)</f>
        <v>-0.58338335119694795</v>
      </c>
      <c r="R150" s="24">
        <f t="shared" ref="R150:R160" si="68">2*J150*(L150-O150)</f>
        <v>-8.6507440051024354</v>
      </c>
      <c r="T150" s="25" t="s">
        <v>31</v>
      </c>
      <c r="U150" s="24">
        <v>0.05</v>
      </c>
    </row>
    <row r="151" spans="7:21" x14ac:dyDescent="0.35">
      <c r="G151" s="8" t="str">
        <f>$A$8</f>
        <v>Positive</v>
      </c>
      <c r="H151" t="str">
        <f>$B$8</f>
        <v>Male</v>
      </c>
      <c r="I151" t="str">
        <f>$C$8</f>
        <v>Therapy 3</v>
      </c>
      <c r="J151" s="8">
        <f>$D$8</f>
        <v>107</v>
      </c>
      <c r="K151" s="23">
        <f t="shared" si="63"/>
        <v>0.214</v>
      </c>
      <c r="L151" s="9">
        <f t="shared" si="64"/>
        <v>4.6728288344619058</v>
      </c>
      <c r="M151" s="8">
        <f>M150</f>
        <v>59.5</v>
      </c>
      <c r="N151" s="23">
        <f t="shared" si="62"/>
        <v>0.11899999999999999</v>
      </c>
      <c r="O151" s="9">
        <f t="shared" si="65"/>
        <v>4.0859763125515842</v>
      </c>
      <c r="P151" s="8">
        <f t="shared" si="66"/>
        <v>47.5</v>
      </c>
      <c r="Q151" s="9">
        <f t="shared" si="67"/>
        <v>6.1579353737455618</v>
      </c>
      <c r="R151" s="24">
        <f t="shared" si="68"/>
        <v>125.58643968880881</v>
      </c>
      <c r="T151" s="25" t="s">
        <v>32</v>
      </c>
      <c r="U151" s="24">
        <f>CHIDIST(U148,U149)</f>
        <v>6.9136338267619402E-25</v>
      </c>
    </row>
    <row r="152" spans="7:21" x14ac:dyDescent="0.35">
      <c r="G152" s="8" t="str">
        <f>$A$9</f>
        <v>Positive</v>
      </c>
      <c r="H152" t="str">
        <f>$B$9</f>
        <v>Female</v>
      </c>
      <c r="I152" t="str">
        <f>$C$9</f>
        <v>Therapy 1</v>
      </c>
      <c r="J152" s="8">
        <f>$D$9</f>
        <v>32</v>
      </c>
      <c r="K152" s="23">
        <f t="shared" si="63"/>
        <v>6.4000000000000001E-2</v>
      </c>
      <c r="L152" s="9">
        <f t="shared" si="64"/>
        <v>3.4657359027997265</v>
      </c>
      <c r="M152" s="8">
        <f>M151</f>
        <v>59.5</v>
      </c>
      <c r="N152" s="23">
        <f t="shared" si="62"/>
        <v>0.11899999999999999</v>
      </c>
      <c r="O152" s="9">
        <f t="shared" si="65"/>
        <v>4.0859763125515842</v>
      </c>
      <c r="P152" s="8">
        <f t="shared" si="66"/>
        <v>-27.5</v>
      </c>
      <c r="Q152" s="9">
        <f t="shared" si="67"/>
        <v>-3.5651204795369043</v>
      </c>
      <c r="R152" s="24">
        <f t="shared" si="68"/>
        <v>-39.695386224118892</v>
      </c>
      <c r="T152" s="21" t="s">
        <v>33</v>
      </c>
      <c r="U152" s="24">
        <f>CHIINV(U150,U149)</f>
        <v>18.307038053275146</v>
      </c>
    </row>
    <row r="153" spans="7:21" x14ac:dyDescent="0.35">
      <c r="G153" s="8" t="str">
        <f>$A$10</f>
        <v>Positive</v>
      </c>
      <c r="H153" t="str">
        <f>$B$10</f>
        <v>Female</v>
      </c>
      <c r="I153" t="str">
        <f>$C$10</f>
        <v>Therapy 2</v>
      </c>
      <c r="J153" s="8">
        <f>$D$10</f>
        <v>24</v>
      </c>
      <c r="K153" s="23">
        <f t="shared" si="63"/>
        <v>4.8000000000000001E-2</v>
      </c>
      <c r="L153" s="9">
        <f t="shared" si="64"/>
        <v>3.1780538303479458</v>
      </c>
      <c r="M153" s="8">
        <f>M152</f>
        <v>59.5</v>
      </c>
      <c r="N153" s="23">
        <f t="shared" si="62"/>
        <v>0.11899999999999999</v>
      </c>
      <c r="O153" s="9">
        <f t="shared" si="65"/>
        <v>4.0859763125515842</v>
      </c>
      <c r="P153" s="8">
        <f t="shared" si="66"/>
        <v>-35.5</v>
      </c>
      <c r="Q153" s="9">
        <f t="shared" si="67"/>
        <v>-4.6022464372203675</v>
      </c>
      <c r="R153" s="24">
        <f t="shared" si="68"/>
        <v>-43.580279145774647</v>
      </c>
      <c r="T153" s="25" t="s">
        <v>34</v>
      </c>
      <c r="U153" s="26" t="str">
        <f>IF(U151&lt;U150,"yes","no")</f>
        <v>yes</v>
      </c>
    </row>
    <row r="154" spans="7:21" x14ac:dyDescent="0.35">
      <c r="G154" s="8" t="str">
        <f>$A$11</f>
        <v>Positive</v>
      </c>
      <c r="H154" t="str">
        <f>$B$11</f>
        <v>Female</v>
      </c>
      <c r="I154" t="str">
        <f>$C$11</f>
        <v>Therapy 3</v>
      </c>
      <c r="J154" s="8">
        <f>$D$11</f>
        <v>80</v>
      </c>
      <c r="K154" s="23">
        <f t="shared" si="63"/>
        <v>0.16</v>
      </c>
      <c r="L154" s="9">
        <f t="shared" si="64"/>
        <v>4.3820266346738812</v>
      </c>
      <c r="M154" s="8">
        <f>M153</f>
        <v>59.5</v>
      </c>
      <c r="N154" s="23">
        <f t="shared" si="62"/>
        <v>0.11899999999999999</v>
      </c>
      <c r="O154" s="9">
        <f t="shared" si="65"/>
        <v>4.0859763125515842</v>
      </c>
      <c r="P154" s="8">
        <f t="shared" si="66"/>
        <v>20.5</v>
      </c>
      <c r="Q154" s="9">
        <f t="shared" si="67"/>
        <v>2.6576352665638741</v>
      </c>
      <c r="R154" s="24">
        <f t="shared" si="68"/>
        <v>47.368051539567517</v>
      </c>
    </row>
    <row r="155" spans="7:21" x14ac:dyDescent="0.35">
      <c r="G155" s="8" t="str">
        <f>$A$12</f>
        <v>Negative</v>
      </c>
      <c r="H155" t="str">
        <f>$B$12</f>
        <v>Male</v>
      </c>
      <c r="I155" t="str">
        <f>$C$12</f>
        <v>Therapy 1</v>
      </c>
      <c r="J155" s="8">
        <f>$D$12</f>
        <v>9</v>
      </c>
      <c r="K155" s="23">
        <f t="shared" si="63"/>
        <v>1.7999999999999999E-2</v>
      </c>
      <c r="L155" s="9">
        <f t="shared" si="64"/>
        <v>2.1972245773362196</v>
      </c>
      <c r="M155" s="8">
        <f>D73/(B27*C27)</f>
        <v>23.833333333333332</v>
      </c>
      <c r="N155" s="23">
        <f t="shared" si="62"/>
        <v>4.7666666666666663E-2</v>
      </c>
      <c r="O155" s="9">
        <f t="shared" si="65"/>
        <v>3.1710851610318525</v>
      </c>
      <c r="P155" s="8">
        <f t="shared" si="66"/>
        <v>-14.833333333333332</v>
      </c>
      <c r="Q155" s="9">
        <f t="shared" si="67"/>
        <v>-3.0384099018951889</v>
      </c>
      <c r="R155" s="24">
        <f t="shared" si="68"/>
        <v>-17.529490506521391</v>
      </c>
    </row>
    <row r="156" spans="7:21" x14ac:dyDescent="0.35">
      <c r="G156" s="8" t="str">
        <f>$A$13</f>
        <v>Negative</v>
      </c>
      <c r="H156" t="str">
        <f>$B$13</f>
        <v>Male</v>
      </c>
      <c r="I156" t="str">
        <f>$C$13</f>
        <v>Therapy 2</v>
      </c>
      <c r="J156" s="8">
        <f>$D$13</f>
        <v>12</v>
      </c>
      <c r="K156" s="23">
        <f t="shared" si="63"/>
        <v>2.4E-2</v>
      </c>
      <c r="L156" s="9">
        <f t="shared" si="64"/>
        <v>2.4849066497880004</v>
      </c>
      <c r="M156" s="8">
        <f>M155</f>
        <v>23.833333333333332</v>
      </c>
      <c r="N156" s="23">
        <f t="shared" si="62"/>
        <v>4.7666666666666663E-2</v>
      </c>
      <c r="O156" s="9">
        <f t="shared" si="65"/>
        <v>3.1710851610318525</v>
      </c>
      <c r="P156" s="8">
        <f t="shared" si="66"/>
        <v>-11.833333333333332</v>
      </c>
      <c r="Q156" s="9">
        <f t="shared" si="67"/>
        <v>-2.4239000340961621</v>
      </c>
      <c r="R156" s="24">
        <f t="shared" si="68"/>
        <v>-16.46828426985245</v>
      </c>
    </row>
    <row r="157" spans="7:21" x14ac:dyDescent="0.35">
      <c r="G157" s="8" t="str">
        <f>$A$14</f>
        <v>Negative</v>
      </c>
      <c r="H157" t="str">
        <f>$B$14</f>
        <v>Male</v>
      </c>
      <c r="I157" t="str">
        <f>$C$14</f>
        <v>Therapy 3</v>
      </c>
      <c r="J157" s="8">
        <f>$D$14</f>
        <v>17</v>
      </c>
      <c r="K157" s="23">
        <f t="shared" si="63"/>
        <v>3.4000000000000002E-2</v>
      </c>
      <c r="L157" s="9">
        <f t="shared" si="64"/>
        <v>2.8332133440562162</v>
      </c>
      <c r="M157" s="8">
        <f>M156</f>
        <v>23.833333333333332</v>
      </c>
      <c r="N157" s="23">
        <f t="shared" si="62"/>
        <v>4.7666666666666663E-2</v>
      </c>
      <c r="O157" s="9">
        <f t="shared" si="65"/>
        <v>3.1710851610318525</v>
      </c>
      <c r="P157" s="8">
        <f t="shared" si="66"/>
        <v>-6.8333333333333321</v>
      </c>
      <c r="Q157" s="9">
        <f t="shared" si="67"/>
        <v>-1.3997169210977836</v>
      </c>
      <c r="R157" s="24">
        <f t="shared" si="68"/>
        <v>-11.487641777171634</v>
      </c>
    </row>
    <row r="158" spans="7:21" x14ac:dyDescent="0.35">
      <c r="G158" s="8" t="str">
        <f>$A$15</f>
        <v>Negative</v>
      </c>
      <c r="H158" t="str">
        <f>$B$15</f>
        <v>Female</v>
      </c>
      <c r="I158" t="str">
        <f>$C$15</f>
        <v>Therapy 1</v>
      </c>
      <c r="J158" s="8">
        <f>$D$15</f>
        <v>16</v>
      </c>
      <c r="K158" s="23">
        <f t="shared" si="63"/>
        <v>3.2000000000000001E-2</v>
      </c>
      <c r="L158" s="9">
        <f t="shared" si="64"/>
        <v>2.7725887222397811</v>
      </c>
      <c r="M158" s="8">
        <f>M157</f>
        <v>23.833333333333332</v>
      </c>
      <c r="N158" s="23">
        <f t="shared" si="62"/>
        <v>4.7666666666666663E-2</v>
      </c>
      <c r="O158" s="9">
        <f t="shared" si="65"/>
        <v>3.1710851610318525</v>
      </c>
      <c r="P158" s="8">
        <f t="shared" si="66"/>
        <v>-7.8333333333333321</v>
      </c>
      <c r="Q158" s="9">
        <f t="shared" si="67"/>
        <v>-1.6045535436974594</v>
      </c>
      <c r="R158" s="24">
        <f t="shared" si="68"/>
        <v>-12.751886041346282</v>
      </c>
    </row>
    <row r="159" spans="7:21" x14ac:dyDescent="0.35">
      <c r="G159" s="8" t="str">
        <f>$A$16</f>
        <v>Negative</v>
      </c>
      <c r="H159" t="str">
        <f>$B$16</f>
        <v>Female</v>
      </c>
      <c r="I159" t="str">
        <f>$C$16</f>
        <v>Therapy 2</v>
      </c>
      <c r="J159" s="8">
        <f>$D$16</f>
        <v>33</v>
      </c>
      <c r="K159" s="23">
        <f t="shared" si="63"/>
        <v>6.6000000000000003E-2</v>
      </c>
      <c r="L159" s="9">
        <f t="shared" si="64"/>
        <v>3.4965075614664802</v>
      </c>
      <c r="M159" s="8">
        <f>M158</f>
        <v>23.833333333333332</v>
      </c>
      <c r="N159" s="23">
        <f t="shared" si="62"/>
        <v>4.7666666666666663E-2</v>
      </c>
      <c r="O159" s="9">
        <f t="shared" si="65"/>
        <v>3.1710851610318525</v>
      </c>
      <c r="P159" s="8">
        <f t="shared" si="66"/>
        <v>9.1666666666666679</v>
      </c>
      <c r="Q159" s="9">
        <f t="shared" si="67"/>
        <v>1.8776690404970273</v>
      </c>
      <c r="R159" s="24">
        <f t="shared" si="68"/>
        <v>21.477878428685433</v>
      </c>
    </row>
    <row r="160" spans="7:21" x14ac:dyDescent="0.35">
      <c r="G160" s="10" t="str">
        <f>$A$17</f>
        <v>Negative</v>
      </c>
      <c r="H160" s="11" t="str">
        <f>$B$17</f>
        <v>Female</v>
      </c>
      <c r="I160" s="11" t="str">
        <f>$C$17</f>
        <v>Therapy 3</v>
      </c>
      <c r="J160" s="10">
        <f>$D$17</f>
        <v>56</v>
      </c>
      <c r="K160" s="27">
        <f t="shared" si="63"/>
        <v>0.112</v>
      </c>
      <c r="L160" s="12">
        <f t="shared" si="64"/>
        <v>4.0253516907351496</v>
      </c>
      <c r="M160" s="10">
        <f>M159</f>
        <v>23.833333333333332</v>
      </c>
      <c r="N160" s="27">
        <f t="shared" si="62"/>
        <v>4.7666666666666663E-2</v>
      </c>
      <c r="O160" s="12">
        <f t="shared" si="65"/>
        <v>3.1710851610318525</v>
      </c>
      <c r="P160" s="10">
        <f t="shared" si="66"/>
        <v>32.166666666666671</v>
      </c>
      <c r="Q160" s="12">
        <f t="shared" si="67"/>
        <v>6.5889113602895693</v>
      </c>
      <c r="R160" s="28">
        <f t="shared" si="68"/>
        <v>95.677851326769286</v>
      </c>
    </row>
    <row r="161" spans="7:21" x14ac:dyDescent="0.35">
      <c r="R161">
        <f>SUM(R149:R160)</f>
        <v>138.95072251373131</v>
      </c>
    </row>
    <row r="163" spans="7:21" x14ac:dyDescent="0.35">
      <c r="G163" s="1" t="s">
        <v>77</v>
      </c>
    </row>
    <row r="165" spans="7:21" x14ac:dyDescent="0.35">
      <c r="J165" s="13" t="s">
        <v>19</v>
      </c>
      <c r="K165" s="14"/>
      <c r="L165" s="15"/>
      <c r="M165" s="13" t="s">
        <v>20</v>
      </c>
      <c r="N165" s="14"/>
      <c r="O165" s="15"/>
      <c r="P165" s="13" t="s">
        <v>21</v>
      </c>
      <c r="Q165" s="15"/>
    </row>
    <row r="166" spans="7:21" x14ac:dyDescent="0.35">
      <c r="G166" s="16" t="str">
        <f>$A$5</f>
        <v>Cure</v>
      </c>
      <c r="H166" s="3" t="str">
        <f>$B$5</f>
        <v>Gender</v>
      </c>
      <c r="I166" s="3" t="str">
        <f>$C$5</f>
        <v>Therapy</v>
      </c>
      <c r="J166" s="17" t="s">
        <v>22</v>
      </c>
      <c r="K166" s="18" t="s">
        <v>23</v>
      </c>
      <c r="L166" s="19" t="s">
        <v>24</v>
      </c>
      <c r="M166" s="17" t="s">
        <v>25</v>
      </c>
      <c r="N166" s="18" t="s">
        <v>23</v>
      </c>
      <c r="O166" s="19" t="s">
        <v>26</v>
      </c>
      <c r="P166" s="18" t="s">
        <v>27</v>
      </c>
      <c r="Q166" s="19" t="s">
        <v>28</v>
      </c>
      <c r="R166" s="20" t="s">
        <v>29</v>
      </c>
      <c r="T166" s="21" t="s">
        <v>29</v>
      </c>
      <c r="U166" s="22">
        <f>R179</f>
        <v>232.91857705587103</v>
      </c>
    </row>
    <row r="167" spans="7:21" x14ac:dyDescent="0.35">
      <c r="G167" s="8" t="str">
        <f>$A$6</f>
        <v>Positive</v>
      </c>
      <c r="H167" t="str">
        <f>$B$6</f>
        <v>Male</v>
      </c>
      <c r="I167" t="str">
        <f>$C$6</f>
        <v>Therapy 1</v>
      </c>
      <c r="J167" s="8">
        <f>$D$6</f>
        <v>59</v>
      </c>
      <c r="K167" s="23">
        <f>J167/$D$18</f>
        <v>0.11799999999999999</v>
      </c>
      <c r="L167" s="9">
        <f>LN(J167)</f>
        <v>4.0775374439057197</v>
      </c>
      <c r="M167" s="8">
        <f>D77/(A27*C27)</f>
        <v>43.166666666666664</v>
      </c>
      <c r="N167" s="23">
        <f t="shared" ref="N167:N178" si="69">M167/D$44</f>
        <v>8.6333333333333331E-2</v>
      </c>
      <c r="O167" s="9">
        <f>LN(M167)</f>
        <v>3.7650685924714828</v>
      </c>
      <c r="P167" s="5">
        <f>J167-M167</f>
        <v>15.833333333333336</v>
      </c>
      <c r="Q167" s="7">
        <f>P167/SQRT(M167)</f>
        <v>2.4098948748012452</v>
      </c>
      <c r="R167" s="24">
        <f>2*J167*(L167-O167)</f>
        <v>36.871324469239951</v>
      </c>
      <c r="T167" t="s">
        <v>30</v>
      </c>
      <c r="U167" s="24">
        <f>A27*B27*C27-B27</f>
        <v>10</v>
      </c>
    </row>
    <row r="168" spans="7:21" x14ac:dyDescent="0.35">
      <c r="G168" s="8" t="str">
        <f>$A$7</f>
        <v>Positive</v>
      </c>
      <c r="H168" t="str">
        <f>$B$7</f>
        <v>Male</v>
      </c>
      <c r="I168" t="str">
        <f>$C$7</f>
        <v>Therapy 2</v>
      </c>
      <c r="J168" s="8">
        <f>$D$7</f>
        <v>55</v>
      </c>
      <c r="K168" s="23">
        <f t="shared" ref="K168:K178" si="70">J168/$D$18</f>
        <v>0.11</v>
      </c>
      <c r="L168" s="9">
        <f t="shared" ref="L168:L178" si="71">LN(J168)</f>
        <v>4.0073331852324712</v>
      </c>
      <c r="M168" s="8">
        <f>M167</f>
        <v>43.166666666666664</v>
      </c>
      <c r="N168" s="23">
        <f t="shared" si="69"/>
        <v>8.6333333333333331E-2</v>
      </c>
      <c r="O168" s="9">
        <f t="shared" ref="O168:O178" si="72">LN(M168)</f>
        <v>3.7650685924714828</v>
      </c>
      <c r="P168" s="8">
        <f t="shared" ref="P168:P178" si="73">J168-M168</f>
        <v>11.833333333333336</v>
      </c>
      <c r="Q168" s="9">
        <f t="shared" ref="Q168:Q178" si="74">P168/SQRT(M168)</f>
        <v>1.8010793274830359</v>
      </c>
      <c r="R168" s="24">
        <f t="shared" ref="R168:R178" si="75">2*J168*(L168-O168)</f>
        <v>26.649105203708714</v>
      </c>
      <c r="T168" s="25" t="s">
        <v>31</v>
      </c>
      <c r="U168" s="24">
        <v>0.05</v>
      </c>
    </row>
    <row r="169" spans="7:21" x14ac:dyDescent="0.35">
      <c r="G169" s="8" t="str">
        <f>$A$8</f>
        <v>Positive</v>
      </c>
      <c r="H169" t="str">
        <f>$B$8</f>
        <v>Male</v>
      </c>
      <c r="I169" t="str">
        <f>$C$8</f>
        <v>Therapy 3</v>
      </c>
      <c r="J169" s="8">
        <f>$D$8</f>
        <v>107</v>
      </c>
      <c r="K169" s="23">
        <f t="shared" si="70"/>
        <v>0.214</v>
      </c>
      <c r="L169" s="9">
        <f t="shared" si="71"/>
        <v>4.6728288344619058</v>
      </c>
      <c r="M169" s="8">
        <f>M168</f>
        <v>43.166666666666664</v>
      </c>
      <c r="N169" s="23">
        <f t="shared" si="69"/>
        <v>8.6333333333333331E-2</v>
      </c>
      <c r="O169" s="9">
        <f t="shared" si="72"/>
        <v>3.7650685924714828</v>
      </c>
      <c r="P169" s="8">
        <f t="shared" si="73"/>
        <v>63.833333333333336</v>
      </c>
      <c r="Q169" s="9">
        <f t="shared" si="74"/>
        <v>9.715681442619756</v>
      </c>
      <c r="R169" s="24">
        <f t="shared" si="75"/>
        <v>194.26069178595051</v>
      </c>
      <c r="T169" s="25" t="s">
        <v>32</v>
      </c>
      <c r="U169" s="24">
        <f>CHIDIST(U166,U167)</f>
        <v>2.0984703602669198E-44</v>
      </c>
    </row>
    <row r="170" spans="7:21" x14ac:dyDescent="0.35">
      <c r="G170" s="8" t="str">
        <f>$A$9</f>
        <v>Positive</v>
      </c>
      <c r="H170" t="str">
        <f>$B$9</f>
        <v>Female</v>
      </c>
      <c r="I170" t="str">
        <f>$C$9</f>
        <v>Therapy 1</v>
      </c>
      <c r="J170" s="8">
        <f>$D$9</f>
        <v>32</v>
      </c>
      <c r="K170" s="23">
        <f t="shared" si="70"/>
        <v>6.4000000000000001E-2</v>
      </c>
      <c r="L170" s="9">
        <f t="shared" si="71"/>
        <v>3.4657359027997265</v>
      </c>
      <c r="M170" s="8">
        <f>D78/(A27*C27)</f>
        <v>40.166666666666664</v>
      </c>
      <c r="N170" s="23">
        <f t="shared" si="69"/>
        <v>8.0333333333333326E-2</v>
      </c>
      <c r="O170" s="9">
        <f t="shared" si="72"/>
        <v>3.6930374642625998</v>
      </c>
      <c r="P170" s="8">
        <f t="shared" si="73"/>
        <v>-8.1666666666666643</v>
      </c>
      <c r="Q170" s="9">
        <f t="shared" si="74"/>
        <v>-1.2885816234436311</v>
      </c>
      <c r="R170" s="24">
        <f t="shared" si="75"/>
        <v>-14.54729993362389</v>
      </c>
      <c r="T170" s="21" t="s">
        <v>33</v>
      </c>
      <c r="U170" s="24">
        <f>CHIINV(U168,U167)</f>
        <v>18.307038053275146</v>
      </c>
    </row>
    <row r="171" spans="7:21" x14ac:dyDescent="0.35">
      <c r="G171" s="8" t="str">
        <f>$A$10</f>
        <v>Positive</v>
      </c>
      <c r="H171" t="str">
        <f>$B$10</f>
        <v>Female</v>
      </c>
      <c r="I171" t="str">
        <f>$C$10</f>
        <v>Therapy 2</v>
      </c>
      <c r="J171" s="8">
        <f>$D$10</f>
        <v>24</v>
      </c>
      <c r="K171" s="23">
        <f t="shared" si="70"/>
        <v>4.8000000000000001E-2</v>
      </c>
      <c r="L171" s="9">
        <f t="shared" si="71"/>
        <v>3.1780538303479458</v>
      </c>
      <c r="M171" s="8">
        <f>M170</f>
        <v>40.166666666666664</v>
      </c>
      <c r="N171" s="23">
        <f t="shared" si="69"/>
        <v>8.0333333333333326E-2</v>
      </c>
      <c r="O171" s="9">
        <f t="shared" si="72"/>
        <v>3.6930374642625998</v>
      </c>
      <c r="P171" s="8">
        <f t="shared" si="73"/>
        <v>-16.166666666666664</v>
      </c>
      <c r="Q171" s="9">
        <f t="shared" si="74"/>
        <v>-2.5508656627353519</v>
      </c>
      <c r="R171" s="24">
        <f t="shared" si="75"/>
        <v>-24.719214427903395</v>
      </c>
      <c r="T171" s="25" t="s">
        <v>34</v>
      </c>
      <c r="U171" s="26" t="str">
        <f>IF(U169&lt;U168,"yes","no")</f>
        <v>yes</v>
      </c>
    </row>
    <row r="172" spans="7:21" x14ac:dyDescent="0.35">
      <c r="G172" s="8" t="str">
        <f>$A$11</f>
        <v>Positive</v>
      </c>
      <c r="H172" t="str">
        <f>$B$11</f>
        <v>Female</v>
      </c>
      <c r="I172" t="str">
        <f>$C$11</f>
        <v>Therapy 3</v>
      </c>
      <c r="J172" s="8">
        <f>$D$11</f>
        <v>80</v>
      </c>
      <c r="K172" s="23">
        <f t="shared" si="70"/>
        <v>0.16</v>
      </c>
      <c r="L172" s="9">
        <f t="shared" si="71"/>
        <v>4.3820266346738812</v>
      </c>
      <c r="M172" s="8">
        <f>M171</f>
        <v>40.166666666666664</v>
      </c>
      <c r="N172" s="23">
        <f t="shared" si="69"/>
        <v>8.0333333333333326E-2</v>
      </c>
      <c r="O172" s="9">
        <f t="shared" si="72"/>
        <v>3.6930374642625998</v>
      </c>
      <c r="P172" s="8">
        <f t="shared" si="73"/>
        <v>39.833333333333336</v>
      </c>
      <c r="Q172" s="9">
        <f t="shared" si="74"/>
        <v>6.2851226123066937</v>
      </c>
      <c r="R172" s="24">
        <f t="shared" si="75"/>
        <v>110.23826726580502</v>
      </c>
    </row>
    <row r="173" spans="7:21" x14ac:dyDescent="0.35">
      <c r="G173" s="8" t="str">
        <f>$A$12</f>
        <v>Negative</v>
      </c>
      <c r="H173" t="str">
        <f>$B$12</f>
        <v>Male</v>
      </c>
      <c r="I173" t="str">
        <f>$C$12</f>
        <v>Therapy 1</v>
      </c>
      <c r="J173" s="8">
        <f>$D$12</f>
        <v>9</v>
      </c>
      <c r="K173" s="23">
        <f t="shared" si="70"/>
        <v>1.7999999999999999E-2</v>
      </c>
      <c r="L173" s="9">
        <f t="shared" si="71"/>
        <v>2.1972245773362196</v>
      </c>
      <c r="M173" s="8">
        <f>M167</f>
        <v>43.166666666666664</v>
      </c>
      <c r="N173" s="23">
        <f t="shared" si="69"/>
        <v>8.6333333333333331E-2</v>
      </c>
      <c r="O173" s="9">
        <f t="shared" si="72"/>
        <v>3.7650685924714828</v>
      </c>
      <c r="P173" s="8">
        <f t="shared" si="73"/>
        <v>-34.166666666666664</v>
      </c>
      <c r="Q173" s="9">
        <f t="shared" si="74"/>
        <v>-5.2002994666763698</v>
      </c>
      <c r="R173" s="24">
        <f t="shared" si="75"/>
        <v>-28.221192272434738</v>
      </c>
    </row>
    <row r="174" spans="7:21" x14ac:dyDescent="0.35">
      <c r="G174" s="8" t="str">
        <f>$A$13</f>
        <v>Negative</v>
      </c>
      <c r="H174" t="str">
        <f>$B$13</f>
        <v>Male</v>
      </c>
      <c r="I174" t="str">
        <f>$C$13</f>
        <v>Therapy 2</v>
      </c>
      <c r="J174" s="8">
        <f>$D$13</f>
        <v>12</v>
      </c>
      <c r="K174" s="23">
        <f t="shared" si="70"/>
        <v>2.4E-2</v>
      </c>
      <c r="L174" s="9">
        <f t="shared" si="71"/>
        <v>2.4849066497880004</v>
      </c>
      <c r="M174" s="8">
        <f>M173</f>
        <v>43.166666666666664</v>
      </c>
      <c r="N174" s="23">
        <f t="shared" si="69"/>
        <v>8.6333333333333331E-2</v>
      </c>
      <c r="O174" s="9">
        <f t="shared" si="72"/>
        <v>3.7650685924714828</v>
      </c>
      <c r="P174" s="8">
        <f t="shared" si="73"/>
        <v>-31.166666666666664</v>
      </c>
      <c r="Q174" s="9">
        <f t="shared" si="74"/>
        <v>-4.7436878061877135</v>
      </c>
      <c r="R174" s="24">
        <f t="shared" si="75"/>
        <v>-30.72388662440358</v>
      </c>
    </row>
    <row r="175" spans="7:21" x14ac:dyDescent="0.35">
      <c r="G175" s="8" t="str">
        <f>$A$14</f>
        <v>Negative</v>
      </c>
      <c r="H175" t="str">
        <f>$B$14</f>
        <v>Male</v>
      </c>
      <c r="I175" t="str">
        <f>$C$14</f>
        <v>Therapy 3</v>
      </c>
      <c r="J175" s="8">
        <f>$D$14</f>
        <v>17</v>
      </c>
      <c r="K175" s="23">
        <f t="shared" si="70"/>
        <v>3.4000000000000002E-2</v>
      </c>
      <c r="L175" s="9">
        <f t="shared" si="71"/>
        <v>2.8332133440562162</v>
      </c>
      <c r="M175" s="8">
        <f>M174</f>
        <v>43.166666666666664</v>
      </c>
      <c r="N175" s="23">
        <f t="shared" si="69"/>
        <v>8.6333333333333331E-2</v>
      </c>
      <c r="O175" s="9">
        <f t="shared" si="72"/>
        <v>3.7650685924714828</v>
      </c>
      <c r="P175" s="8">
        <f t="shared" si="73"/>
        <v>-26.166666666666664</v>
      </c>
      <c r="Q175" s="9">
        <f t="shared" si="74"/>
        <v>-3.9826683720399516</v>
      </c>
      <c r="R175" s="24">
        <f t="shared" si="75"/>
        <v>-31.683078446119069</v>
      </c>
    </row>
    <row r="176" spans="7:21" x14ac:dyDescent="0.35">
      <c r="G176" s="8" t="str">
        <f>$A$15</f>
        <v>Negative</v>
      </c>
      <c r="H176" t="str">
        <f>$B$15</f>
        <v>Female</v>
      </c>
      <c r="I176" t="str">
        <f>$C$15</f>
        <v>Therapy 1</v>
      </c>
      <c r="J176" s="8">
        <f>$D$15</f>
        <v>16</v>
      </c>
      <c r="K176" s="23">
        <f t="shared" si="70"/>
        <v>3.2000000000000001E-2</v>
      </c>
      <c r="L176" s="9">
        <f t="shared" si="71"/>
        <v>2.7725887222397811</v>
      </c>
      <c r="M176" s="8">
        <f>M170</f>
        <v>40.166666666666664</v>
      </c>
      <c r="N176" s="23">
        <f t="shared" si="69"/>
        <v>8.0333333333333326E-2</v>
      </c>
      <c r="O176" s="9">
        <f t="shared" si="72"/>
        <v>3.6930374642625998</v>
      </c>
      <c r="P176" s="8">
        <f t="shared" si="73"/>
        <v>-24.166666666666664</v>
      </c>
      <c r="Q176" s="9">
        <f t="shared" si="74"/>
        <v>-3.8131497020270726</v>
      </c>
      <c r="R176" s="24">
        <f t="shared" si="75"/>
        <v>-29.454359744730198</v>
      </c>
    </row>
    <row r="177" spans="7:21" x14ac:dyDescent="0.35">
      <c r="G177" s="8" t="str">
        <f>$A$16</f>
        <v>Negative</v>
      </c>
      <c r="H177" t="str">
        <f>$B$16</f>
        <v>Female</v>
      </c>
      <c r="I177" t="str">
        <f>$C$16</f>
        <v>Therapy 2</v>
      </c>
      <c r="J177" s="8">
        <f>$D$16</f>
        <v>33</v>
      </c>
      <c r="K177" s="23">
        <f t="shared" si="70"/>
        <v>6.6000000000000003E-2</v>
      </c>
      <c r="L177" s="9">
        <f t="shared" si="71"/>
        <v>3.4965075614664802</v>
      </c>
      <c r="M177" s="8">
        <f>M176</f>
        <v>40.166666666666664</v>
      </c>
      <c r="N177" s="23">
        <f t="shared" si="69"/>
        <v>8.0333333333333326E-2</v>
      </c>
      <c r="O177" s="9">
        <f t="shared" si="72"/>
        <v>3.6930374642625998</v>
      </c>
      <c r="P177" s="8">
        <f t="shared" si="73"/>
        <v>-7.1666666666666643</v>
      </c>
      <c r="Q177" s="9">
        <f t="shared" si="74"/>
        <v>-1.1307961185321662</v>
      </c>
      <c r="R177" s="24">
        <f t="shared" si="75"/>
        <v>-12.970973584543893</v>
      </c>
    </row>
    <row r="178" spans="7:21" x14ac:dyDescent="0.35">
      <c r="G178" s="10" t="str">
        <f>$A$17</f>
        <v>Negative</v>
      </c>
      <c r="H178" s="11" t="str">
        <f>$B$17</f>
        <v>Female</v>
      </c>
      <c r="I178" s="11" t="str">
        <f>$C$17</f>
        <v>Therapy 3</v>
      </c>
      <c r="J178" s="10">
        <f>$D$17</f>
        <v>56</v>
      </c>
      <c r="K178" s="27">
        <f t="shared" si="70"/>
        <v>0.112</v>
      </c>
      <c r="L178" s="12">
        <f t="shared" si="71"/>
        <v>4.0253516907351496</v>
      </c>
      <c r="M178" s="10">
        <f>M177</f>
        <v>40.166666666666664</v>
      </c>
      <c r="N178" s="27">
        <f t="shared" si="69"/>
        <v>8.0333333333333326E-2</v>
      </c>
      <c r="O178" s="12">
        <f t="shared" si="72"/>
        <v>3.6930374642625998</v>
      </c>
      <c r="P178" s="10">
        <f t="shared" si="73"/>
        <v>15.833333333333336</v>
      </c>
      <c r="Q178" s="12">
        <f t="shared" si="74"/>
        <v>2.498270494431531</v>
      </c>
      <c r="R178" s="28">
        <f t="shared" si="75"/>
        <v>37.21919336492558</v>
      </c>
    </row>
    <row r="179" spans="7:21" x14ac:dyDescent="0.35">
      <c r="R179">
        <f>SUM(R167:R178)</f>
        <v>232.91857705587103</v>
      </c>
    </row>
    <row r="181" spans="7:21" x14ac:dyDescent="0.35">
      <c r="G181" s="1" t="s">
        <v>78</v>
      </c>
    </row>
    <row r="183" spans="7:21" x14ac:dyDescent="0.35">
      <c r="J183" s="13" t="s">
        <v>19</v>
      </c>
      <c r="K183" s="14"/>
      <c r="L183" s="15"/>
      <c r="M183" s="13" t="s">
        <v>20</v>
      </c>
      <c r="N183" s="14"/>
      <c r="O183" s="15"/>
      <c r="P183" s="13" t="s">
        <v>21</v>
      </c>
      <c r="Q183" s="15"/>
    </row>
    <row r="184" spans="7:21" x14ac:dyDescent="0.35">
      <c r="G184" s="16" t="str">
        <f>$A$5</f>
        <v>Cure</v>
      </c>
      <c r="H184" s="3" t="str">
        <f>$B$5</f>
        <v>Gender</v>
      </c>
      <c r="I184" s="3" t="str">
        <f>$C$5</f>
        <v>Therapy</v>
      </c>
      <c r="J184" s="17" t="s">
        <v>22</v>
      </c>
      <c r="K184" s="18" t="s">
        <v>23</v>
      </c>
      <c r="L184" s="19" t="s">
        <v>24</v>
      </c>
      <c r="M184" s="17" t="s">
        <v>25</v>
      </c>
      <c r="N184" s="18" t="s">
        <v>23</v>
      </c>
      <c r="O184" s="19" t="s">
        <v>26</v>
      </c>
      <c r="P184" s="18" t="s">
        <v>27</v>
      </c>
      <c r="Q184" s="19" t="s">
        <v>28</v>
      </c>
      <c r="R184" s="20" t="s">
        <v>29</v>
      </c>
      <c r="T184" s="21" t="s">
        <v>29</v>
      </c>
      <c r="U184" s="22">
        <f>R197</f>
        <v>159.74532611576285</v>
      </c>
    </row>
    <row r="185" spans="7:21" x14ac:dyDescent="0.35">
      <c r="G185" s="8" t="str">
        <f>$A$6</f>
        <v>Positive</v>
      </c>
      <c r="H185" t="str">
        <f>$B$6</f>
        <v>Male</v>
      </c>
      <c r="I185" t="str">
        <f>$C$6</f>
        <v>Therapy 1</v>
      </c>
      <c r="J185" s="8">
        <f>$D$6</f>
        <v>59</v>
      </c>
      <c r="K185" s="23">
        <f>J185/$D$18</f>
        <v>0.11799999999999999</v>
      </c>
      <c r="L185" s="9">
        <f>LN(J185)</f>
        <v>4.0775374439057197</v>
      </c>
      <c r="M185" s="8">
        <f>D82/(A27*B27)</f>
        <v>29</v>
      </c>
      <c r="N185" s="23">
        <f t="shared" ref="N185:N196" si="76">M185/D$44</f>
        <v>5.8000000000000003E-2</v>
      </c>
      <c r="O185" s="9">
        <f>LN(M185)</f>
        <v>3.3672958299864741</v>
      </c>
      <c r="P185" s="5">
        <f>J185-M185</f>
        <v>30</v>
      </c>
      <c r="Q185" s="7">
        <f>P185/SQRT(M185)</f>
        <v>5.5708601453115563</v>
      </c>
      <c r="R185" s="24">
        <f>2*J185*(L185-O185)</f>
        <v>83.808510442470975</v>
      </c>
      <c r="T185" t="s">
        <v>30</v>
      </c>
      <c r="U185" s="24">
        <f>A27*B27*C27-C27</f>
        <v>9</v>
      </c>
    </row>
    <row r="186" spans="7:21" x14ac:dyDescent="0.35">
      <c r="G186" s="8" t="str">
        <f>$A$7</f>
        <v>Positive</v>
      </c>
      <c r="H186" t="str">
        <f>$B$7</f>
        <v>Male</v>
      </c>
      <c r="I186" t="str">
        <f>$C$7</f>
        <v>Therapy 2</v>
      </c>
      <c r="J186" s="8">
        <f>$D$7</f>
        <v>55</v>
      </c>
      <c r="K186" s="23">
        <f t="shared" ref="K186:K196" si="77">J186/$D$18</f>
        <v>0.11</v>
      </c>
      <c r="L186" s="9">
        <f t="shared" ref="L186:L196" si="78">LN(J186)</f>
        <v>4.0073331852324712</v>
      </c>
      <c r="M186" s="8">
        <f>D83/(A27*B27)</f>
        <v>31</v>
      </c>
      <c r="N186" s="23">
        <f t="shared" si="76"/>
        <v>6.2E-2</v>
      </c>
      <c r="O186" s="9">
        <f t="shared" ref="O186:O196" si="79">LN(M186)</f>
        <v>3.4339872044851463</v>
      </c>
      <c r="P186" s="8">
        <f t="shared" ref="P186:P196" si="80">J186-M186</f>
        <v>24</v>
      </c>
      <c r="Q186" s="9">
        <f t="shared" ref="Q186:Q196" si="81">P186/SQRT(M186)</f>
        <v>4.3105272486425976</v>
      </c>
      <c r="R186" s="24">
        <f t="shared" ref="R186:R196" si="82">2*J186*(L186-O186)</f>
        <v>63.068057882205736</v>
      </c>
      <c r="T186" s="25" t="s">
        <v>31</v>
      </c>
      <c r="U186" s="24">
        <v>0.05</v>
      </c>
    </row>
    <row r="187" spans="7:21" x14ac:dyDescent="0.35">
      <c r="G187" s="8" t="str">
        <f>$A$8</f>
        <v>Positive</v>
      </c>
      <c r="H187" t="str">
        <f>$B$8</f>
        <v>Male</v>
      </c>
      <c r="I187" t="str">
        <f>$C$8</f>
        <v>Therapy 3</v>
      </c>
      <c r="J187" s="8">
        <f>$D$8</f>
        <v>107</v>
      </c>
      <c r="K187" s="23">
        <f t="shared" si="77"/>
        <v>0.214</v>
      </c>
      <c r="L187" s="9">
        <f t="shared" si="78"/>
        <v>4.6728288344619058</v>
      </c>
      <c r="M187" s="8">
        <f>D84/(A27*B27)</f>
        <v>65</v>
      </c>
      <c r="N187" s="23">
        <f t="shared" si="76"/>
        <v>0.13</v>
      </c>
      <c r="O187" s="9">
        <f t="shared" si="79"/>
        <v>4.1743872698956368</v>
      </c>
      <c r="P187" s="8">
        <f t="shared" si="80"/>
        <v>42</v>
      </c>
      <c r="Q187" s="9">
        <f t="shared" si="81"/>
        <v>5.2094588527467556</v>
      </c>
      <c r="R187" s="24">
        <f t="shared" si="82"/>
        <v>106.66649481718156</v>
      </c>
      <c r="T187" s="25" t="s">
        <v>32</v>
      </c>
      <c r="U187" s="24">
        <f>CHIDIST(U184,U185)</f>
        <v>8.3887848704672969E-30</v>
      </c>
    </row>
    <row r="188" spans="7:21" x14ac:dyDescent="0.35">
      <c r="G188" s="8" t="str">
        <f>$A$9</f>
        <v>Positive</v>
      </c>
      <c r="H188" t="str">
        <f>$B$9</f>
        <v>Female</v>
      </c>
      <c r="I188" t="str">
        <f>$C$9</f>
        <v>Therapy 1</v>
      </c>
      <c r="J188" s="8">
        <f>$D$9</f>
        <v>32</v>
      </c>
      <c r="K188" s="23">
        <f t="shared" si="77"/>
        <v>6.4000000000000001E-2</v>
      </c>
      <c r="L188" s="9">
        <f t="shared" si="78"/>
        <v>3.4657359027997265</v>
      </c>
      <c r="M188" s="8">
        <f>M185</f>
        <v>29</v>
      </c>
      <c r="N188" s="23">
        <f t="shared" si="76"/>
        <v>5.8000000000000003E-2</v>
      </c>
      <c r="O188" s="9">
        <f t="shared" si="79"/>
        <v>3.3672958299864741</v>
      </c>
      <c r="P188" s="8">
        <f t="shared" si="80"/>
        <v>3</v>
      </c>
      <c r="Q188" s="9">
        <f t="shared" si="81"/>
        <v>0.55708601453115558</v>
      </c>
      <c r="R188" s="24">
        <f t="shared" si="82"/>
        <v>6.3001646600481536</v>
      </c>
      <c r="T188" s="21" t="s">
        <v>33</v>
      </c>
      <c r="U188" s="24">
        <f>CHIINV(U186,U185)</f>
        <v>16.918977604620451</v>
      </c>
    </row>
    <row r="189" spans="7:21" x14ac:dyDescent="0.35">
      <c r="G189" s="8" t="str">
        <f>$A$10</f>
        <v>Positive</v>
      </c>
      <c r="H189" t="str">
        <f>$B$10</f>
        <v>Female</v>
      </c>
      <c r="I189" t="str">
        <f>$C$10</f>
        <v>Therapy 2</v>
      </c>
      <c r="J189" s="8">
        <f>$D$10</f>
        <v>24</v>
      </c>
      <c r="K189" s="23">
        <f t="shared" si="77"/>
        <v>4.8000000000000001E-2</v>
      </c>
      <c r="L189" s="9">
        <f t="shared" si="78"/>
        <v>3.1780538303479458</v>
      </c>
      <c r="M189" s="8">
        <f>M186</f>
        <v>31</v>
      </c>
      <c r="N189" s="23">
        <f t="shared" si="76"/>
        <v>6.2E-2</v>
      </c>
      <c r="O189" s="9">
        <f t="shared" si="79"/>
        <v>3.4339872044851463</v>
      </c>
      <c r="P189" s="8">
        <f t="shared" si="80"/>
        <v>-7</v>
      </c>
      <c r="Q189" s="9">
        <f t="shared" si="81"/>
        <v>-1.2572371141874243</v>
      </c>
      <c r="R189" s="24">
        <f t="shared" si="82"/>
        <v>-12.284801958585625</v>
      </c>
      <c r="T189" s="25" t="s">
        <v>34</v>
      </c>
      <c r="U189" s="26" t="str">
        <f>IF(U187&lt;U186,"yes","no")</f>
        <v>yes</v>
      </c>
    </row>
    <row r="190" spans="7:21" x14ac:dyDescent="0.35">
      <c r="G190" s="8" t="str">
        <f>$A$11</f>
        <v>Positive</v>
      </c>
      <c r="H190" t="str">
        <f>$B$11</f>
        <v>Female</v>
      </c>
      <c r="I190" t="str">
        <f>$C$11</f>
        <v>Therapy 3</v>
      </c>
      <c r="J190" s="8">
        <f>$D$11</f>
        <v>80</v>
      </c>
      <c r="K190" s="23">
        <f t="shared" si="77"/>
        <v>0.16</v>
      </c>
      <c r="L190" s="9">
        <f t="shared" si="78"/>
        <v>4.3820266346738812</v>
      </c>
      <c r="M190" s="8">
        <f>M187</f>
        <v>65</v>
      </c>
      <c r="N190" s="23">
        <f t="shared" si="76"/>
        <v>0.13</v>
      </c>
      <c r="O190" s="9">
        <f t="shared" si="79"/>
        <v>4.1743872698956368</v>
      </c>
      <c r="P190" s="8">
        <f t="shared" si="80"/>
        <v>15</v>
      </c>
      <c r="Q190" s="9">
        <f t="shared" si="81"/>
        <v>1.8605210188381269</v>
      </c>
      <c r="R190" s="24">
        <f t="shared" si="82"/>
        <v>33.222298364519105</v>
      </c>
    </row>
    <row r="191" spans="7:21" x14ac:dyDescent="0.35">
      <c r="G191" s="8" t="str">
        <f>$A$12</f>
        <v>Negative</v>
      </c>
      <c r="H191" t="str">
        <f>$B$12</f>
        <v>Male</v>
      </c>
      <c r="I191" t="str">
        <f>$C$12</f>
        <v>Therapy 1</v>
      </c>
      <c r="J191" s="8">
        <f>$D$12</f>
        <v>9</v>
      </c>
      <c r="K191" s="23">
        <f t="shared" si="77"/>
        <v>1.7999999999999999E-2</v>
      </c>
      <c r="L191" s="9">
        <f t="shared" si="78"/>
        <v>2.1972245773362196</v>
      </c>
      <c r="M191" s="8">
        <f>M185</f>
        <v>29</v>
      </c>
      <c r="N191" s="23">
        <f t="shared" si="76"/>
        <v>5.8000000000000003E-2</v>
      </c>
      <c r="O191" s="9">
        <f t="shared" si="79"/>
        <v>3.3672958299864741</v>
      </c>
      <c r="P191" s="8">
        <f t="shared" si="80"/>
        <v>-20</v>
      </c>
      <c r="Q191" s="9">
        <f t="shared" si="81"/>
        <v>-3.7139067635410377</v>
      </c>
      <c r="R191" s="24">
        <f t="shared" si="82"/>
        <v>-21.061282547704582</v>
      </c>
    </row>
    <row r="192" spans="7:21" x14ac:dyDescent="0.35">
      <c r="G192" s="8" t="str">
        <f>$A$13</f>
        <v>Negative</v>
      </c>
      <c r="H192" t="str">
        <f>$B$13</f>
        <v>Male</v>
      </c>
      <c r="I192" t="str">
        <f>$C$13</f>
        <v>Therapy 2</v>
      </c>
      <c r="J192" s="8">
        <f>$D$13</f>
        <v>12</v>
      </c>
      <c r="K192" s="23">
        <f t="shared" si="77"/>
        <v>2.4E-2</v>
      </c>
      <c r="L192" s="9">
        <f t="shared" si="78"/>
        <v>2.4849066497880004</v>
      </c>
      <c r="M192" s="8">
        <f>M186</f>
        <v>31</v>
      </c>
      <c r="N192" s="23">
        <f t="shared" si="76"/>
        <v>6.2E-2</v>
      </c>
      <c r="O192" s="9">
        <f t="shared" si="79"/>
        <v>3.4339872044851463</v>
      </c>
      <c r="P192" s="8">
        <f t="shared" si="80"/>
        <v>-19</v>
      </c>
      <c r="Q192" s="9">
        <f t="shared" si="81"/>
        <v>-3.4125007385087232</v>
      </c>
      <c r="R192" s="24">
        <f t="shared" si="82"/>
        <v>-22.777933312731502</v>
      </c>
    </row>
    <row r="193" spans="7:21" x14ac:dyDescent="0.35">
      <c r="G193" s="8" t="str">
        <f>$A$14</f>
        <v>Negative</v>
      </c>
      <c r="H193" t="str">
        <f>$B$14</f>
        <v>Male</v>
      </c>
      <c r="I193" t="str">
        <f>$C$14</f>
        <v>Therapy 3</v>
      </c>
      <c r="J193" s="8">
        <f>$D$14</f>
        <v>17</v>
      </c>
      <c r="K193" s="23">
        <f t="shared" si="77"/>
        <v>3.4000000000000002E-2</v>
      </c>
      <c r="L193" s="9">
        <f t="shared" si="78"/>
        <v>2.8332133440562162</v>
      </c>
      <c r="M193" s="8">
        <f>M187</f>
        <v>65</v>
      </c>
      <c r="N193" s="23">
        <f t="shared" si="76"/>
        <v>0.13</v>
      </c>
      <c r="O193" s="9">
        <f t="shared" si="79"/>
        <v>4.1743872698956368</v>
      </c>
      <c r="P193" s="8">
        <f t="shared" si="80"/>
        <v>-48</v>
      </c>
      <c r="Q193" s="9">
        <f t="shared" si="81"/>
        <v>-5.953667260282006</v>
      </c>
      <c r="R193" s="24">
        <f t="shared" si="82"/>
        <v>-45.599913478540302</v>
      </c>
    </row>
    <row r="194" spans="7:21" x14ac:dyDescent="0.35">
      <c r="G194" s="8" t="str">
        <f>$A$15</f>
        <v>Negative</v>
      </c>
      <c r="H194" t="str">
        <f>$B$15</f>
        <v>Female</v>
      </c>
      <c r="I194" t="str">
        <f>$C$15</f>
        <v>Therapy 1</v>
      </c>
      <c r="J194" s="8">
        <f>$D$15</f>
        <v>16</v>
      </c>
      <c r="K194" s="23">
        <f t="shared" si="77"/>
        <v>3.2000000000000001E-2</v>
      </c>
      <c r="L194" s="9">
        <f t="shared" si="78"/>
        <v>2.7725887222397811</v>
      </c>
      <c r="M194" s="8">
        <f>M185</f>
        <v>29</v>
      </c>
      <c r="N194" s="23">
        <f t="shared" si="76"/>
        <v>5.8000000000000003E-2</v>
      </c>
      <c r="O194" s="9">
        <f t="shared" si="79"/>
        <v>3.3672958299864741</v>
      </c>
      <c r="P194" s="8">
        <f t="shared" si="80"/>
        <v>-13</v>
      </c>
      <c r="Q194" s="9">
        <f t="shared" si="81"/>
        <v>-2.4140393963016744</v>
      </c>
      <c r="R194" s="24">
        <f t="shared" si="82"/>
        <v>-19.030627447894176</v>
      </c>
    </row>
    <row r="195" spans="7:21" x14ac:dyDescent="0.35">
      <c r="G195" s="8" t="str">
        <f>$A$16</f>
        <v>Negative</v>
      </c>
      <c r="H195" t="str">
        <f>$B$16</f>
        <v>Female</v>
      </c>
      <c r="I195" t="str">
        <f>$C$16</f>
        <v>Therapy 2</v>
      </c>
      <c r="J195" s="8">
        <f>$D$16</f>
        <v>33</v>
      </c>
      <c r="K195" s="23">
        <f t="shared" si="77"/>
        <v>6.6000000000000003E-2</v>
      </c>
      <c r="L195" s="9">
        <f t="shared" si="78"/>
        <v>3.4965075614664802</v>
      </c>
      <c r="M195" s="8">
        <f>M186</f>
        <v>31</v>
      </c>
      <c r="N195" s="23">
        <f t="shared" si="76"/>
        <v>6.2E-2</v>
      </c>
      <c r="O195" s="9">
        <f t="shared" si="79"/>
        <v>3.4339872044851463</v>
      </c>
      <c r="P195" s="8">
        <f t="shared" si="80"/>
        <v>2</v>
      </c>
      <c r="Q195" s="9">
        <f t="shared" si="81"/>
        <v>0.35921060405354982</v>
      </c>
      <c r="R195" s="24">
        <f t="shared" si="82"/>
        <v>4.1263435607680412</v>
      </c>
    </row>
    <row r="196" spans="7:21" x14ac:dyDescent="0.35">
      <c r="G196" s="10" t="str">
        <f>$A$17</f>
        <v>Negative</v>
      </c>
      <c r="H196" s="11" t="str">
        <f>$B$17</f>
        <v>Female</v>
      </c>
      <c r="I196" s="11" t="str">
        <f>$C$17</f>
        <v>Therapy 3</v>
      </c>
      <c r="J196" s="10">
        <f>$D$17</f>
        <v>56</v>
      </c>
      <c r="K196" s="27">
        <f t="shared" si="77"/>
        <v>0.112</v>
      </c>
      <c r="L196" s="12">
        <f t="shared" si="78"/>
        <v>4.0253516907351496</v>
      </c>
      <c r="M196" s="10">
        <f>M187</f>
        <v>65</v>
      </c>
      <c r="N196" s="27">
        <f t="shared" si="76"/>
        <v>0.13</v>
      </c>
      <c r="O196" s="12">
        <f t="shared" si="79"/>
        <v>4.1743872698956368</v>
      </c>
      <c r="P196" s="10">
        <f t="shared" si="80"/>
        <v>-9</v>
      </c>
      <c r="Q196" s="12">
        <f t="shared" si="81"/>
        <v>-1.1163126113028761</v>
      </c>
      <c r="R196" s="28">
        <f t="shared" si="82"/>
        <v>-16.691984865974561</v>
      </c>
    </row>
    <row r="197" spans="7:21" x14ac:dyDescent="0.35">
      <c r="R197">
        <f>SUM(R185:R196)</f>
        <v>159.74532611576285</v>
      </c>
    </row>
    <row r="199" spans="7:21" x14ac:dyDescent="0.35">
      <c r="G199" s="1" t="s">
        <v>79</v>
      </c>
    </row>
    <row r="201" spans="7:21" x14ac:dyDescent="0.35">
      <c r="J201" s="13" t="s">
        <v>19</v>
      </c>
      <c r="K201" s="14"/>
      <c r="L201" s="15"/>
      <c r="M201" s="13" t="s">
        <v>20</v>
      </c>
      <c r="N201" s="14"/>
      <c r="O201" s="15"/>
      <c r="P201" s="13" t="s">
        <v>21</v>
      </c>
      <c r="Q201" s="15"/>
    </row>
    <row r="202" spans="7:21" x14ac:dyDescent="0.35">
      <c r="G202" s="16" t="str">
        <f>$A$5</f>
        <v>Cure</v>
      </c>
      <c r="H202" s="3" t="str">
        <f>$B$5</f>
        <v>Gender</v>
      </c>
      <c r="I202" s="3" t="str">
        <f>$C$5</f>
        <v>Therapy</v>
      </c>
      <c r="J202" s="17" t="s">
        <v>22</v>
      </c>
      <c r="K202" s="18" t="s">
        <v>23</v>
      </c>
      <c r="L202" s="19" t="s">
        <v>24</v>
      </c>
      <c r="M202" s="17" t="s">
        <v>25</v>
      </c>
      <c r="N202" s="18" t="s">
        <v>23</v>
      </c>
      <c r="O202" s="19" t="s">
        <v>26</v>
      </c>
      <c r="P202" s="18" t="s">
        <v>27</v>
      </c>
      <c r="Q202" s="19" t="s">
        <v>28</v>
      </c>
      <c r="R202" s="20" t="s">
        <v>29</v>
      </c>
      <c r="T202" s="21" t="s">
        <v>29</v>
      </c>
      <c r="U202" s="22">
        <f>R215</f>
        <v>85.862189735443735</v>
      </c>
    </row>
    <row r="203" spans="7:21" x14ac:dyDescent="0.35">
      <c r="G203" s="8" t="str">
        <f>$A$6</f>
        <v>Positive</v>
      </c>
      <c r="H203" t="str">
        <f>$B$6</f>
        <v>Male</v>
      </c>
      <c r="I203" t="str">
        <f>$C$6</f>
        <v>Therapy 1</v>
      </c>
      <c r="J203" s="8">
        <f>$D$6</f>
        <v>59</v>
      </c>
      <c r="K203" s="23">
        <f>J203/$D$18</f>
        <v>0.11799999999999999</v>
      </c>
      <c r="L203" s="9">
        <f>LN(J203)</f>
        <v>4.0775374439057197</v>
      </c>
      <c r="M203" s="8">
        <f>D47/$C$27</f>
        <v>73.666666666666671</v>
      </c>
      <c r="N203" s="23">
        <f t="shared" ref="N203:N214" si="83">M203/D$44</f>
        <v>0.14733333333333334</v>
      </c>
      <c r="O203" s="9">
        <f>LN(M203)</f>
        <v>4.2995504128496433</v>
      </c>
      <c r="P203" s="5">
        <f>J203-M203</f>
        <v>-14.666666666666671</v>
      </c>
      <c r="Q203" s="7">
        <f>P203/SQRT(M203)</f>
        <v>-1.7088184022373585</v>
      </c>
      <c r="R203" s="24">
        <f>2*J203*(L203-O203)</f>
        <v>-26.197530335382989</v>
      </c>
      <c r="T203" t="s">
        <v>30</v>
      </c>
      <c r="U203" s="24">
        <f>(C27-1)*A27*B27</f>
        <v>8</v>
      </c>
    </row>
    <row r="204" spans="7:21" x14ac:dyDescent="0.35">
      <c r="G204" s="8" t="str">
        <f>$A$7</f>
        <v>Positive</v>
      </c>
      <c r="H204" t="str">
        <f>$B$7</f>
        <v>Male</v>
      </c>
      <c r="I204" t="str">
        <f>$C$7</f>
        <v>Therapy 2</v>
      </c>
      <c r="J204" s="8">
        <f>$D$7</f>
        <v>55</v>
      </c>
      <c r="K204" s="23">
        <f t="shared" ref="K204:K214" si="84">J204/$D$18</f>
        <v>0.11</v>
      </c>
      <c r="L204" s="9">
        <f t="shared" ref="L204:L214" si="85">LN(J204)</f>
        <v>4.0073331852324712</v>
      </c>
      <c r="M204" s="8">
        <f>M203</f>
        <v>73.666666666666671</v>
      </c>
      <c r="N204" s="23">
        <f t="shared" si="83"/>
        <v>0.14733333333333334</v>
      </c>
      <c r="O204" s="9">
        <f t="shared" ref="O204:O214" si="86">LN(M204)</f>
        <v>4.2995504128496433</v>
      </c>
      <c r="P204" s="8">
        <f t="shared" ref="P204:P214" si="87">J204-M204</f>
        <v>-18.666666666666671</v>
      </c>
      <c r="Q204" s="9">
        <f t="shared" ref="Q204:Q214" si="88">P204/SQRT(M204)</f>
        <v>-2.1748597846657289</v>
      </c>
      <c r="R204" s="24">
        <f t="shared" ref="R204:R214" si="89">2*J204*(L204-O204)</f>
        <v>-32.143895037888939</v>
      </c>
      <c r="T204" s="25" t="s">
        <v>31</v>
      </c>
      <c r="U204" s="24">
        <v>0.05</v>
      </c>
    </row>
    <row r="205" spans="7:21" x14ac:dyDescent="0.35">
      <c r="G205" s="8" t="str">
        <f>$A$8</f>
        <v>Positive</v>
      </c>
      <c r="H205" t="str">
        <f>$B$8</f>
        <v>Male</v>
      </c>
      <c r="I205" t="str">
        <f>$C$8</f>
        <v>Therapy 3</v>
      </c>
      <c r="J205" s="8">
        <f>$D$8</f>
        <v>107</v>
      </c>
      <c r="K205" s="23">
        <f t="shared" si="84"/>
        <v>0.214</v>
      </c>
      <c r="L205" s="9">
        <f t="shared" si="85"/>
        <v>4.6728288344619058</v>
      </c>
      <c r="M205" s="8">
        <f>M204</f>
        <v>73.666666666666671</v>
      </c>
      <c r="N205" s="23">
        <f t="shared" si="83"/>
        <v>0.14733333333333334</v>
      </c>
      <c r="O205" s="9">
        <f t="shared" si="86"/>
        <v>4.2995504128496433</v>
      </c>
      <c r="P205" s="8">
        <f t="shared" si="87"/>
        <v>33.333333333333329</v>
      </c>
      <c r="Q205" s="9">
        <f t="shared" si="88"/>
        <v>3.8836781869030861</v>
      </c>
      <c r="R205" s="24">
        <f t="shared" si="89"/>
        <v>79.881582225024161</v>
      </c>
      <c r="T205" s="25" t="s">
        <v>32</v>
      </c>
      <c r="U205" s="24">
        <f>CHIDIST(U202,U203)</f>
        <v>3.2070964562435109E-15</v>
      </c>
    </row>
    <row r="206" spans="7:21" x14ac:dyDescent="0.35">
      <c r="G206" s="8" t="str">
        <f>$A$9</f>
        <v>Positive</v>
      </c>
      <c r="H206" t="str">
        <f>$B$9</f>
        <v>Female</v>
      </c>
      <c r="I206" t="str">
        <f>$C$9</f>
        <v>Therapy 1</v>
      </c>
      <c r="J206" s="8">
        <f>$D$9</f>
        <v>32</v>
      </c>
      <c r="K206" s="23">
        <f t="shared" si="84"/>
        <v>6.4000000000000001E-2</v>
      </c>
      <c r="L206" s="9">
        <f t="shared" si="85"/>
        <v>3.4657359027997265</v>
      </c>
      <c r="M206" s="8">
        <f>D48/$C$27</f>
        <v>45.333333333333336</v>
      </c>
      <c r="N206" s="23">
        <f t="shared" si="83"/>
        <v>9.0666666666666673E-2</v>
      </c>
      <c r="O206" s="9">
        <f t="shared" si="86"/>
        <v>3.8140425970679424</v>
      </c>
      <c r="P206" s="8">
        <f t="shared" si="87"/>
        <v>-13.333333333333336</v>
      </c>
      <c r="Q206" s="9">
        <f t="shared" si="88"/>
        <v>-1.9802950859533488</v>
      </c>
      <c r="R206" s="24">
        <f t="shared" si="89"/>
        <v>-22.291628433165812</v>
      </c>
      <c r="T206" s="21" t="s">
        <v>33</v>
      </c>
      <c r="U206" s="24">
        <f>CHIINV(U204,U203)</f>
        <v>15.507313055865453</v>
      </c>
    </row>
    <row r="207" spans="7:21" x14ac:dyDescent="0.35">
      <c r="G207" s="8" t="str">
        <f>$A$10</f>
        <v>Positive</v>
      </c>
      <c r="H207" t="str">
        <f>$B$10</f>
        <v>Female</v>
      </c>
      <c r="I207" t="str">
        <f>$C$10</f>
        <v>Therapy 2</v>
      </c>
      <c r="J207" s="8">
        <f>$D$10</f>
        <v>24</v>
      </c>
      <c r="K207" s="23">
        <f t="shared" si="84"/>
        <v>4.8000000000000001E-2</v>
      </c>
      <c r="L207" s="9">
        <f t="shared" si="85"/>
        <v>3.1780538303479458</v>
      </c>
      <c r="M207" s="8">
        <f>M206</f>
        <v>45.333333333333336</v>
      </c>
      <c r="N207" s="23">
        <f t="shared" si="83"/>
        <v>9.0666666666666673E-2</v>
      </c>
      <c r="O207" s="9">
        <f t="shared" si="86"/>
        <v>3.8140425970679424</v>
      </c>
      <c r="P207" s="8">
        <f t="shared" si="87"/>
        <v>-21.333333333333336</v>
      </c>
      <c r="Q207" s="9">
        <f t="shared" si="88"/>
        <v>-3.1684721375253577</v>
      </c>
      <c r="R207" s="24">
        <f t="shared" si="89"/>
        <v>-30.527460802559837</v>
      </c>
      <c r="T207" s="25" t="s">
        <v>34</v>
      </c>
      <c r="U207" s="26" t="str">
        <f>IF(U205&lt;U204,"yes","no")</f>
        <v>yes</v>
      </c>
    </row>
    <row r="208" spans="7:21" x14ac:dyDescent="0.35">
      <c r="G208" s="8" t="str">
        <f>$A$11</f>
        <v>Positive</v>
      </c>
      <c r="H208" t="str">
        <f>$B$11</f>
        <v>Female</v>
      </c>
      <c r="I208" t="str">
        <f>$C$11</f>
        <v>Therapy 3</v>
      </c>
      <c r="J208" s="8">
        <f>$D$11</f>
        <v>80</v>
      </c>
      <c r="K208" s="23">
        <f t="shared" si="84"/>
        <v>0.16</v>
      </c>
      <c r="L208" s="9">
        <f t="shared" si="85"/>
        <v>4.3820266346738812</v>
      </c>
      <c r="M208" s="8">
        <f>M207</f>
        <v>45.333333333333336</v>
      </c>
      <c r="N208" s="23">
        <f t="shared" si="83"/>
        <v>9.0666666666666673E-2</v>
      </c>
      <c r="O208" s="9">
        <f t="shared" si="86"/>
        <v>3.8140425970679424</v>
      </c>
      <c r="P208" s="8">
        <f t="shared" si="87"/>
        <v>34.666666666666664</v>
      </c>
      <c r="Q208" s="9">
        <f t="shared" si="88"/>
        <v>5.1487672234787061</v>
      </c>
      <c r="R208" s="24">
        <f t="shared" si="89"/>
        <v>90.877446016950216</v>
      </c>
    </row>
    <row r="209" spans="7:21" x14ac:dyDescent="0.35">
      <c r="G209" s="8" t="str">
        <f>$A$12</f>
        <v>Negative</v>
      </c>
      <c r="H209" t="str">
        <f>$B$12</f>
        <v>Male</v>
      </c>
      <c r="I209" t="str">
        <f>$C$12</f>
        <v>Therapy 1</v>
      </c>
      <c r="J209" s="8">
        <f>$D$12</f>
        <v>9</v>
      </c>
      <c r="K209" s="23">
        <f t="shared" si="84"/>
        <v>1.7999999999999999E-2</v>
      </c>
      <c r="L209" s="9">
        <f t="shared" si="85"/>
        <v>2.1972245773362196</v>
      </c>
      <c r="M209" s="8">
        <f>D49/$C$27</f>
        <v>12.666666666666666</v>
      </c>
      <c r="N209" s="23">
        <f t="shared" si="83"/>
        <v>2.5333333333333333E-2</v>
      </c>
      <c r="O209" s="9">
        <f t="shared" si="86"/>
        <v>2.5389738710582761</v>
      </c>
      <c r="P209" s="8">
        <f t="shared" si="87"/>
        <v>-3.6666666666666661</v>
      </c>
      <c r="Q209" s="9">
        <f t="shared" si="88"/>
        <v>-1.0302443927398632</v>
      </c>
      <c r="R209" s="24">
        <f t="shared" si="89"/>
        <v>-6.1514872869970176</v>
      </c>
    </row>
    <row r="210" spans="7:21" x14ac:dyDescent="0.35">
      <c r="G210" s="8" t="str">
        <f>$A$13</f>
        <v>Negative</v>
      </c>
      <c r="H210" t="str">
        <f>$B$13</f>
        <v>Male</v>
      </c>
      <c r="I210" t="str">
        <f>$C$13</f>
        <v>Therapy 2</v>
      </c>
      <c r="J210" s="8">
        <f>$D$13</f>
        <v>12</v>
      </c>
      <c r="K210" s="23">
        <f t="shared" si="84"/>
        <v>2.4E-2</v>
      </c>
      <c r="L210" s="9">
        <f t="shared" si="85"/>
        <v>2.4849066497880004</v>
      </c>
      <c r="M210" s="8">
        <f>M209</f>
        <v>12.666666666666666</v>
      </c>
      <c r="N210" s="23">
        <f t="shared" si="83"/>
        <v>2.5333333333333333E-2</v>
      </c>
      <c r="O210" s="9">
        <f t="shared" si="86"/>
        <v>2.5389738710582761</v>
      </c>
      <c r="P210" s="8">
        <f t="shared" si="87"/>
        <v>-0.66666666666666607</v>
      </c>
      <c r="Q210" s="9">
        <f t="shared" si="88"/>
        <v>-0.18731716231633863</v>
      </c>
      <c r="R210" s="24">
        <f t="shared" si="89"/>
        <v>-1.2976133104866179</v>
      </c>
    </row>
    <row r="211" spans="7:21" x14ac:dyDescent="0.35">
      <c r="G211" s="8" t="str">
        <f>$A$14</f>
        <v>Negative</v>
      </c>
      <c r="H211" t="str">
        <f>$B$14</f>
        <v>Male</v>
      </c>
      <c r="I211" t="str">
        <f>$C$14</f>
        <v>Therapy 3</v>
      </c>
      <c r="J211" s="8">
        <f>$D$14</f>
        <v>17</v>
      </c>
      <c r="K211" s="23">
        <f t="shared" si="84"/>
        <v>3.4000000000000002E-2</v>
      </c>
      <c r="L211" s="9">
        <f t="shared" si="85"/>
        <v>2.8332133440562162</v>
      </c>
      <c r="M211" s="8">
        <f>M210</f>
        <v>12.666666666666666</v>
      </c>
      <c r="N211" s="23">
        <f t="shared" si="83"/>
        <v>2.5333333333333333E-2</v>
      </c>
      <c r="O211" s="9">
        <f t="shared" si="86"/>
        <v>2.5389738710582761</v>
      </c>
      <c r="P211" s="8">
        <f t="shared" si="87"/>
        <v>4.3333333333333339</v>
      </c>
      <c r="Q211" s="9">
        <f t="shared" si="88"/>
        <v>1.2175615550562022</v>
      </c>
      <c r="R211" s="24">
        <f t="shared" si="89"/>
        <v>10.004142081929963</v>
      </c>
    </row>
    <row r="212" spans="7:21" x14ac:dyDescent="0.35">
      <c r="G212" s="8" t="str">
        <f>$A$15</f>
        <v>Negative</v>
      </c>
      <c r="H212" t="str">
        <f>$B$15</f>
        <v>Female</v>
      </c>
      <c r="I212" t="str">
        <f>$C$15</f>
        <v>Therapy 1</v>
      </c>
      <c r="J212" s="8">
        <f>$D$15</f>
        <v>16</v>
      </c>
      <c r="K212" s="23">
        <f t="shared" si="84"/>
        <v>3.2000000000000001E-2</v>
      </c>
      <c r="L212" s="9">
        <f t="shared" si="85"/>
        <v>2.7725887222397811</v>
      </c>
      <c r="M212" s="8">
        <f>D50/$C$27</f>
        <v>35</v>
      </c>
      <c r="N212" s="23">
        <f t="shared" si="83"/>
        <v>7.0000000000000007E-2</v>
      </c>
      <c r="O212" s="9">
        <f t="shared" si="86"/>
        <v>3.5553480614894135</v>
      </c>
      <c r="P212" s="8">
        <f t="shared" si="87"/>
        <v>-19</v>
      </c>
      <c r="Q212" s="9">
        <f t="shared" si="88"/>
        <v>-3.2115861679683628</v>
      </c>
      <c r="R212" s="24">
        <f t="shared" si="89"/>
        <v>-25.048298855988236</v>
      </c>
    </row>
    <row r="213" spans="7:21" x14ac:dyDescent="0.35">
      <c r="G213" s="8" t="str">
        <f>$A$16</f>
        <v>Negative</v>
      </c>
      <c r="H213" t="str">
        <f>$B$16</f>
        <v>Female</v>
      </c>
      <c r="I213" t="str">
        <f>$C$16</f>
        <v>Therapy 2</v>
      </c>
      <c r="J213" s="8">
        <f>$D$16</f>
        <v>33</v>
      </c>
      <c r="K213" s="23">
        <f t="shared" si="84"/>
        <v>6.6000000000000003E-2</v>
      </c>
      <c r="L213" s="9">
        <f t="shared" si="85"/>
        <v>3.4965075614664802</v>
      </c>
      <c r="M213" s="8">
        <f>M212</f>
        <v>35</v>
      </c>
      <c r="N213" s="23">
        <f t="shared" si="83"/>
        <v>7.0000000000000007E-2</v>
      </c>
      <c r="O213" s="9">
        <f t="shared" si="86"/>
        <v>3.5553480614894135</v>
      </c>
      <c r="P213" s="8">
        <f t="shared" si="87"/>
        <v>-2</v>
      </c>
      <c r="Q213" s="9">
        <f t="shared" si="88"/>
        <v>-0.33806170189140661</v>
      </c>
      <c r="R213" s="24">
        <f t="shared" si="89"/>
        <v>-3.8834730015135968</v>
      </c>
    </row>
    <row r="214" spans="7:21" x14ac:dyDescent="0.35">
      <c r="G214" s="10" t="str">
        <f>$A$17</f>
        <v>Negative</v>
      </c>
      <c r="H214" s="11" t="str">
        <f>$B$17</f>
        <v>Female</v>
      </c>
      <c r="I214" s="11" t="str">
        <f>$C$17</f>
        <v>Therapy 3</v>
      </c>
      <c r="J214" s="10">
        <f>$D$17</f>
        <v>56</v>
      </c>
      <c r="K214" s="27">
        <f t="shared" si="84"/>
        <v>0.112</v>
      </c>
      <c r="L214" s="12">
        <f t="shared" si="85"/>
        <v>4.0253516907351496</v>
      </c>
      <c r="M214" s="10">
        <f>M213</f>
        <v>35</v>
      </c>
      <c r="N214" s="27">
        <f t="shared" si="83"/>
        <v>7.0000000000000007E-2</v>
      </c>
      <c r="O214" s="12">
        <f t="shared" si="86"/>
        <v>3.5553480614894135</v>
      </c>
      <c r="P214" s="10">
        <f t="shared" si="87"/>
        <v>21</v>
      </c>
      <c r="Q214" s="12">
        <f t="shared" si="88"/>
        <v>3.5496478698597698</v>
      </c>
      <c r="R214" s="28">
        <f t="shared" si="89"/>
        <v>52.640406475522447</v>
      </c>
    </row>
    <row r="215" spans="7:21" x14ac:dyDescent="0.35">
      <c r="R215">
        <f>SUM(R203:R214)</f>
        <v>85.862189735443735</v>
      </c>
    </row>
    <row r="217" spans="7:21" x14ac:dyDescent="0.35">
      <c r="G217" s="1" t="s">
        <v>80</v>
      </c>
    </row>
    <row r="219" spans="7:21" x14ac:dyDescent="0.35">
      <c r="J219" s="13" t="s">
        <v>19</v>
      </c>
      <c r="K219" s="14"/>
      <c r="L219" s="15"/>
      <c r="M219" s="13" t="s">
        <v>20</v>
      </c>
      <c r="N219" s="14"/>
      <c r="O219" s="15"/>
      <c r="P219" s="13" t="s">
        <v>21</v>
      </c>
      <c r="Q219" s="15"/>
    </row>
    <row r="220" spans="7:21" x14ac:dyDescent="0.35">
      <c r="G220" s="16" t="str">
        <f>$A$5</f>
        <v>Cure</v>
      </c>
      <c r="H220" s="3" t="str">
        <f>$B$5</f>
        <v>Gender</v>
      </c>
      <c r="I220" s="3" t="str">
        <f>$C$5</f>
        <v>Therapy</v>
      </c>
      <c r="J220" s="17" t="s">
        <v>22</v>
      </c>
      <c r="K220" s="18" t="s">
        <v>23</v>
      </c>
      <c r="L220" s="19" t="s">
        <v>24</v>
      </c>
      <c r="M220" s="17" t="s">
        <v>25</v>
      </c>
      <c r="N220" s="18" t="s">
        <v>23</v>
      </c>
      <c r="O220" s="19" t="s">
        <v>26</v>
      </c>
      <c r="P220" s="18" t="s">
        <v>27</v>
      </c>
      <c r="Q220" s="19" t="s">
        <v>28</v>
      </c>
      <c r="R220" s="20" t="s">
        <v>29</v>
      </c>
      <c r="T220" s="21" t="s">
        <v>29</v>
      </c>
      <c r="U220" s="22">
        <f>R233</f>
        <v>154.9183886177259</v>
      </c>
    </row>
    <row r="221" spans="7:21" x14ac:dyDescent="0.35">
      <c r="G221" s="8" t="str">
        <f>$A$6</f>
        <v>Positive</v>
      </c>
      <c r="H221" t="str">
        <f>$B$6</f>
        <v>Male</v>
      </c>
      <c r="I221" t="str">
        <f>$C$6</f>
        <v>Therapy 1</v>
      </c>
      <c r="J221" s="8">
        <f>$D$6</f>
        <v>59</v>
      </c>
      <c r="K221" s="23">
        <f>J221/$D$18</f>
        <v>0.11799999999999999</v>
      </c>
      <c r="L221" s="9">
        <f>LN(J221)</f>
        <v>4.0775374439057197</v>
      </c>
      <c r="M221" s="8">
        <f t="shared" ref="M221:M226" si="90">D63/$A$27</f>
        <v>34</v>
      </c>
      <c r="N221" s="23">
        <f t="shared" ref="N221:N232" si="91">M221/D$44</f>
        <v>6.8000000000000005E-2</v>
      </c>
      <c r="O221" s="9">
        <f>LN(M221)</f>
        <v>3.5263605246161616</v>
      </c>
      <c r="P221" s="5">
        <f>J221-M221</f>
        <v>25</v>
      </c>
      <c r="Q221" s="7">
        <f>P221/SQRT(M221)</f>
        <v>4.2874646285627209</v>
      </c>
      <c r="R221" s="24">
        <f>2*J221*(L221-O221)</f>
        <v>65.038876476167857</v>
      </c>
      <c r="T221" t="s">
        <v>30</v>
      </c>
      <c r="U221" s="24">
        <f>(B27-1)*A27*C27</f>
        <v>6</v>
      </c>
    </row>
    <row r="222" spans="7:21" x14ac:dyDescent="0.35">
      <c r="G222" s="8" t="str">
        <f>$A$7</f>
        <v>Positive</v>
      </c>
      <c r="H222" t="str">
        <f>$B$7</f>
        <v>Male</v>
      </c>
      <c r="I222" t="str">
        <f>$C$7</f>
        <v>Therapy 2</v>
      </c>
      <c r="J222" s="8">
        <f>$D$7</f>
        <v>55</v>
      </c>
      <c r="K222" s="23">
        <f t="shared" ref="K222:K232" si="92">J222/$D$18</f>
        <v>0.11</v>
      </c>
      <c r="L222" s="9">
        <f t="shared" ref="L222:L232" si="93">LN(J222)</f>
        <v>4.0073331852324712</v>
      </c>
      <c r="M222" s="8">
        <f t="shared" si="90"/>
        <v>33.5</v>
      </c>
      <c r="N222" s="23">
        <f t="shared" si="91"/>
        <v>6.7000000000000004E-2</v>
      </c>
      <c r="O222" s="9">
        <f t="shared" ref="O222:O232" si="94">LN(M222)</f>
        <v>3.5115454388310208</v>
      </c>
      <c r="P222" s="8">
        <f t="shared" ref="P222:P232" si="95">J222-M222</f>
        <v>21.5</v>
      </c>
      <c r="Q222" s="9">
        <f t="shared" ref="Q222:Q232" si="96">P222/SQRT(M222)</f>
        <v>3.7146342299998483</v>
      </c>
      <c r="R222" s="24">
        <f t="shared" ref="R222:R232" si="97">2*J222*(L222-O222)</f>
        <v>54.536652104159543</v>
      </c>
      <c r="T222" s="25" t="s">
        <v>31</v>
      </c>
      <c r="U222" s="24">
        <v>0.05</v>
      </c>
    </row>
    <row r="223" spans="7:21" x14ac:dyDescent="0.35">
      <c r="G223" s="8" t="str">
        <f>$A$8</f>
        <v>Positive</v>
      </c>
      <c r="H223" t="str">
        <f>$B$8</f>
        <v>Male</v>
      </c>
      <c r="I223" t="str">
        <f>$C$8</f>
        <v>Therapy 3</v>
      </c>
      <c r="J223" s="8">
        <f>$D$8</f>
        <v>107</v>
      </c>
      <c r="K223" s="23">
        <f t="shared" si="92"/>
        <v>0.214</v>
      </c>
      <c r="L223" s="9">
        <f t="shared" si="93"/>
        <v>4.6728288344619058</v>
      </c>
      <c r="M223" s="8">
        <f t="shared" si="90"/>
        <v>62</v>
      </c>
      <c r="N223" s="23">
        <f t="shared" si="91"/>
        <v>0.124</v>
      </c>
      <c r="O223" s="9">
        <f t="shared" si="94"/>
        <v>4.1271343850450917</v>
      </c>
      <c r="P223" s="8">
        <f t="shared" si="95"/>
        <v>45</v>
      </c>
      <c r="Q223" s="9">
        <f t="shared" si="96"/>
        <v>5.715005715008572</v>
      </c>
      <c r="R223" s="24">
        <f t="shared" si="97"/>
        <v>116.77861217519822</v>
      </c>
      <c r="T223" s="25" t="s">
        <v>32</v>
      </c>
      <c r="U223" s="24">
        <f>CHIDIST(U220,U221)</f>
        <v>7.0506243364130613E-31</v>
      </c>
    </row>
    <row r="224" spans="7:21" x14ac:dyDescent="0.35">
      <c r="G224" s="8" t="str">
        <f>$A$9</f>
        <v>Positive</v>
      </c>
      <c r="H224" t="str">
        <f>$B$9</f>
        <v>Female</v>
      </c>
      <c r="I224" t="str">
        <f>$C$9</f>
        <v>Therapy 1</v>
      </c>
      <c r="J224" s="8">
        <f>$D$9</f>
        <v>32</v>
      </c>
      <c r="K224" s="23">
        <f t="shared" si="92"/>
        <v>6.4000000000000001E-2</v>
      </c>
      <c r="L224" s="9">
        <f t="shared" si="93"/>
        <v>3.4657359027997265</v>
      </c>
      <c r="M224" s="8">
        <f t="shared" si="90"/>
        <v>24</v>
      </c>
      <c r="N224" s="23">
        <f t="shared" si="91"/>
        <v>4.8000000000000001E-2</v>
      </c>
      <c r="O224" s="9">
        <f t="shared" si="94"/>
        <v>3.1780538303479458</v>
      </c>
      <c r="P224" s="8">
        <f t="shared" si="95"/>
        <v>8</v>
      </c>
      <c r="Q224" s="9">
        <f t="shared" si="96"/>
        <v>1.6329931618554523</v>
      </c>
      <c r="R224" s="24">
        <f t="shared" si="97"/>
        <v>18.411652636913971</v>
      </c>
      <c r="T224" s="21" t="s">
        <v>33</v>
      </c>
      <c r="U224" s="24">
        <f>CHIINV(U222,U221)</f>
        <v>12.591587243743978</v>
      </c>
    </row>
    <row r="225" spans="7:21" x14ac:dyDescent="0.35">
      <c r="G225" s="8" t="str">
        <f>$A$10</f>
        <v>Positive</v>
      </c>
      <c r="H225" t="str">
        <f>$B$10</f>
        <v>Female</v>
      </c>
      <c r="I225" t="str">
        <f>$C$10</f>
        <v>Therapy 2</v>
      </c>
      <c r="J225" s="8">
        <f>$D$10</f>
        <v>24</v>
      </c>
      <c r="K225" s="23">
        <f t="shared" si="92"/>
        <v>4.8000000000000001E-2</v>
      </c>
      <c r="L225" s="9">
        <f t="shared" si="93"/>
        <v>3.1780538303479458</v>
      </c>
      <c r="M225" s="8">
        <f t="shared" si="90"/>
        <v>28.5</v>
      </c>
      <c r="N225" s="23">
        <f t="shared" si="91"/>
        <v>5.7000000000000002E-2</v>
      </c>
      <c r="O225" s="9">
        <f t="shared" si="94"/>
        <v>3.3499040872746049</v>
      </c>
      <c r="P225" s="8">
        <f t="shared" si="95"/>
        <v>-4.5</v>
      </c>
      <c r="Q225" s="9">
        <f t="shared" si="96"/>
        <v>-0.84292723042352458</v>
      </c>
      <c r="R225" s="24">
        <f t="shared" si="97"/>
        <v>-8.2488123324796376</v>
      </c>
      <c r="T225" s="25" t="s">
        <v>34</v>
      </c>
      <c r="U225" s="26" t="str">
        <f>IF(U223&lt;U222,"yes","no")</f>
        <v>yes</v>
      </c>
    </row>
    <row r="226" spans="7:21" x14ac:dyDescent="0.35">
      <c r="G226" s="8" t="str">
        <f>$A$11</f>
        <v>Positive</v>
      </c>
      <c r="H226" t="str">
        <f>$B$11</f>
        <v>Female</v>
      </c>
      <c r="I226" t="str">
        <f>$C$11</f>
        <v>Therapy 3</v>
      </c>
      <c r="J226" s="8">
        <f>$D$11</f>
        <v>80</v>
      </c>
      <c r="K226" s="23">
        <f t="shared" si="92"/>
        <v>0.16</v>
      </c>
      <c r="L226" s="9">
        <f t="shared" si="93"/>
        <v>4.3820266346738812</v>
      </c>
      <c r="M226" s="8">
        <f t="shared" si="90"/>
        <v>68</v>
      </c>
      <c r="N226" s="23">
        <f t="shared" si="91"/>
        <v>0.13600000000000001</v>
      </c>
      <c r="O226" s="9">
        <f t="shared" si="94"/>
        <v>4.219507705176107</v>
      </c>
      <c r="P226" s="8">
        <f t="shared" si="95"/>
        <v>12</v>
      </c>
      <c r="Q226" s="9">
        <f t="shared" si="96"/>
        <v>1.4552137502179978</v>
      </c>
      <c r="R226" s="24">
        <f t="shared" si="97"/>
        <v>26.003028719643879</v>
      </c>
    </row>
    <row r="227" spans="7:21" x14ac:dyDescent="0.35">
      <c r="G227" s="8" t="str">
        <f>$A$12</f>
        <v>Negative</v>
      </c>
      <c r="H227" t="str">
        <f>$B$12</f>
        <v>Male</v>
      </c>
      <c r="I227" t="str">
        <f>$C$12</f>
        <v>Therapy 1</v>
      </c>
      <c r="J227" s="8">
        <f>$D$12</f>
        <v>9</v>
      </c>
      <c r="K227" s="23">
        <f t="shared" si="92"/>
        <v>1.7999999999999999E-2</v>
      </c>
      <c r="L227" s="9">
        <f t="shared" si="93"/>
        <v>2.1972245773362196</v>
      </c>
      <c r="M227" s="8">
        <f t="shared" ref="M227:M232" si="98">M221</f>
        <v>34</v>
      </c>
      <c r="N227" s="23">
        <f t="shared" si="91"/>
        <v>6.8000000000000005E-2</v>
      </c>
      <c r="O227" s="9">
        <f t="shared" si="94"/>
        <v>3.5263605246161616</v>
      </c>
      <c r="P227" s="8">
        <f t="shared" si="95"/>
        <v>-25</v>
      </c>
      <c r="Q227" s="9">
        <f t="shared" si="96"/>
        <v>-4.2874646285627209</v>
      </c>
      <c r="R227" s="24">
        <f t="shared" si="97"/>
        <v>-23.924447051038957</v>
      </c>
    </row>
    <row r="228" spans="7:21" x14ac:dyDescent="0.35">
      <c r="G228" s="8" t="str">
        <f>$A$13</f>
        <v>Negative</v>
      </c>
      <c r="H228" t="str">
        <f>$B$13</f>
        <v>Male</v>
      </c>
      <c r="I228" t="str">
        <f>$C$13</f>
        <v>Therapy 2</v>
      </c>
      <c r="J228" s="8">
        <f>$D$13</f>
        <v>12</v>
      </c>
      <c r="K228" s="23">
        <f t="shared" si="92"/>
        <v>2.4E-2</v>
      </c>
      <c r="L228" s="9">
        <f t="shared" si="93"/>
        <v>2.4849066497880004</v>
      </c>
      <c r="M228" s="8">
        <f t="shared" si="98"/>
        <v>33.5</v>
      </c>
      <c r="N228" s="23">
        <f t="shared" si="91"/>
        <v>6.7000000000000004E-2</v>
      </c>
      <c r="O228" s="9">
        <f t="shared" si="94"/>
        <v>3.5115454388310208</v>
      </c>
      <c r="P228" s="8">
        <f t="shared" si="95"/>
        <v>-21.5</v>
      </c>
      <c r="Q228" s="9">
        <f t="shared" si="96"/>
        <v>-3.7146342299998483</v>
      </c>
      <c r="R228" s="24">
        <f t="shared" si="97"/>
        <v>-24.63933093703249</v>
      </c>
    </row>
    <row r="229" spans="7:21" x14ac:dyDescent="0.35">
      <c r="G229" s="8" t="str">
        <f>$A$14</f>
        <v>Negative</v>
      </c>
      <c r="H229" t="str">
        <f>$B$14</f>
        <v>Male</v>
      </c>
      <c r="I229" t="str">
        <f>$C$14</f>
        <v>Therapy 3</v>
      </c>
      <c r="J229" s="8">
        <f>$D$14</f>
        <v>17</v>
      </c>
      <c r="K229" s="23">
        <f t="shared" si="92"/>
        <v>3.4000000000000002E-2</v>
      </c>
      <c r="L229" s="9">
        <f t="shared" si="93"/>
        <v>2.8332133440562162</v>
      </c>
      <c r="M229" s="8">
        <f t="shared" si="98"/>
        <v>62</v>
      </c>
      <c r="N229" s="23">
        <f t="shared" si="91"/>
        <v>0.124</v>
      </c>
      <c r="O229" s="9">
        <f t="shared" si="94"/>
        <v>4.1271343850450917</v>
      </c>
      <c r="P229" s="8">
        <f t="shared" si="95"/>
        <v>-45</v>
      </c>
      <c r="Q229" s="9">
        <f t="shared" si="96"/>
        <v>-5.715005715008572</v>
      </c>
      <c r="R229" s="24">
        <f t="shared" si="97"/>
        <v>-43.993315393621771</v>
      </c>
    </row>
    <row r="230" spans="7:21" x14ac:dyDescent="0.35">
      <c r="G230" s="8" t="str">
        <f>$A$15</f>
        <v>Negative</v>
      </c>
      <c r="H230" t="str">
        <f>$B$15</f>
        <v>Female</v>
      </c>
      <c r="I230" t="str">
        <f>$C$15</f>
        <v>Therapy 1</v>
      </c>
      <c r="J230" s="8">
        <f>$D$15</f>
        <v>16</v>
      </c>
      <c r="K230" s="23">
        <f t="shared" si="92"/>
        <v>3.2000000000000001E-2</v>
      </c>
      <c r="L230" s="9">
        <f t="shared" si="93"/>
        <v>2.7725887222397811</v>
      </c>
      <c r="M230" s="8">
        <f t="shared" si="98"/>
        <v>24</v>
      </c>
      <c r="N230" s="23">
        <f t="shared" si="91"/>
        <v>4.8000000000000001E-2</v>
      </c>
      <c r="O230" s="9">
        <f t="shared" si="94"/>
        <v>3.1780538303479458</v>
      </c>
      <c r="P230" s="8">
        <f t="shared" si="95"/>
        <v>-8</v>
      </c>
      <c r="Q230" s="9">
        <f t="shared" si="96"/>
        <v>-1.6329931618554523</v>
      </c>
      <c r="R230" s="24">
        <f t="shared" si="97"/>
        <v>-12.974883459461267</v>
      </c>
    </row>
    <row r="231" spans="7:21" x14ac:dyDescent="0.35">
      <c r="G231" s="8" t="str">
        <f>$A$16</f>
        <v>Negative</v>
      </c>
      <c r="H231" t="str">
        <f>$B$16</f>
        <v>Female</v>
      </c>
      <c r="I231" t="str">
        <f>$C$16</f>
        <v>Therapy 2</v>
      </c>
      <c r="J231" s="8">
        <f>$D$16</f>
        <v>33</v>
      </c>
      <c r="K231" s="23">
        <f t="shared" si="92"/>
        <v>6.6000000000000003E-2</v>
      </c>
      <c r="L231" s="9">
        <f t="shared" si="93"/>
        <v>3.4965075614664802</v>
      </c>
      <c r="M231" s="8">
        <f t="shared" si="98"/>
        <v>28.5</v>
      </c>
      <c r="N231" s="23">
        <f t="shared" si="91"/>
        <v>5.7000000000000002E-2</v>
      </c>
      <c r="O231" s="9">
        <f t="shared" si="94"/>
        <v>3.3499040872746049</v>
      </c>
      <c r="P231" s="8">
        <f t="shared" si="95"/>
        <v>4.5</v>
      </c>
      <c r="Q231" s="9">
        <f t="shared" si="96"/>
        <v>0.84292723042352458</v>
      </c>
      <c r="R231" s="24">
        <f t="shared" si="97"/>
        <v>9.6758292966637747</v>
      </c>
    </row>
    <row r="232" spans="7:21" x14ac:dyDescent="0.35">
      <c r="G232" s="10" t="str">
        <f>$A$17</f>
        <v>Negative</v>
      </c>
      <c r="H232" s="11" t="str">
        <f>$B$17</f>
        <v>Female</v>
      </c>
      <c r="I232" s="11" t="str">
        <f>$C$17</f>
        <v>Therapy 3</v>
      </c>
      <c r="J232" s="10">
        <f>$D$17</f>
        <v>56</v>
      </c>
      <c r="K232" s="27">
        <f t="shared" si="92"/>
        <v>0.112</v>
      </c>
      <c r="L232" s="12">
        <f t="shared" si="93"/>
        <v>4.0253516907351496</v>
      </c>
      <c r="M232" s="10">
        <f t="shared" si="98"/>
        <v>68</v>
      </c>
      <c r="N232" s="27">
        <f t="shared" si="91"/>
        <v>0.13600000000000001</v>
      </c>
      <c r="O232" s="12">
        <f t="shared" si="94"/>
        <v>4.219507705176107</v>
      </c>
      <c r="P232" s="10">
        <f t="shared" si="95"/>
        <v>-12</v>
      </c>
      <c r="Q232" s="12">
        <f t="shared" si="96"/>
        <v>-1.4552137502179978</v>
      </c>
      <c r="R232" s="28">
        <f t="shared" si="97"/>
        <v>-21.745473617387219</v>
      </c>
    </row>
    <row r="233" spans="7:21" x14ac:dyDescent="0.35">
      <c r="R233">
        <f>SUM(R221:R232)</f>
        <v>154.9183886177259</v>
      </c>
    </row>
    <row r="235" spans="7:21" x14ac:dyDescent="0.35">
      <c r="G235" s="1" t="s">
        <v>81</v>
      </c>
    </row>
    <row r="237" spans="7:21" x14ac:dyDescent="0.35">
      <c r="J237" s="13" t="s">
        <v>19</v>
      </c>
      <c r="K237" s="14"/>
      <c r="L237" s="15"/>
      <c r="M237" s="13" t="s">
        <v>20</v>
      </c>
      <c r="N237" s="14"/>
      <c r="O237" s="15"/>
      <c r="P237" s="13" t="s">
        <v>21</v>
      </c>
      <c r="Q237" s="15"/>
    </row>
    <row r="238" spans="7:21" x14ac:dyDescent="0.35">
      <c r="G238" s="16" t="str">
        <f>$A$5</f>
        <v>Cure</v>
      </c>
      <c r="H238" s="3" t="str">
        <f>$B$5</f>
        <v>Gender</v>
      </c>
      <c r="I238" s="3" t="str">
        <f>$C$5</f>
        <v>Therapy</v>
      </c>
      <c r="J238" s="17" t="s">
        <v>22</v>
      </c>
      <c r="K238" s="18" t="s">
        <v>23</v>
      </c>
      <c r="L238" s="19" t="s">
        <v>24</v>
      </c>
      <c r="M238" s="17" t="s">
        <v>25</v>
      </c>
      <c r="N238" s="18" t="s">
        <v>23</v>
      </c>
      <c r="O238" s="19" t="s">
        <v>26</v>
      </c>
      <c r="P238" s="18" t="s">
        <v>27</v>
      </c>
      <c r="Q238" s="19" t="s">
        <v>28</v>
      </c>
      <c r="R238" s="20" t="s">
        <v>29</v>
      </c>
      <c r="T238" s="21" t="s">
        <v>29</v>
      </c>
      <c r="U238" s="22">
        <f>R251</f>
        <v>58.681038980742066</v>
      </c>
    </row>
    <row r="239" spans="7:21" x14ac:dyDescent="0.35">
      <c r="G239" s="8" t="str">
        <f>$A$6</f>
        <v>Positive</v>
      </c>
      <c r="H239" t="str">
        <f>$B$6</f>
        <v>Male</v>
      </c>
      <c r="I239" t="str">
        <f>$C$6</f>
        <v>Therapy 1</v>
      </c>
      <c r="J239" s="8">
        <f>$D$6</f>
        <v>59</v>
      </c>
      <c r="K239" s="23">
        <f>J239/$D$18</f>
        <v>0.11799999999999999</v>
      </c>
      <c r="L239" s="9">
        <f>LN(J239)</f>
        <v>4.0775374439057197</v>
      </c>
      <c r="M239" s="8">
        <f>D54/$B$27</f>
        <v>45.5</v>
      </c>
      <c r="N239" s="23">
        <f t="shared" ref="N239:N250" si="99">M239/D$44</f>
        <v>9.0999999999999998E-2</v>
      </c>
      <c r="O239" s="9">
        <f>LN(M239)</f>
        <v>3.8177123259569048</v>
      </c>
      <c r="P239" s="5">
        <f>J239-M239</f>
        <v>13.5</v>
      </c>
      <c r="Q239" s="7">
        <f>P239/SQRT(M239)</f>
        <v>2.0013731549849734</v>
      </c>
      <c r="R239" s="24">
        <f>2*J239*(L239-O239)</f>
        <v>30.65936391796016</v>
      </c>
      <c r="T239" t="s">
        <v>30</v>
      </c>
      <c r="U239" s="24">
        <f>(A27-1)*B27*C27</f>
        <v>6</v>
      </c>
    </row>
    <row r="240" spans="7:21" x14ac:dyDescent="0.35">
      <c r="G240" s="8" t="str">
        <f>$A$7</f>
        <v>Positive</v>
      </c>
      <c r="H240" t="str">
        <f>$B$7</f>
        <v>Male</v>
      </c>
      <c r="I240" t="str">
        <f>$C$7</f>
        <v>Therapy 2</v>
      </c>
      <c r="J240" s="8">
        <f>$D$7</f>
        <v>55</v>
      </c>
      <c r="K240" s="23">
        <f t="shared" ref="K240:K250" si="100">J240/$D$18</f>
        <v>0.11</v>
      </c>
      <c r="L240" s="9">
        <f t="shared" ref="L240:L250" si="101">LN(J240)</f>
        <v>4.0073331852324712</v>
      </c>
      <c r="M240" s="8">
        <f>D55/$B$27</f>
        <v>39.5</v>
      </c>
      <c r="N240" s="23">
        <f t="shared" si="99"/>
        <v>7.9000000000000001E-2</v>
      </c>
      <c r="O240" s="9">
        <f t="shared" ref="O240:O250" si="102">LN(M240)</f>
        <v>3.6763006719070761</v>
      </c>
      <c r="P240" s="8">
        <f t="shared" ref="P240:P250" si="103">J240-M240</f>
        <v>15.5</v>
      </c>
      <c r="Q240" s="9">
        <f t="shared" ref="Q240:Q250" si="104">P240/SQRT(M240)</f>
        <v>2.4662275809447629</v>
      </c>
      <c r="R240" s="24">
        <f t="shared" ref="R240:R250" si="105">2*J240*(L240-O240)</f>
        <v>36.413576465793454</v>
      </c>
      <c r="T240" s="25" t="s">
        <v>31</v>
      </c>
      <c r="U240" s="24">
        <v>0.05</v>
      </c>
    </row>
    <row r="241" spans="7:21" x14ac:dyDescent="0.35">
      <c r="G241" s="8" t="str">
        <f>$A$8</f>
        <v>Positive</v>
      </c>
      <c r="H241" t="str">
        <f>$B$8</f>
        <v>Male</v>
      </c>
      <c r="I241" t="str">
        <f>$C$8</f>
        <v>Therapy 3</v>
      </c>
      <c r="J241" s="8">
        <f>$D$8</f>
        <v>107</v>
      </c>
      <c r="K241" s="23">
        <f t="shared" si="100"/>
        <v>0.214</v>
      </c>
      <c r="L241" s="9">
        <f t="shared" si="101"/>
        <v>4.6728288344619058</v>
      </c>
      <c r="M241" s="8">
        <f>D56/$B$27</f>
        <v>93.5</v>
      </c>
      <c r="N241" s="23">
        <f t="shared" si="99"/>
        <v>0.187</v>
      </c>
      <c r="O241" s="9">
        <f t="shared" si="102"/>
        <v>4.5379614362946414</v>
      </c>
      <c r="P241" s="8">
        <f t="shared" si="103"/>
        <v>13.5</v>
      </c>
      <c r="Q241" s="9">
        <f t="shared" si="104"/>
        <v>1.3961367629865518</v>
      </c>
      <c r="R241" s="24">
        <f t="shared" si="105"/>
        <v>28.861623207794569</v>
      </c>
      <c r="T241" s="25" t="s">
        <v>32</v>
      </c>
      <c r="U241" s="24">
        <f>CHIDIST(U238,U239)</f>
        <v>8.3379990458365484E-11</v>
      </c>
    </row>
    <row r="242" spans="7:21" x14ac:dyDescent="0.35">
      <c r="G242" s="8" t="str">
        <f>$A$9</f>
        <v>Positive</v>
      </c>
      <c r="H242" t="str">
        <f>$B$9</f>
        <v>Female</v>
      </c>
      <c r="I242" t="str">
        <f>$C$9</f>
        <v>Therapy 1</v>
      </c>
      <c r="J242" s="8">
        <f>$D$9</f>
        <v>32</v>
      </c>
      <c r="K242" s="23">
        <f t="shared" si="100"/>
        <v>6.4000000000000001E-2</v>
      </c>
      <c r="L242" s="9">
        <f t="shared" si="101"/>
        <v>3.4657359027997265</v>
      </c>
      <c r="M242" s="8">
        <f>M239</f>
        <v>45.5</v>
      </c>
      <c r="N242" s="23">
        <f t="shared" si="99"/>
        <v>9.0999999999999998E-2</v>
      </c>
      <c r="O242" s="9">
        <f t="shared" si="102"/>
        <v>3.8177123259569048</v>
      </c>
      <c r="P242" s="8">
        <f t="shared" si="103"/>
        <v>-13.5</v>
      </c>
      <c r="Q242" s="9">
        <f t="shared" si="104"/>
        <v>-2.0013731549849734</v>
      </c>
      <c r="R242" s="24">
        <f t="shared" si="105"/>
        <v>-22.526491082059408</v>
      </c>
      <c r="T242" s="21" t="s">
        <v>33</v>
      </c>
      <c r="U242" s="24">
        <f>CHIINV(U240,U239)</f>
        <v>12.591587243743978</v>
      </c>
    </row>
    <row r="243" spans="7:21" x14ac:dyDescent="0.35">
      <c r="G243" s="8" t="str">
        <f>$A$10</f>
        <v>Positive</v>
      </c>
      <c r="H243" t="str">
        <f>$B$10</f>
        <v>Female</v>
      </c>
      <c r="I243" t="str">
        <f>$C$10</f>
        <v>Therapy 2</v>
      </c>
      <c r="J243" s="8">
        <f>$D$10</f>
        <v>24</v>
      </c>
      <c r="K243" s="23">
        <f t="shared" si="100"/>
        <v>4.8000000000000001E-2</v>
      </c>
      <c r="L243" s="9">
        <f t="shared" si="101"/>
        <v>3.1780538303479458</v>
      </c>
      <c r="M243" s="8">
        <f>M240</f>
        <v>39.5</v>
      </c>
      <c r="N243" s="23">
        <f t="shared" si="99"/>
        <v>7.9000000000000001E-2</v>
      </c>
      <c r="O243" s="9">
        <f t="shared" si="102"/>
        <v>3.6763006719070761</v>
      </c>
      <c r="P243" s="8">
        <f t="shared" si="103"/>
        <v>-15.5</v>
      </c>
      <c r="Q243" s="9">
        <f t="shared" si="104"/>
        <v>-2.4662275809447629</v>
      </c>
      <c r="R243" s="24">
        <f t="shared" si="105"/>
        <v>-23.915848394838257</v>
      </c>
      <c r="T243" s="25" t="s">
        <v>34</v>
      </c>
      <c r="U243" s="26" t="str">
        <f>IF(U241&lt;U240,"yes","no")</f>
        <v>yes</v>
      </c>
    </row>
    <row r="244" spans="7:21" x14ac:dyDescent="0.35">
      <c r="G244" s="8" t="str">
        <f>$A$11</f>
        <v>Positive</v>
      </c>
      <c r="H244" t="str">
        <f>$B$11</f>
        <v>Female</v>
      </c>
      <c r="I244" t="str">
        <f>$C$11</f>
        <v>Therapy 3</v>
      </c>
      <c r="J244" s="8">
        <f>$D$11</f>
        <v>80</v>
      </c>
      <c r="K244" s="23">
        <f t="shared" si="100"/>
        <v>0.16</v>
      </c>
      <c r="L244" s="9">
        <f t="shared" si="101"/>
        <v>4.3820266346738812</v>
      </c>
      <c r="M244" s="8">
        <f>M241</f>
        <v>93.5</v>
      </c>
      <c r="N244" s="23">
        <f t="shared" si="99"/>
        <v>0.187</v>
      </c>
      <c r="O244" s="9">
        <f t="shared" si="102"/>
        <v>4.5379614362946414</v>
      </c>
      <c r="P244" s="8">
        <f t="shared" si="103"/>
        <v>-13.5</v>
      </c>
      <c r="Q244" s="9">
        <f t="shared" si="104"/>
        <v>-1.3961367629865518</v>
      </c>
      <c r="R244" s="24">
        <f t="shared" si="105"/>
        <v>-24.949568259321637</v>
      </c>
    </row>
    <row r="245" spans="7:21" x14ac:dyDescent="0.35">
      <c r="G245" s="8" t="str">
        <f>$A$12</f>
        <v>Negative</v>
      </c>
      <c r="H245" t="str">
        <f>$B$12</f>
        <v>Male</v>
      </c>
      <c r="I245" t="str">
        <f>$C$12</f>
        <v>Therapy 1</v>
      </c>
      <c r="J245" s="8">
        <f>$D$12</f>
        <v>9</v>
      </c>
      <c r="K245" s="23">
        <f t="shared" si="100"/>
        <v>1.7999999999999999E-2</v>
      </c>
      <c r="L245" s="9">
        <f t="shared" si="101"/>
        <v>2.1972245773362196</v>
      </c>
      <c r="M245" s="8">
        <f>D57/$B$27</f>
        <v>12.5</v>
      </c>
      <c r="N245" s="23">
        <f t="shared" si="99"/>
        <v>2.5000000000000001E-2</v>
      </c>
      <c r="O245" s="9">
        <f t="shared" si="102"/>
        <v>2.5257286443082556</v>
      </c>
      <c r="P245" s="8">
        <f t="shared" si="103"/>
        <v>-3.5</v>
      </c>
      <c r="Q245" s="9">
        <f t="shared" si="104"/>
        <v>-0.98994949366116647</v>
      </c>
      <c r="R245" s="24">
        <f t="shared" si="105"/>
        <v>-5.9130732054966488</v>
      </c>
    </row>
    <row r="246" spans="7:21" x14ac:dyDescent="0.35">
      <c r="G246" s="8" t="str">
        <f>$A$13</f>
        <v>Negative</v>
      </c>
      <c r="H246" t="str">
        <f>$B$13</f>
        <v>Male</v>
      </c>
      <c r="I246" t="str">
        <f>$C$13</f>
        <v>Therapy 2</v>
      </c>
      <c r="J246" s="8">
        <f>$D$13</f>
        <v>12</v>
      </c>
      <c r="K246" s="23">
        <f t="shared" si="100"/>
        <v>2.4E-2</v>
      </c>
      <c r="L246" s="9">
        <f t="shared" si="101"/>
        <v>2.4849066497880004</v>
      </c>
      <c r="M246" s="8">
        <f>D58/$B$27</f>
        <v>22.5</v>
      </c>
      <c r="N246" s="23">
        <f t="shared" si="99"/>
        <v>4.4999999999999998E-2</v>
      </c>
      <c r="O246" s="9">
        <f t="shared" si="102"/>
        <v>3.1135153092103742</v>
      </c>
      <c r="P246" s="8">
        <f t="shared" si="103"/>
        <v>-10.5</v>
      </c>
      <c r="Q246" s="9">
        <f t="shared" si="104"/>
        <v>-2.2135943621178655</v>
      </c>
      <c r="R246" s="24">
        <f t="shared" si="105"/>
        <v>-15.086607826136973</v>
      </c>
    </row>
    <row r="247" spans="7:21" x14ac:dyDescent="0.35">
      <c r="G247" s="8" t="str">
        <f>$A$14</f>
        <v>Negative</v>
      </c>
      <c r="H247" t="str">
        <f>$B$14</f>
        <v>Male</v>
      </c>
      <c r="I247" t="str">
        <f>$C$14</f>
        <v>Therapy 3</v>
      </c>
      <c r="J247" s="8">
        <f>$D$14</f>
        <v>17</v>
      </c>
      <c r="K247" s="23">
        <f t="shared" si="100"/>
        <v>3.4000000000000002E-2</v>
      </c>
      <c r="L247" s="9">
        <f t="shared" si="101"/>
        <v>2.8332133440562162</v>
      </c>
      <c r="M247" s="8">
        <f>D59/$B$27</f>
        <v>36.5</v>
      </c>
      <c r="N247" s="23">
        <f t="shared" si="99"/>
        <v>7.2999999999999995E-2</v>
      </c>
      <c r="O247" s="9">
        <f t="shared" si="102"/>
        <v>3.597312260588446</v>
      </c>
      <c r="P247" s="8">
        <f t="shared" si="103"/>
        <v>-19.5</v>
      </c>
      <c r="Q247" s="9">
        <f t="shared" si="104"/>
        <v>-3.2276629655492348</v>
      </c>
      <c r="R247" s="24">
        <f t="shared" si="105"/>
        <v>-25.979363162095815</v>
      </c>
    </row>
    <row r="248" spans="7:21" x14ac:dyDescent="0.35">
      <c r="G248" s="8" t="str">
        <f>$A$15</f>
        <v>Negative</v>
      </c>
      <c r="H248" t="str">
        <f>$B$15</f>
        <v>Female</v>
      </c>
      <c r="I248" t="str">
        <f>$C$15</f>
        <v>Therapy 1</v>
      </c>
      <c r="J248" s="8">
        <f>$D$15</f>
        <v>16</v>
      </c>
      <c r="K248" s="23">
        <f t="shared" si="100"/>
        <v>3.2000000000000001E-2</v>
      </c>
      <c r="L248" s="9">
        <f t="shared" si="101"/>
        <v>2.7725887222397811</v>
      </c>
      <c r="M248" s="8">
        <f>M245</f>
        <v>12.5</v>
      </c>
      <c r="N248" s="23">
        <f t="shared" si="99"/>
        <v>2.5000000000000001E-2</v>
      </c>
      <c r="O248" s="9">
        <f t="shared" si="102"/>
        <v>2.5257286443082556</v>
      </c>
      <c r="P248" s="8">
        <f t="shared" si="103"/>
        <v>3.5</v>
      </c>
      <c r="Q248" s="9">
        <f t="shared" si="104"/>
        <v>0.98994949366116647</v>
      </c>
      <c r="R248" s="24">
        <f t="shared" si="105"/>
        <v>7.8995224938088171</v>
      </c>
    </row>
    <row r="249" spans="7:21" x14ac:dyDescent="0.35">
      <c r="G249" s="8" t="str">
        <f>$A$16</f>
        <v>Negative</v>
      </c>
      <c r="H249" t="str">
        <f>$B$16</f>
        <v>Female</v>
      </c>
      <c r="I249" t="str">
        <f>$C$16</f>
        <v>Therapy 2</v>
      </c>
      <c r="J249" s="8">
        <f>$D$16</f>
        <v>33</v>
      </c>
      <c r="K249" s="23">
        <f t="shared" si="100"/>
        <v>6.6000000000000003E-2</v>
      </c>
      <c r="L249" s="9">
        <f t="shared" si="101"/>
        <v>3.4965075614664802</v>
      </c>
      <c r="M249" s="8">
        <f>M246</f>
        <v>22.5</v>
      </c>
      <c r="N249" s="23">
        <f t="shared" si="99"/>
        <v>4.4999999999999998E-2</v>
      </c>
      <c r="O249" s="9">
        <f t="shared" si="102"/>
        <v>3.1135153092103742</v>
      </c>
      <c r="P249" s="8">
        <f t="shared" si="103"/>
        <v>10.5</v>
      </c>
      <c r="Q249" s="9">
        <f t="shared" si="104"/>
        <v>2.2135943621178655</v>
      </c>
      <c r="R249" s="24">
        <f t="shared" si="105"/>
        <v>25.277488648902995</v>
      </c>
    </row>
    <row r="250" spans="7:21" x14ac:dyDescent="0.35">
      <c r="G250" s="10" t="str">
        <f>$A$17</f>
        <v>Negative</v>
      </c>
      <c r="H250" s="11" t="str">
        <f>$B$17</f>
        <v>Female</v>
      </c>
      <c r="I250" s="11" t="str">
        <f>$C$17</f>
        <v>Therapy 3</v>
      </c>
      <c r="J250" s="10">
        <f>$D$17</f>
        <v>56</v>
      </c>
      <c r="K250" s="27">
        <f t="shared" si="100"/>
        <v>0.112</v>
      </c>
      <c r="L250" s="12">
        <f t="shared" si="101"/>
        <v>4.0253516907351496</v>
      </c>
      <c r="M250" s="10">
        <f>M247</f>
        <v>36.5</v>
      </c>
      <c r="N250" s="27">
        <f t="shared" si="99"/>
        <v>7.2999999999999995E-2</v>
      </c>
      <c r="O250" s="12">
        <f t="shared" si="102"/>
        <v>3.597312260588446</v>
      </c>
      <c r="P250" s="10">
        <f t="shared" si="103"/>
        <v>19.5</v>
      </c>
      <c r="Q250" s="12">
        <f t="shared" si="104"/>
        <v>3.2276629655492348</v>
      </c>
      <c r="R250" s="28">
        <f t="shared" si="105"/>
        <v>47.940416176430809</v>
      </c>
    </row>
    <row r="251" spans="7:21" x14ac:dyDescent="0.35">
      <c r="R251">
        <f>SUM(R239:R250)</f>
        <v>58.681038980742066</v>
      </c>
    </row>
    <row r="253" spans="7:21" x14ac:dyDescent="0.35">
      <c r="G253" s="1" t="s">
        <v>82</v>
      </c>
    </row>
    <row r="255" spans="7:21" x14ac:dyDescent="0.35">
      <c r="J255" s="13" t="s">
        <v>19</v>
      </c>
      <c r="K255" s="14"/>
      <c r="L255" s="15"/>
      <c r="M255" s="13" t="s">
        <v>20</v>
      </c>
      <c r="N255" s="14"/>
      <c r="O255" s="15"/>
      <c r="P255" s="13" t="s">
        <v>21</v>
      </c>
      <c r="Q255" s="15"/>
    </row>
    <row r="256" spans="7:21" x14ac:dyDescent="0.35">
      <c r="G256" s="16" t="str">
        <f>$A$5</f>
        <v>Cure</v>
      </c>
      <c r="H256" s="3" t="str">
        <f>$B$5</f>
        <v>Gender</v>
      </c>
      <c r="I256" s="3" t="str">
        <f>$C$5</f>
        <v>Therapy</v>
      </c>
      <c r="J256" s="17" t="s">
        <v>22</v>
      </c>
      <c r="K256" s="18" t="s">
        <v>23</v>
      </c>
      <c r="L256" s="19" t="s">
        <v>24</v>
      </c>
      <c r="M256" s="17" t="s">
        <v>25</v>
      </c>
      <c r="N256" s="18" t="s">
        <v>23</v>
      </c>
      <c r="O256" s="19" t="s">
        <v>26</v>
      </c>
      <c r="P256" s="18" t="s">
        <v>27</v>
      </c>
      <c r="Q256" s="19" t="s">
        <v>28</v>
      </c>
      <c r="R256" s="20" t="s">
        <v>29</v>
      </c>
      <c r="T256" s="21" t="s">
        <v>29</v>
      </c>
      <c r="U256" s="22">
        <f>R269</f>
        <v>138.30258247312145</v>
      </c>
    </row>
    <row r="257" spans="7:21" x14ac:dyDescent="0.35">
      <c r="G257" s="8" t="str">
        <f>$A$6</f>
        <v>Positive</v>
      </c>
      <c r="H257" t="str">
        <f>$B$6</f>
        <v>Male</v>
      </c>
      <c r="I257" t="str">
        <f>$C$6</f>
        <v>Therapy 1</v>
      </c>
      <c r="J257" s="8">
        <f>$D$6</f>
        <v>59</v>
      </c>
      <c r="K257" s="23">
        <f>J257/$D$18</f>
        <v>0.11799999999999999</v>
      </c>
      <c r="L257" s="9">
        <f>LN(J257)</f>
        <v>4.0775374439057197</v>
      </c>
      <c r="M257" s="8">
        <f>D72*D77/($D$44*$C$27)</f>
        <v>61.642000000000003</v>
      </c>
      <c r="N257" s="23">
        <f t="shared" ref="N257:N268" si="106">M257/D$44</f>
        <v>0.123284</v>
      </c>
      <c r="O257" s="9">
        <f>LN(M257)</f>
        <v>4.1213434563888756</v>
      </c>
      <c r="P257" s="5">
        <f>J257-M257</f>
        <v>-2.642000000000003</v>
      </c>
      <c r="Q257" s="7">
        <f>P257/SQRT(M257)</f>
        <v>-0.33650727110428286</v>
      </c>
      <c r="R257" s="24">
        <f>2*J257*(L257-O257)</f>
        <v>-5.1691094730123908</v>
      </c>
      <c r="T257" t="s">
        <v>30</v>
      </c>
      <c r="U257" s="24">
        <f>A27*B27*C27-A27-B27+1</f>
        <v>9</v>
      </c>
    </row>
    <row r="258" spans="7:21" x14ac:dyDescent="0.35">
      <c r="G258" s="8" t="str">
        <f>$A$7</f>
        <v>Positive</v>
      </c>
      <c r="H258" t="str">
        <f>$B$7</f>
        <v>Male</v>
      </c>
      <c r="I258" t="str">
        <f>$C$7</f>
        <v>Therapy 2</v>
      </c>
      <c r="J258" s="8">
        <f>$D$7</f>
        <v>55</v>
      </c>
      <c r="K258" s="23">
        <f t="shared" ref="K258:K268" si="107">J258/$D$18</f>
        <v>0.11</v>
      </c>
      <c r="L258" s="9">
        <f t="shared" ref="L258:L268" si="108">LN(J258)</f>
        <v>4.0073331852324712</v>
      </c>
      <c r="M258" s="8">
        <f>M257</f>
        <v>61.642000000000003</v>
      </c>
      <c r="N258" s="23">
        <f t="shared" si="106"/>
        <v>0.123284</v>
      </c>
      <c r="O258" s="9">
        <f t="shared" ref="O258:O268" si="109">LN(M258)</f>
        <v>4.1213434563888756</v>
      </c>
      <c r="P258" s="8">
        <f t="shared" ref="P258:P268" si="110">J258-M258</f>
        <v>-6.642000000000003</v>
      </c>
      <c r="Q258" s="9">
        <f t="shared" ref="Q258:Q268" si="111">P258/SQRT(M258)</f>
        <v>-0.8459808079767771</v>
      </c>
      <c r="R258" s="24">
        <f t="shared" ref="R258:R268" si="112">2*J258*(L258-O258)</f>
        <v>-12.541129827204482</v>
      </c>
      <c r="T258" s="25" t="s">
        <v>31</v>
      </c>
      <c r="U258" s="24">
        <v>0.05</v>
      </c>
    </row>
    <row r="259" spans="7:21" x14ac:dyDescent="0.35">
      <c r="G259" s="8" t="str">
        <f>$A$8</f>
        <v>Positive</v>
      </c>
      <c r="H259" t="str">
        <f>$B$8</f>
        <v>Male</v>
      </c>
      <c r="I259" t="str">
        <f>$C$8</f>
        <v>Therapy 3</v>
      </c>
      <c r="J259" s="8">
        <f>$D$8</f>
        <v>107</v>
      </c>
      <c r="K259" s="23">
        <f t="shared" si="107"/>
        <v>0.214</v>
      </c>
      <c r="L259" s="9">
        <f t="shared" si="108"/>
        <v>4.6728288344619058</v>
      </c>
      <c r="M259" s="8">
        <f>M258</f>
        <v>61.642000000000003</v>
      </c>
      <c r="N259" s="23">
        <f t="shared" si="106"/>
        <v>0.123284</v>
      </c>
      <c r="O259" s="9">
        <f t="shared" si="109"/>
        <v>4.1213434563888756</v>
      </c>
      <c r="P259" s="8">
        <f t="shared" si="110"/>
        <v>45.357999999999997</v>
      </c>
      <c r="Q259" s="9">
        <f t="shared" si="111"/>
        <v>5.7771751713656485</v>
      </c>
      <c r="R259" s="24">
        <f t="shared" si="112"/>
        <v>118.01787090762846</v>
      </c>
      <c r="T259" s="25" t="s">
        <v>32</v>
      </c>
      <c r="U259" s="24">
        <f>CHIDIST(U256,U257)</f>
        <v>2.3112549398295275E-25</v>
      </c>
    </row>
    <row r="260" spans="7:21" x14ac:dyDescent="0.35">
      <c r="G260" s="8" t="str">
        <f>$A$9</f>
        <v>Positive</v>
      </c>
      <c r="H260" t="str">
        <f>$B$9</f>
        <v>Female</v>
      </c>
      <c r="I260" t="str">
        <f>$C$9</f>
        <v>Therapy 1</v>
      </c>
      <c r="J260" s="8">
        <f>$D$9</f>
        <v>32</v>
      </c>
      <c r="K260" s="23">
        <f t="shared" si="107"/>
        <v>6.4000000000000001E-2</v>
      </c>
      <c r="L260" s="9">
        <f t="shared" si="108"/>
        <v>3.4657359027997265</v>
      </c>
      <c r="M260" s="8">
        <f>D72*D78/($D$44*$C$27)</f>
        <v>57.357999999999997</v>
      </c>
      <c r="N260" s="23">
        <f t="shared" si="106"/>
        <v>0.114716</v>
      </c>
      <c r="O260" s="9">
        <f t="shared" si="109"/>
        <v>4.049312328179993</v>
      </c>
      <c r="P260" s="8">
        <f t="shared" si="110"/>
        <v>-25.357999999999997</v>
      </c>
      <c r="Q260" s="9">
        <f t="shared" si="111"/>
        <v>-3.3482509265635785</v>
      </c>
      <c r="R260" s="24">
        <f t="shared" si="112"/>
        <v>-37.348891224337052</v>
      </c>
      <c r="T260" s="21" t="s">
        <v>33</v>
      </c>
      <c r="U260" s="24">
        <f>CHIINV(U258,U257)</f>
        <v>16.918977604620451</v>
      </c>
    </row>
    <row r="261" spans="7:21" x14ac:dyDescent="0.35">
      <c r="G261" s="8" t="str">
        <f>$A$10</f>
        <v>Positive</v>
      </c>
      <c r="H261" t="str">
        <f>$B$10</f>
        <v>Female</v>
      </c>
      <c r="I261" t="str">
        <f>$C$10</f>
        <v>Therapy 2</v>
      </c>
      <c r="J261" s="8">
        <f>$D$10</f>
        <v>24</v>
      </c>
      <c r="K261" s="23">
        <f t="shared" si="107"/>
        <v>4.8000000000000001E-2</v>
      </c>
      <c r="L261" s="9">
        <f t="shared" si="108"/>
        <v>3.1780538303479458</v>
      </c>
      <c r="M261" s="8">
        <f t="shared" ref="M261:M268" si="113">M260</f>
        <v>57.357999999999997</v>
      </c>
      <c r="N261" s="23">
        <f t="shared" si="106"/>
        <v>0.114716</v>
      </c>
      <c r="O261" s="9">
        <f t="shared" si="109"/>
        <v>4.049312328179993</v>
      </c>
      <c r="P261" s="8">
        <f t="shared" si="110"/>
        <v>-33.357999999999997</v>
      </c>
      <c r="Q261" s="9">
        <f t="shared" si="111"/>
        <v>-4.404564808277776</v>
      </c>
      <c r="R261" s="24">
        <f t="shared" si="112"/>
        <v>-41.820407895938267</v>
      </c>
      <c r="T261" s="25" t="s">
        <v>34</v>
      </c>
      <c r="U261" s="26" t="str">
        <f>IF(U259&lt;U258,"yes","no")</f>
        <v>yes</v>
      </c>
    </row>
    <row r="262" spans="7:21" x14ac:dyDescent="0.35">
      <c r="G262" s="8" t="str">
        <f>$A$11</f>
        <v>Positive</v>
      </c>
      <c r="H262" t="str">
        <f>$B$11</f>
        <v>Female</v>
      </c>
      <c r="I262" t="str">
        <f>$C$11</f>
        <v>Therapy 3</v>
      </c>
      <c r="J262" s="8">
        <f>$D$11</f>
        <v>80</v>
      </c>
      <c r="K262" s="23">
        <f t="shared" si="107"/>
        <v>0.16</v>
      </c>
      <c r="L262" s="9">
        <f t="shared" si="108"/>
        <v>4.3820266346738812</v>
      </c>
      <c r="M262" s="8">
        <f t="shared" si="113"/>
        <v>57.357999999999997</v>
      </c>
      <c r="N262" s="23">
        <f t="shared" si="106"/>
        <v>0.114716</v>
      </c>
      <c r="O262" s="9">
        <f t="shared" si="109"/>
        <v>4.049312328179993</v>
      </c>
      <c r="P262" s="8">
        <f t="shared" si="110"/>
        <v>22.642000000000003</v>
      </c>
      <c r="Q262" s="9">
        <f t="shared" si="111"/>
        <v>2.9896323637216091</v>
      </c>
      <c r="R262" s="24">
        <f t="shared" si="112"/>
        <v>53.234289039022116</v>
      </c>
    </row>
    <row r="263" spans="7:21" x14ac:dyDescent="0.35">
      <c r="G263" s="8" t="str">
        <f>$A$12</f>
        <v>Negative</v>
      </c>
      <c r="H263" t="str">
        <f>$B$12</f>
        <v>Male</v>
      </c>
      <c r="I263" t="str">
        <f>$C$12</f>
        <v>Therapy 1</v>
      </c>
      <c r="J263" s="8">
        <f>$D$12</f>
        <v>9</v>
      </c>
      <c r="K263" s="23">
        <f t="shared" si="107"/>
        <v>1.7999999999999999E-2</v>
      </c>
      <c r="L263" s="9">
        <f t="shared" si="108"/>
        <v>2.1972245773362196</v>
      </c>
      <c r="M263" s="8">
        <f>D73*D77/($D$44*$C$27)</f>
        <v>24.691333333333333</v>
      </c>
      <c r="N263" s="23">
        <f t="shared" si="106"/>
        <v>4.9382666666666665E-2</v>
      </c>
      <c r="O263" s="9">
        <f t="shared" si="109"/>
        <v>3.2064523048691438</v>
      </c>
      <c r="P263" s="8">
        <f t="shared" si="110"/>
        <v>-15.691333333333333</v>
      </c>
      <c r="Q263" s="9">
        <f t="shared" si="111"/>
        <v>-3.1578214980958967</v>
      </c>
      <c r="R263" s="24">
        <f t="shared" si="112"/>
        <v>-18.166099095592635</v>
      </c>
    </row>
    <row r="264" spans="7:21" x14ac:dyDescent="0.35">
      <c r="G264" s="8" t="str">
        <f>$A$13</f>
        <v>Negative</v>
      </c>
      <c r="H264" t="str">
        <f>$B$13</f>
        <v>Male</v>
      </c>
      <c r="I264" t="str">
        <f>$C$13</f>
        <v>Therapy 2</v>
      </c>
      <c r="J264" s="8">
        <f>$D$13</f>
        <v>12</v>
      </c>
      <c r="K264" s="23">
        <f t="shared" si="107"/>
        <v>2.4E-2</v>
      </c>
      <c r="L264" s="9">
        <f t="shared" si="108"/>
        <v>2.4849066497880004</v>
      </c>
      <c r="M264" s="8">
        <f t="shared" si="113"/>
        <v>24.691333333333333</v>
      </c>
      <c r="N264" s="23">
        <f t="shared" si="106"/>
        <v>4.9382666666666665E-2</v>
      </c>
      <c r="O264" s="9">
        <f t="shared" si="109"/>
        <v>3.2064523048691438</v>
      </c>
      <c r="P264" s="8">
        <f t="shared" si="110"/>
        <v>-12.691333333333333</v>
      </c>
      <c r="Q264" s="9">
        <f t="shared" si="111"/>
        <v>-2.55408284230155</v>
      </c>
      <c r="R264" s="24">
        <f t="shared" si="112"/>
        <v>-17.317095721947442</v>
      </c>
    </row>
    <row r="265" spans="7:21" x14ac:dyDescent="0.35">
      <c r="G265" s="8" t="str">
        <f>$A$14</f>
        <v>Negative</v>
      </c>
      <c r="H265" t="str">
        <f>$B$14</f>
        <v>Male</v>
      </c>
      <c r="I265" t="str">
        <f>$C$14</f>
        <v>Therapy 3</v>
      </c>
      <c r="J265" s="8">
        <f>$D$14</f>
        <v>17</v>
      </c>
      <c r="K265" s="23">
        <f t="shared" si="107"/>
        <v>3.4000000000000002E-2</v>
      </c>
      <c r="L265" s="9">
        <f t="shared" si="108"/>
        <v>2.8332133440562162</v>
      </c>
      <c r="M265" s="8">
        <f t="shared" si="113"/>
        <v>24.691333333333333</v>
      </c>
      <c r="N265" s="23">
        <f t="shared" si="106"/>
        <v>4.9382666666666665E-2</v>
      </c>
      <c r="O265" s="9">
        <f t="shared" si="109"/>
        <v>3.2064523048691438</v>
      </c>
      <c r="P265" s="8">
        <f t="shared" si="110"/>
        <v>-7.6913333333333327</v>
      </c>
      <c r="Q265" s="9">
        <f t="shared" si="111"/>
        <v>-1.5478517493109725</v>
      </c>
      <c r="R265" s="24">
        <f t="shared" si="112"/>
        <v>-12.690124667639539</v>
      </c>
    </row>
    <row r="266" spans="7:21" x14ac:dyDescent="0.35">
      <c r="G266" s="8" t="str">
        <f>$A$15</f>
        <v>Negative</v>
      </c>
      <c r="H266" t="str">
        <f>$B$15</f>
        <v>Female</v>
      </c>
      <c r="I266" t="str">
        <f>$C$15</f>
        <v>Therapy 1</v>
      </c>
      <c r="J266" s="8">
        <f>$D$15</f>
        <v>16</v>
      </c>
      <c r="K266" s="23">
        <f t="shared" si="107"/>
        <v>3.2000000000000001E-2</v>
      </c>
      <c r="L266" s="9">
        <f t="shared" si="108"/>
        <v>2.7725887222397811</v>
      </c>
      <c r="M266" s="8">
        <f>D73*D78/($D$44*$C$27)</f>
        <v>22.975333333333332</v>
      </c>
      <c r="N266" s="23">
        <f t="shared" si="106"/>
        <v>4.595066666666666E-2</v>
      </c>
      <c r="O266" s="9">
        <f t="shared" si="109"/>
        <v>3.1344211766602608</v>
      </c>
      <c r="P266" s="8">
        <f t="shared" si="110"/>
        <v>-6.9753333333333316</v>
      </c>
      <c r="Q266" s="9">
        <f t="shared" si="111"/>
        <v>-1.4552380972546457</v>
      </c>
      <c r="R266" s="24">
        <f t="shared" si="112"/>
        <v>-11.578638541455348</v>
      </c>
    </row>
    <row r="267" spans="7:21" x14ac:dyDescent="0.35">
      <c r="G267" s="8" t="str">
        <f>$A$16</f>
        <v>Negative</v>
      </c>
      <c r="H267" t="str">
        <f>$B$16</f>
        <v>Female</v>
      </c>
      <c r="I267" t="str">
        <f>$C$16</f>
        <v>Therapy 2</v>
      </c>
      <c r="J267" s="8">
        <f>$D$16</f>
        <v>33</v>
      </c>
      <c r="K267" s="23">
        <f t="shared" si="107"/>
        <v>6.6000000000000003E-2</v>
      </c>
      <c r="L267" s="9">
        <f t="shared" si="108"/>
        <v>3.4965075614664802</v>
      </c>
      <c r="M267" s="8">
        <f t="shared" si="113"/>
        <v>22.975333333333332</v>
      </c>
      <c r="N267" s="23">
        <f t="shared" si="106"/>
        <v>4.595066666666666E-2</v>
      </c>
      <c r="O267" s="9">
        <f t="shared" si="109"/>
        <v>3.1344211766602608</v>
      </c>
      <c r="P267" s="8">
        <f t="shared" si="110"/>
        <v>10.024666666666668</v>
      </c>
      <c r="Q267" s="9">
        <f t="shared" si="111"/>
        <v>2.0914092773026969</v>
      </c>
      <c r="R267" s="24">
        <f t="shared" si="112"/>
        <v>23.897701397210483</v>
      </c>
    </row>
    <row r="268" spans="7:21" x14ac:dyDescent="0.35">
      <c r="G268" s="10" t="str">
        <f>$A$17</f>
        <v>Negative</v>
      </c>
      <c r="H268" s="11" t="str">
        <f>$B$17</f>
        <v>Female</v>
      </c>
      <c r="I268" s="11" t="str">
        <f>$C$17</f>
        <v>Therapy 3</v>
      </c>
      <c r="J268" s="10">
        <f>$D$17</f>
        <v>56</v>
      </c>
      <c r="K268" s="27">
        <f t="shared" si="107"/>
        <v>0.112</v>
      </c>
      <c r="L268" s="12">
        <f t="shared" si="108"/>
        <v>4.0253516907351496</v>
      </c>
      <c r="M268" s="10">
        <f t="shared" si="113"/>
        <v>22.975333333333332</v>
      </c>
      <c r="N268" s="27">
        <f t="shared" si="106"/>
        <v>4.595066666666666E-2</v>
      </c>
      <c r="O268" s="12">
        <f t="shared" si="109"/>
        <v>3.1344211766602608</v>
      </c>
      <c r="P268" s="10">
        <f t="shared" si="110"/>
        <v>33.024666666666668</v>
      </c>
      <c r="Q268" s="12">
        <f t="shared" si="111"/>
        <v>6.8898145487626303</v>
      </c>
      <c r="R268" s="28">
        <f t="shared" si="112"/>
        <v>99.784217576387562</v>
      </c>
    </row>
    <row r="269" spans="7:21" x14ac:dyDescent="0.35">
      <c r="R269">
        <f>SUM(R257:R268)</f>
        <v>138.30258247312145</v>
      </c>
    </row>
    <row r="271" spans="7:21" x14ac:dyDescent="0.35">
      <c r="G271" s="1" t="s">
        <v>83</v>
      </c>
    </row>
    <row r="273" spans="7:21" x14ac:dyDescent="0.35">
      <c r="J273" s="13" t="s">
        <v>19</v>
      </c>
      <c r="K273" s="14"/>
      <c r="L273" s="15"/>
      <c r="M273" s="13" t="s">
        <v>20</v>
      </c>
      <c r="N273" s="14"/>
      <c r="O273" s="15"/>
      <c r="P273" s="13" t="s">
        <v>21</v>
      </c>
      <c r="Q273" s="15"/>
    </row>
    <row r="274" spans="7:21" x14ac:dyDescent="0.35">
      <c r="G274" s="16" t="str">
        <f>$A$5</f>
        <v>Cure</v>
      </c>
      <c r="H274" s="3" t="str">
        <f>$B$5</f>
        <v>Gender</v>
      </c>
      <c r="I274" s="3" t="str">
        <f>$C$5</f>
        <v>Therapy</v>
      </c>
      <c r="J274" s="17" t="s">
        <v>22</v>
      </c>
      <c r="K274" s="18" t="s">
        <v>23</v>
      </c>
      <c r="L274" s="19" t="s">
        <v>24</v>
      </c>
      <c r="M274" s="17" t="s">
        <v>25</v>
      </c>
      <c r="N274" s="18" t="s">
        <v>23</v>
      </c>
      <c r="O274" s="19" t="s">
        <v>26</v>
      </c>
      <c r="P274" s="18" t="s">
        <v>27</v>
      </c>
      <c r="Q274" s="19" t="s">
        <v>28</v>
      </c>
      <c r="R274" s="20" t="s">
        <v>29</v>
      </c>
      <c r="T274" s="21" t="s">
        <v>29</v>
      </c>
      <c r="U274" s="22">
        <f>R287</f>
        <v>159.09718607515288</v>
      </c>
    </row>
    <row r="275" spans="7:21" x14ac:dyDescent="0.35">
      <c r="G275" s="8" t="str">
        <f>$A$6</f>
        <v>Positive</v>
      </c>
      <c r="H275" t="str">
        <f>$B$6</f>
        <v>Male</v>
      </c>
      <c r="I275" t="str">
        <f>$C$6</f>
        <v>Therapy 1</v>
      </c>
      <c r="J275" s="8">
        <f>$D$6</f>
        <v>59</v>
      </c>
      <c r="K275" s="23">
        <f>J275/$D$18</f>
        <v>0.11799999999999999</v>
      </c>
      <c r="L275" s="9">
        <f>LN(J275)</f>
        <v>4.0775374439057197</v>
      </c>
      <c r="M275" s="8">
        <f>D77*D82/($A$27*$D$18)</f>
        <v>30.044</v>
      </c>
      <c r="N275" s="23">
        <f t="shared" ref="N275:N286" si="114">M275/D$44</f>
        <v>6.0088000000000003E-2</v>
      </c>
      <c r="O275" s="9">
        <f>LN(M275)</f>
        <v>3.4026629738237655</v>
      </c>
      <c r="P275" s="5">
        <f>J275-M275</f>
        <v>28.956</v>
      </c>
      <c r="Q275" s="7">
        <f>P275/SQRT(M275)</f>
        <v>5.2827455310812548</v>
      </c>
      <c r="R275" s="24">
        <f>2*J275*(L275-O275)</f>
        <v>79.635187469670598</v>
      </c>
      <c r="T275" t="s">
        <v>30</v>
      </c>
      <c r="U275" s="24">
        <f>A27*B27*C27-B27-C27+1</f>
        <v>8</v>
      </c>
    </row>
    <row r="276" spans="7:21" x14ac:dyDescent="0.35">
      <c r="G276" s="8" t="str">
        <f>$A$7</f>
        <v>Positive</v>
      </c>
      <c r="H276" t="str">
        <f>$B$7</f>
        <v>Male</v>
      </c>
      <c r="I276" t="str">
        <f>$C$7</f>
        <v>Therapy 2</v>
      </c>
      <c r="J276" s="8">
        <f>$D$7</f>
        <v>55</v>
      </c>
      <c r="K276" s="23">
        <f t="shared" ref="K276:K286" si="115">J276/$D$18</f>
        <v>0.11</v>
      </c>
      <c r="L276" s="9">
        <f t="shared" ref="L276:L286" si="116">LN(J276)</f>
        <v>4.0073331852324712</v>
      </c>
      <c r="M276" s="8">
        <f>D77*D83/($A$27*$D$18)</f>
        <v>32.116</v>
      </c>
      <c r="N276" s="23">
        <f t="shared" si="114"/>
        <v>6.4231999999999997E-2</v>
      </c>
      <c r="O276" s="9">
        <f t="shared" ref="O276:O286" si="117">LN(M276)</f>
        <v>3.4693543483224376</v>
      </c>
      <c r="P276" s="8">
        <f t="shared" ref="P276:P286" si="118">J276-M276</f>
        <v>22.884</v>
      </c>
      <c r="Q276" s="9">
        <f t="shared" ref="Q276:Q286" si="119">P276/SQRT(M276)</f>
        <v>4.0380455584041419</v>
      </c>
      <c r="R276" s="24">
        <f t="shared" ref="R276:R286" si="120">2*J276*(L276-O276)</f>
        <v>59.177672060103689</v>
      </c>
      <c r="T276" s="25" t="s">
        <v>31</v>
      </c>
      <c r="U276" s="24">
        <v>0.05</v>
      </c>
    </row>
    <row r="277" spans="7:21" x14ac:dyDescent="0.35">
      <c r="G277" s="8" t="str">
        <f>$A$8</f>
        <v>Positive</v>
      </c>
      <c r="H277" t="str">
        <f>$B$8</f>
        <v>Male</v>
      </c>
      <c r="I277" t="str">
        <f>$C$8</f>
        <v>Therapy 3</v>
      </c>
      <c r="J277" s="8">
        <f>$D$8</f>
        <v>107</v>
      </c>
      <c r="K277" s="23">
        <f t="shared" si="115"/>
        <v>0.214</v>
      </c>
      <c r="L277" s="9">
        <f t="shared" si="116"/>
        <v>4.6728288344619058</v>
      </c>
      <c r="M277" s="8">
        <f>D77*D84/($A$27*$D$18)</f>
        <v>67.34</v>
      </c>
      <c r="N277" s="23">
        <f t="shared" si="114"/>
        <v>0.13467999999999999</v>
      </c>
      <c r="O277" s="9">
        <f t="shared" si="117"/>
        <v>4.2097544137329281</v>
      </c>
      <c r="P277" s="8">
        <f t="shared" si="118"/>
        <v>39.659999999999997</v>
      </c>
      <c r="Q277" s="9">
        <f t="shared" si="119"/>
        <v>4.8329928634149688</v>
      </c>
      <c r="R277" s="24">
        <f t="shared" si="120"/>
        <v>99.097926036001212</v>
      </c>
      <c r="T277" s="25" t="s">
        <v>32</v>
      </c>
      <c r="U277" s="24">
        <f>CHIDIST(U274,U275)</f>
        <v>2.4700745086544901E-30</v>
      </c>
    </row>
    <row r="278" spans="7:21" x14ac:dyDescent="0.35">
      <c r="G278" s="8" t="str">
        <f>$A$9</f>
        <v>Positive</v>
      </c>
      <c r="H278" t="str">
        <f>$B$9</f>
        <v>Female</v>
      </c>
      <c r="I278" t="str">
        <f>$C$9</f>
        <v>Therapy 1</v>
      </c>
      <c r="J278" s="8">
        <f>$D$9</f>
        <v>32</v>
      </c>
      <c r="K278" s="23">
        <f t="shared" si="115"/>
        <v>6.4000000000000001E-2</v>
      </c>
      <c r="L278" s="9">
        <f t="shared" si="116"/>
        <v>3.4657359027997265</v>
      </c>
      <c r="M278" s="8">
        <f>D78*D82/($A$27*$D$18)</f>
        <v>27.956</v>
      </c>
      <c r="N278" s="23">
        <f t="shared" si="114"/>
        <v>5.5911999999999996E-2</v>
      </c>
      <c r="O278" s="9">
        <f t="shared" si="117"/>
        <v>3.3306318456148825</v>
      </c>
      <c r="P278" s="8">
        <f t="shared" si="118"/>
        <v>4.0440000000000005</v>
      </c>
      <c r="Q278" s="9">
        <f t="shared" si="119"/>
        <v>0.76484535061614645</v>
      </c>
      <c r="R278" s="24">
        <f t="shared" si="120"/>
        <v>8.6466596598300214</v>
      </c>
      <c r="T278" s="21" t="s">
        <v>33</v>
      </c>
      <c r="U278" s="24">
        <f>CHIINV(U276,U275)</f>
        <v>15.507313055865453</v>
      </c>
    </row>
    <row r="279" spans="7:21" x14ac:dyDescent="0.35">
      <c r="G279" s="8" t="str">
        <f>$A$10</f>
        <v>Positive</v>
      </c>
      <c r="H279" t="str">
        <f>$B$10</f>
        <v>Female</v>
      </c>
      <c r="I279" t="str">
        <f>$C$10</f>
        <v>Therapy 2</v>
      </c>
      <c r="J279" s="8">
        <f>$D$10</f>
        <v>24</v>
      </c>
      <c r="K279" s="23">
        <f t="shared" si="115"/>
        <v>4.8000000000000001E-2</v>
      </c>
      <c r="L279" s="9">
        <f t="shared" si="116"/>
        <v>3.1780538303479458</v>
      </c>
      <c r="M279" s="8">
        <f>D78*D83/($A$27*$D$18)</f>
        <v>29.884</v>
      </c>
      <c r="N279" s="23">
        <f t="shared" si="114"/>
        <v>5.9768000000000002E-2</v>
      </c>
      <c r="O279" s="9">
        <f t="shared" si="117"/>
        <v>3.397323220113555</v>
      </c>
      <c r="P279" s="8">
        <f t="shared" si="118"/>
        <v>-5.8840000000000003</v>
      </c>
      <c r="Q279" s="9">
        <f t="shared" si="119"/>
        <v>-1.0763494672328164</v>
      </c>
      <c r="R279" s="24">
        <f t="shared" si="120"/>
        <v>-10.524930708749245</v>
      </c>
      <c r="T279" s="25" t="s">
        <v>34</v>
      </c>
      <c r="U279" s="26" t="str">
        <f>IF(U277&lt;U276,"yes","no")</f>
        <v>yes</v>
      </c>
    </row>
    <row r="280" spans="7:21" x14ac:dyDescent="0.35">
      <c r="G280" s="8" t="str">
        <f>$A$11</f>
        <v>Positive</v>
      </c>
      <c r="H280" t="str">
        <f>$B$11</f>
        <v>Female</v>
      </c>
      <c r="I280" t="str">
        <f>$C$11</f>
        <v>Therapy 3</v>
      </c>
      <c r="J280" s="8">
        <f>$D$11</f>
        <v>80</v>
      </c>
      <c r="K280" s="23">
        <f t="shared" si="115"/>
        <v>0.16</v>
      </c>
      <c r="L280" s="9">
        <f t="shared" si="116"/>
        <v>4.3820266346738812</v>
      </c>
      <c r="M280" s="8">
        <f>D78*D84/($A$27*$D$18)</f>
        <v>62.66</v>
      </c>
      <c r="N280" s="23">
        <f t="shared" si="114"/>
        <v>0.12531999999999999</v>
      </c>
      <c r="O280" s="9">
        <f t="shared" si="117"/>
        <v>4.1377232855240456</v>
      </c>
      <c r="P280" s="8">
        <f t="shared" si="118"/>
        <v>17.340000000000003</v>
      </c>
      <c r="Q280" s="9">
        <f t="shared" si="119"/>
        <v>2.1905536686052454</v>
      </c>
      <c r="R280" s="24">
        <f t="shared" si="120"/>
        <v>39.088535863973703</v>
      </c>
    </row>
    <row r="281" spans="7:21" x14ac:dyDescent="0.35">
      <c r="G281" s="8" t="str">
        <f>$A$12</f>
        <v>Negative</v>
      </c>
      <c r="H281" t="str">
        <f>$B$12</f>
        <v>Male</v>
      </c>
      <c r="I281" t="str">
        <f>$C$12</f>
        <v>Therapy 1</v>
      </c>
      <c r="J281" s="8">
        <f>$D$12</f>
        <v>9</v>
      </c>
      <c r="K281" s="23">
        <f t="shared" si="115"/>
        <v>1.7999999999999999E-2</v>
      </c>
      <c r="L281" s="9">
        <f t="shared" si="116"/>
        <v>2.1972245773362196</v>
      </c>
      <c r="M281" s="8">
        <f t="shared" ref="M281:M286" si="121">M275</f>
        <v>30.044</v>
      </c>
      <c r="N281" s="23">
        <f t="shared" si="114"/>
        <v>6.0088000000000003E-2</v>
      </c>
      <c r="O281" s="9">
        <f t="shared" si="117"/>
        <v>3.4026629738237655</v>
      </c>
      <c r="P281" s="8">
        <f t="shared" si="118"/>
        <v>-21.044</v>
      </c>
      <c r="Q281" s="9">
        <f t="shared" si="119"/>
        <v>-3.8392767286943612</v>
      </c>
      <c r="R281" s="24">
        <f t="shared" si="120"/>
        <v>-21.697891136775826</v>
      </c>
    </row>
    <row r="282" spans="7:21" x14ac:dyDescent="0.35">
      <c r="G282" s="8" t="str">
        <f>$A$13</f>
        <v>Negative</v>
      </c>
      <c r="H282" t="str">
        <f>$B$13</f>
        <v>Male</v>
      </c>
      <c r="I282" t="str">
        <f>$C$13</f>
        <v>Therapy 2</v>
      </c>
      <c r="J282" s="8">
        <f>$D$13</f>
        <v>12</v>
      </c>
      <c r="K282" s="23">
        <f t="shared" si="115"/>
        <v>2.4E-2</v>
      </c>
      <c r="L282" s="9">
        <f t="shared" si="116"/>
        <v>2.4849066497880004</v>
      </c>
      <c r="M282" s="8">
        <f t="shared" si="121"/>
        <v>32.116</v>
      </c>
      <c r="N282" s="23">
        <f t="shared" si="114"/>
        <v>6.4231999999999997E-2</v>
      </c>
      <c r="O282" s="9">
        <f t="shared" si="117"/>
        <v>3.4693543483224376</v>
      </c>
      <c r="P282" s="8">
        <f t="shared" si="118"/>
        <v>-20.116</v>
      </c>
      <c r="Q282" s="9">
        <f t="shared" si="119"/>
        <v>-3.5496121505356455</v>
      </c>
      <c r="R282" s="24">
        <f t="shared" si="120"/>
        <v>-23.626744764826494</v>
      </c>
    </row>
    <row r="283" spans="7:21" x14ac:dyDescent="0.35">
      <c r="G283" s="8" t="str">
        <f>$A$14</f>
        <v>Negative</v>
      </c>
      <c r="H283" t="str">
        <f>$B$14</f>
        <v>Male</v>
      </c>
      <c r="I283" t="str">
        <f>$C$14</f>
        <v>Therapy 3</v>
      </c>
      <c r="J283" s="8">
        <f>$D$14</f>
        <v>17</v>
      </c>
      <c r="K283" s="23">
        <f t="shared" si="115"/>
        <v>3.4000000000000002E-2</v>
      </c>
      <c r="L283" s="9">
        <f t="shared" si="116"/>
        <v>2.8332133440562162</v>
      </c>
      <c r="M283" s="8">
        <f t="shared" si="121"/>
        <v>67.34</v>
      </c>
      <c r="N283" s="23">
        <f t="shared" si="114"/>
        <v>0.13467999999999999</v>
      </c>
      <c r="O283" s="9">
        <f t="shared" si="117"/>
        <v>4.2097544137329281</v>
      </c>
      <c r="P283" s="8">
        <f t="shared" si="118"/>
        <v>-50.34</v>
      </c>
      <c r="Q283" s="9">
        <f t="shared" si="119"/>
        <v>-6.1344644665736148</v>
      </c>
      <c r="R283" s="24">
        <f t="shared" si="120"/>
        <v>-46.802396369008207</v>
      </c>
    </row>
    <row r="284" spans="7:21" x14ac:dyDescent="0.35">
      <c r="G284" s="8" t="str">
        <f>$A$15</f>
        <v>Negative</v>
      </c>
      <c r="H284" t="str">
        <f>$B$15</f>
        <v>Female</v>
      </c>
      <c r="I284" t="str">
        <f>$C$15</f>
        <v>Therapy 1</v>
      </c>
      <c r="J284" s="8">
        <f>$D$15</f>
        <v>16</v>
      </c>
      <c r="K284" s="23">
        <f t="shared" si="115"/>
        <v>3.2000000000000001E-2</v>
      </c>
      <c r="L284" s="9">
        <f t="shared" si="116"/>
        <v>2.7725887222397811</v>
      </c>
      <c r="M284" s="8">
        <f t="shared" si="121"/>
        <v>27.956</v>
      </c>
      <c r="N284" s="23">
        <f t="shared" si="114"/>
        <v>5.5911999999999996E-2</v>
      </c>
      <c r="O284" s="9">
        <f t="shared" si="117"/>
        <v>3.3306318456148825</v>
      </c>
      <c r="P284" s="8">
        <f t="shared" si="118"/>
        <v>-11.956</v>
      </c>
      <c r="Q284" s="9">
        <f t="shared" si="119"/>
        <v>-2.2612490138394277</v>
      </c>
      <c r="R284" s="24">
        <f t="shared" si="120"/>
        <v>-17.857379948003242</v>
      </c>
    </row>
    <row r="285" spans="7:21" x14ac:dyDescent="0.35">
      <c r="G285" s="8" t="str">
        <f>$A$16</f>
        <v>Negative</v>
      </c>
      <c r="H285" t="str">
        <f>$B$16</f>
        <v>Female</v>
      </c>
      <c r="I285" t="str">
        <f>$C$16</f>
        <v>Therapy 2</v>
      </c>
      <c r="J285" s="8">
        <f>$D$16</f>
        <v>33</v>
      </c>
      <c r="K285" s="23">
        <f t="shared" si="115"/>
        <v>6.6000000000000003E-2</v>
      </c>
      <c r="L285" s="9">
        <f t="shared" si="116"/>
        <v>3.4965075614664802</v>
      </c>
      <c r="M285" s="8">
        <f t="shared" si="121"/>
        <v>29.884</v>
      </c>
      <c r="N285" s="23">
        <f t="shared" si="114"/>
        <v>5.9768000000000002E-2</v>
      </c>
      <c r="O285" s="9">
        <f t="shared" si="117"/>
        <v>3.397323220113555</v>
      </c>
      <c r="P285" s="8">
        <f t="shared" si="118"/>
        <v>3.1159999999999997</v>
      </c>
      <c r="Q285" s="9">
        <f t="shared" si="119"/>
        <v>0.57000423859576066</v>
      </c>
      <c r="R285" s="24">
        <f t="shared" si="120"/>
        <v>6.5461665292930631</v>
      </c>
    </row>
    <row r="286" spans="7:21" x14ac:dyDescent="0.35">
      <c r="G286" s="10" t="str">
        <f>$A$17</f>
        <v>Negative</v>
      </c>
      <c r="H286" s="11" t="str">
        <f>$B$17</f>
        <v>Female</v>
      </c>
      <c r="I286" s="11" t="str">
        <f>$C$17</f>
        <v>Therapy 3</v>
      </c>
      <c r="J286" s="10">
        <f>$D$17</f>
        <v>56</v>
      </c>
      <c r="K286" s="27">
        <f t="shared" si="115"/>
        <v>0.112</v>
      </c>
      <c r="L286" s="12">
        <f t="shared" si="116"/>
        <v>4.0253516907351496</v>
      </c>
      <c r="M286" s="10">
        <f t="shared" si="121"/>
        <v>62.66</v>
      </c>
      <c r="N286" s="27">
        <f t="shared" si="114"/>
        <v>0.12531999999999999</v>
      </c>
      <c r="O286" s="12">
        <f t="shared" si="117"/>
        <v>4.1377232855240456</v>
      </c>
      <c r="P286" s="10">
        <f t="shared" si="118"/>
        <v>-6.6599999999999966</v>
      </c>
      <c r="Q286" s="12">
        <f t="shared" si="119"/>
        <v>-0.84135452323592419</v>
      </c>
      <c r="R286" s="28">
        <f t="shared" si="120"/>
        <v>-12.585618616356342</v>
      </c>
    </row>
    <row r="287" spans="7:21" x14ac:dyDescent="0.35">
      <c r="R287">
        <f>SUM(R275:R286)</f>
        <v>159.09718607515288</v>
      </c>
    </row>
    <row r="289" spans="7:21" x14ac:dyDescent="0.35">
      <c r="G289" s="1" t="s">
        <v>84</v>
      </c>
    </row>
    <row r="291" spans="7:21" x14ac:dyDescent="0.35">
      <c r="J291" s="13" t="s">
        <v>19</v>
      </c>
      <c r="K291" s="14"/>
      <c r="L291" s="15"/>
      <c r="M291" s="13" t="s">
        <v>20</v>
      </c>
      <c r="N291" s="14"/>
      <c r="O291" s="15"/>
      <c r="P291" s="13" t="s">
        <v>21</v>
      </c>
      <c r="Q291" s="15"/>
    </row>
    <row r="292" spans="7:21" x14ac:dyDescent="0.35">
      <c r="G292" s="16" t="str">
        <f>$A$5</f>
        <v>Cure</v>
      </c>
      <c r="H292" s="3" t="str">
        <f>$B$5</f>
        <v>Gender</v>
      </c>
      <c r="I292" s="3" t="str">
        <f>$C$5</f>
        <v>Therapy</v>
      </c>
      <c r="J292" s="17" t="s">
        <v>22</v>
      </c>
      <c r="K292" s="18" t="s">
        <v>23</v>
      </c>
      <c r="L292" s="19" t="s">
        <v>24</v>
      </c>
      <c r="M292" s="17" t="s">
        <v>25</v>
      </c>
      <c r="N292" s="18" t="s">
        <v>23</v>
      </c>
      <c r="O292" s="19" t="s">
        <v>26</v>
      </c>
      <c r="P292" s="18" t="s">
        <v>27</v>
      </c>
      <c r="Q292" s="19" t="s">
        <v>28</v>
      </c>
      <c r="R292" s="20" t="s">
        <v>29</v>
      </c>
      <c r="T292" s="21" t="s">
        <v>29</v>
      </c>
      <c r="U292" s="22">
        <f>R305</f>
        <v>65.129331533013399</v>
      </c>
    </row>
    <row r="293" spans="7:21" x14ac:dyDescent="0.35">
      <c r="G293" s="8" t="str">
        <f>$A$6</f>
        <v>Positive</v>
      </c>
      <c r="H293" t="str">
        <f>$B$6</f>
        <v>Male</v>
      </c>
      <c r="I293" t="str">
        <f>$C$6</f>
        <v>Therapy 1</v>
      </c>
      <c r="J293" s="8">
        <f>$D$6</f>
        <v>59</v>
      </c>
      <c r="K293" s="23">
        <f>J293/$D$18</f>
        <v>0.11799999999999999</v>
      </c>
      <c r="L293" s="9">
        <f>LN(J293)</f>
        <v>4.0775374439057197</v>
      </c>
      <c r="M293" s="8">
        <f>D72*D82/($B$27*$D$18)</f>
        <v>41.411999999999999</v>
      </c>
      <c r="N293" s="23">
        <f t="shared" ref="N293:N304" si="122">M293/D$44</f>
        <v>8.2823999999999995E-2</v>
      </c>
      <c r="O293" s="9">
        <f>LN(M293)</f>
        <v>3.7235706939038669</v>
      </c>
      <c r="P293" s="5">
        <f>J293-M293</f>
        <v>17.588000000000001</v>
      </c>
      <c r="Q293" s="7">
        <f>P293/SQRT(M293)</f>
        <v>2.7330863571150954</v>
      </c>
      <c r="R293" s="24">
        <f>2*J293*(L293-O293)</f>
        <v>41.768076500218633</v>
      </c>
      <c r="T293" t="s">
        <v>30</v>
      </c>
      <c r="U293" s="24">
        <f>A27*B27*C27-A27-C27+1</f>
        <v>8</v>
      </c>
    </row>
    <row r="294" spans="7:21" x14ac:dyDescent="0.35">
      <c r="G294" s="8" t="str">
        <f>$A$7</f>
        <v>Positive</v>
      </c>
      <c r="H294" t="str">
        <f>$B$7</f>
        <v>Male</v>
      </c>
      <c r="I294" t="str">
        <f>$C$7</f>
        <v>Therapy 2</v>
      </c>
      <c r="J294" s="8">
        <f>$D$7</f>
        <v>55</v>
      </c>
      <c r="K294" s="23">
        <f t="shared" ref="K294:K304" si="123">J294/$D$18</f>
        <v>0.11</v>
      </c>
      <c r="L294" s="9">
        <f t="shared" ref="L294:L304" si="124">LN(J294)</f>
        <v>4.0073331852324712</v>
      </c>
      <c r="M294" s="8">
        <f>D72*D83/($B$27*$D$18)</f>
        <v>44.268000000000001</v>
      </c>
      <c r="N294" s="23">
        <f t="shared" si="122"/>
        <v>8.8536000000000004E-2</v>
      </c>
      <c r="O294" s="9">
        <f t="shared" ref="O294:O304" si="125">LN(M294)</f>
        <v>3.790262068402539</v>
      </c>
      <c r="P294" s="8">
        <f t="shared" ref="P294:P304" si="126">J294-M294</f>
        <v>10.731999999999999</v>
      </c>
      <c r="Q294" s="9">
        <f t="shared" ref="Q294:Q304" si="127">P294/SQRT(M294)</f>
        <v>1.6130049990480522</v>
      </c>
      <c r="R294" s="24">
        <f t="shared" ref="R294:R304" si="128">2*J294*(L294-O294)</f>
        <v>23.877822851292542</v>
      </c>
      <c r="T294" s="25" t="s">
        <v>31</v>
      </c>
      <c r="U294" s="24">
        <v>0.05</v>
      </c>
    </row>
    <row r="295" spans="7:21" x14ac:dyDescent="0.35">
      <c r="G295" s="8" t="str">
        <f>$A$8</f>
        <v>Positive</v>
      </c>
      <c r="H295" t="str">
        <f>$B$8</f>
        <v>Male</v>
      </c>
      <c r="I295" t="str">
        <f>$C$8</f>
        <v>Therapy 3</v>
      </c>
      <c r="J295" s="8">
        <f>$D$8</f>
        <v>107</v>
      </c>
      <c r="K295" s="23">
        <f t="shared" si="123"/>
        <v>0.214</v>
      </c>
      <c r="L295" s="9">
        <f t="shared" si="124"/>
        <v>4.6728288344619058</v>
      </c>
      <c r="M295" s="8">
        <f>D72*D84/($B$27*$D$18)</f>
        <v>92.82</v>
      </c>
      <c r="N295" s="23">
        <f t="shared" si="122"/>
        <v>0.18564</v>
      </c>
      <c r="O295" s="9">
        <f t="shared" si="125"/>
        <v>4.5306621338130295</v>
      </c>
      <c r="P295" s="8">
        <f t="shared" si="126"/>
        <v>14.180000000000007</v>
      </c>
      <c r="Q295" s="9">
        <f t="shared" si="127"/>
        <v>1.4718225373854354</v>
      </c>
      <c r="R295" s="24">
        <f t="shared" si="128"/>
        <v>30.423673938859523</v>
      </c>
      <c r="T295" s="25" t="s">
        <v>32</v>
      </c>
      <c r="U295" s="24">
        <f>CHIDIST(U292,U293)</f>
        <v>4.5500790504720033E-11</v>
      </c>
    </row>
    <row r="296" spans="7:21" x14ac:dyDescent="0.35">
      <c r="G296" s="8" t="str">
        <f>$A$9</f>
        <v>Positive</v>
      </c>
      <c r="H296" t="str">
        <f>$B$9</f>
        <v>Female</v>
      </c>
      <c r="I296" t="str">
        <f>$C$9</f>
        <v>Therapy 1</v>
      </c>
      <c r="J296" s="8">
        <f>$D$9</f>
        <v>32</v>
      </c>
      <c r="K296" s="23">
        <f t="shared" si="123"/>
        <v>6.4000000000000001E-2</v>
      </c>
      <c r="L296" s="9">
        <f t="shared" si="124"/>
        <v>3.4657359027997265</v>
      </c>
      <c r="M296" s="8">
        <f>M293</f>
        <v>41.411999999999999</v>
      </c>
      <c r="N296" s="23">
        <f t="shared" si="122"/>
        <v>8.2823999999999995E-2</v>
      </c>
      <c r="O296" s="9">
        <f t="shared" si="125"/>
        <v>3.7235706939038669</v>
      </c>
      <c r="P296" s="8">
        <f t="shared" si="126"/>
        <v>-9.411999999999999</v>
      </c>
      <c r="Q296" s="9">
        <f t="shared" si="127"/>
        <v>-1.4625772568323445</v>
      </c>
      <c r="R296" s="24">
        <f t="shared" si="128"/>
        <v>-16.50142663066498</v>
      </c>
      <c r="T296" s="21" t="s">
        <v>33</v>
      </c>
      <c r="U296" s="24">
        <f>CHIINV(U294,U293)</f>
        <v>15.507313055865453</v>
      </c>
    </row>
    <row r="297" spans="7:21" x14ac:dyDescent="0.35">
      <c r="G297" s="8" t="str">
        <f>$A$10</f>
        <v>Positive</v>
      </c>
      <c r="H297" t="str">
        <f>$B$10</f>
        <v>Female</v>
      </c>
      <c r="I297" t="str">
        <f>$C$10</f>
        <v>Therapy 2</v>
      </c>
      <c r="J297" s="8">
        <f>$D$10</f>
        <v>24</v>
      </c>
      <c r="K297" s="23">
        <f t="shared" si="123"/>
        <v>4.8000000000000001E-2</v>
      </c>
      <c r="L297" s="9">
        <f t="shared" si="124"/>
        <v>3.1780538303479458</v>
      </c>
      <c r="M297" s="8">
        <f>M294</f>
        <v>44.268000000000001</v>
      </c>
      <c r="N297" s="23">
        <f t="shared" si="122"/>
        <v>8.8536000000000004E-2</v>
      </c>
      <c r="O297" s="9">
        <f t="shared" si="125"/>
        <v>3.790262068402539</v>
      </c>
      <c r="P297" s="8">
        <f t="shared" si="126"/>
        <v>-20.268000000000001</v>
      </c>
      <c r="Q297" s="9">
        <f t="shared" si="127"/>
        <v>-3.0462528252614542</v>
      </c>
      <c r="R297" s="24">
        <f t="shared" si="128"/>
        <v>-29.385995426620475</v>
      </c>
      <c r="T297" s="25" t="s">
        <v>34</v>
      </c>
      <c r="U297" s="26" t="str">
        <f>IF(U295&lt;U294,"yes","no")</f>
        <v>yes</v>
      </c>
    </row>
    <row r="298" spans="7:21" x14ac:dyDescent="0.35">
      <c r="G298" s="8" t="str">
        <f>$A$11</f>
        <v>Positive</v>
      </c>
      <c r="H298" t="str">
        <f>$B$11</f>
        <v>Female</v>
      </c>
      <c r="I298" t="str">
        <f>$C$11</f>
        <v>Therapy 3</v>
      </c>
      <c r="J298" s="8">
        <f>$D$11</f>
        <v>80</v>
      </c>
      <c r="K298" s="23">
        <f t="shared" si="123"/>
        <v>0.16</v>
      </c>
      <c r="L298" s="9">
        <f t="shared" si="124"/>
        <v>4.3820266346738812</v>
      </c>
      <c r="M298" s="8">
        <f>M295</f>
        <v>92.82</v>
      </c>
      <c r="N298" s="23">
        <f t="shared" si="122"/>
        <v>0.18564</v>
      </c>
      <c r="O298" s="9">
        <f t="shared" si="125"/>
        <v>4.5306621338130295</v>
      </c>
      <c r="P298" s="8">
        <f t="shared" si="126"/>
        <v>-12.819999999999993</v>
      </c>
      <c r="Q298" s="9">
        <f t="shared" si="127"/>
        <v>-1.3306604322483262</v>
      </c>
      <c r="R298" s="24">
        <f t="shared" si="128"/>
        <v>-23.781679862263729</v>
      </c>
    </row>
    <row r="299" spans="7:21" x14ac:dyDescent="0.35">
      <c r="G299" s="8" t="str">
        <f>$A$12</f>
        <v>Negative</v>
      </c>
      <c r="H299" t="str">
        <f>$B$12</f>
        <v>Male</v>
      </c>
      <c r="I299" t="str">
        <f>$C$12</f>
        <v>Therapy 1</v>
      </c>
      <c r="J299" s="8">
        <f>$D$12</f>
        <v>9</v>
      </c>
      <c r="K299" s="23">
        <f t="shared" si="123"/>
        <v>1.7999999999999999E-2</v>
      </c>
      <c r="L299" s="9">
        <f t="shared" si="124"/>
        <v>2.1972245773362196</v>
      </c>
      <c r="M299" s="8">
        <f>D73*D82/($B$27*$D$18)</f>
        <v>16.588000000000001</v>
      </c>
      <c r="N299" s="23">
        <f t="shared" si="122"/>
        <v>3.3176000000000004E-2</v>
      </c>
      <c r="O299" s="9">
        <f t="shared" si="125"/>
        <v>2.8086795423841351</v>
      </c>
      <c r="P299" s="8">
        <f t="shared" si="126"/>
        <v>-7.588000000000001</v>
      </c>
      <c r="Q299" s="9">
        <f t="shared" si="127"/>
        <v>-1.8630748740982643</v>
      </c>
      <c r="R299" s="24">
        <f t="shared" si="128"/>
        <v>-11.006189370862479</v>
      </c>
    </row>
    <row r="300" spans="7:21" x14ac:dyDescent="0.35">
      <c r="G300" s="8" t="str">
        <f>$A$13</f>
        <v>Negative</v>
      </c>
      <c r="H300" t="str">
        <f>$B$13</f>
        <v>Male</v>
      </c>
      <c r="I300" t="str">
        <f>$C$13</f>
        <v>Therapy 2</v>
      </c>
      <c r="J300" s="8">
        <f>$D$13</f>
        <v>12</v>
      </c>
      <c r="K300" s="23">
        <f t="shared" si="123"/>
        <v>2.4E-2</v>
      </c>
      <c r="L300" s="9">
        <f t="shared" si="124"/>
        <v>2.4849066497880004</v>
      </c>
      <c r="M300" s="8">
        <f>D73*D83/($B$27*$D$18)</f>
        <v>17.731999999999999</v>
      </c>
      <c r="N300" s="23">
        <f t="shared" si="122"/>
        <v>3.5463999999999996E-2</v>
      </c>
      <c r="O300" s="9">
        <f t="shared" si="125"/>
        <v>2.8753709168828072</v>
      </c>
      <c r="P300" s="8">
        <f t="shared" si="126"/>
        <v>-5.7319999999999993</v>
      </c>
      <c r="Q300" s="9">
        <f t="shared" si="127"/>
        <v>-1.3612168624865759</v>
      </c>
      <c r="R300" s="24">
        <f t="shared" si="128"/>
        <v>-9.3711424102753647</v>
      </c>
    </row>
    <row r="301" spans="7:21" x14ac:dyDescent="0.35">
      <c r="G301" s="8" t="str">
        <f>$A$14</f>
        <v>Negative</v>
      </c>
      <c r="H301" t="str">
        <f>$B$14</f>
        <v>Male</v>
      </c>
      <c r="I301" t="str">
        <f>$C$14</f>
        <v>Therapy 3</v>
      </c>
      <c r="J301" s="8">
        <f>$D$14</f>
        <v>17</v>
      </c>
      <c r="K301" s="23">
        <f t="shared" si="123"/>
        <v>3.4000000000000002E-2</v>
      </c>
      <c r="L301" s="9">
        <f t="shared" si="124"/>
        <v>2.8332133440562162</v>
      </c>
      <c r="M301" s="8">
        <f>D73*D84/($B$27*$D$18)</f>
        <v>37.18</v>
      </c>
      <c r="N301" s="23">
        <f t="shared" si="122"/>
        <v>7.4359999999999996E-2</v>
      </c>
      <c r="O301" s="9">
        <f t="shared" si="125"/>
        <v>3.6157709822932977</v>
      </c>
      <c r="P301" s="8">
        <f t="shared" si="126"/>
        <v>-20.18</v>
      </c>
      <c r="Q301" s="9">
        <f t="shared" si="127"/>
        <v>-3.3095311200432449</v>
      </c>
      <c r="R301" s="24">
        <f t="shared" si="128"/>
        <v>-26.606959700060774</v>
      </c>
    </row>
    <row r="302" spans="7:21" x14ac:dyDescent="0.35">
      <c r="G302" s="8" t="str">
        <f>$A$15</f>
        <v>Negative</v>
      </c>
      <c r="H302" t="str">
        <f>$B$15</f>
        <v>Female</v>
      </c>
      <c r="I302" t="str">
        <f>$C$15</f>
        <v>Therapy 1</v>
      </c>
      <c r="J302" s="8">
        <f>$D$15</f>
        <v>16</v>
      </c>
      <c r="K302" s="23">
        <f t="shared" si="123"/>
        <v>3.2000000000000001E-2</v>
      </c>
      <c r="L302" s="9">
        <f t="shared" si="124"/>
        <v>2.7725887222397811</v>
      </c>
      <c r="M302" s="8">
        <f>M299</f>
        <v>16.588000000000001</v>
      </c>
      <c r="N302" s="23">
        <f t="shared" si="122"/>
        <v>3.3176000000000004E-2</v>
      </c>
      <c r="O302" s="9">
        <f t="shared" si="125"/>
        <v>2.8086795423841351</v>
      </c>
      <c r="P302" s="8">
        <f t="shared" si="126"/>
        <v>-0.58800000000000097</v>
      </c>
      <c r="Q302" s="9">
        <f t="shared" si="127"/>
        <v>-0.14437111570503178</v>
      </c>
      <c r="R302" s="24">
        <f t="shared" si="128"/>
        <v>-1.1549062446193261</v>
      </c>
    </row>
    <row r="303" spans="7:21" x14ac:dyDescent="0.35">
      <c r="G303" s="8" t="str">
        <f>$A$16</f>
        <v>Negative</v>
      </c>
      <c r="H303" t="str">
        <f>$B$16</f>
        <v>Female</v>
      </c>
      <c r="I303" t="str">
        <f>$C$16</f>
        <v>Therapy 2</v>
      </c>
      <c r="J303" s="8">
        <f>$D$16</f>
        <v>33</v>
      </c>
      <c r="K303" s="23">
        <f t="shared" si="123"/>
        <v>6.6000000000000003E-2</v>
      </c>
      <c r="L303" s="9">
        <f t="shared" si="124"/>
        <v>3.4965075614664802</v>
      </c>
      <c r="M303" s="8">
        <f>M300</f>
        <v>17.731999999999999</v>
      </c>
      <c r="N303" s="23">
        <f t="shared" si="122"/>
        <v>3.5463999999999996E-2</v>
      </c>
      <c r="O303" s="9">
        <f t="shared" si="125"/>
        <v>2.8753709168828072</v>
      </c>
      <c r="P303" s="8">
        <f t="shared" si="126"/>
        <v>15.268000000000001</v>
      </c>
      <c r="Q303" s="9">
        <f t="shared" si="127"/>
        <v>3.6257953692332596</v>
      </c>
      <c r="R303" s="24">
        <f t="shared" si="128"/>
        <v>40.995018542522416</v>
      </c>
    </row>
    <row r="304" spans="7:21" x14ac:dyDescent="0.35">
      <c r="G304" s="10" t="str">
        <f>$A$17</f>
        <v>Negative</v>
      </c>
      <c r="H304" s="11" t="str">
        <f>$B$17</f>
        <v>Female</v>
      </c>
      <c r="I304" s="11" t="str">
        <f>$C$17</f>
        <v>Therapy 3</v>
      </c>
      <c r="J304" s="10">
        <f>$D$17</f>
        <v>56</v>
      </c>
      <c r="K304" s="27">
        <f t="shared" si="123"/>
        <v>0.112</v>
      </c>
      <c r="L304" s="12">
        <f t="shared" si="124"/>
        <v>4.0253516907351496</v>
      </c>
      <c r="M304" s="10">
        <f>M301</f>
        <v>37.18</v>
      </c>
      <c r="N304" s="27">
        <f t="shared" si="122"/>
        <v>7.4359999999999996E-2</v>
      </c>
      <c r="O304" s="12">
        <f t="shared" si="125"/>
        <v>3.6157709822932977</v>
      </c>
      <c r="P304" s="10">
        <f t="shared" si="126"/>
        <v>18.82</v>
      </c>
      <c r="Q304" s="12">
        <f t="shared" si="127"/>
        <v>3.0864903706250679</v>
      </c>
      <c r="R304" s="28">
        <f t="shared" si="128"/>
        <v>45.873039345487413</v>
      </c>
    </row>
    <row r="305" spans="7:21" x14ac:dyDescent="0.35">
      <c r="R305">
        <f>SUM(R293:R304)</f>
        <v>65.129331533013399</v>
      </c>
    </row>
    <row r="307" spans="7:21" x14ac:dyDescent="0.35">
      <c r="G307" s="1" t="s">
        <v>85</v>
      </c>
    </row>
    <row r="309" spans="7:21" x14ac:dyDescent="0.35">
      <c r="J309" s="13" t="s">
        <v>19</v>
      </c>
      <c r="K309" s="14"/>
      <c r="L309" s="15"/>
      <c r="M309" s="13" t="s">
        <v>20</v>
      </c>
      <c r="N309" s="14"/>
      <c r="O309" s="15"/>
      <c r="P309" s="13" t="s">
        <v>21</v>
      </c>
      <c r="Q309" s="15"/>
    </row>
    <row r="310" spans="7:21" x14ac:dyDescent="0.35">
      <c r="G310" s="16" t="str">
        <f>$A$5</f>
        <v>Cure</v>
      </c>
      <c r="H310" s="3" t="str">
        <f>$B$5</f>
        <v>Gender</v>
      </c>
      <c r="I310" s="3" t="str">
        <f>$C$5</f>
        <v>Therapy</v>
      </c>
      <c r="J310" s="17" t="s">
        <v>22</v>
      </c>
      <c r="K310" s="18" t="s">
        <v>23</v>
      </c>
      <c r="L310" s="19" t="s">
        <v>24</v>
      </c>
      <c r="M310" s="17" t="s">
        <v>25</v>
      </c>
      <c r="N310" s="18" t="s">
        <v>23</v>
      </c>
      <c r="O310" s="19" t="s">
        <v>26</v>
      </c>
      <c r="P310" s="18" t="s">
        <v>27</v>
      </c>
      <c r="Q310" s="19" t="s">
        <v>28</v>
      </c>
      <c r="R310" s="20" t="s">
        <v>29</v>
      </c>
      <c r="T310" s="21" t="s">
        <v>29</v>
      </c>
      <c r="U310" s="22">
        <f>R323</f>
        <v>233.56671709648069</v>
      </c>
    </row>
    <row r="311" spans="7:21" x14ac:dyDescent="0.35">
      <c r="G311" s="8" t="str">
        <f>$A$6</f>
        <v>Positive</v>
      </c>
      <c r="H311" t="str">
        <f>$B$6</f>
        <v>Male</v>
      </c>
      <c r="I311" t="str">
        <f>$C$6</f>
        <v>Therapy 1</v>
      </c>
      <c r="J311" s="8">
        <f>$D$6</f>
        <v>59</v>
      </c>
      <c r="K311" s="23">
        <f>J311/$D$18</f>
        <v>0.11799999999999999</v>
      </c>
      <c r="L311" s="9">
        <f>LN(J311)</f>
        <v>4.0775374439057197</v>
      </c>
      <c r="M311" s="8">
        <f>D18/(A27*B27*C27)</f>
        <v>41.666666666666664</v>
      </c>
      <c r="N311" s="23">
        <f t="shared" ref="N311:N322" si="129">M311/D$44</f>
        <v>8.3333333333333329E-2</v>
      </c>
      <c r="O311" s="9">
        <f>LN(M311)</f>
        <v>3.7297014486341915</v>
      </c>
      <c r="P311" s="5">
        <f>J311-M311</f>
        <v>17.333333333333336</v>
      </c>
      <c r="Q311" s="7">
        <f>P311/SQRT(M311)</f>
        <v>2.685268453370476</v>
      </c>
      <c r="R311" s="24">
        <f>2*J311*(L311-O311)</f>
        <v>41.044647442040329</v>
      </c>
      <c r="T311" t="s">
        <v>30</v>
      </c>
      <c r="U311" s="24">
        <f>A27*B27*C27-1</f>
        <v>11</v>
      </c>
    </row>
    <row r="312" spans="7:21" x14ac:dyDescent="0.35">
      <c r="G312" s="8" t="str">
        <f>$A$7</f>
        <v>Positive</v>
      </c>
      <c r="H312" t="str">
        <f>$B$7</f>
        <v>Male</v>
      </c>
      <c r="I312" t="str">
        <f>$C$7</f>
        <v>Therapy 2</v>
      </c>
      <c r="J312" s="8">
        <f>$D$7</f>
        <v>55</v>
      </c>
      <c r="K312" s="23">
        <f t="shared" ref="K312:K322" si="130">J312/$D$18</f>
        <v>0.11</v>
      </c>
      <c r="L312" s="9">
        <f t="shared" ref="L312:L322" si="131">LN(J312)</f>
        <v>4.0073331852324712</v>
      </c>
      <c r="M312" s="8">
        <f>M311</f>
        <v>41.666666666666664</v>
      </c>
      <c r="N312" s="23">
        <f t="shared" si="129"/>
        <v>8.3333333333333329E-2</v>
      </c>
      <c r="O312" s="9">
        <f t="shared" ref="O312:O322" si="132">LN(M312)</f>
        <v>3.7297014486341915</v>
      </c>
      <c r="P312" s="8">
        <f t="shared" ref="P312:P322" si="133">J312-M312</f>
        <v>13.333333333333336</v>
      </c>
      <c r="Q312" s="9">
        <f t="shared" ref="Q312:Q322" si="134">P312/SQRT(M312)</f>
        <v>2.0655911179772897</v>
      </c>
      <c r="R312" s="24">
        <f t="shared" ref="R312:R322" si="135">2*J312*(L312-O312)</f>
        <v>30.539491025810761</v>
      </c>
      <c r="T312" s="25" t="s">
        <v>31</v>
      </c>
      <c r="U312" s="24">
        <v>0.05</v>
      </c>
    </row>
    <row r="313" spans="7:21" x14ac:dyDescent="0.35">
      <c r="G313" s="8" t="str">
        <f>$A$8</f>
        <v>Positive</v>
      </c>
      <c r="H313" t="str">
        <f>$B$8</f>
        <v>Male</v>
      </c>
      <c r="I313" t="str">
        <f>$C$8</f>
        <v>Therapy 3</v>
      </c>
      <c r="J313" s="8">
        <f>$D$8</f>
        <v>107</v>
      </c>
      <c r="K313" s="23">
        <f t="shared" si="130"/>
        <v>0.214</v>
      </c>
      <c r="L313" s="9">
        <f t="shared" si="131"/>
        <v>4.6728288344619058</v>
      </c>
      <c r="M313" s="8">
        <f t="shared" ref="M313:M322" si="136">M312</f>
        <v>41.666666666666664</v>
      </c>
      <c r="N313" s="23">
        <f t="shared" si="129"/>
        <v>8.3333333333333329E-2</v>
      </c>
      <c r="O313" s="9">
        <f t="shared" si="132"/>
        <v>3.7297014486341915</v>
      </c>
      <c r="P313" s="8">
        <f t="shared" si="133"/>
        <v>65.333333333333343</v>
      </c>
      <c r="Q313" s="9">
        <f t="shared" si="134"/>
        <v>10.121396478088718</v>
      </c>
      <c r="R313" s="24">
        <f t="shared" si="135"/>
        <v>201.82926056713086</v>
      </c>
      <c r="T313" s="25" t="s">
        <v>32</v>
      </c>
      <c r="U313" s="24">
        <f>CHIDIST(U310,U311)</f>
        <v>7.6366473422312161E-44</v>
      </c>
    </row>
    <row r="314" spans="7:21" x14ac:dyDescent="0.35">
      <c r="G314" s="8" t="str">
        <f>$A$9</f>
        <v>Positive</v>
      </c>
      <c r="H314" t="str">
        <f>$B$9</f>
        <v>Female</v>
      </c>
      <c r="I314" t="str">
        <f>$C$9</f>
        <v>Therapy 1</v>
      </c>
      <c r="J314" s="8">
        <f>$D$9</f>
        <v>32</v>
      </c>
      <c r="K314" s="23">
        <f t="shared" si="130"/>
        <v>6.4000000000000001E-2</v>
      </c>
      <c r="L314" s="9">
        <f t="shared" si="131"/>
        <v>3.4657359027997265</v>
      </c>
      <c r="M314" s="8">
        <f t="shared" si="136"/>
        <v>41.666666666666664</v>
      </c>
      <c r="N314" s="23">
        <f t="shared" si="129"/>
        <v>8.3333333333333329E-2</v>
      </c>
      <c r="O314" s="9">
        <f t="shared" si="132"/>
        <v>3.7297014486341915</v>
      </c>
      <c r="P314" s="8">
        <f t="shared" si="133"/>
        <v>-9.6666666666666643</v>
      </c>
      <c r="Q314" s="9">
        <f t="shared" si="134"/>
        <v>-1.4975535605335342</v>
      </c>
      <c r="R314" s="24">
        <f t="shared" si="135"/>
        <v>-16.893794933405758</v>
      </c>
      <c r="T314" s="21" t="s">
        <v>33</v>
      </c>
      <c r="U314" s="24">
        <f>CHIINV(U312,U311)</f>
        <v>19.675137572682498</v>
      </c>
    </row>
    <row r="315" spans="7:21" x14ac:dyDescent="0.35">
      <c r="G315" s="8" t="str">
        <f>$A$10</f>
        <v>Positive</v>
      </c>
      <c r="H315" t="str">
        <f>$B$10</f>
        <v>Female</v>
      </c>
      <c r="I315" t="str">
        <f>$C$10</f>
        <v>Therapy 2</v>
      </c>
      <c r="J315" s="8">
        <f>$D$10</f>
        <v>24</v>
      </c>
      <c r="K315" s="23">
        <f t="shared" si="130"/>
        <v>4.8000000000000001E-2</v>
      </c>
      <c r="L315" s="9">
        <f t="shared" si="131"/>
        <v>3.1780538303479458</v>
      </c>
      <c r="M315" s="8">
        <f t="shared" si="136"/>
        <v>41.666666666666664</v>
      </c>
      <c r="N315" s="23">
        <f t="shared" si="129"/>
        <v>8.3333333333333329E-2</v>
      </c>
      <c r="O315" s="9">
        <f t="shared" si="132"/>
        <v>3.7297014486341915</v>
      </c>
      <c r="P315" s="8">
        <f t="shared" si="133"/>
        <v>-17.666666666666664</v>
      </c>
      <c r="Q315" s="9">
        <f t="shared" si="134"/>
        <v>-2.7369082313199078</v>
      </c>
      <c r="R315" s="24">
        <f t="shared" si="135"/>
        <v>-26.479085677739796</v>
      </c>
      <c r="T315" s="25" t="s">
        <v>34</v>
      </c>
      <c r="U315" s="26" t="str">
        <f>IF(U313&lt;U312,"yes","no")</f>
        <v>yes</v>
      </c>
    </row>
    <row r="316" spans="7:21" x14ac:dyDescent="0.35">
      <c r="G316" s="8" t="str">
        <f>$A$11</f>
        <v>Positive</v>
      </c>
      <c r="H316" t="str">
        <f>$B$11</f>
        <v>Female</v>
      </c>
      <c r="I316" t="str">
        <f>$C$11</f>
        <v>Therapy 3</v>
      </c>
      <c r="J316" s="8">
        <f>$D$11</f>
        <v>80</v>
      </c>
      <c r="K316" s="23">
        <f t="shared" si="130"/>
        <v>0.16</v>
      </c>
      <c r="L316" s="9">
        <f t="shared" si="131"/>
        <v>4.3820266346738812</v>
      </c>
      <c r="M316" s="8">
        <f t="shared" si="136"/>
        <v>41.666666666666664</v>
      </c>
      <c r="N316" s="23">
        <f t="shared" si="129"/>
        <v>8.3333333333333329E-2</v>
      </c>
      <c r="O316" s="9">
        <f t="shared" si="132"/>
        <v>3.7297014486341915</v>
      </c>
      <c r="P316" s="8">
        <f t="shared" si="133"/>
        <v>38.333333333333336</v>
      </c>
      <c r="Q316" s="9">
        <f t="shared" si="134"/>
        <v>5.9385744641847067</v>
      </c>
      <c r="R316" s="24">
        <f t="shared" si="135"/>
        <v>104.37202976635035</v>
      </c>
    </row>
    <row r="317" spans="7:21" x14ac:dyDescent="0.35">
      <c r="G317" s="8" t="str">
        <f>$A$12</f>
        <v>Negative</v>
      </c>
      <c r="H317" t="str">
        <f>$B$12</f>
        <v>Male</v>
      </c>
      <c r="I317" t="str">
        <f>$C$12</f>
        <v>Therapy 1</v>
      </c>
      <c r="J317" s="8">
        <f>$D$12</f>
        <v>9</v>
      </c>
      <c r="K317" s="23">
        <f t="shared" si="130"/>
        <v>1.7999999999999999E-2</v>
      </c>
      <c r="L317" s="9">
        <f t="shared" si="131"/>
        <v>2.1972245773362196</v>
      </c>
      <c r="M317" s="8">
        <f t="shared" si="136"/>
        <v>41.666666666666664</v>
      </c>
      <c r="N317" s="23">
        <f t="shared" si="129"/>
        <v>8.3333333333333329E-2</v>
      </c>
      <c r="O317" s="9">
        <f t="shared" si="132"/>
        <v>3.7297014486341915</v>
      </c>
      <c r="P317" s="8">
        <f t="shared" si="133"/>
        <v>-32.666666666666664</v>
      </c>
      <c r="Q317" s="9">
        <f t="shared" si="134"/>
        <v>-5.060698239044358</v>
      </c>
      <c r="R317" s="24">
        <f t="shared" si="135"/>
        <v>-27.584583683363494</v>
      </c>
    </row>
    <row r="318" spans="7:21" x14ac:dyDescent="0.35">
      <c r="G318" s="8" t="str">
        <f>$A$13</f>
        <v>Negative</v>
      </c>
      <c r="H318" t="str">
        <f>$B$13</f>
        <v>Male</v>
      </c>
      <c r="I318" t="str">
        <f>$C$13</f>
        <v>Therapy 2</v>
      </c>
      <c r="J318" s="8">
        <f>$D$13</f>
        <v>12</v>
      </c>
      <c r="K318" s="23">
        <f t="shared" si="130"/>
        <v>2.4E-2</v>
      </c>
      <c r="L318" s="9">
        <f t="shared" si="131"/>
        <v>2.4849066497880004</v>
      </c>
      <c r="M318" s="8">
        <f t="shared" si="136"/>
        <v>41.666666666666664</v>
      </c>
      <c r="N318" s="23">
        <f t="shared" si="129"/>
        <v>8.3333333333333329E-2</v>
      </c>
      <c r="O318" s="9">
        <f t="shared" si="132"/>
        <v>3.7297014486341915</v>
      </c>
      <c r="P318" s="8">
        <f t="shared" si="133"/>
        <v>-29.666666666666664</v>
      </c>
      <c r="Q318" s="9">
        <f t="shared" si="134"/>
        <v>-4.5959402374994678</v>
      </c>
      <c r="R318" s="24">
        <f t="shared" si="135"/>
        <v>-29.875075172308588</v>
      </c>
    </row>
    <row r="319" spans="7:21" x14ac:dyDescent="0.35">
      <c r="G319" s="8" t="str">
        <f>$A$14</f>
        <v>Negative</v>
      </c>
      <c r="H319" t="str">
        <f>$B$14</f>
        <v>Male</v>
      </c>
      <c r="I319" t="str">
        <f>$C$14</f>
        <v>Therapy 3</v>
      </c>
      <c r="J319" s="8">
        <f>$D$14</f>
        <v>17</v>
      </c>
      <c r="K319" s="23">
        <f t="shared" si="130"/>
        <v>3.4000000000000002E-2</v>
      </c>
      <c r="L319" s="9">
        <f t="shared" si="131"/>
        <v>2.8332133440562162</v>
      </c>
      <c r="M319" s="8">
        <f t="shared" si="136"/>
        <v>41.666666666666664</v>
      </c>
      <c r="N319" s="23">
        <f t="shared" si="129"/>
        <v>8.3333333333333329E-2</v>
      </c>
      <c r="O319" s="9">
        <f t="shared" si="132"/>
        <v>3.7297014486341915</v>
      </c>
      <c r="P319" s="8">
        <f t="shared" si="133"/>
        <v>-24.666666666666664</v>
      </c>
      <c r="Q319" s="9">
        <f t="shared" si="134"/>
        <v>-3.8213435682579844</v>
      </c>
      <c r="R319" s="24">
        <f t="shared" si="135"/>
        <v>-30.480595555651163</v>
      </c>
    </row>
    <row r="320" spans="7:21" x14ac:dyDescent="0.35">
      <c r="G320" s="8" t="str">
        <f>$A$15</f>
        <v>Negative</v>
      </c>
      <c r="H320" t="str">
        <f>$B$15</f>
        <v>Female</v>
      </c>
      <c r="I320" t="str">
        <f>$C$15</f>
        <v>Therapy 1</v>
      </c>
      <c r="J320" s="8">
        <f>$D$15</f>
        <v>16</v>
      </c>
      <c r="K320" s="23">
        <f t="shared" si="130"/>
        <v>3.2000000000000001E-2</v>
      </c>
      <c r="L320" s="9">
        <f t="shared" si="131"/>
        <v>2.7725887222397811</v>
      </c>
      <c r="M320" s="8">
        <f t="shared" si="136"/>
        <v>41.666666666666664</v>
      </c>
      <c r="N320" s="23">
        <f t="shared" si="129"/>
        <v>8.3333333333333329E-2</v>
      </c>
      <c r="O320" s="9">
        <f t="shared" si="132"/>
        <v>3.7297014486341915</v>
      </c>
      <c r="P320" s="8">
        <f t="shared" si="133"/>
        <v>-25.666666666666664</v>
      </c>
      <c r="Q320" s="9">
        <f t="shared" si="134"/>
        <v>-3.976262902106281</v>
      </c>
      <c r="R320" s="24">
        <f t="shared" si="135"/>
        <v>-30.627607244621132</v>
      </c>
    </row>
    <row r="321" spans="7:25" x14ac:dyDescent="0.35">
      <c r="G321" s="8" t="str">
        <f>$A$16</f>
        <v>Negative</v>
      </c>
      <c r="H321" t="str">
        <f>$B$16</f>
        <v>Female</v>
      </c>
      <c r="I321" t="str">
        <f>$C$16</f>
        <v>Therapy 2</v>
      </c>
      <c r="J321" s="8">
        <f>$D$16</f>
        <v>33</v>
      </c>
      <c r="K321" s="23">
        <f t="shared" si="130"/>
        <v>6.6000000000000003E-2</v>
      </c>
      <c r="L321" s="9">
        <f t="shared" si="131"/>
        <v>3.4965075614664802</v>
      </c>
      <c r="M321" s="8">
        <f t="shared" si="136"/>
        <v>41.666666666666664</v>
      </c>
      <c r="N321" s="23">
        <f t="shared" si="129"/>
        <v>8.3333333333333329E-2</v>
      </c>
      <c r="O321" s="9">
        <f t="shared" si="132"/>
        <v>3.7297014486341915</v>
      </c>
      <c r="P321" s="8">
        <f t="shared" si="133"/>
        <v>-8.6666666666666643</v>
      </c>
      <c r="Q321" s="9">
        <f t="shared" si="134"/>
        <v>-1.3426342266852376</v>
      </c>
      <c r="R321" s="24">
        <f t="shared" si="135"/>
        <v>-15.390796553068945</v>
      </c>
    </row>
    <row r="322" spans="7:25" x14ac:dyDescent="0.35">
      <c r="G322" s="10" t="str">
        <f>$A$17</f>
        <v>Negative</v>
      </c>
      <c r="H322" s="11" t="str">
        <f>$B$17</f>
        <v>Female</v>
      </c>
      <c r="I322" s="11" t="str">
        <f>$C$17</f>
        <v>Therapy 3</v>
      </c>
      <c r="J322" s="10">
        <f>$D$17</f>
        <v>56</v>
      </c>
      <c r="K322" s="27">
        <f t="shared" si="130"/>
        <v>0.112</v>
      </c>
      <c r="L322" s="12">
        <f t="shared" si="131"/>
        <v>4.0253516907351496</v>
      </c>
      <c r="M322" s="10">
        <f t="shared" si="136"/>
        <v>41.666666666666664</v>
      </c>
      <c r="N322" s="27">
        <f t="shared" si="129"/>
        <v>8.3333333333333329E-2</v>
      </c>
      <c r="O322" s="12">
        <f t="shared" si="132"/>
        <v>3.7297014486341915</v>
      </c>
      <c r="P322" s="10">
        <f t="shared" si="133"/>
        <v>14.333333333333336</v>
      </c>
      <c r="Q322" s="12">
        <f t="shared" si="134"/>
        <v>2.2205104518255863</v>
      </c>
      <c r="R322" s="28">
        <f t="shared" si="135"/>
        <v>33.112827115307311</v>
      </c>
    </row>
    <row r="323" spans="7:25" x14ac:dyDescent="0.35">
      <c r="R323">
        <f>SUM(R311:R322)</f>
        <v>233.56671709648069</v>
      </c>
    </row>
    <row r="325" spans="7:25" x14ac:dyDescent="0.35">
      <c r="G325" s="1" t="s">
        <v>86</v>
      </c>
    </row>
    <row r="327" spans="7:25" x14ac:dyDescent="0.35">
      <c r="J327" s="13" t="s">
        <v>19</v>
      </c>
      <c r="K327" s="14"/>
      <c r="L327" s="15"/>
      <c r="M327" s="13" t="s">
        <v>20</v>
      </c>
      <c r="N327" s="14"/>
      <c r="O327" s="15"/>
      <c r="P327" s="13" t="s">
        <v>21</v>
      </c>
      <c r="Q327" s="15"/>
    </row>
    <row r="328" spans="7:25" x14ac:dyDescent="0.35">
      <c r="G328" s="16" t="str">
        <f>$A$5</f>
        <v>Cure</v>
      </c>
      <c r="H328" s="3" t="str">
        <f>$B$5</f>
        <v>Gender</v>
      </c>
      <c r="I328" s="3" t="str">
        <f>$C$5</f>
        <v>Therapy</v>
      </c>
      <c r="J328" s="17" t="s">
        <v>22</v>
      </c>
      <c r="K328" s="18" t="s">
        <v>23</v>
      </c>
      <c r="L328" s="19" t="s">
        <v>24</v>
      </c>
      <c r="M328" s="17" t="s">
        <v>25</v>
      </c>
      <c r="N328" s="18" t="s">
        <v>23</v>
      </c>
      <c r="O328" s="19" t="s">
        <v>26</v>
      </c>
      <c r="P328" s="18" t="s">
        <v>27</v>
      </c>
      <c r="Q328" s="19" t="s">
        <v>28</v>
      </c>
      <c r="R328" s="20" t="s">
        <v>29</v>
      </c>
      <c r="T328" s="21" t="s">
        <v>29</v>
      </c>
      <c r="U328" s="22">
        <f>R341</f>
        <v>1.1104339218748036</v>
      </c>
      <c r="W328" s="5">
        <f>'Log Lin 2.4'!J6</f>
        <v>60.468941219727789</v>
      </c>
      <c r="X328" s="6">
        <f>'Log Lin 2.4'!K6</f>
        <v>53.109416189162133</v>
      </c>
      <c r="Y328" s="7">
        <f>'Log Lin 2.4'!L6</f>
        <v>107.42164258226687</v>
      </c>
    </row>
    <row r="329" spans="7:25" x14ac:dyDescent="0.35">
      <c r="G329" s="8" t="str">
        <f>$A$6</f>
        <v>Positive</v>
      </c>
      <c r="H329" t="str">
        <f>$B$6</f>
        <v>Male</v>
      </c>
      <c r="I329" t="str">
        <f>$C$6</f>
        <v>Therapy 1</v>
      </c>
      <c r="J329" s="8">
        <f>$D$6</f>
        <v>59</v>
      </c>
      <c r="K329" s="23">
        <f>J329/$D$18</f>
        <v>0.11799999999999999</v>
      </c>
      <c r="L329" s="9">
        <f>LN(J329)</f>
        <v>4.0775374439057197</v>
      </c>
      <c r="M329" s="8">
        <f>W328</f>
        <v>60.468941219727789</v>
      </c>
      <c r="N329" s="23">
        <f t="shared" ref="N329:N340" si="137">M329/D$44</f>
        <v>0.12093788243945558</v>
      </c>
      <c r="O329" s="9">
        <f>LN(M329)</f>
        <v>4.1021298649492275</v>
      </c>
      <c r="P329" s="5">
        <f>J329-M329</f>
        <v>-1.4689412197277889</v>
      </c>
      <c r="Q329" s="7">
        <f>P329/SQRT(M329)</f>
        <v>-0.18890273049201523</v>
      </c>
      <c r="R329" s="24">
        <f>2*J329*(L329-O329)</f>
        <v>-2.9019056831339185</v>
      </c>
      <c r="T329" t="s">
        <v>30</v>
      </c>
      <c r="U329" s="24">
        <f>(A27-1)*(B27-1)*(C27-1)</f>
        <v>2</v>
      </c>
      <c r="W329" s="8">
        <f>'Log Lin 2.4'!J7</f>
        <v>30.531058777114517</v>
      </c>
      <c r="X329">
        <f>'Log Lin 2.4'!K7</f>
        <v>25.890583824262364</v>
      </c>
      <c r="Y329" s="9">
        <f>'Log Lin 2.4'!L7</f>
        <v>79.578357410410149</v>
      </c>
    </row>
    <row r="330" spans="7:25" x14ac:dyDescent="0.35">
      <c r="G330" s="8" t="str">
        <f>$A$7</f>
        <v>Positive</v>
      </c>
      <c r="H330" t="str">
        <f>$B$7</f>
        <v>Male</v>
      </c>
      <c r="I330" t="str">
        <f>$C$7</f>
        <v>Therapy 2</v>
      </c>
      <c r="J330" s="8">
        <f>$D$7</f>
        <v>55</v>
      </c>
      <c r="K330" s="23">
        <f t="shared" ref="K330:K340" si="138">J330/$D$18</f>
        <v>0.11</v>
      </c>
      <c r="L330" s="9">
        <f t="shared" ref="L330:L340" si="139">LN(J330)</f>
        <v>4.0073331852324712</v>
      </c>
      <c r="M330" s="8">
        <f>X328</f>
        <v>53.109416189162133</v>
      </c>
      <c r="N330" s="23">
        <f t="shared" si="137"/>
        <v>0.10621883237832426</v>
      </c>
      <c r="O330" s="9">
        <f t="shared" ref="O330:O340" si="140">LN(M330)</f>
        <v>3.972354241889652</v>
      </c>
      <c r="P330" s="8">
        <f t="shared" ref="P330:P340" si="141">J330-M330</f>
        <v>1.8905838108378674</v>
      </c>
      <c r="Q330" s="9">
        <f t="shared" ref="Q330:Q340" si="142">P330/SQRT(M330)</f>
        <v>0.25942401173339852</v>
      </c>
      <c r="R330" s="24">
        <f t="shared" ref="R330:R340" si="143">2*J330*(L330-O330)</f>
        <v>3.8476837677101061</v>
      </c>
      <c r="T330" s="25" t="s">
        <v>31</v>
      </c>
      <c r="U330" s="24">
        <v>0.05</v>
      </c>
      <c r="W330" s="8">
        <f>'Log Lin 2.4'!J8</f>
        <v>7.5310587802722173</v>
      </c>
      <c r="X330">
        <f>'Log Lin 2.4'!K8</f>
        <v>13.890583810837864</v>
      </c>
      <c r="Y330" s="9">
        <f>'Log Lin 2.4'!L8</f>
        <v>16.57835741773313</v>
      </c>
    </row>
    <row r="331" spans="7:25" x14ac:dyDescent="0.35">
      <c r="G331" s="8" t="str">
        <f>$A$8</f>
        <v>Positive</v>
      </c>
      <c r="H331" t="str">
        <f>$B$8</f>
        <v>Male</v>
      </c>
      <c r="I331" t="str">
        <f>$C$8</f>
        <v>Therapy 3</v>
      </c>
      <c r="J331" s="8">
        <f>$D$8</f>
        <v>107</v>
      </c>
      <c r="K331" s="23">
        <f t="shared" si="138"/>
        <v>0.214</v>
      </c>
      <c r="L331" s="9">
        <f t="shared" si="139"/>
        <v>4.6728288344619058</v>
      </c>
      <c r="M331" s="8">
        <f>Y328</f>
        <v>107.42164258226687</v>
      </c>
      <c r="N331" s="23">
        <f t="shared" si="137"/>
        <v>0.21484328516453374</v>
      </c>
      <c r="O331" s="9">
        <f t="shared" si="140"/>
        <v>4.6767616755749533</v>
      </c>
      <c r="P331" s="8">
        <f t="shared" si="141"/>
        <v>-0.42164258226686968</v>
      </c>
      <c r="Q331" s="9">
        <f t="shared" si="142"/>
        <v>-4.0681651020757006E-2</v>
      </c>
      <c r="R331" s="24">
        <f t="shared" si="143"/>
        <v>-0.84162799819216083</v>
      </c>
      <c r="T331" s="25" t="s">
        <v>32</v>
      </c>
      <c r="U331" s="24">
        <f>CHIDIST(U328,U329)</f>
        <v>0.57394772345091205</v>
      </c>
      <c r="W331" s="10">
        <f>'Log Lin 2.4'!J9</f>
        <v>17.468941222885476</v>
      </c>
      <c r="X331" s="11">
        <f>'Log Lin 2.4'!K9</f>
        <v>31.109416175737632</v>
      </c>
      <c r="Y331" s="12">
        <f>'Log Lin 2.4'!L9</f>
        <v>56.421642589589844</v>
      </c>
    </row>
    <row r="332" spans="7:25" x14ac:dyDescent="0.35">
      <c r="G332" s="8" t="str">
        <f>$A$9</f>
        <v>Positive</v>
      </c>
      <c r="H332" t="str">
        <f>$B$9</f>
        <v>Female</v>
      </c>
      <c r="I332" t="str">
        <f>$C$9</f>
        <v>Therapy 1</v>
      </c>
      <c r="J332" s="8">
        <f>$D$9</f>
        <v>32</v>
      </c>
      <c r="K332" s="23">
        <f t="shared" si="138"/>
        <v>6.4000000000000001E-2</v>
      </c>
      <c r="L332" s="9">
        <f t="shared" si="139"/>
        <v>3.4657359027997265</v>
      </c>
      <c r="M332" s="8">
        <f>W329</f>
        <v>30.531058777114517</v>
      </c>
      <c r="N332" s="23">
        <f t="shared" si="137"/>
        <v>6.106211755422903E-2</v>
      </c>
      <c r="O332" s="9">
        <f t="shared" si="140"/>
        <v>3.4187444860378382</v>
      </c>
      <c r="P332" s="8">
        <f t="shared" si="141"/>
        <v>1.4689412228854835</v>
      </c>
      <c r="Q332" s="9">
        <f t="shared" si="142"/>
        <v>0.26584805418548402</v>
      </c>
      <c r="R332" s="24">
        <f t="shared" si="143"/>
        <v>3.0074506727608536</v>
      </c>
      <c r="T332" s="21" t="s">
        <v>33</v>
      </c>
      <c r="U332" s="24">
        <f>CHIINV(U330,U329)</f>
        <v>5.9914645471079817</v>
      </c>
    </row>
    <row r="333" spans="7:25" x14ac:dyDescent="0.35">
      <c r="G333" s="8" t="str">
        <f>$A$10</f>
        <v>Positive</v>
      </c>
      <c r="H333" t="str">
        <f>$B$10</f>
        <v>Female</v>
      </c>
      <c r="I333" t="str">
        <f>$C$10</f>
        <v>Therapy 2</v>
      </c>
      <c r="J333" s="8">
        <f>$D$10</f>
        <v>24</v>
      </c>
      <c r="K333" s="23">
        <f t="shared" si="138"/>
        <v>4.8000000000000001E-2</v>
      </c>
      <c r="L333" s="9">
        <f t="shared" si="139"/>
        <v>3.1780538303479458</v>
      </c>
      <c r="M333" s="8">
        <f>X329</f>
        <v>25.890583824262364</v>
      </c>
      <c r="N333" s="23">
        <f t="shared" si="137"/>
        <v>5.178116764852473E-2</v>
      </c>
      <c r="O333" s="9">
        <f t="shared" si="140"/>
        <v>3.2538793436931406</v>
      </c>
      <c r="P333" s="8">
        <f t="shared" si="141"/>
        <v>-1.8905838242623645</v>
      </c>
      <c r="Q333" s="9">
        <f t="shared" si="142"/>
        <v>-0.37155663060278299</v>
      </c>
      <c r="R333" s="24">
        <f t="shared" si="143"/>
        <v>-3.6396246405693518</v>
      </c>
      <c r="T333" s="25" t="s">
        <v>34</v>
      </c>
      <c r="U333" s="26" t="str">
        <f>IF(U331&lt;U330,"yes","no")</f>
        <v>no</v>
      </c>
    </row>
    <row r="334" spans="7:25" x14ac:dyDescent="0.35">
      <c r="G334" s="8" t="str">
        <f>$A$11</f>
        <v>Positive</v>
      </c>
      <c r="H334" t="str">
        <f>$B$11</f>
        <v>Female</v>
      </c>
      <c r="I334" t="str">
        <f>$C$11</f>
        <v>Therapy 3</v>
      </c>
      <c r="J334" s="8">
        <f>$D$11</f>
        <v>80</v>
      </c>
      <c r="K334" s="23">
        <f t="shared" si="138"/>
        <v>0.16</v>
      </c>
      <c r="L334" s="9">
        <f t="shared" si="139"/>
        <v>4.3820266346738812</v>
      </c>
      <c r="M334" s="8">
        <f>Y329</f>
        <v>79.578357410410149</v>
      </c>
      <c r="N334" s="23">
        <f t="shared" si="137"/>
        <v>0.15915671482082031</v>
      </c>
      <c r="O334" s="9">
        <f t="shared" si="140"/>
        <v>4.3767421640520343</v>
      </c>
      <c r="P334" s="8">
        <f t="shared" si="141"/>
        <v>0.42164258958985101</v>
      </c>
      <c r="Q334" s="9">
        <f t="shared" si="142"/>
        <v>4.7265797139122663E-2</v>
      </c>
      <c r="R334" s="24">
        <f t="shared" si="143"/>
        <v>0.84551529949550286</v>
      </c>
    </row>
    <row r="335" spans="7:25" x14ac:dyDescent="0.35">
      <c r="G335" s="8" t="str">
        <f>$A$12</f>
        <v>Negative</v>
      </c>
      <c r="H335" t="str">
        <f>$B$12</f>
        <v>Male</v>
      </c>
      <c r="I335" t="str">
        <f>$C$12</f>
        <v>Therapy 1</v>
      </c>
      <c r="J335" s="8">
        <f>$D$12</f>
        <v>9</v>
      </c>
      <c r="K335" s="23">
        <f t="shared" si="138"/>
        <v>1.7999999999999999E-2</v>
      </c>
      <c r="L335" s="9">
        <f t="shared" si="139"/>
        <v>2.1972245773362196</v>
      </c>
      <c r="M335" s="8">
        <f>W330</f>
        <v>7.5310587802722173</v>
      </c>
      <c r="N335" s="23">
        <f t="shared" si="137"/>
        <v>1.5062117560544435E-2</v>
      </c>
      <c r="O335" s="9">
        <f t="shared" si="140"/>
        <v>2.0190356401972687</v>
      </c>
      <c r="P335" s="8">
        <f t="shared" si="141"/>
        <v>1.4689412197277827</v>
      </c>
      <c r="Q335" s="9">
        <f t="shared" si="142"/>
        <v>0.535274308398071</v>
      </c>
      <c r="R335" s="24">
        <f t="shared" si="143"/>
        <v>3.2074008685011162</v>
      </c>
    </row>
    <row r="336" spans="7:25" x14ac:dyDescent="0.35">
      <c r="G336" s="8" t="str">
        <f>$A$13</f>
        <v>Negative</v>
      </c>
      <c r="H336" t="str">
        <f>$B$13</f>
        <v>Male</v>
      </c>
      <c r="I336" t="str">
        <f>$C$13</f>
        <v>Therapy 2</v>
      </c>
      <c r="J336" s="8">
        <f>$D$13</f>
        <v>12</v>
      </c>
      <c r="K336" s="23">
        <f t="shared" si="138"/>
        <v>2.4E-2</v>
      </c>
      <c r="L336" s="9">
        <f t="shared" si="139"/>
        <v>2.4849066497880004</v>
      </c>
      <c r="M336" s="8">
        <f>X330</f>
        <v>13.890583810837864</v>
      </c>
      <c r="N336" s="23">
        <f t="shared" si="137"/>
        <v>2.7781167621675727E-2</v>
      </c>
      <c r="O336" s="9">
        <f t="shared" si="140"/>
        <v>2.6312111869008188</v>
      </c>
      <c r="P336" s="8">
        <f t="shared" si="141"/>
        <v>-1.8905838108378639</v>
      </c>
      <c r="Q336" s="9">
        <f t="shared" si="142"/>
        <v>-0.50726591918647645</v>
      </c>
      <c r="R336" s="24">
        <f t="shared" si="143"/>
        <v>-3.5113088907076424</v>
      </c>
    </row>
    <row r="337" spans="7:18" x14ac:dyDescent="0.35">
      <c r="G337" s="8" t="str">
        <f>$A$14</f>
        <v>Negative</v>
      </c>
      <c r="H337" t="str">
        <f>$B$14</f>
        <v>Male</v>
      </c>
      <c r="I337" t="str">
        <f>$C$14</f>
        <v>Therapy 3</v>
      </c>
      <c r="J337" s="8">
        <f>$D$14</f>
        <v>17</v>
      </c>
      <c r="K337" s="23">
        <f t="shared" si="138"/>
        <v>3.4000000000000002E-2</v>
      </c>
      <c r="L337" s="9">
        <f t="shared" si="139"/>
        <v>2.8332133440562162</v>
      </c>
      <c r="M337" s="8">
        <f>Y330</f>
        <v>16.57835741773313</v>
      </c>
      <c r="N337" s="23">
        <f t="shared" si="137"/>
        <v>3.3156714835466262E-2</v>
      </c>
      <c r="O337" s="9">
        <f t="shared" si="140"/>
        <v>2.8080980746988473</v>
      </c>
      <c r="P337" s="8">
        <f t="shared" si="141"/>
        <v>0.42164258226686968</v>
      </c>
      <c r="Q337" s="9">
        <f t="shared" si="142"/>
        <v>0.10355563001304159</v>
      </c>
      <c r="R337" s="24">
        <f t="shared" si="143"/>
        <v>0.85391915815054098</v>
      </c>
    </row>
    <row r="338" spans="7:18" x14ac:dyDescent="0.35">
      <c r="G338" s="8" t="str">
        <f>$A$15</f>
        <v>Negative</v>
      </c>
      <c r="H338" t="str">
        <f>$B$15</f>
        <v>Female</v>
      </c>
      <c r="I338" t="str">
        <f>$C$15</f>
        <v>Therapy 1</v>
      </c>
      <c r="J338" s="8">
        <f>$D$15</f>
        <v>16</v>
      </c>
      <c r="K338" s="23">
        <f t="shared" si="138"/>
        <v>3.2000000000000001E-2</v>
      </c>
      <c r="L338" s="9">
        <f t="shared" si="139"/>
        <v>2.7725887222397811</v>
      </c>
      <c r="M338" s="8">
        <f>W331</f>
        <v>17.468941222885476</v>
      </c>
      <c r="N338" s="23">
        <f t="shared" si="137"/>
        <v>3.4937882445770951E-2</v>
      </c>
      <c r="O338" s="9">
        <f t="shared" si="140"/>
        <v>2.8604245168649323</v>
      </c>
      <c r="P338" s="8">
        <f t="shared" si="141"/>
        <v>-1.4689412228854763</v>
      </c>
      <c r="Q338" s="9">
        <f t="shared" si="142"/>
        <v>-0.35145613344243143</v>
      </c>
      <c r="R338" s="24">
        <f t="shared" si="143"/>
        <v>-2.8107454280048358</v>
      </c>
    </row>
    <row r="339" spans="7:18" x14ac:dyDescent="0.35">
      <c r="G339" s="8" t="str">
        <f>$A$16</f>
        <v>Negative</v>
      </c>
      <c r="H339" t="str">
        <f>$B$16</f>
        <v>Female</v>
      </c>
      <c r="I339" t="str">
        <f>$C$16</f>
        <v>Therapy 2</v>
      </c>
      <c r="J339" s="8">
        <f>$D$16</f>
        <v>33</v>
      </c>
      <c r="K339" s="23">
        <f t="shared" si="138"/>
        <v>6.6000000000000003E-2</v>
      </c>
      <c r="L339" s="9">
        <f t="shared" si="139"/>
        <v>3.4965075614664802</v>
      </c>
      <c r="M339" s="8">
        <f>X331</f>
        <v>31.109416175737632</v>
      </c>
      <c r="N339" s="23">
        <f t="shared" si="137"/>
        <v>6.2218832351475267E-2</v>
      </c>
      <c r="O339" s="9">
        <f t="shared" si="140"/>
        <v>3.4375105442833616</v>
      </c>
      <c r="P339" s="8">
        <f t="shared" si="141"/>
        <v>1.890583824262368</v>
      </c>
      <c r="Q339" s="9">
        <f t="shared" si="142"/>
        <v>0.33896121470584523</v>
      </c>
      <c r="R339" s="24">
        <f t="shared" si="143"/>
        <v>3.8938031340858323</v>
      </c>
    </row>
    <row r="340" spans="7:18" x14ac:dyDescent="0.35">
      <c r="G340" s="10" t="str">
        <f>$A$17</f>
        <v>Negative</v>
      </c>
      <c r="H340" s="11" t="str">
        <f>$B$17</f>
        <v>Female</v>
      </c>
      <c r="I340" s="11" t="str">
        <f>$C$17</f>
        <v>Therapy 3</v>
      </c>
      <c r="J340" s="10">
        <f>$D$17</f>
        <v>56</v>
      </c>
      <c r="K340" s="27">
        <f t="shared" si="138"/>
        <v>0.112</v>
      </c>
      <c r="L340" s="12">
        <f t="shared" si="139"/>
        <v>4.0253516907351496</v>
      </c>
      <c r="M340" s="10">
        <f>Y331</f>
        <v>56.421642589589844</v>
      </c>
      <c r="N340" s="27">
        <f t="shared" si="137"/>
        <v>0.11284328517917969</v>
      </c>
      <c r="O340" s="12">
        <f t="shared" si="140"/>
        <v>4.0328528187549821</v>
      </c>
      <c r="P340" s="10">
        <f t="shared" si="141"/>
        <v>-0.42164258958984391</v>
      </c>
      <c r="Q340" s="12">
        <f t="shared" si="142"/>
        <v>-5.6133433731185761E-2</v>
      </c>
      <c r="R340" s="28">
        <f t="shared" si="143"/>
        <v>-0.84012633822123917</v>
      </c>
    </row>
    <row r="341" spans="7:18" x14ac:dyDescent="0.35">
      <c r="R341">
        <f>SUM(R329:R340)</f>
        <v>1.1104339218748036</v>
      </c>
    </row>
  </sheetData>
  <mergeCells count="57">
    <mergeCell ref="J327:L327"/>
    <mergeCell ref="M327:O327"/>
    <mergeCell ref="P327:Q327"/>
    <mergeCell ref="J291:L291"/>
    <mergeCell ref="M291:O291"/>
    <mergeCell ref="P291:Q291"/>
    <mergeCell ref="J309:L309"/>
    <mergeCell ref="M309:O309"/>
    <mergeCell ref="P309:Q309"/>
    <mergeCell ref="J255:L255"/>
    <mergeCell ref="M255:O255"/>
    <mergeCell ref="P255:Q255"/>
    <mergeCell ref="J273:L273"/>
    <mergeCell ref="M273:O273"/>
    <mergeCell ref="P273:Q273"/>
    <mergeCell ref="J219:L219"/>
    <mergeCell ref="M219:O219"/>
    <mergeCell ref="P219:Q219"/>
    <mergeCell ref="J237:L237"/>
    <mergeCell ref="M237:O237"/>
    <mergeCell ref="P237:Q237"/>
    <mergeCell ref="J183:L183"/>
    <mergeCell ref="M183:O183"/>
    <mergeCell ref="P183:Q183"/>
    <mergeCell ref="J201:L201"/>
    <mergeCell ref="M201:O201"/>
    <mergeCell ref="P201:Q201"/>
    <mergeCell ref="J147:L147"/>
    <mergeCell ref="M147:O147"/>
    <mergeCell ref="P147:Q147"/>
    <mergeCell ref="J165:L165"/>
    <mergeCell ref="M165:O165"/>
    <mergeCell ref="P165:Q165"/>
    <mergeCell ref="J111:L111"/>
    <mergeCell ref="M111:O111"/>
    <mergeCell ref="P111:Q111"/>
    <mergeCell ref="J129:L129"/>
    <mergeCell ref="M129:O129"/>
    <mergeCell ref="P129:Q129"/>
    <mergeCell ref="J75:L75"/>
    <mergeCell ref="M75:O75"/>
    <mergeCell ref="P75:Q75"/>
    <mergeCell ref="J93:L93"/>
    <mergeCell ref="M93:O93"/>
    <mergeCell ref="P93:Q93"/>
    <mergeCell ref="J40:L40"/>
    <mergeCell ref="M40:O40"/>
    <mergeCell ref="P40:Q40"/>
    <mergeCell ref="J57:L57"/>
    <mergeCell ref="M57:O57"/>
    <mergeCell ref="P57:Q57"/>
    <mergeCell ref="J6:L6"/>
    <mergeCell ref="M6:O6"/>
    <mergeCell ref="P6:Q6"/>
    <mergeCell ref="J23:L23"/>
    <mergeCell ref="M23:O23"/>
    <mergeCell ref="P23:Q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CAA3-6AB2-45AE-9F59-4E789DD4B388}">
  <sheetPr codeName="Sheet139"/>
  <dimension ref="A1:M84"/>
  <sheetViews>
    <sheetView workbookViewId="0"/>
  </sheetViews>
  <sheetFormatPr defaultRowHeight="14.5" x14ac:dyDescent="0.35"/>
  <sheetData>
    <row r="1" spans="1:13" x14ac:dyDescent="0.35">
      <c r="A1" s="1" t="s">
        <v>87</v>
      </c>
    </row>
    <row r="2" spans="1:13" x14ac:dyDescent="0.35">
      <c r="A2" s="1"/>
    </row>
    <row r="3" spans="1:13" x14ac:dyDescent="0.35">
      <c r="A3" t="s">
        <v>17</v>
      </c>
      <c r="H3" t="s">
        <v>88</v>
      </c>
    </row>
    <row r="5" spans="1:13" x14ac:dyDescent="0.35">
      <c r="C5" s="2" t="s">
        <v>1</v>
      </c>
      <c r="D5" s="2" t="s">
        <v>2</v>
      </c>
      <c r="E5" s="2" t="s">
        <v>3</v>
      </c>
      <c r="J5" s="2" t="s">
        <v>1</v>
      </c>
      <c r="K5" s="2" t="s">
        <v>2</v>
      </c>
      <c r="L5" s="2" t="s">
        <v>3</v>
      </c>
    </row>
    <row r="6" spans="1:13" x14ac:dyDescent="0.35">
      <c r="A6" t="s">
        <v>8</v>
      </c>
      <c r="B6" t="s">
        <v>9</v>
      </c>
      <c r="C6" s="5">
        <v>59</v>
      </c>
      <c r="D6" s="6">
        <v>55</v>
      </c>
      <c r="E6" s="7">
        <v>107</v>
      </c>
      <c r="F6">
        <f>SUM(C6:E6)</f>
        <v>221</v>
      </c>
      <c r="H6" t="s">
        <v>8</v>
      </c>
      <c r="I6" t="s">
        <v>9</v>
      </c>
      <c r="J6" s="5">
        <f>$M6*J12/$M12</f>
        <v>56.333333333333336</v>
      </c>
      <c r="K6" s="6">
        <f>$M6*K12/$M12</f>
        <v>48.904761904761905</v>
      </c>
      <c r="L6" s="7">
        <f>$M6*L12/$M12</f>
        <v>115.76190476190476</v>
      </c>
      <c r="M6">
        <f>F6</f>
        <v>221</v>
      </c>
    </row>
    <row r="7" spans="1:13" x14ac:dyDescent="0.35">
      <c r="A7" t="s">
        <v>8</v>
      </c>
      <c r="B7" t="s">
        <v>10</v>
      </c>
      <c r="C7" s="8">
        <v>32</v>
      </c>
      <c r="D7">
        <v>24</v>
      </c>
      <c r="E7" s="9">
        <v>80</v>
      </c>
      <c r="F7">
        <f t="shared" ref="F7:F16" si="0">SUM(C7:E7)</f>
        <v>136</v>
      </c>
      <c r="H7" t="s">
        <v>8</v>
      </c>
      <c r="I7" t="s">
        <v>10</v>
      </c>
      <c r="J7" s="8">
        <f t="shared" ref="J7:L8" si="1">$M7*J12/$M12</f>
        <v>34.666666666666664</v>
      </c>
      <c r="K7">
        <f t="shared" si="1"/>
        <v>30.095238095238095</v>
      </c>
      <c r="L7" s="9">
        <f t="shared" si="1"/>
        <v>71.238095238095241</v>
      </c>
      <c r="M7">
        <f>F7</f>
        <v>136</v>
      </c>
    </row>
    <row r="8" spans="1:13" x14ac:dyDescent="0.35">
      <c r="A8" t="s">
        <v>11</v>
      </c>
      <c r="B8" t="s">
        <v>9</v>
      </c>
      <c r="C8" s="8">
        <v>9</v>
      </c>
      <c r="D8">
        <v>12</v>
      </c>
      <c r="E8" s="9">
        <v>17</v>
      </c>
      <c r="F8">
        <f t="shared" si="0"/>
        <v>38</v>
      </c>
      <c r="H8" t="s">
        <v>11</v>
      </c>
      <c r="I8" t="s">
        <v>9</v>
      </c>
      <c r="J8" s="8">
        <f t="shared" si="1"/>
        <v>6.6433566433566433</v>
      </c>
      <c r="K8">
        <f t="shared" si="1"/>
        <v>11.958041958041958</v>
      </c>
      <c r="L8" s="9">
        <f t="shared" si="1"/>
        <v>19.3986013986014</v>
      </c>
      <c r="M8">
        <f>F8</f>
        <v>38</v>
      </c>
    </row>
    <row r="9" spans="1:13" x14ac:dyDescent="0.35">
      <c r="A9" t="s">
        <v>11</v>
      </c>
      <c r="B9" t="s">
        <v>10</v>
      </c>
      <c r="C9" s="10">
        <v>16</v>
      </c>
      <c r="D9" s="11">
        <v>33</v>
      </c>
      <c r="E9" s="12">
        <v>56</v>
      </c>
      <c r="F9">
        <f t="shared" si="0"/>
        <v>105</v>
      </c>
      <c r="H9" t="s">
        <v>11</v>
      </c>
      <c r="I9" t="s">
        <v>10</v>
      </c>
      <c r="J9" s="10">
        <f>$M9*J13/$M13</f>
        <v>18.356643356643357</v>
      </c>
      <c r="K9" s="11">
        <f>$M9*K13/$M13</f>
        <v>33.04195804195804</v>
      </c>
      <c r="L9" s="12">
        <f>$M9*L13/$M13</f>
        <v>53.6013986013986</v>
      </c>
      <c r="M9">
        <f>F9</f>
        <v>105</v>
      </c>
    </row>
    <row r="10" spans="1:13" x14ac:dyDescent="0.35">
      <c r="C10">
        <f>SUM(C6:C9)</f>
        <v>116</v>
      </c>
      <c r="D10">
        <f>SUM(D6:D9)</f>
        <v>124</v>
      </c>
      <c r="E10">
        <f>SUM(E6:E9)</f>
        <v>260</v>
      </c>
      <c r="F10">
        <f t="shared" si="0"/>
        <v>500</v>
      </c>
      <c r="J10">
        <f>C10</f>
        <v>116</v>
      </c>
      <c r="K10">
        <f>D10</f>
        <v>124</v>
      </c>
      <c r="L10">
        <f>E10</f>
        <v>260</v>
      </c>
      <c r="M10">
        <f>F10</f>
        <v>500</v>
      </c>
    </row>
    <row r="12" spans="1:13" x14ac:dyDescent="0.35">
      <c r="A12" t="s">
        <v>8</v>
      </c>
      <c r="C12" s="5">
        <f>SUM(C6:C7)</f>
        <v>91</v>
      </c>
      <c r="D12" s="6">
        <f>SUM(D6:D7)</f>
        <v>79</v>
      </c>
      <c r="E12" s="7">
        <f>SUM(E6:E7)</f>
        <v>187</v>
      </c>
      <c r="F12">
        <f t="shared" si="0"/>
        <v>357</v>
      </c>
      <c r="H12" t="s">
        <v>8</v>
      </c>
      <c r="J12" s="5">
        <f t="shared" ref="J12:M13" si="2">C12</f>
        <v>91</v>
      </c>
      <c r="K12" s="6">
        <f t="shared" si="2"/>
        <v>79</v>
      </c>
      <c r="L12" s="7">
        <f t="shared" si="2"/>
        <v>187</v>
      </c>
      <c r="M12">
        <f t="shared" si="2"/>
        <v>357</v>
      </c>
    </row>
    <row r="13" spans="1:13" x14ac:dyDescent="0.35">
      <c r="A13" t="s">
        <v>11</v>
      </c>
      <c r="C13" s="10">
        <f>SUM(C8:C9)</f>
        <v>25</v>
      </c>
      <c r="D13" s="11">
        <f>SUM(D8:D9)</f>
        <v>45</v>
      </c>
      <c r="E13" s="12">
        <f>SUM(E8:E9)</f>
        <v>73</v>
      </c>
      <c r="F13">
        <f t="shared" si="0"/>
        <v>143</v>
      </c>
      <c r="H13" t="s">
        <v>11</v>
      </c>
      <c r="J13" s="10">
        <f t="shared" si="2"/>
        <v>25</v>
      </c>
      <c r="K13" s="11">
        <f t="shared" si="2"/>
        <v>45</v>
      </c>
      <c r="L13" s="12">
        <f t="shared" si="2"/>
        <v>73</v>
      </c>
      <c r="M13">
        <f t="shared" si="2"/>
        <v>143</v>
      </c>
    </row>
    <row r="15" spans="1:13" x14ac:dyDescent="0.35">
      <c r="B15" t="s">
        <v>9</v>
      </c>
      <c r="C15" s="5">
        <f t="shared" ref="C15:E16" si="3">C6+C8</f>
        <v>68</v>
      </c>
      <c r="D15" s="6">
        <f t="shared" si="3"/>
        <v>67</v>
      </c>
      <c r="E15" s="7">
        <f t="shared" si="3"/>
        <v>124</v>
      </c>
      <c r="F15">
        <f t="shared" si="0"/>
        <v>259</v>
      </c>
      <c r="I15" t="s">
        <v>9</v>
      </c>
      <c r="J15" s="5">
        <f t="shared" ref="J15:M16" si="4">C15</f>
        <v>68</v>
      </c>
      <c r="K15" s="6">
        <f t="shared" si="4"/>
        <v>67</v>
      </c>
      <c r="L15" s="7">
        <f t="shared" si="4"/>
        <v>124</v>
      </c>
      <c r="M15">
        <f t="shared" si="4"/>
        <v>259</v>
      </c>
    </row>
    <row r="16" spans="1:13" x14ac:dyDescent="0.35">
      <c r="B16" t="s">
        <v>10</v>
      </c>
      <c r="C16" s="10">
        <f t="shared" si="3"/>
        <v>48</v>
      </c>
      <c r="D16" s="11">
        <f t="shared" si="3"/>
        <v>57</v>
      </c>
      <c r="E16" s="12">
        <f t="shared" si="3"/>
        <v>136</v>
      </c>
      <c r="F16">
        <f t="shared" si="0"/>
        <v>241</v>
      </c>
      <c r="I16" t="s">
        <v>10</v>
      </c>
      <c r="J16" s="10">
        <f t="shared" si="4"/>
        <v>48</v>
      </c>
      <c r="K16" s="11">
        <f t="shared" si="4"/>
        <v>57</v>
      </c>
      <c r="L16" s="12">
        <f t="shared" si="4"/>
        <v>136</v>
      </c>
      <c r="M16">
        <f t="shared" si="4"/>
        <v>241</v>
      </c>
    </row>
    <row r="18" spans="1:13" x14ac:dyDescent="0.35">
      <c r="A18" s="1" t="s">
        <v>89</v>
      </c>
    </row>
    <row r="20" spans="1:13" x14ac:dyDescent="0.35">
      <c r="A20" t="s">
        <v>17</v>
      </c>
      <c r="H20" t="s">
        <v>88</v>
      </c>
    </row>
    <row r="22" spans="1:13" x14ac:dyDescent="0.35">
      <c r="C22" s="2" t="s">
        <v>1</v>
      </c>
      <c r="D22" s="2" t="s">
        <v>2</v>
      </c>
      <c r="E22" s="2" t="s">
        <v>3</v>
      </c>
      <c r="J22" s="2" t="s">
        <v>1</v>
      </c>
      <c r="K22" s="2" t="s">
        <v>2</v>
      </c>
      <c r="L22" s="2" t="s">
        <v>3</v>
      </c>
    </row>
    <row r="23" spans="1:13" x14ac:dyDescent="0.35">
      <c r="A23" t="s">
        <v>8</v>
      </c>
      <c r="B23" t="s">
        <v>9</v>
      </c>
      <c r="C23" s="5">
        <v>59</v>
      </c>
      <c r="D23" s="6">
        <v>55</v>
      </c>
      <c r="E23" s="7">
        <v>107</v>
      </c>
      <c r="F23">
        <f>SUM(C23:E23)</f>
        <v>221</v>
      </c>
      <c r="H23" t="s">
        <v>8</v>
      </c>
      <c r="I23" t="s">
        <v>9</v>
      </c>
      <c r="J23" s="5">
        <f>J$32*$M$29/$M$27</f>
        <v>48.552</v>
      </c>
      <c r="K23" s="6">
        <f>K$32*$M$29/$M$27</f>
        <v>47.838000000000001</v>
      </c>
      <c r="L23" s="7">
        <f>L$32*$M$29/$M$27</f>
        <v>88.536000000000001</v>
      </c>
      <c r="M23">
        <f>F23</f>
        <v>221</v>
      </c>
    </row>
    <row r="24" spans="1:13" x14ac:dyDescent="0.35">
      <c r="A24" t="s">
        <v>8</v>
      </c>
      <c r="B24" t="s">
        <v>10</v>
      </c>
      <c r="C24" s="8">
        <v>32</v>
      </c>
      <c r="D24">
        <v>24</v>
      </c>
      <c r="E24" s="9">
        <v>80</v>
      </c>
      <c r="F24">
        <f>SUM(C24:E24)</f>
        <v>136</v>
      </c>
      <c r="H24" t="s">
        <v>8</v>
      </c>
      <c r="I24" t="s">
        <v>10</v>
      </c>
      <c r="J24" s="8">
        <f>J$33*$M$29/$M$27</f>
        <v>34.271999999999998</v>
      </c>
      <c r="K24">
        <f>K$33*$M$29/$M$27</f>
        <v>40.698</v>
      </c>
      <c r="L24" s="9">
        <f>L$33*$M$29/$M$27</f>
        <v>97.103999999999999</v>
      </c>
      <c r="M24">
        <f>F24</f>
        <v>136</v>
      </c>
    </row>
    <row r="25" spans="1:13" x14ac:dyDescent="0.35">
      <c r="A25" t="s">
        <v>11</v>
      </c>
      <c r="B25" t="s">
        <v>9</v>
      </c>
      <c r="C25" s="8">
        <v>9</v>
      </c>
      <c r="D25">
        <v>12</v>
      </c>
      <c r="E25" s="9">
        <v>17</v>
      </c>
      <c r="F25">
        <f>SUM(C25:E25)</f>
        <v>38</v>
      </c>
      <c r="H25" t="s">
        <v>11</v>
      </c>
      <c r="I25" t="s">
        <v>9</v>
      </c>
      <c r="J25" s="8">
        <f>J$32*$M$30/$M$27</f>
        <v>19.448</v>
      </c>
      <c r="K25">
        <f>K$32*$M$30/$M$27</f>
        <v>19.161999999999999</v>
      </c>
      <c r="L25" s="9">
        <f>L$32*$M$30/$M$27</f>
        <v>35.463999999999999</v>
      </c>
      <c r="M25">
        <f>F25</f>
        <v>38</v>
      </c>
    </row>
    <row r="26" spans="1:13" x14ac:dyDescent="0.35">
      <c r="A26" t="s">
        <v>11</v>
      </c>
      <c r="B26" t="s">
        <v>10</v>
      </c>
      <c r="C26" s="10">
        <v>16</v>
      </c>
      <c r="D26" s="11">
        <v>33</v>
      </c>
      <c r="E26" s="12">
        <v>56</v>
      </c>
      <c r="F26">
        <f>SUM(C26:E26)</f>
        <v>105</v>
      </c>
      <c r="H26" t="s">
        <v>11</v>
      </c>
      <c r="I26" t="s">
        <v>10</v>
      </c>
      <c r="J26" s="10">
        <f>J$33*$M$30/$M$27</f>
        <v>13.728</v>
      </c>
      <c r="K26" s="11">
        <f>K$33*$M$30/$M$27</f>
        <v>16.302</v>
      </c>
      <c r="L26" s="12">
        <f>L$33*$M$30/$M$27</f>
        <v>38.896000000000001</v>
      </c>
      <c r="M26">
        <f>F26</f>
        <v>105</v>
      </c>
    </row>
    <row r="27" spans="1:13" x14ac:dyDescent="0.35">
      <c r="C27">
        <f>SUM(C23:C26)</f>
        <v>116</v>
      </c>
      <c r="D27">
        <f>SUM(D23:D26)</f>
        <v>124</v>
      </c>
      <c r="E27">
        <f>SUM(E23:E26)</f>
        <v>260</v>
      </c>
      <c r="F27">
        <f>SUM(C27:E27)</f>
        <v>500</v>
      </c>
      <c r="J27">
        <f>C27</f>
        <v>116</v>
      </c>
      <c r="K27">
        <f>D27</f>
        <v>124</v>
      </c>
      <c r="L27">
        <f>E27</f>
        <v>260</v>
      </c>
      <c r="M27">
        <f>F27</f>
        <v>500</v>
      </c>
    </row>
    <row r="29" spans="1:13" x14ac:dyDescent="0.35">
      <c r="A29" t="s">
        <v>8</v>
      </c>
      <c r="C29" s="5">
        <f>SUM(C23:C24)</f>
        <v>91</v>
      </c>
      <c r="D29" s="6">
        <f>SUM(D23:D24)</f>
        <v>79</v>
      </c>
      <c r="E29" s="7">
        <f>SUM(E23:E24)</f>
        <v>187</v>
      </c>
      <c r="F29">
        <f>SUM(C29:E29)</f>
        <v>357</v>
      </c>
      <c r="H29" t="s">
        <v>8</v>
      </c>
      <c r="J29" s="5">
        <f t="shared" ref="J29:M30" si="5">C29</f>
        <v>91</v>
      </c>
      <c r="K29" s="6">
        <f t="shared" si="5"/>
        <v>79</v>
      </c>
      <c r="L29" s="7">
        <f t="shared" si="5"/>
        <v>187</v>
      </c>
      <c r="M29">
        <f t="shared" si="5"/>
        <v>357</v>
      </c>
    </row>
    <row r="30" spans="1:13" x14ac:dyDescent="0.35">
      <c r="A30" t="s">
        <v>11</v>
      </c>
      <c r="C30" s="10">
        <f>SUM(C25:C26)</f>
        <v>25</v>
      </c>
      <c r="D30" s="11">
        <f>SUM(D25:D26)</f>
        <v>45</v>
      </c>
      <c r="E30" s="12">
        <f>SUM(E25:E26)</f>
        <v>73</v>
      </c>
      <c r="F30">
        <f>SUM(C30:E30)</f>
        <v>143</v>
      </c>
      <c r="H30" t="s">
        <v>11</v>
      </c>
      <c r="J30" s="10">
        <f t="shared" si="5"/>
        <v>25</v>
      </c>
      <c r="K30" s="11">
        <f t="shared" si="5"/>
        <v>45</v>
      </c>
      <c r="L30" s="12">
        <f t="shared" si="5"/>
        <v>73</v>
      </c>
      <c r="M30">
        <f t="shared" si="5"/>
        <v>143</v>
      </c>
    </row>
    <row r="32" spans="1:13" x14ac:dyDescent="0.35">
      <c r="B32" t="s">
        <v>9</v>
      </c>
      <c r="C32" s="5">
        <f t="shared" ref="C32:E33" si="6">C23+C25</f>
        <v>68</v>
      </c>
      <c r="D32" s="6">
        <f t="shared" si="6"/>
        <v>67</v>
      </c>
      <c r="E32" s="7">
        <f t="shared" si="6"/>
        <v>124</v>
      </c>
      <c r="F32">
        <f>SUM(C32:E32)</f>
        <v>259</v>
      </c>
      <c r="I32" t="s">
        <v>9</v>
      </c>
      <c r="J32" s="5">
        <f t="shared" ref="J32:M33" si="7">C32</f>
        <v>68</v>
      </c>
      <c r="K32" s="6">
        <f t="shared" si="7"/>
        <v>67</v>
      </c>
      <c r="L32" s="7">
        <f t="shared" si="7"/>
        <v>124</v>
      </c>
      <c r="M32">
        <f t="shared" si="7"/>
        <v>259</v>
      </c>
    </row>
    <row r="33" spans="1:13" x14ac:dyDescent="0.35">
      <c r="B33" t="s">
        <v>10</v>
      </c>
      <c r="C33" s="10">
        <f t="shared" si="6"/>
        <v>48</v>
      </c>
      <c r="D33" s="11">
        <f t="shared" si="6"/>
        <v>57</v>
      </c>
      <c r="E33" s="12">
        <f t="shared" si="6"/>
        <v>136</v>
      </c>
      <c r="F33">
        <f>SUM(C33:E33)</f>
        <v>241</v>
      </c>
      <c r="I33" t="s">
        <v>10</v>
      </c>
      <c r="J33" s="10">
        <f t="shared" si="7"/>
        <v>48</v>
      </c>
      <c r="K33" s="11">
        <f t="shared" si="7"/>
        <v>57</v>
      </c>
      <c r="L33" s="12">
        <f t="shared" si="7"/>
        <v>136</v>
      </c>
      <c r="M33">
        <f t="shared" si="7"/>
        <v>241</v>
      </c>
    </row>
    <row r="35" spans="1:13" x14ac:dyDescent="0.35">
      <c r="A35" s="1" t="s">
        <v>90</v>
      </c>
    </row>
    <row r="37" spans="1:13" x14ac:dyDescent="0.35">
      <c r="A37" t="s">
        <v>17</v>
      </c>
      <c r="H37" t="s">
        <v>88</v>
      </c>
    </row>
    <row r="39" spans="1:13" x14ac:dyDescent="0.35">
      <c r="C39" s="2" t="s">
        <v>1</v>
      </c>
      <c r="D39" s="2" t="s">
        <v>2</v>
      </c>
      <c r="E39" s="2" t="s">
        <v>3</v>
      </c>
      <c r="J39" s="2" t="s">
        <v>1</v>
      </c>
      <c r="K39" s="2" t="s">
        <v>2</v>
      </c>
      <c r="L39" s="2" t="s">
        <v>3</v>
      </c>
    </row>
    <row r="40" spans="1:13" x14ac:dyDescent="0.35">
      <c r="A40" t="s">
        <v>8</v>
      </c>
      <c r="B40" t="s">
        <v>9</v>
      </c>
      <c r="C40" s="5">
        <v>59</v>
      </c>
      <c r="D40" s="6">
        <v>55</v>
      </c>
      <c r="E40" s="7">
        <v>107</v>
      </c>
      <c r="F40">
        <f>SUM(C40:E40)</f>
        <v>221</v>
      </c>
      <c r="H40" t="s">
        <v>8</v>
      </c>
      <c r="I40" t="s">
        <v>9</v>
      </c>
      <c r="J40" s="5">
        <f>$M$46*$M$49*J$44/$M$44^2</f>
        <v>42.902831999999997</v>
      </c>
      <c r="K40" s="6">
        <f>$M$46*$M$49*K$44/$M$44^2</f>
        <v>45.861648000000002</v>
      </c>
      <c r="L40" s="7">
        <f>$M$46*$M$49*L$44/$M$44^2</f>
        <v>96.161519999999996</v>
      </c>
      <c r="M40">
        <f>F40</f>
        <v>221</v>
      </c>
    </row>
    <row r="41" spans="1:13" x14ac:dyDescent="0.35">
      <c r="A41" t="s">
        <v>8</v>
      </c>
      <c r="B41" t="s">
        <v>10</v>
      </c>
      <c r="C41" s="8">
        <v>32</v>
      </c>
      <c r="D41">
        <v>24</v>
      </c>
      <c r="E41" s="9">
        <v>80</v>
      </c>
      <c r="F41">
        <f>SUM(C41:E41)</f>
        <v>136</v>
      </c>
      <c r="H41" t="s">
        <v>8</v>
      </c>
      <c r="I41" t="s">
        <v>10</v>
      </c>
      <c r="J41" s="8">
        <f>$M$46*$M$50*J$44/$M$44^2</f>
        <v>39.921168000000002</v>
      </c>
      <c r="K41">
        <f>$M$46*$M$50*K$44/$M$44^2</f>
        <v>42.674351999999999</v>
      </c>
      <c r="L41" s="9">
        <f>$M$46*$M$50*L$44/$M$44^2</f>
        <v>89.478480000000005</v>
      </c>
      <c r="M41">
        <f>F41</f>
        <v>136</v>
      </c>
    </row>
    <row r="42" spans="1:13" x14ac:dyDescent="0.35">
      <c r="A42" t="s">
        <v>11</v>
      </c>
      <c r="B42" t="s">
        <v>9</v>
      </c>
      <c r="C42" s="8">
        <v>9</v>
      </c>
      <c r="D42">
        <v>12</v>
      </c>
      <c r="E42" s="9">
        <v>17</v>
      </c>
      <c r="F42">
        <f>SUM(C42:E42)</f>
        <v>38</v>
      </c>
      <c r="H42" t="s">
        <v>11</v>
      </c>
      <c r="I42" t="s">
        <v>9</v>
      </c>
      <c r="J42" s="8">
        <f>$M$47*$M$49*J$44/$M$44^2</f>
        <v>17.185168000000001</v>
      </c>
      <c r="K42">
        <f>$M$47*$M$49*K$44/$M$44^2</f>
        <v>18.370352</v>
      </c>
      <c r="L42" s="9">
        <f>$M$47*$M$49*L$44/$M$44^2</f>
        <v>38.518479999999997</v>
      </c>
      <c r="M42">
        <f>F42</f>
        <v>38</v>
      </c>
    </row>
    <row r="43" spans="1:13" x14ac:dyDescent="0.35">
      <c r="A43" t="s">
        <v>11</v>
      </c>
      <c r="B43" t="s">
        <v>10</v>
      </c>
      <c r="C43" s="10">
        <v>16</v>
      </c>
      <c r="D43" s="11">
        <v>33</v>
      </c>
      <c r="E43" s="12">
        <v>56</v>
      </c>
      <c r="F43">
        <f>SUM(C43:E43)</f>
        <v>105</v>
      </c>
      <c r="H43" t="s">
        <v>11</v>
      </c>
      <c r="I43" t="s">
        <v>10</v>
      </c>
      <c r="J43" s="10">
        <f>$M$47*$M$50*J$44/$M$44^2</f>
        <v>15.990831999999999</v>
      </c>
      <c r="K43" s="11">
        <f>$M$47*$M$50*K$44/$M$44^2</f>
        <v>17.093648000000002</v>
      </c>
      <c r="L43" s="12">
        <f>$M$47*$M$50*L$44/$M$44^2</f>
        <v>35.841520000000003</v>
      </c>
      <c r="M43">
        <f>F43</f>
        <v>105</v>
      </c>
    </row>
    <row r="44" spans="1:13" x14ac:dyDescent="0.35">
      <c r="C44">
        <f>SUM(C40:C43)</f>
        <v>116</v>
      </c>
      <c r="D44">
        <f>SUM(D40:D43)</f>
        <v>124</v>
      </c>
      <c r="E44">
        <f>SUM(E40:E43)</f>
        <v>260</v>
      </c>
      <c r="F44">
        <f>SUM(C44:E44)</f>
        <v>500</v>
      </c>
      <c r="J44">
        <f>C44</f>
        <v>116</v>
      </c>
      <c r="K44">
        <f>D44</f>
        <v>124</v>
      </c>
      <c r="L44">
        <f>E44</f>
        <v>260</v>
      </c>
      <c r="M44">
        <f>F44</f>
        <v>500</v>
      </c>
    </row>
    <row r="46" spans="1:13" x14ac:dyDescent="0.35">
      <c r="A46" t="s">
        <v>8</v>
      </c>
      <c r="C46" s="5">
        <f>SUM(C40:C41)</f>
        <v>91</v>
      </c>
      <c r="D46" s="6">
        <f>SUM(D40:D41)</f>
        <v>79</v>
      </c>
      <c r="E46" s="7">
        <f>SUM(E40:E41)</f>
        <v>187</v>
      </c>
      <c r="F46">
        <f>SUM(C46:E46)</f>
        <v>357</v>
      </c>
      <c r="H46" t="s">
        <v>8</v>
      </c>
      <c r="J46" s="5">
        <f t="shared" ref="J46:M47" si="8">C46</f>
        <v>91</v>
      </c>
      <c r="K46" s="6">
        <f t="shared" si="8"/>
        <v>79</v>
      </c>
      <c r="L46" s="7">
        <f t="shared" si="8"/>
        <v>187</v>
      </c>
      <c r="M46">
        <f t="shared" si="8"/>
        <v>357</v>
      </c>
    </row>
    <row r="47" spans="1:13" x14ac:dyDescent="0.35">
      <c r="A47" t="s">
        <v>11</v>
      </c>
      <c r="C47" s="10">
        <f>SUM(C42:C43)</f>
        <v>25</v>
      </c>
      <c r="D47" s="11">
        <f>SUM(D42:D43)</f>
        <v>45</v>
      </c>
      <c r="E47" s="12">
        <f>SUM(E42:E43)</f>
        <v>73</v>
      </c>
      <c r="F47">
        <f>SUM(C47:E47)</f>
        <v>143</v>
      </c>
      <c r="H47" t="s">
        <v>11</v>
      </c>
      <c r="J47" s="10">
        <f t="shared" si="8"/>
        <v>25</v>
      </c>
      <c r="K47" s="11">
        <f t="shared" si="8"/>
        <v>45</v>
      </c>
      <c r="L47" s="12">
        <f t="shared" si="8"/>
        <v>73</v>
      </c>
      <c r="M47">
        <f t="shared" si="8"/>
        <v>143</v>
      </c>
    </row>
    <row r="49" spans="1:13" x14ac:dyDescent="0.35">
      <c r="B49" t="s">
        <v>9</v>
      </c>
      <c r="C49" s="5">
        <f t="shared" ref="C49:E50" si="9">C40+C42</f>
        <v>68</v>
      </c>
      <c r="D49" s="6">
        <f t="shared" si="9"/>
        <v>67</v>
      </c>
      <c r="E49" s="7">
        <f t="shared" si="9"/>
        <v>124</v>
      </c>
      <c r="F49">
        <f>SUM(C49:E49)</f>
        <v>259</v>
      </c>
      <c r="I49" t="s">
        <v>9</v>
      </c>
      <c r="J49" s="5">
        <f t="shared" ref="J49:M50" si="10">C49</f>
        <v>68</v>
      </c>
      <c r="K49" s="6">
        <f t="shared" si="10"/>
        <v>67</v>
      </c>
      <c r="L49" s="7">
        <f t="shared" si="10"/>
        <v>124</v>
      </c>
      <c r="M49">
        <f t="shared" si="10"/>
        <v>259</v>
      </c>
    </row>
    <row r="50" spans="1:13" x14ac:dyDescent="0.35">
      <c r="B50" t="s">
        <v>10</v>
      </c>
      <c r="C50" s="10">
        <f t="shared" si="9"/>
        <v>48</v>
      </c>
      <c r="D50" s="11">
        <f t="shared" si="9"/>
        <v>57</v>
      </c>
      <c r="E50" s="12">
        <f t="shared" si="9"/>
        <v>136</v>
      </c>
      <c r="F50">
        <f>SUM(C50:E50)</f>
        <v>241</v>
      </c>
      <c r="I50" t="s">
        <v>10</v>
      </c>
      <c r="J50" s="10">
        <f t="shared" si="10"/>
        <v>48</v>
      </c>
      <c r="K50" s="11">
        <f t="shared" si="10"/>
        <v>57</v>
      </c>
      <c r="L50" s="12">
        <f t="shared" si="10"/>
        <v>136</v>
      </c>
      <c r="M50">
        <f t="shared" si="10"/>
        <v>241</v>
      </c>
    </row>
    <row r="52" spans="1:13" x14ac:dyDescent="0.35">
      <c r="A52" s="1" t="s">
        <v>91</v>
      </c>
    </row>
    <row r="54" spans="1:13" x14ac:dyDescent="0.35">
      <c r="A54" t="s">
        <v>17</v>
      </c>
      <c r="H54" t="s">
        <v>88</v>
      </c>
    </row>
    <row r="56" spans="1:13" x14ac:dyDescent="0.35">
      <c r="C56" s="2" t="s">
        <v>1</v>
      </c>
      <c r="D56" s="2" t="s">
        <v>2</v>
      </c>
      <c r="E56" s="2" t="s">
        <v>3</v>
      </c>
      <c r="J56" s="2" t="s">
        <v>1</v>
      </c>
      <c r="K56" s="2" t="s">
        <v>2</v>
      </c>
      <c r="L56" s="2" t="s">
        <v>3</v>
      </c>
    </row>
    <row r="57" spans="1:13" x14ac:dyDescent="0.35">
      <c r="A57" t="s">
        <v>8</v>
      </c>
      <c r="B57" t="s">
        <v>9</v>
      </c>
      <c r="C57" s="5">
        <v>59</v>
      </c>
      <c r="D57" s="6">
        <v>55</v>
      </c>
      <c r="E57" s="7">
        <v>107</v>
      </c>
      <c r="F57">
        <f>SUM(C57:E57)</f>
        <v>221</v>
      </c>
      <c r="H57" t="s">
        <v>8</v>
      </c>
      <c r="I57" t="s">
        <v>9</v>
      </c>
      <c r="J57" s="5">
        <f>'Log Lin 2.4'!J6</f>
        <v>60.468941219727789</v>
      </c>
      <c r="K57" s="6">
        <f>'Log Lin 2.4'!K6</f>
        <v>53.109416189162133</v>
      </c>
      <c r="L57" s="7">
        <f>'Log Lin 2.4'!L6</f>
        <v>107.42164258226687</v>
      </c>
      <c r="M57">
        <f>F57</f>
        <v>221</v>
      </c>
    </row>
    <row r="58" spans="1:13" x14ac:dyDescent="0.35">
      <c r="A58" t="s">
        <v>8</v>
      </c>
      <c r="B58" t="s">
        <v>10</v>
      </c>
      <c r="C58" s="8">
        <v>32</v>
      </c>
      <c r="D58">
        <v>24</v>
      </c>
      <c r="E58" s="9">
        <v>80</v>
      </c>
      <c r="F58">
        <f>SUM(C58:E58)</f>
        <v>136</v>
      </c>
      <c r="H58" t="s">
        <v>8</v>
      </c>
      <c r="I58" t="s">
        <v>10</v>
      </c>
      <c r="J58" s="8">
        <f>'Log Lin 2.4'!J7</f>
        <v>30.531058777114517</v>
      </c>
      <c r="K58">
        <f>'Log Lin 2.4'!K7</f>
        <v>25.890583824262364</v>
      </c>
      <c r="L58" s="9">
        <f>'Log Lin 2.4'!L7</f>
        <v>79.578357410410149</v>
      </c>
      <c r="M58">
        <f>F58</f>
        <v>136</v>
      </c>
    </row>
    <row r="59" spans="1:13" x14ac:dyDescent="0.35">
      <c r="A59" t="s">
        <v>11</v>
      </c>
      <c r="B59" t="s">
        <v>9</v>
      </c>
      <c r="C59" s="8">
        <v>9</v>
      </c>
      <c r="D59">
        <v>12</v>
      </c>
      <c r="E59" s="9">
        <v>17</v>
      </c>
      <c r="F59">
        <f>SUM(C59:E59)</f>
        <v>38</v>
      </c>
      <c r="H59" t="s">
        <v>11</v>
      </c>
      <c r="I59" t="s">
        <v>9</v>
      </c>
      <c r="J59" s="8">
        <f>'Log Lin 2.4'!J8</f>
        <v>7.5310587802722173</v>
      </c>
      <c r="K59">
        <f>'Log Lin 2.4'!K8</f>
        <v>13.890583810837864</v>
      </c>
      <c r="L59" s="9">
        <f>'Log Lin 2.4'!L8</f>
        <v>16.57835741773313</v>
      </c>
      <c r="M59">
        <f>F59</f>
        <v>38</v>
      </c>
    </row>
    <row r="60" spans="1:13" x14ac:dyDescent="0.35">
      <c r="A60" t="s">
        <v>11</v>
      </c>
      <c r="B60" t="s">
        <v>10</v>
      </c>
      <c r="C60" s="10">
        <v>16</v>
      </c>
      <c r="D60" s="11">
        <v>33</v>
      </c>
      <c r="E60" s="12">
        <v>56</v>
      </c>
      <c r="F60">
        <f>SUM(C60:E60)</f>
        <v>105</v>
      </c>
      <c r="H60" t="s">
        <v>11</v>
      </c>
      <c r="I60" t="s">
        <v>10</v>
      </c>
      <c r="J60" s="10">
        <f>'Log Lin 2.4'!J9</f>
        <v>17.468941222885476</v>
      </c>
      <c r="K60" s="11">
        <f>'Log Lin 2.4'!K9</f>
        <v>31.109416175737632</v>
      </c>
      <c r="L60" s="12">
        <f>'Log Lin 2.4'!L9</f>
        <v>56.421642589589844</v>
      </c>
      <c r="M60">
        <f>F60</f>
        <v>105</v>
      </c>
    </row>
    <row r="61" spans="1:13" x14ac:dyDescent="0.35">
      <c r="C61">
        <f>SUM(C57:C60)</f>
        <v>116</v>
      </c>
      <c r="D61">
        <f>SUM(D57:D60)</f>
        <v>124</v>
      </c>
      <c r="E61">
        <f>SUM(E57:E60)</f>
        <v>260</v>
      </c>
      <c r="F61">
        <f>SUM(C61:E61)</f>
        <v>500</v>
      </c>
      <c r="J61">
        <f>C61</f>
        <v>116</v>
      </c>
      <c r="K61">
        <f>D61</f>
        <v>124</v>
      </c>
      <c r="L61">
        <f>E61</f>
        <v>260</v>
      </c>
      <c r="M61">
        <f>F61</f>
        <v>500</v>
      </c>
    </row>
    <row r="63" spans="1:13" x14ac:dyDescent="0.35">
      <c r="A63" t="s">
        <v>8</v>
      </c>
      <c r="C63" s="5">
        <f>SUM(C57:C58)</f>
        <v>91</v>
      </c>
      <c r="D63" s="6">
        <f>SUM(D57:D58)</f>
        <v>79</v>
      </c>
      <c r="E63" s="7">
        <f>SUM(E57:E58)</f>
        <v>187</v>
      </c>
      <c r="F63">
        <f>SUM(C63:E63)</f>
        <v>357</v>
      </c>
      <c r="H63" t="s">
        <v>8</v>
      </c>
      <c r="J63" s="5">
        <f t="shared" ref="J63:M64" si="11">C63</f>
        <v>91</v>
      </c>
      <c r="K63" s="6">
        <f t="shared" si="11"/>
        <v>79</v>
      </c>
      <c r="L63" s="7">
        <f t="shared" si="11"/>
        <v>187</v>
      </c>
      <c r="M63">
        <f t="shared" si="11"/>
        <v>357</v>
      </c>
    </row>
    <row r="64" spans="1:13" x14ac:dyDescent="0.35">
      <c r="A64" t="s">
        <v>11</v>
      </c>
      <c r="C64" s="10">
        <f>SUM(C59:C60)</f>
        <v>25</v>
      </c>
      <c r="D64" s="11">
        <f>SUM(D59:D60)</f>
        <v>45</v>
      </c>
      <c r="E64" s="12">
        <f>SUM(E59:E60)</f>
        <v>73</v>
      </c>
      <c r="F64">
        <f>SUM(C64:E64)</f>
        <v>143</v>
      </c>
      <c r="H64" t="s">
        <v>11</v>
      </c>
      <c r="J64" s="10">
        <f t="shared" si="11"/>
        <v>25</v>
      </c>
      <c r="K64" s="11">
        <f t="shared" si="11"/>
        <v>45</v>
      </c>
      <c r="L64" s="12">
        <f t="shared" si="11"/>
        <v>73</v>
      </c>
      <c r="M64">
        <f t="shared" si="11"/>
        <v>143</v>
      </c>
    </row>
    <row r="66" spans="1:13" x14ac:dyDescent="0.35">
      <c r="B66" t="s">
        <v>9</v>
      </c>
      <c r="C66" s="5">
        <f t="shared" ref="C66:E67" si="12">C57+C59</f>
        <v>68</v>
      </c>
      <c r="D66" s="6">
        <f t="shared" si="12"/>
        <v>67</v>
      </c>
      <c r="E66" s="7">
        <f t="shared" si="12"/>
        <v>124</v>
      </c>
      <c r="F66">
        <f>SUM(C66:E66)</f>
        <v>259</v>
      </c>
      <c r="I66" t="s">
        <v>9</v>
      </c>
      <c r="J66" s="5">
        <f t="shared" ref="J66:M67" si="13">C66</f>
        <v>68</v>
      </c>
      <c r="K66" s="6">
        <f t="shared" si="13"/>
        <v>67</v>
      </c>
      <c r="L66" s="7">
        <f t="shared" si="13"/>
        <v>124</v>
      </c>
      <c r="M66">
        <f t="shared" si="13"/>
        <v>259</v>
      </c>
    </row>
    <row r="67" spans="1:13" x14ac:dyDescent="0.35">
      <c r="B67" t="s">
        <v>10</v>
      </c>
      <c r="C67" s="10">
        <f t="shared" si="12"/>
        <v>48</v>
      </c>
      <c r="D67" s="11">
        <f t="shared" si="12"/>
        <v>57</v>
      </c>
      <c r="E67" s="12">
        <f t="shared" si="12"/>
        <v>136</v>
      </c>
      <c r="F67">
        <f>SUM(C67:E67)</f>
        <v>241</v>
      </c>
      <c r="I67" t="s">
        <v>10</v>
      </c>
      <c r="J67" s="10">
        <f t="shared" si="13"/>
        <v>48</v>
      </c>
      <c r="K67" s="11">
        <f t="shared" si="13"/>
        <v>57</v>
      </c>
      <c r="L67" s="12">
        <f t="shared" si="13"/>
        <v>136</v>
      </c>
      <c r="M67">
        <f t="shared" si="13"/>
        <v>241</v>
      </c>
    </row>
    <row r="69" spans="1:13" x14ac:dyDescent="0.35">
      <c r="A69" s="1" t="s">
        <v>92</v>
      </c>
    </row>
    <row r="71" spans="1:13" x14ac:dyDescent="0.35">
      <c r="A71" t="s">
        <v>17</v>
      </c>
      <c r="H71" t="s">
        <v>88</v>
      </c>
    </row>
    <row r="73" spans="1:13" x14ac:dyDescent="0.35">
      <c r="C73" s="2" t="s">
        <v>1</v>
      </c>
      <c r="D73" s="2" t="s">
        <v>2</v>
      </c>
      <c r="E73" s="2" t="s">
        <v>3</v>
      </c>
      <c r="J73" s="2" t="s">
        <v>1</v>
      </c>
      <c r="K73" s="2" t="s">
        <v>2</v>
      </c>
      <c r="L73" s="2" t="s">
        <v>3</v>
      </c>
    </row>
    <row r="74" spans="1:13" x14ac:dyDescent="0.35">
      <c r="A74" t="s">
        <v>8</v>
      </c>
      <c r="B74" t="s">
        <v>9</v>
      </c>
      <c r="C74" s="5">
        <v>59</v>
      </c>
      <c r="D74" s="6">
        <v>55</v>
      </c>
      <c r="E74" s="7">
        <v>107</v>
      </c>
      <c r="F74">
        <f>SUM(C74:E74)</f>
        <v>221</v>
      </c>
      <c r="H74" t="s">
        <v>8</v>
      </c>
      <c r="I74" t="s">
        <v>9</v>
      </c>
      <c r="J74" s="5">
        <f>$M80*J$78/(COUNTA($I$83:$I$84)*$M$78)</f>
        <v>41.411999999999999</v>
      </c>
      <c r="K74" s="6">
        <f>$M80*K$78/(COUNTA($I$83:$I$84)*$M$78)</f>
        <v>44.268000000000001</v>
      </c>
      <c r="L74" s="7">
        <f>$M80*L$78/(COUNTA($I$83:$I$84)*$M$78)</f>
        <v>92.82</v>
      </c>
      <c r="M74">
        <f>F74</f>
        <v>221</v>
      </c>
    </row>
    <row r="75" spans="1:13" x14ac:dyDescent="0.35">
      <c r="A75" t="s">
        <v>8</v>
      </c>
      <c r="B75" t="s">
        <v>10</v>
      </c>
      <c r="C75" s="8">
        <v>32</v>
      </c>
      <c r="D75">
        <v>24</v>
      </c>
      <c r="E75" s="9">
        <v>80</v>
      </c>
      <c r="F75">
        <f>SUM(C75:E75)</f>
        <v>136</v>
      </c>
      <c r="H75" t="s">
        <v>8</v>
      </c>
      <c r="I75" t="s">
        <v>10</v>
      </c>
      <c r="J75" s="8">
        <f t="shared" ref="J75:L76" si="14">$M80*J$78/(COUNTA($I$83:$I$84)*$M$78)</f>
        <v>41.411999999999999</v>
      </c>
      <c r="K75">
        <f t="shared" si="14"/>
        <v>44.268000000000001</v>
      </c>
      <c r="L75" s="9">
        <f t="shared" si="14"/>
        <v>92.82</v>
      </c>
      <c r="M75">
        <f>F75</f>
        <v>136</v>
      </c>
    </row>
    <row r="76" spans="1:13" x14ac:dyDescent="0.35">
      <c r="A76" t="s">
        <v>11</v>
      </c>
      <c r="B76" t="s">
        <v>9</v>
      </c>
      <c r="C76" s="8">
        <v>9</v>
      </c>
      <c r="D76">
        <v>12</v>
      </c>
      <c r="E76" s="9">
        <v>17</v>
      </c>
      <c r="F76">
        <f>SUM(C76:E76)</f>
        <v>38</v>
      </c>
      <c r="H76" t="s">
        <v>11</v>
      </c>
      <c r="I76" t="s">
        <v>9</v>
      </c>
      <c r="J76" s="8">
        <f t="shared" si="14"/>
        <v>16.588000000000001</v>
      </c>
      <c r="K76">
        <f t="shared" si="14"/>
        <v>17.731999999999999</v>
      </c>
      <c r="L76" s="9">
        <f t="shared" si="14"/>
        <v>37.18</v>
      </c>
      <c r="M76">
        <f>F76</f>
        <v>38</v>
      </c>
    </row>
    <row r="77" spans="1:13" x14ac:dyDescent="0.35">
      <c r="A77" t="s">
        <v>11</v>
      </c>
      <c r="B77" t="s">
        <v>10</v>
      </c>
      <c r="C77" s="10">
        <v>16</v>
      </c>
      <c r="D77" s="11">
        <v>33</v>
      </c>
      <c r="E77" s="12">
        <v>56</v>
      </c>
      <c r="F77">
        <f>SUM(C77:E77)</f>
        <v>105</v>
      </c>
      <c r="H77" t="s">
        <v>11</v>
      </c>
      <c r="I77" t="s">
        <v>10</v>
      </c>
      <c r="J77" s="10">
        <f>$M81*J$78/(COUNTA($I$83:$I$84)*$M$78)</f>
        <v>16.588000000000001</v>
      </c>
      <c r="K77" s="11">
        <f>$M81*K$78/(COUNTA($I$83:$I$84)*$M$78)</f>
        <v>17.731999999999999</v>
      </c>
      <c r="L77" s="12">
        <f>$M81*L$78/(COUNTA($I$83:$I$84)*$M$78)</f>
        <v>37.18</v>
      </c>
      <c r="M77">
        <f>F77</f>
        <v>105</v>
      </c>
    </row>
    <row r="78" spans="1:13" x14ac:dyDescent="0.35">
      <c r="C78">
        <f>SUM(C74:C77)</f>
        <v>116</v>
      </c>
      <c r="D78">
        <f>SUM(D74:D77)</f>
        <v>124</v>
      </c>
      <c r="E78">
        <f>SUM(E74:E77)</f>
        <v>260</v>
      </c>
      <c r="F78">
        <f>SUM(C78:E78)</f>
        <v>500</v>
      </c>
      <c r="J78">
        <f>C78</f>
        <v>116</v>
      </c>
      <c r="K78">
        <f>D78</f>
        <v>124</v>
      </c>
      <c r="L78">
        <f>E78</f>
        <v>260</v>
      </c>
      <c r="M78">
        <f>F78</f>
        <v>500</v>
      </c>
    </row>
    <row r="80" spans="1:13" x14ac:dyDescent="0.35">
      <c r="A80" t="s">
        <v>8</v>
      </c>
      <c r="C80" s="5">
        <f>SUM(C74:C75)</f>
        <v>91</v>
      </c>
      <c r="D80" s="6">
        <f>SUM(D74:D75)</f>
        <v>79</v>
      </c>
      <c r="E80" s="7">
        <f>SUM(E74:E75)</f>
        <v>187</v>
      </c>
      <c r="F80">
        <f>SUM(C80:E80)</f>
        <v>357</v>
      </c>
      <c r="H80" t="s">
        <v>8</v>
      </c>
      <c r="J80" s="5">
        <f t="shared" ref="J80:M81" si="15">C80</f>
        <v>91</v>
      </c>
      <c r="K80" s="6">
        <f t="shared" si="15"/>
        <v>79</v>
      </c>
      <c r="L80" s="7">
        <f t="shared" si="15"/>
        <v>187</v>
      </c>
      <c r="M80">
        <f t="shared" si="15"/>
        <v>357</v>
      </c>
    </row>
    <row r="81" spans="1:13" x14ac:dyDescent="0.35">
      <c r="A81" t="s">
        <v>11</v>
      </c>
      <c r="C81" s="10">
        <f>SUM(C76:C77)</f>
        <v>25</v>
      </c>
      <c r="D81" s="11">
        <f>SUM(D76:D77)</f>
        <v>45</v>
      </c>
      <c r="E81" s="12">
        <f>SUM(E76:E77)</f>
        <v>73</v>
      </c>
      <c r="F81">
        <f>SUM(C81:E81)</f>
        <v>143</v>
      </c>
      <c r="H81" t="s">
        <v>11</v>
      </c>
      <c r="J81" s="10">
        <f t="shared" si="15"/>
        <v>25</v>
      </c>
      <c r="K81" s="11">
        <f t="shared" si="15"/>
        <v>45</v>
      </c>
      <c r="L81" s="12">
        <f t="shared" si="15"/>
        <v>73</v>
      </c>
      <c r="M81">
        <f t="shared" si="15"/>
        <v>143</v>
      </c>
    </row>
    <row r="83" spans="1:13" x14ac:dyDescent="0.35">
      <c r="B83" t="s">
        <v>9</v>
      </c>
      <c r="C83" s="5">
        <f t="shared" ref="C83:E84" si="16">C74+C76</f>
        <v>68</v>
      </c>
      <c r="D83" s="6">
        <f t="shared" si="16"/>
        <v>67</v>
      </c>
      <c r="E83" s="7">
        <f t="shared" si="16"/>
        <v>124</v>
      </c>
      <c r="F83">
        <f>SUM(C83:E83)</f>
        <v>259</v>
      </c>
      <c r="I83" t="s">
        <v>9</v>
      </c>
      <c r="J83" s="5">
        <f t="shared" ref="J83:M84" si="17">C83</f>
        <v>68</v>
      </c>
      <c r="K83" s="6">
        <f t="shared" si="17"/>
        <v>67</v>
      </c>
      <c r="L83" s="7">
        <f t="shared" si="17"/>
        <v>124</v>
      </c>
      <c r="M83">
        <f t="shared" si="17"/>
        <v>259</v>
      </c>
    </row>
    <row r="84" spans="1:13" x14ac:dyDescent="0.35">
      <c r="B84" t="s">
        <v>10</v>
      </c>
      <c r="C84" s="10">
        <f t="shared" si="16"/>
        <v>48</v>
      </c>
      <c r="D84" s="11">
        <f t="shared" si="16"/>
        <v>57</v>
      </c>
      <c r="E84" s="12">
        <f t="shared" si="16"/>
        <v>136</v>
      </c>
      <c r="F84">
        <f>SUM(C84:E84)</f>
        <v>241</v>
      </c>
      <c r="I84" t="s">
        <v>10</v>
      </c>
      <c r="J84" s="10">
        <f t="shared" si="17"/>
        <v>48</v>
      </c>
      <c r="K84" s="11">
        <f t="shared" si="17"/>
        <v>57</v>
      </c>
      <c r="L84" s="12">
        <f t="shared" si="17"/>
        <v>136</v>
      </c>
      <c r="M84">
        <f t="shared" si="17"/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256A-8877-402E-B37A-02AACC58D7EF}">
  <sheetPr codeName="Sheet140"/>
  <dimension ref="A1:W161"/>
  <sheetViews>
    <sheetView zoomScaleNormal="100" workbookViewId="0"/>
  </sheetViews>
  <sheetFormatPr defaultRowHeight="14.5" x14ac:dyDescent="0.35"/>
  <cols>
    <col min="1" max="1" width="9.81640625" customWidth="1"/>
    <col min="2" max="2" width="9" customWidth="1"/>
    <col min="3" max="5" width="10.54296875" customWidth="1"/>
    <col min="7" max="7" width="4.1796875" customWidth="1"/>
    <col min="8" max="8" width="10.1796875" customWidth="1"/>
    <col min="9" max="9" width="9.26953125" customWidth="1"/>
    <col min="10" max="12" width="10.54296875" customWidth="1"/>
    <col min="14" max="14" width="4.81640625" customWidth="1"/>
    <col min="15" max="15" width="10.1796875" customWidth="1"/>
    <col min="16" max="16" width="8.453125" customWidth="1"/>
    <col min="17" max="19" width="10.26953125" customWidth="1"/>
  </cols>
  <sheetData>
    <row r="1" spans="1:23" x14ac:dyDescent="0.35">
      <c r="A1" s="1" t="s">
        <v>93</v>
      </c>
    </row>
    <row r="3" spans="1:23" x14ac:dyDescent="0.35">
      <c r="A3" t="s">
        <v>94</v>
      </c>
      <c r="H3" t="s">
        <v>95</v>
      </c>
      <c r="O3" t="s">
        <v>96</v>
      </c>
      <c r="V3" t="s">
        <v>97</v>
      </c>
    </row>
    <row r="5" spans="1:23" x14ac:dyDescent="0.35">
      <c r="A5" t="str">
        <f>'Log Lin 2.1'!I3</f>
        <v>Cure</v>
      </c>
      <c r="B5" t="str">
        <f>'Log Lin 2.1'!J3</f>
        <v>Gender</v>
      </c>
      <c r="C5" s="2" t="str">
        <f>'Log Lin 2.1'!C3</f>
        <v>Therapy 1</v>
      </c>
      <c r="D5" s="2" t="str">
        <f>'Log Lin 2.1'!D3</f>
        <v>Therapy 2</v>
      </c>
      <c r="E5" s="2" t="str">
        <f>'Log Lin 2.1'!E3</f>
        <v>Therapy 3</v>
      </c>
      <c r="J5" t="str">
        <f>C5</f>
        <v>Therapy 1</v>
      </c>
      <c r="K5" t="str">
        <f>D5</f>
        <v>Therapy 2</v>
      </c>
      <c r="L5" t="str">
        <f>E5</f>
        <v>Therapy 3</v>
      </c>
      <c r="Q5" t="str">
        <f>C5</f>
        <v>Therapy 1</v>
      </c>
      <c r="R5" t="str">
        <f>D5</f>
        <v>Therapy 2</v>
      </c>
      <c r="S5" t="str">
        <f>E5</f>
        <v>Therapy 3</v>
      </c>
    </row>
    <row r="6" spans="1:23" x14ac:dyDescent="0.35">
      <c r="A6" t="str">
        <f>'Log Lin 2.1'!A4</f>
        <v>Positive</v>
      </c>
      <c r="B6" t="str">
        <f>'Log Lin 2.1'!B4</f>
        <v>Male</v>
      </c>
      <c r="C6" s="5">
        <f>'Log Lin 2.1'!C4</f>
        <v>59</v>
      </c>
      <c r="D6" s="6">
        <f>'Log Lin 2.1'!D4</f>
        <v>55</v>
      </c>
      <c r="E6" s="7">
        <f>'Log Lin 2.1'!E4</f>
        <v>107</v>
      </c>
      <c r="F6">
        <f>SUM(C6:E6)</f>
        <v>221</v>
      </c>
      <c r="H6" t="str">
        <f t="shared" ref="H6:I9" si="0">A6</f>
        <v>Positive</v>
      </c>
      <c r="I6" t="str">
        <f t="shared" si="0"/>
        <v>Male</v>
      </c>
      <c r="J6" s="5">
        <f t="shared" ref="J6:L9" si="1">Q151</f>
        <v>60.468941219727789</v>
      </c>
      <c r="K6" s="6">
        <f t="shared" si="1"/>
        <v>53.109416189162133</v>
      </c>
      <c r="L6" s="7">
        <f t="shared" si="1"/>
        <v>107.42164258226687</v>
      </c>
      <c r="M6">
        <f>SUM(J6:L6)</f>
        <v>220.99999999115681</v>
      </c>
      <c r="O6" t="str">
        <f t="shared" ref="O6:P9" si="2">A6</f>
        <v>Positive</v>
      </c>
      <c r="P6" t="str">
        <f t="shared" si="2"/>
        <v>Male</v>
      </c>
      <c r="Q6" s="5">
        <v>1</v>
      </c>
      <c r="R6" s="6">
        <v>1</v>
      </c>
      <c r="S6" s="7">
        <v>1</v>
      </c>
      <c r="T6">
        <f>SUM(Q6:S6)</f>
        <v>3</v>
      </c>
      <c r="V6" s="5">
        <f>J6*K7/J7/K6</f>
        <v>0.96551897981991508</v>
      </c>
      <c r="W6" s="7">
        <f>J8*K9/J9/K8</f>
        <v>0.96551897981991641</v>
      </c>
    </row>
    <row r="7" spans="1:23" x14ac:dyDescent="0.35">
      <c r="A7" t="str">
        <f>'Log Lin 2.1'!A5</f>
        <v>Positive</v>
      </c>
      <c r="B7" t="str">
        <f>'Log Lin 2.1'!B5</f>
        <v>Female</v>
      </c>
      <c r="C7" s="8">
        <f>'Log Lin 2.1'!C5</f>
        <v>32</v>
      </c>
      <c r="D7">
        <f>'Log Lin 2.1'!D5</f>
        <v>24</v>
      </c>
      <c r="E7" s="9">
        <f>'Log Lin 2.1'!E5</f>
        <v>80</v>
      </c>
      <c r="F7">
        <f>SUM(C7:E7)</f>
        <v>136</v>
      </c>
      <c r="H7" t="str">
        <f t="shared" si="0"/>
        <v>Positive</v>
      </c>
      <c r="I7" t="str">
        <f t="shared" si="0"/>
        <v>Female</v>
      </c>
      <c r="J7" s="8">
        <f t="shared" si="1"/>
        <v>30.531058777114517</v>
      </c>
      <c r="K7">
        <f t="shared" si="1"/>
        <v>25.890583824262364</v>
      </c>
      <c r="L7" s="9">
        <f t="shared" si="1"/>
        <v>79.578357410410149</v>
      </c>
      <c r="M7">
        <f>SUM(J7:L7)</f>
        <v>136.00000001178702</v>
      </c>
      <c r="O7" t="str">
        <f t="shared" si="2"/>
        <v>Positive</v>
      </c>
      <c r="P7" t="str">
        <f t="shared" si="2"/>
        <v>Female</v>
      </c>
      <c r="Q7" s="8">
        <v>1</v>
      </c>
      <c r="R7">
        <v>1</v>
      </c>
      <c r="S7" s="9">
        <v>1</v>
      </c>
      <c r="T7">
        <f>SUM(Q7:S7)</f>
        <v>3</v>
      </c>
      <c r="V7" s="8">
        <f>K6*L7/K7/L6</f>
        <v>1.5196125281541406</v>
      </c>
      <c r="W7" s="9">
        <f>K8*L9/K9/L8</f>
        <v>1.5196125281541391</v>
      </c>
    </row>
    <row r="8" spans="1:23" x14ac:dyDescent="0.35">
      <c r="A8" t="str">
        <f>'Log Lin 2.1'!A6</f>
        <v>Negative</v>
      </c>
      <c r="B8" t="str">
        <f>'Log Lin 2.1'!B6</f>
        <v>Male</v>
      </c>
      <c r="C8" s="8">
        <f>'Log Lin 2.1'!C6</f>
        <v>9</v>
      </c>
      <c r="D8">
        <f>'Log Lin 2.1'!D6</f>
        <v>12</v>
      </c>
      <c r="E8" s="9">
        <f>'Log Lin 2.1'!E6</f>
        <v>17</v>
      </c>
      <c r="F8">
        <f>SUM(C8:E8)</f>
        <v>38</v>
      </c>
      <c r="H8" t="str">
        <f t="shared" si="0"/>
        <v>Negative</v>
      </c>
      <c r="I8" t="str">
        <f t="shared" si="0"/>
        <v>Male</v>
      </c>
      <c r="J8" s="8">
        <f t="shared" si="1"/>
        <v>7.5310587802722173</v>
      </c>
      <c r="K8">
        <f t="shared" si="1"/>
        <v>13.890583810837864</v>
      </c>
      <c r="L8" s="9">
        <f t="shared" si="1"/>
        <v>16.57835741773313</v>
      </c>
      <c r="M8">
        <f>SUM(J8:L8)</f>
        <v>38.000000008843216</v>
      </c>
      <c r="O8" t="str">
        <f t="shared" si="2"/>
        <v>Negative</v>
      </c>
      <c r="P8" t="str">
        <f t="shared" si="2"/>
        <v>Male</v>
      </c>
      <c r="Q8" s="8">
        <v>1</v>
      </c>
      <c r="R8">
        <v>1</v>
      </c>
      <c r="S8" s="9">
        <v>1</v>
      </c>
      <c r="T8">
        <f>SUM(Q8:S8)</f>
        <v>3</v>
      </c>
      <c r="V8" s="10">
        <f>J6*L7/J7/L6</f>
        <v>1.4672147379049478</v>
      </c>
      <c r="W8" s="12">
        <f>J8*L9/J9/L8</f>
        <v>1.4672147379049483</v>
      </c>
    </row>
    <row r="9" spans="1:23" x14ac:dyDescent="0.35">
      <c r="A9" t="str">
        <f>'Log Lin 2.1'!A7</f>
        <v>Negative</v>
      </c>
      <c r="B9" t="str">
        <f>'Log Lin 2.1'!B7</f>
        <v>Female</v>
      </c>
      <c r="C9" s="10">
        <f>'Log Lin 2.1'!C7</f>
        <v>16</v>
      </c>
      <c r="D9" s="11">
        <f>'Log Lin 2.1'!D7</f>
        <v>33</v>
      </c>
      <c r="E9" s="12">
        <f>'Log Lin 2.1'!E7</f>
        <v>56</v>
      </c>
      <c r="F9">
        <f>SUM(C9:E9)</f>
        <v>105</v>
      </c>
      <c r="H9" t="str">
        <f t="shared" si="0"/>
        <v>Negative</v>
      </c>
      <c r="I9" t="str">
        <f t="shared" si="0"/>
        <v>Female</v>
      </c>
      <c r="J9" s="10">
        <f t="shared" si="1"/>
        <v>17.468941222885476</v>
      </c>
      <c r="K9" s="11">
        <f t="shared" si="1"/>
        <v>31.109416175737632</v>
      </c>
      <c r="L9" s="12">
        <f t="shared" si="1"/>
        <v>56.421642589589844</v>
      </c>
      <c r="M9">
        <f>SUM(J9:L9)</f>
        <v>104.99999998821295</v>
      </c>
      <c r="O9" t="str">
        <f t="shared" si="2"/>
        <v>Negative</v>
      </c>
      <c r="P9" t="str">
        <f t="shared" si="2"/>
        <v>Female</v>
      </c>
      <c r="Q9" s="10">
        <v>1</v>
      </c>
      <c r="R9" s="11">
        <v>1</v>
      </c>
      <c r="S9" s="12">
        <v>1</v>
      </c>
      <c r="T9">
        <f>SUM(Q9:S9)</f>
        <v>3</v>
      </c>
    </row>
    <row r="10" spans="1:23" x14ac:dyDescent="0.35">
      <c r="C10">
        <f>SUM(C6:C9)</f>
        <v>116</v>
      </c>
      <c r="D10">
        <f>SUM(D6:D9)</f>
        <v>124</v>
      </c>
      <c r="E10">
        <f>SUM(E6:E9)</f>
        <v>260</v>
      </c>
      <c r="F10">
        <f>SUM(F6:F9)</f>
        <v>500</v>
      </c>
      <c r="J10">
        <f>SUM(J6:J9)</f>
        <v>116</v>
      </c>
      <c r="K10">
        <f>SUM(K6:K9)</f>
        <v>124</v>
      </c>
      <c r="L10">
        <f>SUM(L6:L9)</f>
        <v>260</v>
      </c>
      <c r="M10">
        <f>SUM(M6:M9)</f>
        <v>500</v>
      </c>
      <c r="Q10">
        <f>SUM(Q6:Q9)</f>
        <v>4</v>
      </c>
      <c r="R10">
        <f>SUM(R6:R9)</f>
        <v>4</v>
      </c>
      <c r="S10">
        <f>SUM(S6:S9)</f>
        <v>4</v>
      </c>
      <c r="T10">
        <f>SUM(T6:T9)</f>
        <v>12</v>
      </c>
    </row>
    <row r="12" spans="1:23" x14ac:dyDescent="0.35">
      <c r="A12" t="str">
        <f>A6</f>
        <v>Positive</v>
      </c>
      <c r="C12" s="5">
        <f>SUM(C6:C7)</f>
        <v>91</v>
      </c>
      <c r="D12" s="6">
        <f>SUM(D6:D7)</f>
        <v>79</v>
      </c>
      <c r="E12" s="7">
        <f>SUM(E6:E7)</f>
        <v>187</v>
      </c>
      <c r="F12">
        <f>SUM(C12:E12)</f>
        <v>357</v>
      </c>
      <c r="H12" t="str">
        <f>A12</f>
        <v>Positive</v>
      </c>
      <c r="J12" s="5">
        <f>SUM(J6:J7)</f>
        <v>90.999999996842305</v>
      </c>
      <c r="K12" s="6">
        <f>SUM(K6:K7)</f>
        <v>79.000000013424497</v>
      </c>
      <c r="L12" s="7">
        <f>SUM(L6:L7)</f>
        <v>186.99999999267703</v>
      </c>
      <c r="M12">
        <f>SUM(J12:L12)</f>
        <v>357.00000000294381</v>
      </c>
      <c r="O12" t="str">
        <f>A12</f>
        <v>Positive</v>
      </c>
      <c r="Q12" s="5">
        <f>SUM(Q6:Q7)</f>
        <v>2</v>
      </c>
      <c r="R12" s="6">
        <f>SUM(R6:R7)</f>
        <v>2</v>
      </c>
      <c r="S12" s="7">
        <f>SUM(S6:S7)</f>
        <v>2</v>
      </c>
    </row>
    <row r="13" spans="1:23" x14ac:dyDescent="0.35">
      <c r="A13" t="str">
        <f>A8</f>
        <v>Negative</v>
      </c>
      <c r="C13" s="10">
        <f>SUM(C8:C9)</f>
        <v>25</v>
      </c>
      <c r="D13" s="11">
        <f>SUM(D8:D9)</f>
        <v>45</v>
      </c>
      <c r="E13" s="12">
        <f>SUM(E8:E9)</f>
        <v>73</v>
      </c>
      <c r="F13">
        <f>SUM(C13:E13)</f>
        <v>143</v>
      </c>
      <c r="H13" t="str">
        <f>A13</f>
        <v>Negative</v>
      </c>
      <c r="J13" s="10">
        <f>SUM(J8:J9)</f>
        <v>25.000000003157695</v>
      </c>
      <c r="K13" s="11">
        <f>SUM(K8:K9)</f>
        <v>44.999999986575496</v>
      </c>
      <c r="L13" s="12">
        <f>SUM(L8:L9)</f>
        <v>73.000000007322967</v>
      </c>
      <c r="M13">
        <f>SUM(J13:L13)</f>
        <v>142.99999999705616</v>
      </c>
      <c r="O13" t="str">
        <f>A13</f>
        <v>Negative</v>
      </c>
      <c r="Q13" s="10">
        <f>SUM(Q8:Q9)</f>
        <v>2</v>
      </c>
      <c r="R13" s="11">
        <f>SUM(R8:R9)</f>
        <v>2</v>
      </c>
      <c r="S13" s="12">
        <f>SUM(S8:S9)</f>
        <v>2</v>
      </c>
    </row>
    <row r="15" spans="1:23" x14ac:dyDescent="0.35">
      <c r="B15" t="str">
        <f>B6</f>
        <v>Male</v>
      </c>
      <c r="C15" s="5">
        <f t="shared" ref="C15:E16" si="3">C6+C8</f>
        <v>68</v>
      </c>
      <c r="D15" s="6">
        <f t="shared" si="3"/>
        <v>67</v>
      </c>
      <c r="E15" s="7">
        <f t="shared" si="3"/>
        <v>124</v>
      </c>
      <c r="F15">
        <f>SUM(C15:E15)</f>
        <v>259</v>
      </c>
      <c r="I15" t="str">
        <f>B15</f>
        <v>Male</v>
      </c>
      <c r="J15" s="5">
        <f t="shared" ref="J15:L16" si="4">J6+J8</f>
        <v>68</v>
      </c>
      <c r="K15" s="6">
        <f t="shared" si="4"/>
        <v>67</v>
      </c>
      <c r="L15" s="7">
        <f t="shared" si="4"/>
        <v>124</v>
      </c>
      <c r="M15">
        <f>SUM(J15:L15)</f>
        <v>259</v>
      </c>
      <c r="P15" t="str">
        <f>B15</f>
        <v>Male</v>
      </c>
      <c r="Q15" s="5">
        <f t="shared" ref="Q15:S16" si="5">Q6+Q8</f>
        <v>2</v>
      </c>
      <c r="R15" s="6">
        <f t="shared" si="5"/>
        <v>2</v>
      </c>
      <c r="S15" s="7">
        <f t="shared" si="5"/>
        <v>2</v>
      </c>
    </row>
    <row r="16" spans="1:23" x14ac:dyDescent="0.35">
      <c r="B16" t="str">
        <f>B7</f>
        <v>Female</v>
      </c>
      <c r="C16" s="10">
        <f t="shared" si="3"/>
        <v>48</v>
      </c>
      <c r="D16" s="11">
        <f t="shared" si="3"/>
        <v>57</v>
      </c>
      <c r="E16" s="12">
        <f t="shared" si="3"/>
        <v>136</v>
      </c>
      <c r="F16">
        <f>SUM(C16:E16)</f>
        <v>241</v>
      </c>
      <c r="I16" t="str">
        <f>B16</f>
        <v>Female</v>
      </c>
      <c r="J16" s="10">
        <f t="shared" si="4"/>
        <v>47.999999999999993</v>
      </c>
      <c r="K16" s="11">
        <f t="shared" si="4"/>
        <v>57</v>
      </c>
      <c r="L16" s="12">
        <f t="shared" si="4"/>
        <v>136</v>
      </c>
      <c r="M16">
        <f>SUM(J16:L16)</f>
        <v>241</v>
      </c>
      <c r="P16" t="str">
        <f>B16</f>
        <v>Female</v>
      </c>
      <c r="Q16" s="10">
        <f t="shared" si="5"/>
        <v>2</v>
      </c>
      <c r="R16" s="11">
        <f t="shared" si="5"/>
        <v>2</v>
      </c>
      <c r="S16" s="12">
        <f t="shared" si="5"/>
        <v>2</v>
      </c>
    </row>
    <row r="18" spans="1:20" x14ac:dyDescent="0.35">
      <c r="C18" t="s">
        <v>98</v>
      </c>
      <c r="J18" t="s">
        <v>99</v>
      </c>
      <c r="Q18" t="s">
        <v>100</v>
      </c>
    </row>
    <row r="20" spans="1:20" x14ac:dyDescent="0.35">
      <c r="C20" t="str">
        <f>Q5</f>
        <v>Therapy 1</v>
      </c>
      <c r="D20" t="str">
        <f>R5</f>
        <v>Therapy 2</v>
      </c>
      <c r="E20" t="str">
        <f>S5</f>
        <v>Therapy 3</v>
      </c>
      <c r="J20" t="str">
        <f>C20</f>
        <v>Therapy 1</v>
      </c>
      <c r="K20" t="str">
        <f>D20</f>
        <v>Therapy 2</v>
      </c>
      <c r="L20" t="str">
        <f>E20</f>
        <v>Therapy 3</v>
      </c>
      <c r="Q20" t="str">
        <f>J20</f>
        <v>Therapy 1</v>
      </c>
      <c r="R20" t="str">
        <f>K20</f>
        <v>Therapy 2</v>
      </c>
      <c r="S20" t="str">
        <f>L20</f>
        <v>Therapy 3</v>
      </c>
    </row>
    <row r="21" spans="1:20" x14ac:dyDescent="0.35">
      <c r="A21" t="str">
        <f t="shared" ref="A21:B24" si="6">A6</f>
        <v>Positive</v>
      </c>
      <c r="B21" t="str">
        <f t="shared" si="6"/>
        <v>Male</v>
      </c>
      <c r="C21" s="5">
        <f>Q6*$F$6/$T6</f>
        <v>73.666666666666671</v>
      </c>
      <c r="D21" s="6">
        <f>R6*$F$6/$T6</f>
        <v>73.666666666666671</v>
      </c>
      <c r="E21" s="7">
        <f>S6*$F$6/$T6</f>
        <v>73.666666666666671</v>
      </c>
      <c r="F21">
        <f>SUM(C21:E21)</f>
        <v>221</v>
      </c>
      <c r="H21" t="str">
        <f t="shared" ref="H21:I24" si="7">A21</f>
        <v>Positive</v>
      </c>
      <c r="I21" t="str">
        <f t="shared" si="7"/>
        <v>Male</v>
      </c>
      <c r="J21" s="5">
        <f>C21*$C$12/C27</f>
        <v>56.333333333333336</v>
      </c>
      <c r="K21" s="6">
        <f>D21*$D$12/D27</f>
        <v>48.904761904761905</v>
      </c>
      <c r="L21" s="7">
        <f>E21*$E$12/E27</f>
        <v>115.76190476190477</v>
      </c>
      <c r="M21">
        <f>SUM(J21:L21)</f>
        <v>221</v>
      </c>
      <c r="O21" t="str">
        <f t="shared" ref="O21:P24" si="8">H21</f>
        <v>Positive</v>
      </c>
      <c r="P21" t="str">
        <f t="shared" si="8"/>
        <v>Male</v>
      </c>
      <c r="Q21" s="5">
        <f>J21*$C$15/J30</f>
        <v>60.826738720065144</v>
      </c>
      <c r="R21" s="6">
        <f>K21*$D$15/K30</f>
        <v>53.836150155112136</v>
      </c>
      <c r="S21" s="7">
        <f>L21*$E$15/L30</f>
        <v>106.20318463020496</v>
      </c>
      <c r="T21">
        <f>SUM(Q21:S21)</f>
        <v>220.86607350538225</v>
      </c>
    </row>
    <row r="22" spans="1:20" x14ac:dyDescent="0.35">
      <c r="A22" t="str">
        <f t="shared" si="6"/>
        <v>Positive</v>
      </c>
      <c r="B22" t="str">
        <f t="shared" si="6"/>
        <v>Female</v>
      </c>
      <c r="C22" s="8">
        <f>Q7*$F$7/$T7</f>
        <v>45.333333333333336</v>
      </c>
      <c r="D22">
        <f>R7*$F$7/$T7</f>
        <v>45.333333333333336</v>
      </c>
      <c r="E22" s="9">
        <f>S7*$F$7/$T7</f>
        <v>45.333333333333336</v>
      </c>
      <c r="F22">
        <f>SUM(C22:E22)</f>
        <v>136</v>
      </c>
      <c r="H22" t="str">
        <f t="shared" si="7"/>
        <v>Positive</v>
      </c>
      <c r="I22" t="str">
        <f t="shared" si="7"/>
        <v>Female</v>
      </c>
      <c r="J22" s="8">
        <f>C22*$C$12/C27</f>
        <v>34.666666666666671</v>
      </c>
      <c r="K22">
        <f>D22*$D$12/D27</f>
        <v>30.095238095238095</v>
      </c>
      <c r="L22" s="9">
        <f>E22*$E$12/E27</f>
        <v>71.238095238095241</v>
      </c>
      <c r="M22">
        <f>SUM(J22:L22)</f>
        <v>136</v>
      </c>
      <c r="O22" t="str">
        <f t="shared" si="8"/>
        <v>Positive</v>
      </c>
      <c r="P22" t="str">
        <f t="shared" si="8"/>
        <v>Female</v>
      </c>
      <c r="Q22" s="8">
        <f>J22*$C$16/J31</f>
        <v>31.382424055919461</v>
      </c>
      <c r="R22">
        <f>K22*$D$16/K31</f>
        <v>27.169856699068038</v>
      </c>
      <c r="S22" s="9">
        <f>L22*$E$16/L31</f>
        <v>77.60669844462285</v>
      </c>
      <c r="T22">
        <f>SUM(Q22:S22)</f>
        <v>136.15897919961034</v>
      </c>
    </row>
    <row r="23" spans="1:20" x14ac:dyDescent="0.35">
      <c r="A23" t="str">
        <f t="shared" si="6"/>
        <v>Negative</v>
      </c>
      <c r="B23" t="str">
        <f t="shared" si="6"/>
        <v>Male</v>
      </c>
      <c r="C23" s="8">
        <f>Q8*$F$8/$T8</f>
        <v>12.666666666666666</v>
      </c>
      <c r="D23">
        <f>R8*$F$8/$T8</f>
        <v>12.666666666666666</v>
      </c>
      <c r="E23" s="9">
        <f>S8*$F$8/$T8</f>
        <v>12.666666666666666</v>
      </c>
      <c r="F23">
        <f>SUM(C23:E23)</f>
        <v>38</v>
      </c>
      <c r="H23" t="str">
        <f t="shared" si="7"/>
        <v>Negative</v>
      </c>
      <c r="I23" t="str">
        <f t="shared" si="7"/>
        <v>Male</v>
      </c>
      <c r="J23" s="8">
        <f>C23*$C$13/C28</f>
        <v>6.6433566433566433</v>
      </c>
      <c r="K23">
        <f>D23*$D$13/D28</f>
        <v>11.958041958041958</v>
      </c>
      <c r="L23" s="9">
        <f>E23*$E$13/E28</f>
        <v>19.3986013986014</v>
      </c>
      <c r="M23">
        <f>SUM(J23:L23)</f>
        <v>38</v>
      </c>
      <c r="O23" t="str">
        <f t="shared" si="8"/>
        <v>Negative</v>
      </c>
      <c r="P23" t="str">
        <f t="shared" si="8"/>
        <v>Male</v>
      </c>
      <c r="Q23" s="8">
        <f>J23*$C$15/J30</f>
        <v>7.173261279934855</v>
      </c>
      <c r="R23">
        <f>K23*$D$15/K30</f>
        <v>13.163849844887865</v>
      </c>
      <c r="S23" s="9">
        <f>L23*$E$15/L30</f>
        <v>17.796815369795041</v>
      </c>
      <c r="T23">
        <f>SUM(Q23:S23)</f>
        <v>38.133926494617761</v>
      </c>
    </row>
    <row r="24" spans="1:20" x14ac:dyDescent="0.35">
      <c r="A24" t="str">
        <f t="shared" si="6"/>
        <v>Negative</v>
      </c>
      <c r="B24" t="str">
        <f t="shared" si="6"/>
        <v>Female</v>
      </c>
      <c r="C24" s="10">
        <f>Q9*$F$9/$T9</f>
        <v>35</v>
      </c>
      <c r="D24" s="11">
        <f>R9*$F$9/$T9</f>
        <v>35</v>
      </c>
      <c r="E24" s="12">
        <f>S9*$F$9/$T9</f>
        <v>35</v>
      </c>
      <c r="F24">
        <f>SUM(C24:E24)</f>
        <v>105</v>
      </c>
      <c r="H24" t="str">
        <f t="shared" si="7"/>
        <v>Negative</v>
      </c>
      <c r="I24" t="str">
        <f t="shared" si="7"/>
        <v>Female</v>
      </c>
      <c r="J24" s="10">
        <f>C24*$C$13/C28</f>
        <v>18.356643356643357</v>
      </c>
      <c r="K24" s="11">
        <f>D24*$D$13/D28</f>
        <v>33.041958041958047</v>
      </c>
      <c r="L24" s="12">
        <f>E24*$E$13/E28</f>
        <v>53.601398601398607</v>
      </c>
      <c r="M24">
        <f>SUM(J24:L24)</f>
        <v>105</v>
      </c>
      <c r="O24" t="str">
        <f t="shared" si="8"/>
        <v>Negative</v>
      </c>
      <c r="P24" t="str">
        <f t="shared" si="8"/>
        <v>Female</v>
      </c>
      <c r="Q24" s="10">
        <f>J24*$C$16/J31</f>
        <v>16.617575944080535</v>
      </c>
      <c r="R24" s="11">
        <f>K24*$D$16/K31</f>
        <v>29.830143300931962</v>
      </c>
      <c r="S24" s="12">
        <f>L24*$E$16/L31</f>
        <v>58.393301555377136</v>
      </c>
      <c r="T24">
        <f>SUM(Q24:S24)</f>
        <v>104.84102080038963</v>
      </c>
    </row>
    <row r="25" spans="1:20" x14ac:dyDescent="0.35">
      <c r="C25">
        <f>SUM(C21:C24)</f>
        <v>166.66666666666666</v>
      </c>
      <c r="D25">
        <f>SUM(D21:D24)</f>
        <v>166.66666666666666</v>
      </c>
      <c r="E25">
        <f>SUM(E21:E24)</f>
        <v>166.66666666666666</v>
      </c>
      <c r="F25">
        <f>SUM(F21:F24)</f>
        <v>500</v>
      </c>
      <c r="J25">
        <f>SUM(J21:J24)</f>
        <v>116</v>
      </c>
      <c r="K25">
        <f>SUM(K21:K24)</f>
        <v>124</v>
      </c>
      <c r="L25">
        <f>SUM(L21:L24)</f>
        <v>260</v>
      </c>
      <c r="M25">
        <f>SUM(M21:M24)</f>
        <v>500</v>
      </c>
      <c r="Q25">
        <f>SUM(Q21:Q24)</f>
        <v>116</v>
      </c>
      <c r="R25">
        <f>SUM(R21:R24)</f>
        <v>124</v>
      </c>
      <c r="S25">
        <f>SUM(S21:S24)</f>
        <v>260</v>
      </c>
      <c r="T25">
        <f>SUM(T21:T24)</f>
        <v>500</v>
      </c>
    </row>
    <row r="27" spans="1:20" x14ac:dyDescent="0.35">
      <c r="A27" t="str">
        <f>A12</f>
        <v>Positive</v>
      </c>
      <c r="C27" s="5">
        <f>SUM(C21:C22)</f>
        <v>119</v>
      </c>
      <c r="D27" s="6">
        <f>SUM(D21:D22)</f>
        <v>119</v>
      </c>
      <c r="E27" s="7">
        <f>SUM(E21:E22)</f>
        <v>119</v>
      </c>
      <c r="H27" t="str">
        <f>A27</f>
        <v>Positive</v>
      </c>
      <c r="J27" s="5">
        <f>SUM(J21:J22)</f>
        <v>91</v>
      </c>
      <c r="K27" s="6">
        <f>SUM(K21:K22)</f>
        <v>79</v>
      </c>
      <c r="L27" s="7">
        <f>SUM(L21:L22)</f>
        <v>187</v>
      </c>
      <c r="O27" t="str">
        <f>H27</f>
        <v>Positive</v>
      </c>
      <c r="Q27" s="5">
        <f>SUM(Q21:Q22)</f>
        <v>92.209162775984609</v>
      </c>
      <c r="R27" s="6">
        <f>SUM(R21:R22)</f>
        <v>81.006006854180171</v>
      </c>
      <c r="S27" s="7">
        <f>SUM(S21:S22)</f>
        <v>183.80988307482781</v>
      </c>
    </row>
    <row r="28" spans="1:20" x14ac:dyDescent="0.35">
      <c r="A28" t="str">
        <f>A13</f>
        <v>Negative</v>
      </c>
      <c r="C28" s="10">
        <f>SUM(C23:C24)</f>
        <v>47.666666666666664</v>
      </c>
      <c r="D28" s="11">
        <f>SUM(D23:D24)</f>
        <v>47.666666666666664</v>
      </c>
      <c r="E28" s="12">
        <f>SUM(E23:E24)</f>
        <v>47.666666666666664</v>
      </c>
      <c r="H28" t="str">
        <f>A28</f>
        <v>Negative</v>
      </c>
      <c r="J28" s="10">
        <f>SUM(J23:J24)</f>
        <v>25</v>
      </c>
      <c r="K28" s="11">
        <f>SUM(K23:K24)</f>
        <v>45.000000000000007</v>
      </c>
      <c r="L28" s="12">
        <f>SUM(L23:L24)</f>
        <v>73</v>
      </c>
      <c r="O28" t="str">
        <f>H28</f>
        <v>Negative</v>
      </c>
      <c r="Q28" s="10">
        <f>SUM(Q23:Q24)</f>
        <v>23.790837224015391</v>
      </c>
      <c r="R28" s="11">
        <f>SUM(R23:R24)</f>
        <v>42.993993145819829</v>
      </c>
      <c r="S28" s="12">
        <f>SUM(S23:S24)</f>
        <v>76.190116925172177</v>
      </c>
    </row>
    <row r="30" spans="1:20" x14ac:dyDescent="0.35">
      <c r="B30" t="str">
        <f>B15</f>
        <v>Male</v>
      </c>
      <c r="C30" s="5">
        <f t="shared" ref="C30:E31" si="9">C21+C23</f>
        <v>86.333333333333343</v>
      </c>
      <c r="D30" s="6">
        <f t="shared" si="9"/>
        <v>86.333333333333343</v>
      </c>
      <c r="E30" s="7">
        <f t="shared" si="9"/>
        <v>86.333333333333343</v>
      </c>
      <c r="I30" t="str">
        <f>B30</f>
        <v>Male</v>
      </c>
      <c r="J30" s="5">
        <f t="shared" ref="J30:L31" si="10">J21+J23</f>
        <v>62.976689976689983</v>
      </c>
      <c r="K30" s="6">
        <f t="shared" si="10"/>
        <v>60.862803862803865</v>
      </c>
      <c r="L30" s="7">
        <f t="shared" si="10"/>
        <v>135.16050616050617</v>
      </c>
      <c r="P30" t="str">
        <f>I30</f>
        <v>Male</v>
      </c>
      <c r="Q30" s="5">
        <f t="shared" ref="Q30:S31" si="11">Q21+Q23</f>
        <v>68</v>
      </c>
      <c r="R30" s="6">
        <f t="shared" si="11"/>
        <v>67</v>
      </c>
      <c r="S30" s="7">
        <f t="shared" si="11"/>
        <v>124</v>
      </c>
    </row>
    <row r="31" spans="1:20" x14ac:dyDescent="0.35">
      <c r="B31" t="str">
        <f>B16</f>
        <v>Female</v>
      </c>
      <c r="C31" s="10">
        <f t="shared" si="9"/>
        <v>80.333333333333343</v>
      </c>
      <c r="D31" s="11">
        <f t="shared" si="9"/>
        <v>80.333333333333343</v>
      </c>
      <c r="E31" s="12">
        <f t="shared" si="9"/>
        <v>80.333333333333343</v>
      </c>
      <c r="I31" t="str">
        <f>B31</f>
        <v>Female</v>
      </c>
      <c r="J31" s="10">
        <f t="shared" si="10"/>
        <v>53.023310023310032</v>
      </c>
      <c r="K31" s="11">
        <f t="shared" si="10"/>
        <v>63.137196137196142</v>
      </c>
      <c r="L31" s="12">
        <f t="shared" si="10"/>
        <v>124.83949383949385</v>
      </c>
      <c r="P31" t="str">
        <f>I31</f>
        <v>Female</v>
      </c>
      <c r="Q31" s="10">
        <f t="shared" si="11"/>
        <v>48</v>
      </c>
      <c r="R31" s="11">
        <f t="shared" si="11"/>
        <v>57</v>
      </c>
      <c r="S31" s="12">
        <f t="shared" si="11"/>
        <v>136</v>
      </c>
    </row>
    <row r="33" spans="1:20" x14ac:dyDescent="0.35">
      <c r="C33" t="str">
        <f>C20</f>
        <v>Therapy 1</v>
      </c>
      <c r="D33" t="str">
        <f>D20</f>
        <v>Therapy 2</v>
      </c>
      <c r="E33" t="str">
        <f>E20</f>
        <v>Therapy 3</v>
      </c>
      <c r="J33" t="str">
        <f>J20</f>
        <v>Therapy 1</v>
      </c>
      <c r="K33" t="str">
        <f>K20</f>
        <v>Therapy 2</v>
      </c>
      <c r="L33" t="str">
        <f>L20</f>
        <v>Therapy 3</v>
      </c>
      <c r="Q33" t="str">
        <f>Q20</f>
        <v>Therapy 1</v>
      </c>
      <c r="R33" t="str">
        <f>R20</f>
        <v>Therapy 2</v>
      </c>
      <c r="S33" t="str">
        <f>S20</f>
        <v>Therapy 3</v>
      </c>
    </row>
    <row r="34" spans="1:20" x14ac:dyDescent="0.35">
      <c r="A34" t="str">
        <f t="shared" ref="A34:B37" si="12">A21</f>
        <v>Positive</v>
      </c>
      <c r="B34" t="str">
        <f t="shared" si="12"/>
        <v>Male</v>
      </c>
      <c r="C34" s="5">
        <f>Q21*$F$6/$T21</f>
        <v>60.86362221134344</v>
      </c>
      <c r="D34" s="6">
        <f>R21*$F$6/$T21</f>
        <v>53.868794765303086</v>
      </c>
      <c r="E34" s="7">
        <f>S21*$F$6/$T21</f>
        <v>106.26758302335345</v>
      </c>
      <c r="F34">
        <f>SUM(C34:E34)</f>
        <v>221</v>
      </c>
      <c r="H34" t="str">
        <f t="shared" ref="H34:I37" si="13">A34</f>
        <v>Positive</v>
      </c>
      <c r="I34" t="str">
        <f t="shared" si="13"/>
        <v>Male</v>
      </c>
      <c r="J34" s="5">
        <f>C34*$C$12/C40</f>
        <v>60.065344440868365</v>
      </c>
      <c r="K34" s="6">
        <f>D34*$D$12/D40</f>
        <v>52.534207807145265</v>
      </c>
      <c r="L34" s="7">
        <f>E34*$E$12/E40</f>
        <v>108.12733390482319</v>
      </c>
      <c r="M34">
        <f>SUM(J34:L34)</f>
        <v>220.72688615283681</v>
      </c>
      <c r="O34" t="str">
        <f t="shared" ref="O34:P37" si="14">H34</f>
        <v>Positive</v>
      </c>
      <c r="P34" t="str">
        <f t="shared" si="14"/>
        <v>Male</v>
      </c>
      <c r="Q34" s="5">
        <f>J34*$C$15/J43</f>
        <v>60.441584497136574</v>
      </c>
      <c r="R34" s="6">
        <f>K34*$D$15/K43</f>
        <v>53.117561945616579</v>
      </c>
      <c r="S34" s="7">
        <f>L34*$E$15/L43</f>
        <v>107.16518394316908</v>
      </c>
      <c r="T34">
        <f>SUM(Q34:S34)</f>
        <v>220.72433038592226</v>
      </c>
    </row>
    <row r="35" spans="1:20" x14ac:dyDescent="0.35">
      <c r="A35" t="str">
        <f t="shared" si="12"/>
        <v>Positive</v>
      </c>
      <c r="B35" t="str">
        <f t="shared" si="12"/>
        <v>Female</v>
      </c>
      <c r="C35" s="8">
        <f>Q22*$F$7/$T22</f>
        <v>31.345781943239338</v>
      </c>
      <c r="D35">
        <f>R22*$F$7/$T22</f>
        <v>27.138133179275684</v>
      </c>
      <c r="E35" s="9">
        <f>S22*$F$7/$T22</f>
        <v>77.516084877484985</v>
      </c>
      <c r="F35">
        <f>SUM(C35:E35)</f>
        <v>136</v>
      </c>
      <c r="H35" t="str">
        <f t="shared" si="13"/>
        <v>Positive</v>
      </c>
      <c r="I35" t="str">
        <f t="shared" si="13"/>
        <v>Female</v>
      </c>
      <c r="J35" s="8">
        <f>C35*$C$12/C40</f>
        <v>30.934655559131631</v>
      </c>
      <c r="K35">
        <f>D35*$D$12/D40</f>
        <v>26.465792192854735</v>
      </c>
      <c r="L35" s="9">
        <f>E35*$E$12/E40</f>
        <v>78.872666095176797</v>
      </c>
      <c r="M35">
        <f>SUM(J35:L35)</f>
        <v>136.27311384716316</v>
      </c>
      <c r="O35" t="str">
        <f t="shared" si="14"/>
        <v>Positive</v>
      </c>
      <c r="P35" t="str">
        <f t="shared" si="14"/>
        <v>Female</v>
      </c>
      <c r="Q35" s="8">
        <f>J35*$C$16/J44</f>
        <v>30.664241608440154</v>
      </c>
      <c r="R35">
        <f>K35*$D$16/K44</f>
        <v>26.128498246812214</v>
      </c>
      <c r="S35" s="9">
        <f>L35*$E$16/L44</f>
        <v>79.523646802246233</v>
      </c>
      <c r="T35">
        <f>SUM(Q35:S35)</f>
        <v>136.31638665749858</v>
      </c>
    </row>
    <row r="36" spans="1:20" x14ac:dyDescent="0.35">
      <c r="A36" t="str">
        <f t="shared" si="12"/>
        <v>Negative</v>
      </c>
      <c r="B36" t="str">
        <f t="shared" si="12"/>
        <v>Male</v>
      </c>
      <c r="C36" s="8">
        <f>Q23*$F$8/$T23</f>
        <v>7.1480687590877139</v>
      </c>
      <c r="D36">
        <f>R23*$F$8/$T23</f>
        <v>13.117618354258406</v>
      </c>
      <c r="E36" s="9">
        <f>S23*$F$8/$T23</f>
        <v>17.734312886653882</v>
      </c>
      <c r="F36">
        <f>SUM(C36:E36)</f>
        <v>38</v>
      </c>
      <c r="H36" t="str">
        <f t="shared" si="13"/>
        <v>Negative</v>
      </c>
      <c r="I36" t="str">
        <f t="shared" si="13"/>
        <v>Male</v>
      </c>
      <c r="J36" s="8">
        <f>C36*$C$13/C41</f>
        <v>7.5113654677302426</v>
      </c>
      <c r="K36">
        <f>D36*$D$13/D41</f>
        <v>13.729976657540938</v>
      </c>
      <c r="L36" s="9">
        <f>E36*$E$13/E41</f>
        <v>16.985962324933482</v>
      </c>
      <c r="M36">
        <f>SUM(J36:L36)</f>
        <v>38.227304450204663</v>
      </c>
      <c r="O36" t="str">
        <f t="shared" si="14"/>
        <v>Negative</v>
      </c>
      <c r="P36" t="str">
        <f t="shared" si="14"/>
        <v>Male</v>
      </c>
      <c r="Q36" s="8">
        <f>J36*$C$15/J43</f>
        <v>7.558415502863431</v>
      </c>
      <c r="R36">
        <f>K36*$D$15/K43</f>
        <v>13.88243805438343</v>
      </c>
      <c r="S36" s="9">
        <f>L36*$E$15/L43</f>
        <v>16.834816056830928</v>
      </c>
      <c r="T36">
        <f>SUM(Q36:S36)</f>
        <v>38.275669614077785</v>
      </c>
    </row>
    <row r="37" spans="1:20" x14ac:dyDescent="0.35">
      <c r="A37" t="str">
        <f t="shared" si="12"/>
        <v>Negative</v>
      </c>
      <c r="B37" t="str">
        <f t="shared" si="12"/>
        <v>Female</v>
      </c>
      <c r="C37" s="10">
        <f>Q24*$F$9/$T24</f>
        <v>16.642774562931113</v>
      </c>
      <c r="D37" s="11">
        <f>R24*$F$9/$T24</f>
        <v>29.875377239613979</v>
      </c>
      <c r="E37" s="12">
        <f>S24*$F$9/$T24</f>
        <v>58.481848197454909</v>
      </c>
      <c r="F37">
        <f>SUM(C37:E37)</f>
        <v>105</v>
      </c>
      <c r="H37" t="str">
        <f t="shared" si="13"/>
        <v>Negative</v>
      </c>
      <c r="I37" t="str">
        <f t="shared" si="13"/>
        <v>Female</v>
      </c>
      <c r="J37" s="10">
        <f>C37*$C$13/C41</f>
        <v>17.48863453226976</v>
      </c>
      <c r="K37" s="11">
        <f>D37*$D$13/D41</f>
        <v>31.270023342459062</v>
      </c>
      <c r="L37" s="12">
        <f>E37*$E$13/E41</f>
        <v>56.014037675066518</v>
      </c>
      <c r="M37">
        <f>SUM(J37:L37)</f>
        <v>104.77269554979534</v>
      </c>
      <c r="O37" t="str">
        <f t="shared" si="14"/>
        <v>Negative</v>
      </c>
      <c r="P37" t="str">
        <f t="shared" si="14"/>
        <v>Female</v>
      </c>
      <c r="Q37" s="10">
        <f>J37*$C$16/J44</f>
        <v>17.33575839155985</v>
      </c>
      <c r="R37" s="11">
        <f>K37*$D$16/K44</f>
        <v>30.871501753187786</v>
      </c>
      <c r="S37" s="12">
        <f>L37*$E$16/L44</f>
        <v>56.476353197753774</v>
      </c>
      <c r="T37">
        <f>SUM(Q37:S37)</f>
        <v>104.68361334250142</v>
      </c>
    </row>
    <row r="38" spans="1:20" x14ac:dyDescent="0.35">
      <c r="C38">
        <f>SUM(C34:C37)</f>
        <v>116.00024747660161</v>
      </c>
      <c r="D38">
        <f>SUM(D34:D37)</f>
        <v>123.99992353845116</v>
      </c>
      <c r="E38">
        <f>SUM(E34:E37)</f>
        <v>259.99982898494721</v>
      </c>
      <c r="F38">
        <f>SUM(F34:F37)</f>
        <v>500</v>
      </c>
      <c r="J38">
        <f>SUM(J34:J37)</f>
        <v>116</v>
      </c>
      <c r="K38">
        <f>SUM(K34:K37)</f>
        <v>124</v>
      </c>
      <c r="L38">
        <f>SUM(L34:L37)</f>
        <v>260</v>
      </c>
      <c r="M38">
        <f>SUM(M34:M37)</f>
        <v>500</v>
      </c>
      <c r="Q38">
        <f>SUM(Q34:Q37)</f>
        <v>116</v>
      </c>
      <c r="R38">
        <f>SUM(R34:R37)</f>
        <v>124</v>
      </c>
      <c r="S38">
        <f>SUM(S34:S37)</f>
        <v>260</v>
      </c>
      <c r="T38">
        <f>SUM(T34:T37)</f>
        <v>500.00000000000006</v>
      </c>
    </row>
    <row r="40" spans="1:20" x14ac:dyDescent="0.35">
      <c r="A40" t="str">
        <f>A27</f>
        <v>Positive</v>
      </c>
      <c r="C40" s="5">
        <f>SUM(C34:C35)</f>
        <v>92.209404154582785</v>
      </c>
      <c r="D40" s="6">
        <f>SUM(D34:D35)</f>
        <v>81.006927944578763</v>
      </c>
      <c r="E40" s="7">
        <f>SUM(E34:E35)</f>
        <v>183.78366790083845</v>
      </c>
      <c r="H40" t="str">
        <f>A40</f>
        <v>Positive</v>
      </c>
      <c r="J40" s="5">
        <f>SUM(J34:J35)</f>
        <v>91</v>
      </c>
      <c r="K40" s="6">
        <f>SUM(K34:K35)</f>
        <v>79</v>
      </c>
      <c r="L40" s="7">
        <f>SUM(L34:L35)</f>
        <v>187</v>
      </c>
      <c r="O40" t="str">
        <f>H40</f>
        <v>Positive</v>
      </c>
      <c r="Q40" s="5">
        <f>SUM(Q34:Q35)</f>
        <v>91.105826105576725</v>
      </c>
      <c r="R40" s="6">
        <f>SUM(R34:R35)</f>
        <v>79.246060192428786</v>
      </c>
      <c r="S40" s="7">
        <f>SUM(S34:S35)</f>
        <v>186.68883074541532</v>
      </c>
    </row>
    <row r="41" spans="1:20" x14ac:dyDescent="0.35">
      <c r="A41" t="str">
        <f>A28</f>
        <v>Negative</v>
      </c>
      <c r="C41" s="10">
        <f>SUM(C36:C37)</f>
        <v>23.790843322018826</v>
      </c>
      <c r="D41" s="11">
        <f>SUM(D36:D37)</f>
        <v>42.992995593872386</v>
      </c>
      <c r="E41" s="11">
        <f>SUM(E36:E37)</f>
        <v>76.216161084108791</v>
      </c>
      <c r="H41" t="str">
        <f>A41</f>
        <v>Negative</v>
      </c>
      <c r="J41" s="10">
        <f>SUM(J36:J37)</f>
        <v>25.000000000000004</v>
      </c>
      <c r="K41" s="11">
        <f>SUM(K36:K37)</f>
        <v>45</v>
      </c>
      <c r="L41" s="11">
        <f>SUM(L36:L37)</f>
        <v>73</v>
      </c>
      <c r="O41" t="str">
        <f>H41</f>
        <v>Negative</v>
      </c>
      <c r="Q41" s="10">
        <f>SUM(Q36:Q37)</f>
        <v>24.894173894423282</v>
      </c>
      <c r="R41" s="11">
        <f>SUM(R36:R37)</f>
        <v>44.753939807571214</v>
      </c>
      <c r="S41" s="11">
        <f>SUM(S36:S37)</f>
        <v>73.311169254584698</v>
      </c>
    </row>
    <row r="43" spans="1:20" x14ac:dyDescent="0.35">
      <c r="B43" t="str">
        <f>B30</f>
        <v>Male</v>
      </c>
      <c r="C43" s="5">
        <f t="shared" ref="C43:E44" si="15">C34+C36</f>
        <v>68.011690970431147</v>
      </c>
      <c r="D43" s="6">
        <f t="shared" si="15"/>
        <v>66.98641311956149</v>
      </c>
      <c r="E43" s="7">
        <f t="shared" si="15"/>
        <v>124.00189591000733</v>
      </c>
      <c r="I43" t="str">
        <f>B43</f>
        <v>Male</v>
      </c>
      <c r="J43" s="5">
        <f t="shared" ref="J43:L44" si="16">J34+J36</f>
        <v>67.576709908598602</v>
      </c>
      <c r="K43" s="6">
        <f t="shared" si="16"/>
        <v>66.264184464686195</v>
      </c>
      <c r="L43" s="7">
        <f t="shared" si="16"/>
        <v>125.11329622975667</v>
      </c>
      <c r="P43" t="str">
        <f>I43</f>
        <v>Male</v>
      </c>
      <c r="Q43" s="5">
        <f t="shared" ref="Q43:S44" si="17">Q34+Q36</f>
        <v>68</v>
      </c>
      <c r="R43" s="6">
        <f t="shared" si="17"/>
        <v>67.000000000000014</v>
      </c>
      <c r="S43" s="7">
        <f t="shared" si="17"/>
        <v>124.00000000000001</v>
      </c>
    </row>
    <row r="44" spans="1:20" x14ac:dyDescent="0.35">
      <c r="B44" t="str">
        <f>B31</f>
        <v>Female</v>
      </c>
      <c r="C44" s="10">
        <f t="shared" si="15"/>
        <v>47.988556506170454</v>
      </c>
      <c r="D44" s="11">
        <f t="shared" si="15"/>
        <v>57.013510418889666</v>
      </c>
      <c r="E44" s="12">
        <f t="shared" si="15"/>
        <v>135.99793307493991</v>
      </c>
      <c r="I44" t="str">
        <f>B44</f>
        <v>Female</v>
      </c>
      <c r="J44" s="10">
        <f t="shared" si="16"/>
        <v>48.423290091401391</v>
      </c>
      <c r="K44" s="11">
        <f t="shared" si="16"/>
        <v>57.735815535313797</v>
      </c>
      <c r="L44" s="12">
        <f t="shared" si="16"/>
        <v>134.88670377024332</v>
      </c>
      <c r="P44" t="str">
        <f>I44</f>
        <v>Female</v>
      </c>
      <c r="Q44" s="10">
        <f t="shared" si="17"/>
        <v>48</v>
      </c>
      <c r="R44" s="11">
        <f t="shared" si="17"/>
        <v>57</v>
      </c>
      <c r="S44" s="12">
        <f t="shared" si="17"/>
        <v>136</v>
      </c>
    </row>
    <row r="46" spans="1:20" x14ac:dyDescent="0.35">
      <c r="C46" t="str">
        <f>C33</f>
        <v>Therapy 1</v>
      </c>
      <c r="D46" t="str">
        <f>D33</f>
        <v>Therapy 2</v>
      </c>
      <c r="E46" t="str">
        <f>E33</f>
        <v>Therapy 3</v>
      </c>
      <c r="J46" t="str">
        <f>J33</f>
        <v>Therapy 1</v>
      </c>
      <c r="K46" t="str">
        <f>K33</f>
        <v>Therapy 2</v>
      </c>
      <c r="L46" t="str">
        <f>L33</f>
        <v>Therapy 3</v>
      </c>
      <c r="Q46" t="str">
        <f>Q33</f>
        <v>Therapy 1</v>
      </c>
      <c r="R46" t="str">
        <f>R33</f>
        <v>Therapy 2</v>
      </c>
      <c r="S46" t="str">
        <f>S33</f>
        <v>Therapy 3</v>
      </c>
    </row>
    <row r="47" spans="1:20" x14ac:dyDescent="0.35">
      <c r="A47" t="str">
        <f t="shared" ref="A47:B50" si="18">A34</f>
        <v>Positive</v>
      </c>
      <c r="B47" t="str">
        <f t="shared" si="18"/>
        <v>Male</v>
      </c>
      <c r="C47" s="5">
        <f>Q34*$F$6/$T34</f>
        <v>60.517071908259041</v>
      </c>
      <c r="D47" s="6">
        <f>R34*$F$6/$T34</f>
        <v>53.183902152773157</v>
      </c>
      <c r="E47" s="7">
        <f>S34*$F$6/$T34</f>
        <v>107.29902593896777</v>
      </c>
      <c r="F47">
        <f>SUM(C47:E47)</f>
        <v>220.99999999999997</v>
      </c>
      <c r="H47" t="str">
        <f t="shared" ref="H47:I50" si="19">A47</f>
        <v>Positive</v>
      </c>
      <c r="I47" t="str">
        <f t="shared" si="19"/>
        <v>Male</v>
      </c>
      <c r="J47" s="5">
        <f>C47*$C$12/C53</f>
        <v>60.443913094094022</v>
      </c>
      <c r="K47" s="6">
        <f>D47*$D$12/D53</f>
        <v>53.014954324671031</v>
      </c>
      <c r="L47" s="7">
        <f>E47*$E$12/E53</f>
        <v>107.50708347694862</v>
      </c>
      <c r="M47">
        <f>SUM(J47:L47)</f>
        <v>220.96595089571366</v>
      </c>
      <c r="O47" t="str">
        <f t="shared" ref="O47:P50" si="20">H47</f>
        <v>Positive</v>
      </c>
      <c r="P47" t="str">
        <f t="shared" si="20"/>
        <v>Male</v>
      </c>
      <c r="Q47" s="5">
        <f>J47*$C$15/J56</f>
        <v>60.461331701079054</v>
      </c>
      <c r="R47" s="6">
        <f>K47*$D$15/K56</f>
        <v>53.113845939832792</v>
      </c>
      <c r="S47" s="7">
        <f>L47*$E$15/L56</f>
        <v>107.38714368063954</v>
      </c>
      <c r="T47">
        <f>SUM(Q47:S47)</f>
        <v>220.96232132155137</v>
      </c>
    </row>
    <row r="48" spans="1:20" x14ac:dyDescent="0.35">
      <c r="A48" t="str">
        <f t="shared" si="18"/>
        <v>Positive</v>
      </c>
      <c r="B48" t="str">
        <f t="shared" si="18"/>
        <v>Female</v>
      </c>
      <c r="C48" s="8">
        <f>Q35*$F$7/$T35</f>
        <v>30.593070730564705</v>
      </c>
      <c r="D48">
        <f>R35*$F$7/$T35</f>
        <v>26.067854706967392</v>
      </c>
      <c r="E48" s="9">
        <f>S35*$F$7/$T35</f>
        <v>79.339074562467928</v>
      </c>
      <c r="F48">
        <f>SUM(C48:E48)</f>
        <v>136.00000000000003</v>
      </c>
      <c r="H48" t="str">
        <f t="shared" si="19"/>
        <v>Positive</v>
      </c>
      <c r="I48" t="str">
        <f t="shared" si="19"/>
        <v>Female</v>
      </c>
      <c r="J48" s="8">
        <f>C48*$C$12/C53</f>
        <v>30.556086905905978</v>
      </c>
      <c r="K48">
        <f>D48*$D$12/D53</f>
        <v>25.985045675328966</v>
      </c>
      <c r="L48" s="9">
        <f>E48*$E$12/E53</f>
        <v>79.492916523051377</v>
      </c>
      <c r="M48">
        <f>SUM(J48:L48)</f>
        <v>136.03404910428634</v>
      </c>
      <c r="O48" t="str">
        <f t="shared" si="20"/>
        <v>Positive</v>
      </c>
      <c r="P48" t="str">
        <f t="shared" si="20"/>
        <v>Female</v>
      </c>
      <c r="Q48" s="8">
        <f>J48*$C$16/J57</f>
        <v>30.543620998142202</v>
      </c>
      <c r="R48">
        <f>K48*$D$16/K57</f>
        <v>25.928300920227898</v>
      </c>
      <c r="S48" s="9">
        <f>L48*$E$16/L57</f>
        <v>79.573950044003695</v>
      </c>
      <c r="T48">
        <f>SUM(Q48:S48)</f>
        <v>136.04587196237378</v>
      </c>
    </row>
    <row r="49" spans="1:20" x14ac:dyDescent="0.35">
      <c r="A49" t="str">
        <f t="shared" si="18"/>
        <v>Negative</v>
      </c>
      <c r="B49" t="str">
        <f t="shared" si="18"/>
        <v>Male</v>
      </c>
      <c r="C49" s="8">
        <f>Q36*$F$8/$T36</f>
        <v>7.5039781669337797</v>
      </c>
      <c r="D49">
        <f>R36*$F$8/$T36</f>
        <v>13.782453746349194</v>
      </c>
      <c r="E49" s="9">
        <f>S36*$F$8/$T36</f>
        <v>16.713568086717029</v>
      </c>
      <c r="F49">
        <f>SUM(C49:E49)</f>
        <v>38</v>
      </c>
      <c r="H49" t="str">
        <f t="shared" si="19"/>
        <v>Negative</v>
      </c>
      <c r="I49" t="str">
        <f t="shared" si="19"/>
        <v>Male</v>
      </c>
      <c r="J49" s="8">
        <f>C49*$C$13/C54</f>
        <v>7.5364964463236754</v>
      </c>
      <c r="K49">
        <f>D49*$D$13/D54</f>
        <v>13.860299705636924</v>
      </c>
      <c r="L49" s="9">
        <f>E49*$E$13/E54</f>
        <v>16.631411078661849</v>
      </c>
      <c r="M49">
        <f>SUM(J49:L49)</f>
        <v>38.028207230622449</v>
      </c>
      <c r="O49" t="str">
        <f t="shared" si="20"/>
        <v>Negative</v>
      </c>
      <c r="P49" t="str">
        <f t="shared" si="20"/>
        <v>Male</v>
      </c>
      <c r="Q49" s="8">
        <f>J49*$C$15/J56</f>
        <v>7.5386682989209461</v>
      </c>
      <c r="R49">
        <f>K49*$D$15/K56</f>
        <v>13.886154060167204</v>
      </c>
      <c r="S49" s="9">
        <f>L49*$E$15/L56</f>
        <v>16.612856319360475</v>
      </c>
      <c r="T49">
        <f>SUM(Q49:S49)</f>
        <v>38.037678678448628</v>
      </c>
    </row>
    <row r="50" spans="1:20" x14ac:dyDescent="0.35">
      <c r="A50" t="str">
        <f t="shared" si="18"/>
        <v>Negative</v>
      </c>
      <c r="B50" t="str">
        <f t="shared" si="18"/>
        <v>Female</v>
      </c>
      <c r="C50" s="10">
        <f>Q37*$F$9/$T37</f>
        <v>17.388152481499823</v>
      </c>
      <c r="D50" s="11">
        <f>R37*$F$9/$T37</f>
        <v>30.964805097806742</v>
      </c>
      <c r="E50" s="12">
        <f>S37*$F$9/$T37</f>
        <v>56.647042420693424</v>
      </c>
      <c r="F50">
        <f>SUM(C50:E50)</f>
        <v>104.99999999999999</v>
      </c>
      <c r="H50" t="str">
        <f t="shared" si="19"/>
        <v>Negative</v>
      </c>
      <c r="I50" t="str">
        <f t="shared" si="19"/>
        <v>Female</v>
      </c>
      <c r="J50" s="10">
        <f>C50*$C$13/C54</f>
        <v>17.463503553676325</v>
      </c>
      <c r="K50" s="11">
        <f>D50*$D$13/D54</f>
        <v>31.139700294363074</v>
      </c>
      <c r="L50" s="12">
        <f>E50*$E$13/E54</f>
        <v>56.368588921338151</v>
      </c>
      <c r="M50">
        <f>SUM(J50:L50)</f>
        <v>104.97179276937754</v>
      </c>
      <c r="O50" t="str">
        <f t="shared" si="20"/>
        <v>Negative</v>
      </c>
      <c r="P50" t="str">
        <f t="shared" si="20"/>
        <v>Female</v>
      </c>
      <c r="Q50" s="10">
        <f>J50*$C$16/J57</f>
        <v>17.456379001857798</v>
      </c>
      <c r="R50" s="11">
        <f>K50*$D$16/K57</f>
        <v>31.071699079772099</v>
      </c>
      <c r="S50" s="12">
        <f>L50*$E$16/L57</f>
        <v>56.426049955996312</v>
      </c>
      <c r="T50">
        <f>SUM(Q50:S50)</f>
        <v>104.95412803762622</v>
      </c>
    </row>
    <row r="51" spans="1:20" x14ac:dyDescent="0.35">
      <c r="C51">
        <f>SUM(C47:C50)</f>
        <v>116.00227328725734</v>
      </c>
      <c r="D51">
        <f>SUM(D47:D50)</f>
        <v>123.99901570389649</v>
      </c>
      <c r="E51">
        <f>SUM(E47:E50)</f>
        <v>259.99871100884616</v>
      </c>
      <c r="F51">
        <f>SUM(F47:F50)</f>
        <v>500</v>
      </c>
      <c r="J51">
        <f>SUM(J47:J50)</f>
        <v>116</v>
      </c>
      <c r="K51">
        <f>SUM(K47:K50)</f>
        <v>124</v>
      </c>
      <c r="L51">
        <f>SUM(L47:L50)</f>
        <v>260</v>
      </c>
      <c r="M51">
        <f>SUM(M47:M50)</f>
        <v>500</v>
      </c>
      <c r="Q51">
        <f>SUM(Q47:Q50)</f>
        <v>116.00000000000001</v>
      </c>
      <c r="R51">
        <f>SUM(R47:R50)</f>
        <v>123.99999999999999</v>
      </c>
      <c r="S51">
        <f>SUM(S47:S50)</f>
        <v>260</v>
      </c>
      <c r="T51">
        <f>SUM(T47:T50)</f>
        <v>500</v>
      </c>
    </row>
    <row r="53" spans="1:20" x14ac:dyDescent="0.35">
      <c r="A53" t="str">
        <f>A40</f>
        <v>Positive</v>
      </c>
      <c r="C53" s="5">
        <f>SUM(C47:C48)</f>
        <v>91.110142638823746</v>
      </c>
      <c r="D53" s="6">
        <f>SUM(D47:D48)</f>
        <v>79.251756859740553</v>
      </c>
      <c r="E53" s="7">
        <f>SUM(E47:E48)</f>
        <v>186.6381005014357</v>
      </c>
      <c r="H53" t="str">
        <f>A53</f>
        <v>Positive</v>
      </c>
      <c r="J53" s="5">
        <f>SUM(J47:J48)</f>
        <v>91</v>
      </c>
      <c r="K53" s="6">
        <f>SUM(K47:K48)</f>
        <v>79</v>
      </c>
      <c r="L53" s="7">
        <f>SUM(L47:L48)</f>
        <v>187</v>
      </c>
      <c r="O53" t="str">
        <f>H53</f>
        <v>Positive</v>
      </c>
      <c r="Q53" s="5">
        <f>SUM(Q47:Q48)</f>
        <v>91.004952699221263</v>
      </c>
      <c r="R53" s="6">
        <f>SUM(R47:R48)</f>
        <v>79.042146860060683</v>
      </c>
      <c r="S53" s="7">
        <f>SUM(S47:S48)</f>
        <v>186.96109372464323</v>
      </c>
    </row>
    <row r="54" spans="1:20" x14ac:dyDescent="0.35">
      <c r="A54" t="str">
        <f>A41</f>
        <v>Negative</v>
      </c>
      <c r="C54" s="10">
        <f>SUM(C49:C50)</f>
        <v>24.892130648433604</v>
      </c>
      <c r="D54" s="11">
        <f>SUM(D49:D50)</f>
        <v>44.747258844155937</v>
      </c>
      <c r="E54" s="11">
        <f>SUM(E49:E50)</f>
        <v>73.360610507410456</v>
      </c>
      <c r="H54" t="str">
        <f>A54</f>
        <v>Negative</v>
      </c>
      <c r="J54" s="10">
        <f>SUM(J49:J50)</f>
        <v>25</v>
      </c>
      <c r="K54" s="11">
        <f>SUM(K49:K50)</f>
        <v>45</v>
      </c>
      <c r="L54" s="11">
        <f>SUM(L49:L50)</f>
        <v>73</v>
      </c>
      <c r="O54" t="str">
        <f>H54</f>
        <v>Negative</v>
      </c>
      <c r="Q54" s="10">
        <f>SUM(Q49:Q50)</f>
        <v>24.995047300778744</v>
      </c>
      <c r="R54" s="11">
        <f>SUM(R49:R50)</f>
        <v>44.957853139939303</v>
      </c>
      <c r="S54" s="11">
        <f>SUM(S49:S50)</f>
        <v>73.038906275356794</v>
      </c>
    </row>
    <row r="56" spans="1:20" x14ac:dyDescent="0.35">
      <c r="B56" t="str">
        <f>B43</f>
        <v>Male</v>
      </c>
      <c r="C56" s="5">
        <f t="shared" ref="C56:E57" si="21">C47+C49</f>
        <v>68.021050075192818</v>
      </c>
      <c r="D56" s="6">
        <f t="shared" si="21"/>
        <v>66.966355899122348</v>
      </c>
      <c r="E56" s="7">
        <f t="shared" si="21"/>
        <v>124.01259402568481</v>
      </c>
      <c r="I56" t="str">
        <f>B56</f>
        <v>Male</v>
      </c>
      <c r="J56" s="5">
        <f t="shared" ref="J56:L57" si="22">J47+J49</f>
        <v>67.980409540417696</v>
      </c>
      <c r="K56" s="6">
        <f t="shared" si="22"/>
        <v>66.875254030307957</v>
      </c>
      <c r="L56" s="7">
        <f t="shared" si="22"/>
        <v>124.13849455561046</v>
      </c>
      <c r="P56" t="str">
        <f>I56</f>
        <v>Male</v>
      </c>
      <c r="Q56" s="5">
        <f t="shared" ref="Q56:S57" si="23">Q47+Q49</f>
        <v>68</v>
      </c>
      <c r="R56" s="6">
        <f t="shared" si="23"/>
        <v>67</v>
      </c>
      <c r="S56" s="7">
        <f t="shared" si="23"/>
        <v>124.00000000000001</v>
      </c>
    </row>
    <row r="57" spans="1:20" x14ac:dyDescent="0.35">
      <c r="B57" t="str">
        <f>B44</f>
        <v>Female</v>
      </c>
      <c r="C57" s="10">
        <f t="shared" si="21"/>
        <v>47.981223212064528</v>
      </c>
      <c r="D57" s="11">
        <f t="shared" si="21"/>
        <v>57.032659804774134</v>
      </c>
      <c r="E57" s="12">
        <f t="shared" si="21"/>
        <v>135.98611698316137</v>
      </c>
      <c r="I57" t="str">
        <f>B57</f>
        <v>Female</v>
      </c>
      <c r="J57" s="10">
        <f t="shared" si="22"/>
        <v>48.019590459582304</v>
      </c>
      <c r="K57" s="11">
        <f t="shared" si="22"/>
        <v>57.124745969692043</v>
      </c>
      <c r="L57" s="12">
        <f t="shared" si="22"/>
        <v>135.86150544438954</v>
      </c>
      <c r="P57" t="str">
        <f>I57</f>
        <v>Female</v>
      </c>
      <c r="Q57" s="10">
        <f t="shared" si="23"/>
        <v>48</v>
      </c>
      <c r="R57" s="11">
        <f t="shared" si="23"/>
        <v>57</v>
      </c>
      <c r="S57" s="12">
        <f t="shared" si="23"/>
        <v>136</v>
      </c>
    </row>
    <row r="59" spans="1:20" x14ac:dyDescent="0.35">
      <c r="C59" t="str">
        <f>C46</f>
        <v>Therapy 1</v>
      </c>
      <c r="D59" t="str">
        <f>D46</f>
        <v>Therapy 2</v>
      </c>
      <c r="E59" t="str">
        <f>E46</f>
        <v>Therapy 3</v>
      </c>
      <c r="J59" t="str">
        <f>J46</f>
        <v>Therapy 1</v>
      </c>
      <c r="K59" t="str">
        <f>K46</f>
        <v>Therapy 2</v>
      </c>
      <c r="L59" t="str">
        <f>L46</f>
        <v>Therapy 3</v>
      </c>
      <c r="Q59" t="str">
        <f>Q46</f>
        <v>Therapy 1</v>
      </c>
      <c r="R59" t="str">
        <f>R46</f>
        <v>Therapy 2</v>
      </c>
      <c r="S59" t="str">
        <f>S46</f>
        <v>Therapy 3</v>
      </c>
    </row>
    <row r="60" spans="1:20" x14ac:dyDescent="0.35">
      <c r="A60" t="str">
        <f t="shared" ref="A60:B63" si="24">A47</f>
        <v>Positive</v>
      </c>
      <c r="B60" t="str">
        <f t="shared" si="24"/>
        <v>Male</v>
      </c>
      <c r="C60" s="5">
        <f>Q47*$F$6/$T47</f>
        <v>60.471641617548592</v>
      </c>
      <c r="D60" s="6">
        <f>R47*$F$6/$T47</f>
        <v>53.122902956931306</v>
      </c>
      <c r="E60" s="7">
        <f>S47*$F$6/$T47</f>
        <v>107.4054554255201</v>
      </c>
      <c r="F60">
        <f>SUM(C60:E60)</f>
        <v>221</v>
      </c>
      <c r="H60" t="str">
        <f t="shared" ref="H60:I63" si="25">A60</f>
        <v>Positive</v>
      </c>
      <c r="I60" t="str">
        <f t="shared" si="25"/>
        <v>Male</v>
      </c>
      <c r="J60" s="5">
        <f>C60*$C$12/C66</f>
        <v>60.468343159709541</v>
      </c>
      <c r="K60" s="6">
        <f>D60*$D$12/D66</f>
        <v>53.094365495099751</v>
      </c>
      <c r="L60" s="7">
        <f>E60*$E$12/E66</f>
        <v>107.43270155583764</v>
      </c>
      <c r="M60">
        <f>SUM(J60:L60)</f>
        <v>220.99541021064692</v>
      </c>
      <c r="O60" t="str">
        <f t="shared" ref="O60:P63" si="26">H60</f>
        <v>Positive</v>
      </c>
      <c r="P60" t="str">
        <f t="shared" si="26"/>
        <v>Male</v>
      </c>
      <c r="Q60" s="5">
        <f>J60*$C$15/J69</f>
        <v>60.467465154254064</v>
      </c>
      <c r="R60" s="6">
        <f>K60*$D$15/K69</f>
        <v>53.110359292401142</v>
      </c>
      <c r="S60" s="7">
        <f>L60*$E$15/L69</f>
        <v>107.41676414296779</v>
      </c>
      <c r="T60">
        <f>SUM(Q60:S60)</f>
        <v>220.99458858962299</v>
      </c>
    </row>
    <row r="61" spans="1:20" x14ac:dyDescent="0.35">
      <c r="A61" t="str">
        <f t="shared" si="24"/>
        <v>Positive</v>
      </c>
      <c r="B61" t="str">
        <f t="shared" si="24"/>
        <v>Female</v>
      </c>
      <c r="C61" s="8">
        <f>Q48*$F$7/$T48</f>
        <v>30.533322296586793</v>
      </c>
      <c r="D61">
        <f>R48*$F$7/$T48</f>
        <v>25.91955841281424</v>
      </c>
      <c r="E61" s="9">
        <f>S48*$F$7/$T48</f>
        <v>79.547119290598971</v>
      </c>
      <c r="F61">
        <f>SUM(C61:E61)</f>
        <v>136</v>
      </c>
      <c r="H61" t="str">
        <f t="shared" si="25"/>
        <v>Positive</v>
      </c>
      <c r="I61" t="str">
        <f t="shared" si="25"/>
        <v>Female</v>
      </c>
      <c r="J61" s="8">
        <f>C61*$C$12/C66</f>
        <v>30.531656840290459</v>
      </c>
      <c r="K61">
        <f>D61*$D$12/D66</f>
        <v>25.905634504900245</v>
      </c>
      <c r="L61" s="9">
        <f>E61*$E$12/E66</f>
        <v>79.567298444162361</v>
      </c>
      <c r="M61">
        <f>SUM(J61:L61)</f>
        <v>136.00458978935308</v>
      </c>
      <c r="O61" t="str">
        <f t="shared" si="26"/>
        <v>Positive</v>
      </c>
      <c r="P61" t="str">
        <f t="shared" si="26"/>
        <v>Female</v>
      </c>
      <c r="Q61" s="8">
        <f>J61*$C$16/J70</f>
        <v>30.532284902167678</v>
      </c>
      <c r="R61">
        <f>K61*$D$16/K70</f>
        <v>25.896467808938098</v>
      </c>
      <c r="S61" s="9">
        <f>L61*$E$16/L70</f>
        <v>79.578063639191527</v>
      </c>
      <c r="T61">
        <f>SUM(Q61:S61)</f>
        <v>136.0068163502973</v>
      </c>
    </row>
    <row r="62" spans="1:20" x14ac:dyDescent="0.35">
      <c r="A62" t="str">
        <f t="shared" si="24"/>
        <v>Negative</v>
      </c>
      <c r="B62" t="str">
        <f t="shared" si="24"/>
        <v>Male</v>
      </c>
      <c r="C62" s="8">
        <f>Q49*$F$8/$T49</f>
        <v>7.5312007806960013</v>
      </c>
      <c r="D62">
        <f>R49*$F$8/$T49</f>
        <v>13.872398963854831</v>
      </c>
      <c r="E62" s="9">
        <f>S49*$F$8/$T49</f>
        <v>16.596400255449161</v>
      </c>
      <c r="F62">
        <f>SUM(C62:E62)</f>
        <v>37.999999999999993</v>
      </c>
      <c r="H62" t="str">
        <f t="shared" si="25"/>
        <v>Negative</v>
      </c>
      <c r="I62" t="str">
        <f t="shared" si="25"/>
        <v>Male</v>
      </c>
      <c r="J62" s="8">
        <f>C62*$C$13/C67</f>
        <v>7.5326442203769135</v>
      </c>
      <c r="K62">
        <f>D62*$D$13/D67</f>
        <v>13.88545794361408</v>
      </c>
      <c r="L62" s="9">
        <f>E62*$E$13/E67</f>
        <v>16.585696309817958</v>
      </c>
      <c r="M62">
        <f>SUM(J62:L62)</f>
        <v>38.003798473808956</v>
      </c>
      <c r="O62" t="str">
        <f t="shared" si="26"/>
        <v>Negative</v>
      </c>
      <c r="P62" t="str">
        <f t="shared" si="26"/>
        <v>Male</v>
      </c>
      <c r="Q62" s="8">
        <f>J62*$C$15/J69</f>
        <v>7.5325348457459258</v>
      </c>
      <c r="R62">
        <f>K62*$D$15/K69</f>
        <v>13.889640707598851</v>
      </c>
      <c r="S62" s="9">
        <f>L62*$E$15/L69</f>
        <v>16.583235857032207</v>
      </c>
      <c r="T62">
        <f>SUM(Q62:S62)</f>
        <v>38.005411410376979</v>
      </c>
    </row>
    <row r="63" spans="1:20" x14ac:dyDescent="0.35">
      <c r="A63" t="str">
        <f t="shared" si="24"/>
        <v>Negative</v>
      </c>
      <c r="B63" t="str">
        <f t="shared" si="24"/>
        <v>Female</v>
      </c>
      <c r="C63" s="10">
        <f>Q50*$F$9/$T50</f>
        <v>17.46400860514952</v>
      </c>
      <c r="D63" s="11">
        <f>R50*$F$9/$T50</f>
        <v>31.085279487115066</v>
      </c>
      <c r="E63" s="12">
        <f>S50*$F$9/$T50</f>
        <v>56.450711907735403</v>
      </c>
      <c r="F63">
        <f>SUM(C63:E63)</f>
        <v>105</v>
      </c>
      <c r="H63" t="str">
        <f t="shared" si="25"/>
        <v>Negative</v>
      </c>
      <c r="I63" t="str">
        <f t="shared" si="25"/>
        <v>Female</v>
      </c>
      <c r="J63" s="10">
        <f>C63*$C$13/C67</f>
        <v>17.467355779623087</v>
      </c>
      <c r="K63" s="11">
        <f>D63*$D$13/D67</f>
        <v>31.114542056385925</v>
      </c>
      <c r="L63" s="12">
        <f>E63*$E$13/E67</f>
        <v>56.414303690182038</v>
      </c>
      <c r="M63">
        <f>SUM(J63:L63)</f>
        <v>104.99620152619104</v>
      </c>
      <c r="O63" t="str">
        <f t="shared" si="26"/>
        <v>Negative</v>
      </c>
      <c r="P63" t="str">
        <f t="shared" si="26"/>
        <v>Female</v>
      </c>
      <c r="Q63" s="10">
        <f>J63*$C$16/J70</f>
        <v>17.467715097832325</v>
      </c>
      <c r="R63" s="11">
        <f>K63*$D$16/K70</f>
        <v>31.103532191061902</v>
      </c>
      <c r="S63" s="12">
        <f>L63*$E$16/L70</f>
        <v>56.421936360808473</v>
      </c>
      <c r="T63">
        <f>SUM(Q63:S63)</f>
        <v>104.9931836497027</v>
      </c>
    </row>
    <row r="64" spans="1:20" x14ac:dyDescent="0.35">
      <c r="C64">
        <f>SUM(C60:C63)</f>
        <v>116.0001732999809</v>
      </c>
      <c r="D64">
        <f>SUM(D60:D63)</f>
        <v>124.00013982071545</v>
      </c>
      <c r="E64">
        <f>SUM(E60:E63)</f>
        <v>259.99968687930362</v>
      </c>
      <c r="F64">
        <f>SUM(F60:F63)</f>
        <v>500</v>
      </c>
      <c r="J64">
        <f>SUM(J60:J63)</f>
        <v>116</v>
      </c>
      <c r="K64">
        <f>SUM(K60:K63)</f>
        <v>124.00000000000001</v>
      </c>
      <c r="L64">
        <f>SUM(L60:L63)</f>
        <v>260</v>
      </c>
      <c r="M64">
        <f>SUM(M60:M63)</f>
        <v>500</v>
      </c>
      <c r="Q64">
        <f>SUM(Q60:Q63)</f>
        <v>116</v>
      </c>
      <c r="R64">
        <f>SUM(R60:R63)</f>
        <v>124</v>
      </c>
      <c r="S64">
        <f>SUM(S60:S63)</f>
        <v>260</v>
      </c>
      <c r="T64">
        <f>SUM(T60:T63)</f>
        <v>500</v>
      </c>
    </row>
    <row r="66" spans="1:20" x14ac:dyDescent="0.35">
      <c r="A66" t="str">
        <f>A53</f>
        <v>Positive</v>
      </c>
      <c r="C66" s="5">
        <f>SUM(C60:C61)</f>
        <v>91.004963914135388</v>
      </c>
      <c r="D66" s="6">
        <f>SUM(D60:D61)</f>
        <v>79.042461369745553</v>
      </c>
      <c r="E66" s="7">
        <f>SUM(E60:E61)</f>
        <v>186.95257471611907</v>
      </c>
      <c r="H66" t="str">
        <f>A66</f>
        <v>Positive</v>
      </c>
      <c r="J66" s="5">
        <f>SUM(J60:J61)</f>
        <v>91</v>
      </c>
      <c r="K66" s="6">
        <f>SUM(K60:K61)</f>
        <v>79</v>
      </c>
      <c r="L66" s="7">
        <f>SUM(L60:L61)</f>
        <v>187</v>
      </c>
      <c r="O66" t="str">
        <f>H66</f>
        <v>Positive</v>
      </c>
      <c r="Q66" s="5">
        <f>SUM(Q60:Q61)</f>
        <v>90.999750056421746</v>
      </c>
      <c r="R66" s="6">
        <f>SUM(R60:R61)</f>
        <v>79.00682710133924</v>
      </c>
      <c r="S66" s="7">
        <f>SUM(S60:S61)</f>
        <v>186.99482778215932</v>
      </c>
    </row>
    <row r="67" spans="1:20" x14ac:dyDescent="0.35">
      <c r="A67" t="str">
        <f>A54</f>
        <v>Negative</v>
      </c>
      <c r="C67" s="10">
        <f>SUM(C62:C63)</f>
        <v>24.99520938584552</v>
      </c>
      <c r="D67" s="11">
        <f>SUM(D62:D63)</f>
        <v>44.957678450969894</v>
      </c>
      <c r="E67" s="11">
        <f>SUM(E62:E63)</f>
        <v>73.047112163184565</v>
      </c>
      <c r="H67" t="str">
        <f>A67</f>
        <v>Negative</v>
      </c>
      <c r="J67" s="10">
        <f>SUM(J62:J63)</f>
        <v>25</v>
      </c>
      <c r="K67" s="11">
        <f>SUM(K62:K63)</f>
        <v>45.000000000000007</v>
      </c>
      <c r="L67" s="11">
        <f>SUM(L62:L63)</f>
        <v>73</v>
      </c>
      <c r="O67" t="str">
        <f>H67</f>
        <v>Negative</v>
      </c>
      <c r="Q67" s="10">
        <f>SUM(Q62:Q63)</f>
        <v>25.00024994357825</v>
      </c>
      <c r="R67" s="11">
        <f>SUM(R62:R63)</f>
        <v>44.993172898660752</v>
      </c>
      <c r="S67" s="11">
        <f>SUM(S62:S63)</f>
        <v>73.005172217840681</v>
      </c>
    </row>
    <row r="69" spans="1:20" x14ac:dyDescent="0.35">
      <c r="B69" t="str">
        <f>B56</f>
        <v>Male</v>
      </c>
      <c r="C69" s="5">
        <f t="shared" ref="C69:E70" si="27">C60+C62</f>
        <v>68.002842398244596</v>
      </c>
      <c r="D69" s="6">
        <f t="shared" si="27"/>
        <v>66.995301920786133</v>
      </c>
      <c r="E69" s="7">
        <f t="shared" si="27"/>
        <v>124.00185568096927</v>
      </c>
      <c r="I69" t="str">
        <f>B69</f>
        <v>Male</v>
      </c>
      <c r="J69" s="5">
        <f t="shared" ref="J69:L70" si="28">J60+J62</f>
        <v>68.000987380086457</v>
      </c>
      <c r="K69" s="6">
        <f t="shared" si="28"/>
        <v>66.979823438713836</v>
      </c>
      <c r="L69" s="7">
        <f t="shared" si="28"/>
        <v>124.0183978656556</v>
      </c>
      <c r="P69" t="str">
        <f>I69</f>
        <v>Male</v>
      </c>
      <c r="Q69" s="5">
        <f t="shared" ref="Q69:S70" si="29">Q60+Q62</f>
        <v>67.999999999999986</v>
      </c>
      <c r="R69" s="6">
        <f t="shared" si="29"/>
        <v>67</v>
      </c>
      <c r="S69" s="7">
        <f t="shared" si="29"/>
        <v>124</v>
      </c>
    </row>
    <row r="70" spans="1:20" x14ac:dyDescent="0.35">
      <c r="B70" t="str">
        <f>B57</f>
        <v>Female</v>
      </c>
      <c r="C70" s="10">
        <f t="shared" si="27"/>
        <v>47.997330901736312</v>
      </c>
      <c r="D70" s="11">
        <f t="shared" si="27"/>
        <v>57.004837899929306</v>
      </c>
      <c r="E70" s="12">
        <f t="shared" si="27"/>
        <v>135.99783119833438</v>
      </c>
      <c r="I70" t="str">
        <f>B70</f>
        <v>Female</v>
      </c>
      <c r="J70" s="10">
        <f t="shared" si="28"/>
        <v>47.999012619913543</v>
      </c>
      <c r="K70" s="11">
        <f t="shared" si="28"/>
        <v>57.020176561286171</v>
      </c>
      <c r="L70" s="12">
        <f t="shared" si="28"/>
        <v>135.9816021343444</v>
      </c>
      <c r="P70" t="str">
        <f>I70</f>
        <v>Female</v>
      </c>
      <c r="Q70" s="10">
        <f t="shared" si="29"/>
        <v>48</v>
      </c>
      <c r="R70" s="11">
        <f t="shared" si="29"/>
        <v>57</v>
      </c>
      <c r="S70" s="12">
        <f t="shared" si="29"/>
        <v>136</v>
      </c>
    </row>
    <row r="72" spans="1:20" x14ac:dyDescent="0.35">
      <c r="C72" t="str">
        <f>C59</f>
        <v>Therapy 1</v>
      </c>
      <c r="D72" t="str">
        <f>D59</f>
        <v>Therapy 2</v>
      </c>
      <c r="E72" t="str">
        <f>E59</f>
        <v>Therapy 3</v>
      </c>
      <c r="J72" t="str">
        <f>J59</f>
        <v>Therapy 1</v>
      </c>
      <c r="K72" t="str">
        <f>K59</f>
        <v>Therapy 2</v>
      </c>
      <c r="L72" t="str">
        <f>L59</f>
        <v>Therapy 3</v>
      </c>
      <c r="Q72" t="str">
        <f>Q59</f>
        <v>Therapy 1</v>
      </c>
      <c r="R72" t="str">
        <f>R59</f>
        <v>Therapy 2</v>
      </c>
      <c r="S72" t="str">
        <f>S59</f>
        <v>Therapy 3</v>
      </c>
    </row>
    <row r="73" spans="1:20" x14ac:dyDescent="0.35">
      <c r="A73" t="str">
        <f t="shared" ref="A73:B76" si="30">A60</f>
        <v>Positive</v>
      </c>
      <c r="B73" t="str">
        <f t="shared" si="30"/>
        <v>Male</v>
      </c>
      <c r="C73" s="5">
        <f>Q60*$F$6/$T60</f>
        <v>60.468945798058492</v>
      </c>
      <c r="D73" s="6">
        <f>R60*$F$6/$T60</f>
        <v>53.111659785554558</v>
      </c>
      <c r="E73" s="7">
        <f>S60*$F$6/$T60</f>
        <v>107.41939441638696</v>
      </c>
      <c r="F73">
        <f>SUM(C73:E73)</f>
        <v>221</v>
      </c>
      <c r="H73" t="str">
        <f t="shared" ref="H73:I76" si="31">A73</f>
        <v>Positive</v>
      </c>
      <c r="I73" t="str">
        <f t="shared" si="31"/>
        <v>Male</v>
      </c>
      <c r="J73" s="5">
        <f>C73*$C$12/C79</f>
        <v>60.469144819955858</v>
      </c>
      <c r="K73" s="6">
        <f>D73*$D$12/D79</f>
        <v>53.107068563309497</v>
      </c>
      <c r="L73" s="7">
        <f>E73*$E$12/E79</f>
        <v>107.42314573305423</v>
      </c>
      <c r="M73">
        <f>SUM(J73:L73)</f>
        <v>220.99935911631957</v>
      </c>
      <c r="O73" t="str">
        <f t="shared" ref="O73:P76" si="32">H73</f>
        <v>Positive</v>
      </c>
      <c r="P73" t="str">
        <f t="shared" si="32"/>
        <v>Male</v>
      </c>
      <c r="Q73" s="5">
        <f>J73*$C$15/J82</f>
        <v>60.468688356379609</v>
      </c>
      <c r="R73" s="6">
        <f>K73*$D$15/K82</f>
        <v>53.1095845255157</v>
      </c>
      <c r="S73" s="7">
        <f>L73*$E$15/L82</f>
        <v>107.42093664516084</v>
      </c>
      <c r="T73">
        <f>SUM(Q73:S73)</f>
        <v>220.99920952705617</v>
      </c>
    </row>
    <row r="74" spans="1:20" x14ac:dyDescent="0.35">
      <c r="A74" t="str">
        <f t="shared" si="30"/>
        <v>Positive</v>
      </c>
      <c r="B74" t="str">
        <f t="shared" si="30"/>
        <v>Female</v>
      </c>
      <c r="C74" s="8">
        <f>Q61*$F$7/$T61</f>
        <v>30.530754693940949</v>
      </c>
      <c r="D74">
        <f>R61*$F$7/$T61</f>
        <v>25.895169937252067</v>
      </c>
      <c r="E74" s="9">
        <f>S61*$F$7/$T61</f>
        <v>79.574075368806987</v>
      </c>
      <c r="F74">
        <f>SUM(C74:E74)</f>
        <v>136</v>
      </c>
      <c r="H74" t="str">
        <f t="shared" si="31"/>
        <v>Positive</v>
      </c>
      <c r="I74" t="str">
        <f t="shared" si="31"/>
        <v>Female</v>
      </c>
      <c r="J74" s="8">
        <f>C74*$C$12/C79</f>
        <v>30.530855180044135</v>
      </c>
      <c r="K74">
        <f>D74*$D$12/D79</f>
        <v>25.892931436690503</v>
      </c>
      <c r="L74" s="9">
        <f>E74*$E$12/E79</f>
        <v>79.576854266945773</v>
      </c>
      <c r="M74">
        <f>SUM(J74:L74)</f>
        <v>136.0006408836804</v>
      </c>
      <c r="O74" t="str">
        <f t="shared" si="32"/>
        <v>Positive</v>
      </c>
      <c r="P74" t="str">
        <f t="shared" si="32"/>
        <v>Female</v>
      </c>
      <c r="Q74" s="8">
        <f>J74*$C$16/J83</f>
        <v>30.531181682813401</v>
      </c>
      <c r="R74">
        <f>K74*$D$16/K83</f>
        <v>25.891489692550774</v>
      </c>
      <c r="S74" s="9">
        <f>L74*$E$16/L83</f>
        <v>79.578346380061603</v>
      </c>
      <c r="T74">
        <f>SUM(Q74:S74)</f>
        <v>136.00101775542578</v>
      </c>
    </row>
    <row r="75" spans="1:20" x14ac:dyDescent="0.35">
      <c r="A75" t="str">
        <f t="shared" si="30"/>
        <v>Negative</v>
      </c>
      <c r="B75" t="str">
        <f t="shared" si="30"/>
        <v>Male</v>
      </c>
      <c r="C75" s="8">
        <f>Q62*$F$8/$T62</f>
        <v>7.5314623238150595</v>
      </c>
      <c r="D75">
        <f>R62*$F$8/$T62</f>
        <v>13.887663027498352</v>
      </c>
      <c r="E75" s="9">
        <f>S62*$F$8/$T62</f>
        <v>16.580874648686596</v>
      </c>
      <c r="F75">
        <f>SUM(C75:E75)</f>
        <v>38.000000000000007</v>
      </c>
      <c r="H75" t="str">
        <f t="shared" si="31"/>
        <v>Negative</v>
      </c>
      <c r="I75" t="str">
        <f t="shared" si="31"/>
        <v>Male</v>
      </c>
      <c r="J75" s="8">
        <f>C75*$C$13/C80</f>
        <v>7.5313684956795273</v>
      </c>
      <c r="K75">
        <f>D75*$D$13/D80</f>
        <v>13.889757443345959</v>
      </c>
      <c r="L75" s="9">
        <f>E75*$E$13/E80</f>
        <v>16.579404299624088</v>
      </c>
      <c r="M75">
        <f>SUM(J75:L75)</f>
        <v>38.000530238649574</v>
      </c>
      <c r="O75" t="str">
        <f t="shared" si="32"/>
        <v>Negative</v>
      </c>
      <c r="P75" t="str">
        <f t="shared" si="32"/>
        <v>Male</v>
      </c>
      <c r="Q75" s="8">
        <f>J75*$C$15/J82</f>
        <v>7.531311643620386</v>
      </c>
      <c r="R75">
        <f>K75*$D$15/K82</f>
        <v>13.890415474484302</v>
      </c>
      <c r="S75" s="9">
        <f>L75*$E$15/L82</f>
        <v>16.57906335483916</v>
      </c>
      <c r="T75">
        <f>SUM(Q75:S75)</f>
        <v>38.000790472943848</v>
      </c>
    </row>
    <row r="76" spans="1:20" x14ac:dyDescent="0.35">
      <c r="A76" t="str">
        <f t="shared" si="30"/>
        <v>Negative</v>
      </c>
      <c r="B76" t="str">
        <f t="shared" si="30"/>
        <v>Female</v>
      </c>
      <c r="C76" s="10">
        <f>Q63*$F$9/$T63</f>
        <v>17.468849133975066</v>
      </c>
      <c r="D76" s="11">
        <f>R63*$F$9/$T63</f>
        <v>31.105551489491834</v>
      </c>
      <c r="E76" s="12">
        <f>S63*$F$9/$T63</f>
        <v>56.4255993765331</v>
      </c>
      <c r="F76">
        <f>SUM(C76:E76)</f>
        <v>105</v>
      </c>
      <c r="H76" t="str">
        <f t="shared" si="31"/>
        <v>Negative</v>
      </c>
      <c r="I76" t="str">
        <f t="shared" si="31"/>
        <v>Female</v>
      </c>
      <c r="J76" s="10">
        <f>C76*$C$13/C80</f>
        <v>17.46863150432047</v>
      </c>
      <c r="K76" s="11">
        <f>D76*$D$13/D80</f>
        <v>31.110242556654043</v>
      </c>
      <c r="L76" s="12">
        <f>E76*$E$13/E80</f>
        <v>56.42059570037592</v>
      </c>
      <c r="M76">
        <f>SUM(J76:L76)</f>
        <v>104.99946976135044</v>
      </c>
      <c r="O76" t="str">
        <f t="shared" si="32"/>
        <v>Negative</v>
      </c>
      <c r="P76" t="str">
        <f t="shared" si="32"/>
        <v>Female</v>
      </c>
      <c r="Q76" s="10">
        <f>J76*$C$16/J83</f>
        <v>17.468818317186596</v>
      </c>
      <c r="R76" s="11">
        <f>K76*$D$16/K83</f>
        <v>31.108510307449226</v>
      </c>
      <c r="S76" s="12">
        <f>L76*$E$16/L83</f>
        <v>56.421653619938375</v>
      </c>
      <c r="T76">
        <f>SUM(Q76:S76)</f>
        <v>104.99898224457419</v>
      </c>
    </row>
    <row r="77" spans="1:20" x14ac:dyDescent="0.35">
      <c r="C77">
        <f>SUM(C73:C76)</f>
        <v>116.00001194978958</v>
      </c>
      <c r="D77">
        <f>SUM(D73:D76)</f>
        <v>124.00004423979681</v>
      </c>
      <c r="E77">
        <f>SUM(E73:E76)</f>
        <v>259.99994381041364</v>
      </c>
      <c r="F77">
        <f>SUM(F73:F76)</f>
        <v>500</v>
      </c>
      <c r="J77">
        <f>SUM(J73:J76)</f>
        <v>116</v>
      </c>
      <c r="K77">
        <f>SUM(K73:K76)</f>
        <v>124</v>
      </c>
      <c r="L77">
        <f>SUM(L73:L76)</f>
        <v>260</v>
      </c>
      <c r="M77">
        <f>SUM(M73:M76)</f>
        <v>500</v>
      </c>
      <c r="Q77">
        <f>SUM(Q73:Q76)</f>
        <v>116</v>
      </c>
      <c r="R77">
        <f>SUM(R73:R76)</f>
        <v>124</v>
      </c>
      <c r="S77">
        <f>SUM(S73:S76)</f>
        <v>259.99999999999994</v>
      </c>
      <c r="T77">
        <f>SUM(T73:T76)</f>
        <v>500</v>
      </c>
    </row>
    <row r="79" spans="1:20" x14ac:dyDescent="0.35">
      <c r="A79" t="str">
        <f>A66</f>
        <v>Positive</v>
      </c>
      <c r="C79" s="5">
        <f>SUM(C73:C74)</f>
        <v>90.999700491999448</v>
      </c>
      <c r="D79" s="6">
        <f>SUM(D73:D74)</f>
        <v>79.006829722806629</v>
      </c>
      <c r="E79" s="7">
        <f>SUM(E73:E74)</f>
        <v>186.99346978519395</v>
      </c>
      <c r="H79" t="str">
        <f>A79</f>
        <v>Positive</v>
      </c>
      <c r="J79" s="5">
        <f>SUM(J73:J74)</f>
        <v>91</v>
      </c>
      <c r="K79" s="6">
        <f>SUM(K73:K74)</f>
        <v>79</v>
      </c>
      <c r="L79" s="7">
        <f>SUM(L73:L74)</f>
        <v>187</v>
      </c>
      <c r="O79" t="str">
        <f>H79</f>
        <v>Positive</v>
      </c>
      <c r="Q79" s="5">
        <f>SUM(Q73:Q74)</f>
        <v>90.999870039193013</v>
      </c>
      <c r="R79" s="6">
        <f>SUM(R73:R74)</f>
        <v>79.001074218066478</v>
      </c>
      <c r="S79" s="7">
        <f>SUM(S73:S74)</f>
        <v>186.99928302522244</v>
      </c>
    </row>
    <row r="80" spans="1:20" x14ac:dyDescent="0.35">
      <c r="A80" t="str">
        <f>A67</f>
        <v>Negative</v>
      </c>
      <c r="C80" s="10">
        <f>SUM(C75:C76)</f>
        <v>25.000311457790126</v>
      </c>
      <c r="D80" s="11">
        <f>SUM(D75:D76)</f>
        <v>44.993214516990186</v>
      </c>
      <c r="E80" s="11">
        <f>SUM(E75:E76)</f>
        <v>73.006474025219688</v>
      </c>
      <c r="H80" t="str">
        <f>A80</f>
        <v>Negative</v>
      </c>
      <c r="J80" s="10">
        <f>SUM(J75:J76)</f>
        <v>24.999999999999996</v>
      </c>
      <c r="K80" s="11">
        <f>SUM(K75:K76)</f>
        <v>45</v>
      </c>
      <c r="L80" s="11">
        <f>SUM(L75:L76)</f>
        <v>73</v>
      </c>
      <c r="O80" t="str">
        <f>H80</f>
        <v>Negative</v>
      </c>
      <c r="Q80" s="10">
        <f>SUM(Q75:Q76)</f>
        <v>25.00012996080698</v>
      </c>
      <c r="R80" s="11">
        <f>SUM(R75:R76)</f>
        <v>44.998925781933529</v>
      </c>
      <c r="S80" s="11">
        <f>SUM(S75:S76)</f>
        <v>73.000716974777532</v>
      </c>
    </row>
    <row r="82" spans="1:20" x14ac:dyDescent="0.35">
      <c r="B82" t="str">
        <f>B69</f>
        <v>Male</v>
      </c>
      <c r="C82" s="5">
        <f t="shared" ref="C82:E83" si="33">C73+C75</f>
        <v>68.000408121873548</v>
      </c>
      <c r="D82" s="6">
        <f t="shared" si="33"/>
        <v>66.999322813052913</v>
      </c>
      <c r="E82" s="7">
        <f t="shared" si="33"/>
        <v>124.00026906507355</v>
      </c>
      <c r="I82" t="str">
        <f>B82</f>
        <v>Male</v>
      </c>
      <c r="J82" s="5">
        <f t="shared" ref="J82:L83" si="34">J73+J75</f>
        <v>68.000513315635388</v>
      </c>
      <c r="K82" s="6">
        <f t="shared" si="34"/>
        <v>66.996826006655454</v>
      </c>
      <c r="L82" s="7">
        <f t="shared" si="34"/>
        <v>124.00255003267831</v>
      </c>
      <c r="P82" t="str">
        <f>I82</f>
        <v>Male</v>
      </c>
      <c r="Q82" s="5">
        <f t="shared" ref="Q82:S83" si="35">Q73+Q75</f>
        <v>68</v>
      </c>
      <c r="R82" s="6">
        <f t="shared" si="35"/>
        <v>67</v>
      </c>
      <c r="S82" s="7">
        <f t="shared" si="35"/>
        <v>124</v>
      </c>
    </row>
    <row r="83" spans="1:20" x14ac:dyDescent="0.35">
      <c r="B83" t="str">
        <f>B70</f>
        <v>Female</v>
      </c>
      <c r="C83" s="10">
        <f t="shared" si="33"/>
        <v>47.999603827916019</v>
      </c>
      <c r="D83" s="11">
        <f t="shared" si="33"/>
        <v>57.000721426743901</v>
      </c>
      <c r="E83" s="12">
        <f t="shared" si="33"/>
        <v>135.99967474534009</v>
      </c>
      <c r="I83" t="str">
        <f>B83</f>
        <v>Female</v>
      </c>
      <c r="J83" s="10">
        <f t="shared" si="34"/>
        <v>47.999486684364605</v>
      </c>
      <c r="K83" s="11">
        <f t="shared" si="34"/>
        <v>57.003173993344546</v>
      </c>
      <c r="L83" s="12">
        <f t="shared" si="34"/>
        <v>135.9974499673217</v>
      </c>
      <c r="P83" t="str">
        <f>I83</f>
        <v>Female</v>
      </c>
      <c r="Q83" s="10">
        <f t="shared" si="35"/>
        <v>48</v>
      </c>
      <c r="R83" s="11">
        <f t="shared" si="35"/>
        <v>57</v>
      </c>
      <c r="S83" s="12">
        <f t="shared" si="35"/>
        <v>135.99999999999997</v>
      </c>
    </row>
    <row r="85" spans="1:20" x14ac:dyDescent="0.35">
      <c r="C85" t="str">
        <f>C72</f>
        <v>Therapy 1</v>
      </c>
      <c r="D85" t="str">
        <f>D72</f>
        <v>Therapy 2</v>
      </c>
      <c r="E85" t="str">
        <f>E72</f>
        <v>Therapy 3</v>
      </c>
      <c r="J85" t="str">
        <f>J72</f>
        <v>Therapy 1</v>
      </c>
      <c r="K85" t="str">
        <f>K72</f>
        <v>Therapy 2</v>
      </c>
      <c r="L85" t="str">
        <f>L72</f>
        <v>Therapy 3</v>
      </c>
      <c r="Q85" t="str">
        <f>Q72</f>
        <v>Therapy 1</v>
      </c>
      <c r="R85" t="str">
        <f>R72</f>
        <v>Therapy 2</v>
      </c>
      <c r="S85" t="str">
        <f>S72</f>
        <v>Therapy 3</v>
      </c>
    </row>
    <row r="86" spans="1:20" x14ac:dyDescent="0.35">
      <c r="A86" t="str">
        <f t="shared" ref="A86:B89" si="36">A73</f>
        <v>Positive</v>
      </c>
      <c r="B86" t="str">
        <f t="shared" si="36"/>
        <v>Male</v>
      </c>
      <c r="C86" s="5">
        <f>Q73*$F$6/$T73</f>
        <v>60.468904641597085</v>
      </c>
      <c r="D86" s="6">
        <f>R73*$F$6/$T73</f>
        <v>53.109774488591661</v>
      </c>
      <c r="E86" s="7">
        <f>S73*$F$6/$T73</f>
        <v>107.42132086981124</v>
      </c>
      <c r="F86">
        <f>SUM(C86:E86)</f>
        <v>221</v>
      </c>
      <c r="H86" t="str">
        <f t="shared" ref="H86:I89" si="37">A86</f>
        <v>Positive</v>
      </c>
      <c r="I86" t="str">
        <f t="shared" si="37"/>
        <v>Male</v>
      </c>
      <c r="J86" s="5">
        <f>C86*$C$12/C92</f>
        <v>60.468999102047221</v>
      </c>
      <c r="K86" s="6">
        <f>D86*$D$12/D92</f>
        <v>53.109054878552698</v>
      </c>
      <c r="L86" s="7">
        <f>E86*$E$12/E92</f>
        <v>107.4218541129806</v>
      </c>
      <c r="M86">
        <f>SUM(J86:L86)</f>
        <v>220.99990809358053</v>
      </c>
      <c r="O86" t="str">
        <f t="shared" ref="O86:P89" si="38">H86</f>
        <v>Positive</v>
      </c>
      <c r="P86" t="str">
        <f t="shared" si="38"/>
        <v>Male</v>
      </c>
      <c r="Q86" s="5">
        <f>J86*$C$15/J95</f>
        <v>60.468900289990039</v>
      </c>
      <c r="R86" s="6">
        <f>K86*$D$15/K95</f>
        <v>53.109443995952745</v>
      </c>
      <c r="S86" s="7">
        <f>L86*$E$15/L95</f>
        <v>107.42153887328529</v>
      </c>
      <c r="T86">
        <f>SUM(Q86:S86)</f>
        <v>220.99988315922809</v>
      </c>
    </row>
    <row r="87" spans="1:20" x14ac:dyDescent="0.35">
      <c r="A87" t="str">
        <f t="shared" si="36"/>
        <v>Positive</v>
      </c>
      <c r="B87" t="str">
        <f t="shared" si="36"/>
        <v>Female</v>
      </c>
      <c r="C87" s="8">
        <f>Q74*$F$7/$T74</f>
        <v>30.530953204554002</v>
      </c>
      <c r="D87">
        <f>R74*$F$7/$T74</f>
        <v>25.89129593514696</v>
      </c>
      <c r="E87" s="9">
        <f>S74*$F$7/$T74</f>
        <v>79.577750860299048</v>
      </c>
      <c r="F87">
        <f>SUM(C87:E87)</f>
        <v>136</v>
      </c>
      <c r="H87" t="str">
        <f t="shared" si="37"/>
        <v>Positive</v>
      </c>
      <c r="I87" t="str">
        <f t="shared" si="37"/>
        <v>Female</v>
      </c>
      <c r="J87" s="8">
        <f>C87*$C$12/C92</f>
        <v>30.531000897952779</v>
      </c>
      <c r="K87">
        <f>D87*$D$12/D92</f>
        <v>25.890945121447295</v>
      </c>
      <c r="L87" s="9">
        <f>E87*$E$12/E92</f>
        <v>79.578145887019403</v>
      </c>
      <c r="M87">
        <f>SUM(J87:L87)</f>
        <v>136.00009190641947</v>
      </c>
      <c r="O87" t="str">
        <f t="shared" si="38"/>
        <v>Positive</v>
      </c>
      <c r="P87" t="str">
        <f t="shared" si="38"/>
        <v>Female</v>
      </c>
      <c r="Q87" s="8">
        <f>J87*$C$16/J96</f>
        <v>30.531071576496615</v>
      </c>
      <c r="R87">
        <f>K87*$D$16/K96</f>
        <v>25.890722148072218</v>
      </c>
      <c r="S87" s="9">
        <f>L87*$E$16/L96</f>
        <v>79.578358812327579</v>
      </c>
      <c r="T87">
        <f>SUM(Q87:S87)</f>
        <v>136.00015253689639</v>
      </c>
    </row>
    <row r="88" spans="1:20" x14ac:dyDescent="0.35">
      <c r="A88" t="str">
        <f t="shared" si="36"/>
        <v>Negative</v>
      </c>
      <c r="B88" t="str">
        <f t="shared" si="36"/>
        <v>Male</v>
      </c>
      <c r="C88" s="8">
        <f>Q75*$F$8/$T75</f>
        <v>7.5311549811401619</v>
      </c>
      <c r="D88">
        <f>R75*$F$8/$T75</f>
        <v>13.890126533189273</v>
      </c>
      <c r="E88" s="9">
        <f>S75*$F$8/$T75</f>
        <v>16.578718485670567</v>
      </c>
      <c r="F88">
        <f>SUM(C88:E88)</f>
        <v>38</v>
      </c>
      <c r="H88" t="str">
        <f t="shared" si="37"/>
        <v>Negative</v>
      </c>
      <c r="I88" t="str">
        <f t="shared" si="37"/>
        <v>Male</v>
      </c>
      <c r="J88" s="8">
        <f>C88*$C$13/C93</f>
        <v>7.5311120165584802</v>
      </c>
      <c r="K88">
        <f>D88*$D$13/D93</f>
        <v>13.890454231996364</v>
      </c>
      <c r="L88" s="9">
        <f>E88*$E$13/E93</f>
        <v>16.578509777935764</v>
      </c>
      <c r="M88">
        <f>SUM(J88:L88)</f>
        <v>38.000076026490603</v>
      </c>
      <c r="O88" t="str">
        <f t="shared" si="38"/>
        <v>Negative</v>
      </c>
      <c r="P88" t="str">
        <f t="shared" si="38"/>
        <v>Male</v>
      </c>
      <c r="Q88" s="8">
        <f>J88*$C$15/J95</f>
        <v>7.531099710009963</v>
      </c>
      <c r="R88">
        <f>K88*$D$15/K95</f>
        <v>13.89055600404726</v>
      </c>
      <c r="S88" s="9">
        <f>L88*$E$15/L95</f>
        <v>16.578461126714704</v>
      </c>
      <c r="T88">
        <f>SUM(Q88:S88)</f>
        <v>38.000116840771923</v>
      </c>
    </row>
    <row r="89" spans="1:20" x14ac:dyDescent="0.35">
      <c r="A89" t="str">
        <f t="shared" si="36"/>
        <v>Negative</v>
      </c>
      <c r="B89" t="str">
        <f t="shared" si="36"/>
        <v>Female</v>
      </c>
      <c r="C89" s="10">
        <f>Q76*$F$9/$T76</f>
        <v>17.468987642490941</v>
      </c>
      <c r="D89" s="11">
        <f>R76*$F$9/$T76</f>
        <v>31.108811842325824</v>
      </c>
      <c r="E89" s="12">
        <f>S76*$F$9/$T76</f>
        <v>56.422200515183235</v>
      </c>
      <c r="F89">
        <f>SUM(C89:E89)</f>
        <v>105</v>
      </c>
      <c r="H89" t="str">
        <f t="shared" si="37"/>
        <v>Negative</v>
      </c>
      <c r="I89" t="str">
        <f t="shared" si="37"/>
        <v>Female</v>
      </c>
      <c r="J89" s="10">
        <f>C89*$C$13/C93</f>
        <v>17.468887983441519</v>
      </c>
      <c r="K89" s="11">
        <f>D89*$D$13/D93</f>
        <v>31.109545768003638</v>
      </c>
      <c r="L89" s="12">
        <f>E89*$E$13/E93</f>
        <v>56.421490222064243</v>
      </c>
      <c r="M89">
        <f>SUM(J89:L89)</f>
        <v>104.9999239735094</v>
      </c>
      <c r="O89" t="str">
        <f t="shared" si="38"/>
        <v>Negative</v>
      </c>
      <c r="P89" t="str">
        <f t="shared" si="38"/>
        <v>Female</v>
      </c>
      <c r="Q89" s="10">
        <f>J89*$C$16/J96</f>
        <v>17.468928423503385</v>
      </c>
      <c r="R89" s="11">
        <f>K89*$D$16/K96</f>
        <v>31.109277851927786</v>
      </c>
      <c r="S89" s="12">
        <f>L89*$E$16/L96</f>
        <v>56.421641187672435</v>
      </c>
      <c r="T89">
        <f>SUM(Q89:S89)</f>
        <v>104.99984746310361</v>
      </c>
    </row>
    <row r="90" spans="1:20" x14ac:dyDescent="0.35">
      <c r="C90">
        <f>SUM(C86:C89)</f>
        <v>116.00000046978219</v>
      </c>
      <c r="D90">
        <f>SUM(D86:D89)</f>
        <v>124.00000879925372</v>
      </c>
      <c r="E90">
        <f>SUM(E86:E89)</f>
        <v>259.9999907309641</v>
      </c>
      <c r="F90">
        <f>SUM(F86:F89)</f>
        <v>500</v>
      </c>
      <c r="J90">
        <f>SUM(J86:J89)</f>
        <v>116</v>
      </c>
      <c r="K90">
        <f>SUM(K86:K89)</f>
        <v>124</v>
      </c>
      <c r="L90">
        <f>SUM(L86:L89)</f>
        <v>260</v>
      </c>
      <c r="M90">
        <f>SUM(M86:M89)</f>
        <v>500</v>
      </c>
      <c r="Q90">
        <f>SUM(Q86:Q89)</f>
        <v>116</v>
      </c>
      <c r="R90">
        <f>SUM(R86:R89)</f>
        <v>124</v>
      </c>
      <c r="S90">
        <f>SUM(S86:S89)</f>
        <v>260</v>
      </c>
      <c r="T90">
        <f>SUM(T86:T89)</f>
        <v>500</v>
      </c>
    </row>
    <row r="92" spans="1:20" x14ac:dyDescent="0.35">
      <c r="A92" t="str">
        <f>A79</f>
        <v>Positive</v>
      </c>
      <c r="C92" s="5">
        <f>SUM(C86:C87)</f>
        <v>90.999857846151087</v>
      </c>
      <c r="D92" s="6">
        <f>SUM(D86:D87)</f>
        <v>79.001070423738625</v>
      </c>
      <c r="E92" s="7">
        <f>SUM(E86:E87)</f>
        <v>186.9990717301103</v>
      </c>
      <c r="H92" t="str">
        <f>A92</f>
        <v>Positive</v>
      </c>
      <c r="J92" s="5">
        <f>SUM(J86:J87)</f>
        <v>91</v>
      </c>
      <c r="K92" s="6">
        <f>SUM(K86:K87)</f>
        <v>79</v>
      </c>
      <c r="L92" s="7">
        <f>SUM(L86:L87)</f>
        <v>187</v>
      </c>
      <c r="O92" t="str">
        <f>H92</f>
        <v>Positive</v>
      </c>
      <c r="Q92" s="5">
        <f>SUM(Q86:Q87)</f>
        <v>90.999971866486646</v>
      </c>
      <c r="R92" s="6">
        <f>SUM(R86:R87)</f>
        <v>79.000166144024959</v>
      </c>
      <c r="S92" s="7">
        <f>SUM(S86:S87)</f>
        <v>186.99989768561286</v>
      </c>
    </row>
    <row r="93" spans="1:20" x14ac:dyDescent="0.35">
      <c r="A93" t="str">
        <f>A80</f>
        <v>Negative</v>
      </c>
      <c r="C93" s="10">
        <f>SUM(C88:C89)</f>
        <v>25.000142623631103</v>
      </c>
      <c r="D93" s="11">
        <f>SUM(D88:D89)</f>
        <v>44.998938375515095</v>
      </c>
      <c r="E93" s="11">
        <f>SUM(E88:E89)</f>
        <v>73.000919000853798</v>
      </c>
      <c r="H93" t="str">
        <f>A93</f>
        <v>Negative</v>
      </c>
      <c r="J93" s="10">
        <f>SUM(J88:J89)</f>
        <v>25</v>
      </c>
      <c r="K93" s="11">
        <f>SUM(K88:K89)</f>
        <v>45</v>
      </c>
      <c r="L93" s="11">
        <f>SUM(L88:L89)</f>
        <v>73</v>
      </c>
      <c r="O93" t="str">
        <f>H93</f>
        <v>Negative</v>
      </c>
      <c r="Q93" s="10">
        <f>SUM(Q88:Q89)</f>
        <v>25.000028133513347</v>
      </c>
      <c r="R93" s="11">
        <f>SUM(R88:R89)</f>
        <v>44.999833855975048</v>
      </c>
      <c r="S93" s="11">
        <f>SUM(S88:S89)</f>
        <v>73.000102314387135</v>
      </c>
    </row>
    <row r="95" spans="1:20" x14ac:dyDescent="0.35">
      <c r="B95" t="str">
        <f>B82</f>
        <v>Male</v>
      </c>
      <c r="C95" s="5">
        <f t="shared" ref="C95:E96" si="39">C86+C88</f>
        <v>68.00005962273724</v>
      </c>
      <c r="D95" s="6">
        <f t="shared" si="39"/>
        <v>66.999901021780929</v>
      </c>
      <c r="E95" s="7">
        <f t="shared" si="39"/>
        <v>124.0000393554818</v>
      </c>
      <c r="I95" t="str">
        <f>B95</f>
        <v>Male</v>
      </c>
      <c r="J95" s="5">
        <f t="shared" ref="J95:L96" si="40">J86+J88</f>
        <v>68.000111118605702</v>
      </c>
      <c r="K95" s="6">
        <f t="shared" si="40"/>
        <v>66.999509110549056</v>
      </c>
      <c r="L95" s="7">
        <f t="shared" si="40"/>
        <v>124.00036389091636</v>
      </c>
      <c r="P95" t="str">
        <f>I95</f>
        <v>Male</v>
      </c>
      <c r="Q95" s="5">
        <f t="shared" ref="Q95:S96" si="41">Q86+Q88</f>
        <v>68</v>
      </c>
      <c r="R95" s="6">
        <f t="shared" si="41"/>
        <v>67</v>
      </c>
      <c r="S95" s="7">
        <f t="shared" si="41"/>
        <v>123.99999999999999</v>
      </c>
    </row>
    <row r="96" spans="1:20" x14ac:dyDescent="0.35">
      <c r="B96" t="str">
        <f>B83</f>
        <v>Female</v>
      </c>
      <c r="C96" s="10">
        <f t="shared" si="39"/>
        <v>47.99994084704494</v>
      </c>
      <c r="D96" s="11">
        <f t="shared" si="39"/>
        <v>57.000107777472785</v>
      </c>
      <c r="E96" s="12">
        <f t="shared" si="39"/>
        <v>135.99995137548228</v>
      </c>
      <c r="I96" t="str">
        <f>B96</f>
        <v>Female</v>
      </c>
      <c r="J96" s="10">
        <f t="shared" si="40"/>
        <v>47.999888881394298</v>
      </c>
      <c r="K96" s="11">
        <f t="shared" si="40"/>
        <v>57.00049088945093</v>
      </c>
      <c r="L96" s="12">
        <f t="shared" si="40"/>
        <v>135.99963610908364</v>
      </c>
      <c r="P96" t="str">
        <f>I96</f>
        <v>Female</v>
      </c>
      <c r="Q96" s="10">
        <f t="shared" si="41"/>
        <v>48</v>
      </c>
      <c r="R96" s="11">
        <f t="shared" si="41"/>
        <v>57</v>
      </c>
      <c r="S96" s="12">
        <f t="shared" si="41"/>
        <v>136</v>
      </c>
    </row>
    <row r="98" spans="1:20" x14ac:dyDescent="0.35">
      <c r="C98" t="str">
        <f>C85</f>
        <v>Therapy 1</v>
      </c>
      <c r="D98" t="str">
        <f>D85</f>
        <v>Therapy 2</v>
      </c>
      <c r="E98" t="str">
        <f>E85</f>
        <v>Therapy 3</v>
      </c>
      <c r="J98" t="str">
        <f>J85</f>
        <v>Therapy 1</v>
      </c>
      <c r="K98" t="str">
        <f>K85</f>
        <v>Therapy 2</v>
      </c>
      <c r="L98" t="str">
        <f>L85</f>
        <v>Therapy 3</v>
      </c>
      <c r="Q98" t="str">
        <f>Q85</f>
        <v>Therapy 1</v>
      </c>
      <c r="R98" t="str">
        <f>R85</f>
        <v>Therapy 2</v>
      </c>
      <c r="S98" t="str">
        <f>S85</f>
        <v>Therapy 3</v>
      </c>
    </row>
    <row r="99" spans="1:20" x14ac:dyDescent="0.35">
      <c r="A99" t="str">
        <f t="shared" ref="A99:B102" si="42">A86</f>
        <v>Positive</v>
      </c>
      <c r="B99" t="str">
        <f t="shared" si="42"/>
        <v>Male</v>
      </c>
      <c r="C99" s="5">
        <f>Q86*$F$6/$T86</f>
        <v>60.468932259386968</v>
      </c>
      <c r="D99" s="6">
        <f>R86*$F$6/$T86</f>
        <v>53.109472074467284</v>
      </c>
      <c r="E99" s="7">
        <f>S86*$F$6/$T86</f>
        <v>107.42159566614572</v>
      </c>
      <c r="F99">
        <f>SUM(C99:E99)</f>
        <v>220.99999999999997</v>
      </c>
      <c r="H99" t="str">
        <f t="shared" ref="H99:I102" si="43">A99</f>
        <v>Positive</v>
      </c>
      <c r="I99" t="str">
        <f t="shared" si="43"/>
        <v>Male</v>
      </c>
      <c r="J99" s="5">
        <f>C99*$C$12/C105</f>
        <v>60.468952465034235</v>
      </c>
      <c r="K99" s="6">
        <f>D99*$D$12/D105</f>
        <v>53.109361026375204</v>
      </c>
      <c r="L99" s="7">
        <f>E99*$E$12/E105</f>
        <v>107.42167308793387</v>
      </c>
      <c r="M99">
        <f>SUM(J99:L99)</f>
        <v>220.9999865793433</v>
      </c>
      <c r="O99" t="str">
        <f t="shared" ref="O99:P102" si="44">H99</f>
        <v>Positive</v>
      </c>
      <c r="P99" t="str">
        <f t="shared" si="44"/>
        <v>Male</v>
      </c>
      <c r="Q99" s="5">
        <f>J99*$C$15/J108</f>
        <v>60.468934791572515</v>
      </c>
      <c r="R99" s="6">
        <f>K99*$D$15/K108</f>
        <v>53.10942060480339</v>
      </c>
      <c r="S99" s="7">
        <f>L99*$E$15/L108</f>
        <v>107.42162720309202</v>
      </c>
      <c r="T99">
        <f>SUM(Q99:S99)</f>
        <v>220.99998259946793</v>
      </c>
    </row>
    <row r="100" spans="1:20" x14ac:dyDescent="0.35">
      <c r="A100" t="str">
        <f t="shared" si="42"/>
        <v>Positive</v>
      </c>
      <c r="B100" t="str">
        <f t="shared" si="42"/>
        <v>Female</v>
      </c>
      <c r="C100" s="8">
        <f>Q87*$F$7/$T87</f>
        <v>30.531037333043098</v>
      </c>
      <c r="D100">
        <f>R87*$F$7/$T87</f>
        <v>25.890693109204772</v>
      </c>
      <c r="E100" s="9">
        <f>S87*$F$7/$T87</f>
        <v>79.578269557752151</v>
      </c>
      <c r="F100">
        <f>SUM(C100:E100)</f>
        <v>136.00000000000003</v>
      </c>
      <c r="H100" t="str">
        <f t="shared" si="43"/>
        <v>Positive</v>
      </c>
      <c r="I100" t="str">
        <f t="shared" si="43"/>
        <v>Female</v>
      </c>
      <c r="J100" s="8">
        <f>C100*$C$12/C105</f>
        <v>30.531047534965772</v>
      </c>
      <c r="K100">
        <f>D100*$D$12/D105</f>
        <v>25.890638973624803</v>
      </c>
      <c r="L100" s="9">
        <f>E100*$E$12/E105</f>
        <v>79.578326912066146</v>
      </c>
      <c r="M100">
        <f>SUM(J100:L100)</f>
        <v>136.00001342065673</v>
      </c>
      <c r="O100" t="str">
        <f t="shared" si="44"/>
        <v>Positive</v>
      </c>
      <c r="P100" t="str">
        <f t="shared" si="44"/>
        <v>Female</v>
      </c>
      <c r="Q100" s="8">
        <f>J100*$C$16/J109</f>
        <v>30.531060176473233</v>
      </c>
      <c r="R100">
        <f>K100*$D$16/K109</f>
        <v>25.89060483393104</v>
      </c>
      <c r="S100" s="9">
        <f>L100*$E$16/L109</f>
        <v>79.578357904469996</v>
      </c>
      <c r="T100">
        <f>SUM(Q100:S100)</f>
        <v>136.00002291487425</v>
      </c>
    </row>
    <row r="101" spans="1:20" x14ac:dyDescent="0.35">
      <c r="A101" t="str">
        <f t="shared" si="42"/>
        <v>Negative</v>
      </c>
      <c r="B101" t="str">
        <f t="shared" si="42"/>
        <v>Male</v>
      </c>
      <c r="C101" s="8">
        <f>Q88*$F$8/$T88</f>
        <v>7.5310765537784379</v>
      </c>
      <c r="D101">
        <f>R88*$F$8/$T88</f>
        <v>13.890513294092111</v>
      </c>
      <c r="E101" s="9">
        <f>S88*$F$8/$T88</f>
        <v>16.578410152129457</v>
      </c>
      <c r="F101">
        <f>SUM(C101:E101)</f>
        <v>38.000000000000007</v>
      </c>
      <c r="H101" t="str">
        <f t="shared" si="43"/>
        <v>Negative</v>
      </c>
      <c r="I101" t="str">
        <f t="shared" si="43"/>
        <v>Male</v>
      </c>
      <c r="J101" s="8">
        <f>C101*$C$13/C106</f>
        <v>7.5310674095575729</v>
      </c>
      <c r="K101">
        <f>D101*$D$13/D106</f>
        <v>13.890563812671367</v>
      </c>
      <c r="L101" s="9">
        <f>E101*$E$13/E106</f>
        <v>16.578379878312678</v>
      </c>
      <c r="M101">
        <f>SUM(J101:L101)</f>
        <v>38.000011100541613</v>
      </c>
      <c r="O101" t="str">
        <f t="shared" si="44"/>
        <v>Negative</v>
      </c>
      <c r="P101" t="str">
        <f t="shared" si="44"/>
        <v>Male</v>
      </c>
      <c r="Q101" s="8">
        <f>J101*$C$15/J108</f>
        <v>7.5310652084274707</v>
      </c>
      <c r="R101">
        <f>K101*$D$15/K108</f>
        <v>13.890579395196607</v>
      </c>
      <c r="S101" s="9">
        <f>L101*$E$15/L108</f>
        <v>16.578372796907992</v>
      </c>
      <c r="T101">
        <f>SUM(Q101:S101)</f>
        <v>38.000017400532073</v>
      </c>
    </row>
    <row r="102" spans="1:20" x14ac:dyDescent="0.35">
      <c r="A102" t="str">
        <f t="shared" si="42"/>
        <v>Negative</v>
      </c>
      <c r="B102" t="str">
        <f t="shared" si="42"/>
        <v>Female</v>
      </c>
      <c r="C102" s="10">
        <f>Q89*$F$9/$T89</f>
        <v>17.468953801217634</v>
      </c>
      <c r="D102" s="11">
        <f>R89*$F$9/$T89</f>
        <v>31.109323045447656</v>
      </c>
      <c r="E102" s="12">
        <f>S89*$F$9/$T89</f>
        <v>56.42172315333471</v>
      </c>
      <c r="F102">
        <f>SUM(C102:E102)</f>
        <v>105</v>
      </c>
      <c r="H102" t="str">
        <f t="shared" si="43"/>
        <v>Negative</v>
      </c>
      <c r="I102" t="str">
        <f t="shared" si="43"/>
        <v>Female</v>
      </c>
      <c r="J102" s="10">
        <f>C102*$C$13/C106</f>
        <v>17.468932590442428</v>
      </c>
      <c r="K102" s="11">
        <f>D102*$D$13/D106</f>
        <v>31.109436187328633</v>
      </c>
      <c r="L102" s="12">
        <f>E102*$E$13/E106</f>
        <v>56.421620121687319</v>
      </c>
      <c r="M102">
        <f>SUM(J102:L102)</f>
        <v>104.99998889945837</v>
      </c>
      <c r="O102" t="str">
        <f t="shared" si="44"/>
        <v>Negative</v>
      </c>
      <c r="P102" t="str">
        <f t="shared" si="44"/>
        <v>Female</v>
      </c>
      <c r="Q102" s="10">
        <f>J102*$C$16/J109</f>
        <v>17.468939823526764</v>
      </c>
      <c r="R102" s="11">
        <f>K102*$D$16/K109</f>
        <v>31.109395166068957</v>
      </c>
      <c r="S102" s="12">
        <f>L102*$E$16/L109</f>
        <v>56.421642095529997</v>
      </c>
      <c r="T102">
        <f>SUM(Q102:S102)</f>
        <v>104.99997708512572</v>
      </c>
    </row>
    <row r="103" spans="1:20" x14ac:dyDescent="0.35">
      <c r="C103">
        <f>SUM(C99:C102)</f>
        <v>115.99999994742613</v>
      </c>
      <c r="D103">
        <f>SUM(D99:D102)</f>
        <v>124.00000152321182</v>
      </c>
      <c r="E103">
        <f>SUM(E99:E102)</f>
        <v>259.99999852936207</v>
      </c>
      <c r="F103">
        <f>SUM(F99:F102)</f>
        <v>500</v>
      </c>
      <c r="J103">
        <f>SUM(J99:J102)</f>
        <v>116</v>
      </c>
      <c r="K103">
        <f>SUM(K99:K102)</f>
        <v>124</v>
      </c>
      <c r="L103">
        <f>SUM(L99:L102)</f>
        <v>260</v>
      </c>
      <c r="M103">
        <f>SUM(M99:M102)</f>
        <v>500</v>
      </c>
      <c r="Q103">
        <f>SUM(Q99:Q102)</f>
        <v>115.99999999999997</v>
      </c>
      <c r="R103">
        <f>SUM(R99:R102)</f>
        <v>124</v>
      </c>
      <c r="S103">
        <f>SUM(S99:S102)</f>
        <v>260</v>
      </c>
      <c r="T103">
        <f>SUM(T99:T102)</f>
        <v>500</v>
      </c>
    </row>
    <row r="105" spans="1:20" x14ac:dyDescent="0.35">
      <c r="A105" t="str">
        <f>A92</f>
        <v>Positive</v>
      </c>
      <c r="C105" s="5">
        <f>SUM(C99:C100)</f>
        <v>90.999969592430062</v>
      </c>
      <c r="D105" s="6">
        <f>SUM(D99:D100)</f>
        <v>79.000165183672053</v>
      </c>
      <c r="E105" s="7">
        <f>SUM(E99:E100)</f>
        <v>186.99986522389787</v>
      </c>
      <c r="H105" t="str">
        <f>A105</f>
        <v>Positive</v>
      </c>
      <c r="J105" s="5">
        <f>SUM(J99:J100)</f>
        <v>91</v>
      </c>
      <c r="K105" s="6">
        <f>SUM(K99:K100)</f>
        <v>79</v>
      </c>
      <c r="L105" s="7">
        <f>SUM(L99:L100)</f>
        <v>187</v>
      </c>
      <c r="O105" t="str">
        <f>H105</f>
        <v>Positive</v>
      </c>
      <c r="Q105" s="5">
        <f>SUM(Q99:Q100)</f>
        <v>90.999994968045741</v>
      </c>
      <c r="R105" s="6">
        <f>SUM(R99:R100)</f>
        <v>79.000025438734426</v>
      </c>
      <c r="S105" s="7">
        <f>SUM(S99:S100)</f>
        <v>186.999985107562</v>
      </c>
    </row>
    <row r="106" spans="1:20" x14ac:dyDescent="0.35">
      <c r="A106" t="str">
        <f>A93</f>
        <v>Negative</v>
      </c>
      <c r="C106" s="10">
        <f>SUM(C101:C102)</f>
        <v>25.000030354996071</v>
      </c>
      <c r="D106" s="11">
        <f>SUM(D101:D102)</f>
        <v>44.999836339539769</v>
      </c>
      <c r="E106" s="11">
        <f>SUM(E101:E102)</f>
        <v>73.000133305464175</v>
      </c>
      <c r="H106" t="str">
        <f>A106</f>
        <v>Negative</v>
      </c>
      <c r="J106" s="10">
        <f>SUM(J101:J102)</f>
        <v>25</v>
      </c>
      <c r="K106" s="11">
        <f>SUM(K101:K102)</f>
        <v>45</v>
      </c>
      <c r="L106" s="11">
        <f>SUM(L101:L102)</f>
        <v>73</v>
      </c>
      <c r="O106" t="str">
        <f>H106</f>
        <v>Negative</v>
      </c>
      <c r="Q106" s="10">
        <f>SUM(Q101:Q102)</f>
        <v>25.000005031954235</v>
      </c>
      <c r="R106" s="11">
        <f>SUM(R101:R102)</f>
        <v>44.99997456126556</v>
      </c>
      <c r="S106" s="11">
        <f>SUM(S101:S102)</f>
        <v>73.000014892437989</v>
      </c>
    </row>
    <row r="108" spans="1:20" x14ac:dyDescent="0.35">
      <c r="B108" t="str">
        <f>B95</f>
        <v>Male</v>
      </c>
      <c r="C108" s="5">
        <f t="shared" ref="C108:E109" si="45">C99+C101</f>
        <v>68.000008813165408</v>
      </c>
      <c r="D108" s="6">
        <f t="shared" si="45"/>
        <v>66.999985368559393</v>
      </c>
      <c r="E108" s="7">
        <f t="shared" si="45"/>
        <v>124.00000581827518</v>
      </c>
      <c r="I108" t="str">
        <f>B108</f>
        <v>Male</v>
      </c>
      <c r="J108" s="5">
        <f t="shared" ref="J108:L109" si="46">J99+J101</f>
        <v>68.000019874591814</v>
      </c>
      <c r="K108" s="6">
        <f t="shared" si="46"/>
        <v>66.999924839046571</v>
      </c>
      <c r="L108" s="7">
        <f t="shared" si="46"/>
        <v>124.00005296624654</v>
      </c>
      <c r="P108" t="str">
        <f>I108</f>
        <v>Male</v>
      </c>
      <c r="Q108" s="5">
        <f t="shared" ref="Q108:S109" si="47">Q99+Q101</f>
        <v>67.999999999999986</v>
      </c>
      <c r="R108" s="6">
        <f t="shared" si="47"/>
        <v>67</v>
      </c>
      <c r="S108" s="7">
        <f t="shared" si="47"/>
        <v>124</v>
      </c>
    </row>
    <row r="109" spans="1:20" x14ac:dyDescent="0.35">
      <c r="B109" t="str">
        <f>B96</f>
        <v>Female</v>
      </c>
      <c r="C109" s="10">
        <f t="shared" si="45"/>
        <v>47.999991134260732</v>
      </c>
      <c r="D109" s="11">
        <f t="shared" si="45"/>
        <v>57.000016154652428</v>
      </c>
      <c r="E109" s="12">
        <f t="shared" si="45"/>
        <v>135.99999271108686</v>
      </c>
      <c r="I109" t="str">
        <f>B109</f>
        <v>Female</v>
      </c>
      <c r="J109" s="10">
        <f t="shared" si="46"/>
        <v>47.9999801254082</v>
      </c>
      <c r="K109" s="11">
        <f t="shared" si="46"/>
        <v>57.000075160953436</v>
      </c>
      <c r="L109" s="12">
        <f t="shared" si="46"/>
        <v>135.99994703375347</v>
      </c>
      <c r="P109" t="str">
        <f>I109</f>
        <v>Female</v>
      </c>
      <c r="Q109" s="10">
        <f t="shared" si="47"/>
        <v>48</v>
      </c>
      <c r="R109" s="11">
        <f t="shared" si="47"/>
        <v>57</v>
      </c>
      <c r="S109" s="12">
        <f t="shared" si="47"/>
        <v>136</v>
      </c>
    </row>
    <row r="111" spans="1:20" x14ac:dyDescent="0.35">
      <c r="C111" t="str">
        <f>C98</f>
        <v>Therapy 1</v>
      </c>
      <c r="D111" t="str">
        <f>D98</f>
        <v>Therapy 2</v>
      </c>
      <c r="E111" t="str">
        <f>E98</f>
        <v>Therapy 3</v>
      </c>
      <c r="J111" t="str">
        <f>J98</f>
        <v>Therapy 1</v>
      </c>
      <c r="K111" t="str">
        <f>K98</f>
        <v>Therapy 2</v>
      </c>
      <c r="L111" t="str">
        <f>L98</f>
        <v>Therapy 3</v>
      </c>
      <c r="Q111" t="str">
        <f>Q98</f>
        <v>Therapy 1</v>
      </c>
      <c r="R111" t="str">
        <f>R98</f>
        <v>Therapy 2</v>
      </c>
      <c r="S111" t="str">
        <f>S98</f>
        <v>Therapy 3</v>
      </c>
    </row>
    <row r="112" spans="1:20" x14ac:dyDescent="0.35">
      <c r="A112" t="str">
        <f t="shared" ref="A112:B115" si="48">A99</f>
        <v>Positive</v>
      </c>
      <c r="B112" t="str">
        <f t="shared" si="48"/>
        <v>Male</v>
      </c>
      <c r="C112" s="5">
        <f>Q99*$F$6/$T99</f>
        <v>60.46893955262103</v>
      </c>
      <c r="D112" s="6">
        <f>R99*$F$6/$T99</f>
        <v>53.109424786397277</v>
      </c>
      <c r="E112" s="7">
        <f>S99*$F$6/$T99</f>
        <v>107.42163566098168</v>
      </c>
      <c r="F112">
        <f>SUM(C112:E112)</f>
        <v>221</v>
      </c>
      <c r="H112" t="str">
        <f t="shared" ref="H112:I115" si="49">A112</f>
        <v>Positive</v>
      </c>
      <c r="I112" t="str">
        <f t="shared" si="49"/>
        <v>Male</v>
      </c>
      <c r="J112" s="5">
        <f>C112*$C$12/C118</f>
        <v>60.468943150945627</v>
      </c>
      <c r="K112" s="6">
        <f>D112*$D$12/D118</f>
        <v>53.109407806192571</v>
      </c>
      <c r="L112" s="7">
        <f>E112*$E$12/E118</f>
        <v>107.42164705964812</v>
      </c>
      <c r="M112">
        <f>SUM(J112:L112)</f>
        <v>220.99999801678632</v>
      </c>
      <c r="O112" t="str">
        <f t="shared" ref="O112:P115" si="50">H112</f>
        <v>Positive</v>
      </c>
      <c r="P112" t="str">
        <f t="shared" si="50"/>
        <v>Male</v>
      </c>
      <c r="Q112" s="5">
        <f>J112*$C$15/J121</f>
        <v>60.468940229410684</v>
      </c>
      <c r="R112" s="6">
        <f>K112*$D$15/K121</f>
        <v>53.109416873721386</v>
      </c>
      <c r="S112" s="7">
        <f>L112*$E$15/L121</f>
        <v>107.42164029317338</v>
      </c>
      <c r="T112">
        <f>SUM(Q112:S112)</f>
        <v>220.99999739630545</v>
      </c>
    </row>
    <row r="113" spans="1:20" x14ac:dyDescent="0.35">
      <c r="A113" t="str">
        <f t="shared" si="48"/>
        <v>Positive</v>
      </c>
      <c r="B113" t="str">
        <f t="shared" si="48"/>
        <v>Female</v>
      </c>
      <c r="C113" s="8">
        <f>Q100*$F$7/$T100</f>
        <v>30.531055032243184</v>
      </c>
      <c r="D113">
        <f>R100*$F$7/$T100</f>
        <v>25.89060047157917</v>
      </c>
      <c r="E113" s="9">
        <f>S100*$F$7/$T100</f>
        <v>79.578344496177664</v>
      </c>
      <c r="F113">
        <f>SUM(C113:E113)</f>
        <v>136</v>
      </c>
      <c r="H113" t="str">
        <f t="shared" si="49"/>
        <v>Positive</v>
      </c>
      <c r="I113" t="str">
        <f t="shared" si="49"/>
        <v>Female</v>
      </c>
      <c r="J113" s="8">
        <f>C113*$C$12/C118</f>
        <v>30.53105684905438</v>
      </c>
      <c r="K113">
        <f>D113*$D$12/D118</f>
        <v>25.890592193807425</v>
      </c>
      <c r="L113" s="9">
        <f>E113*$E$12/E118</f>
        <v>79.578352940351877</v>
      </c>
      <c r="M113">
        <f>SUM(J113:L113)</f>
        <v>136.00000198321368</v>
      </c>
      <c r="O113" t="str">
        <f t="shared" si="50"/>
        <v>Positive</v>
      </c>
      <c r="P113" t="str">
        <f t="shared" si="50"/>
        <v>Female</v>
      </c>
      <c r="Q113" s="8">
        <f>J113*$C$16/J122</f>
        <v>30.531058938775196</v>
      </c>
      <c r="R113">
        <f>K113*$D$16/K122</f>
        <v>25.890586997925716</v>
      </c>
      <c r="S113" s="9">
        <f>L113*$E$16/L122</f>
        <v>79.578357510691063</v>
      </c>
      <c r="T113">
        <f>SUM(Q113:S113)</f>
        <v>136.00000344739198</v>
      </c>
    </row>
    <row r="114" spans="1:20" x14ac:dyDescent="0.35">
      <c r="A114" t="str">
        <f t="shared" si="48"/>
        <v>Negative</v>
      </c>
      <c r="B114" t="str">
        <f t="shared" si="48"/>
        <v>Male</v>
      </c>
      <c r="C114" s="8">
        <f>Q101*$F$8/$T101</f>
        <v>7.5310617598884795</v>
      </c>
      <c r="D114">
        <f>R101*$F$8/$T101</f>
        <v>13.890573034581829</v>
      </c>
      <c r="E114" s="9">
        <f>S101*$F$8/$T101</f>
        <v>16.578365205529689</v>
      </c>
      <c r="F114">
        <f>SUM(C114:E114)</f>
        <v>38</v>
      </c>
      <c r="H114" t="str">
        <f t="shared" si="49"/>
        <v>Negative</v>
      </c>
      <c r="I114" t="str">
        <f t="shared" si="49"/>
        <v>Male</v>
      </c>
      <c r="J114" s="8">
        <f>C114*$C$13/C119</f>
        <v>7.531060134449735</v>
      </c>
      <c r="K114">
        <f>D114*$D$13/D119</f>
        <v>13.890580754698011</v>
      </c>
      <c r="L114" s="9">
        <f>E114*$E$13/E119</f>
        <v>16.578360751095271</v>
      </c>
      <c r="M114">
        <f>SUM(J114:L114)</f>
        <v>38.000001640243013</v>
      </c>
      <c r="O114" t="str">
        <f t="shared" si="50"/>
        <v>Negative</v>
      </c>
      <c r="P114" t="str">
        <f t="shared" si="50"/>
        <v>Male</v>
      </c>
      <c r="Q114" s="8">
        <f>J114*$C$15/J121</f>
        <v>7.5310597705893114</v>
      </c>
      <c r="R114">
        <f>K114*$D$15/K121</f>
        <v>13.890583126278612</v>
      </c>
      <c r="S114" s="9">
        <f>L114*$E$15/L121</f>
        <v>16.578359706826614</v>
      </c>
      <c r="T114">
        <f>SUM(Q114:S114)</f>
        <v>38.00000260369454</v>
      </c>
    </row>
    <row r="115" spans="1:20" x14ac:dyDescent="0.35">
      <c r="A115" t="str">
        <f t="shared" si="48"/>
        <v>Negative</v>
      </c>
      <c r="B115" t="str">
        <f t="shared" si="48"/>
        <v>Female</v>
      </c>
      <c r="C115" s="10">
        <f>Q102*$F$9/$T102</f>
        <v>17.468943635894831</v>
      </c>
      <c r="D115" s="11">
        <f>R102*$F$9/$T102</f>
        <v>31.109401955288334</v>
      </c>
      <c r="E115" s="12">
        <f>S102*$F$9/$T102</f>
        <v>56.421654408816828</v>
      </c>
      <c r="F115">
        <f>SUM(C115:E115)</f>
        <v>105</v>
      </c>
      <c r="H115" t="str">
        <f t="shared" si="49"/>
        <v>Negative</v>
      </c>
      <c r="I115" t="str">
        <f t="shared" si="49"/>
        <v>Female</v>
      </c>
      <c r="J115" s="10">
        <f>C115*$C$13/C119</f>
        <v>17.468939865550265</v>
      </c>
      <c r="K115" s="11">
        <f>D115*$D$13/D119</f>
        <v>31.109419245301993</v>
      </c>
      <c r="L115" s="12">
        <f>E115*$E$13/E119</f>
        <v>56.421639248904739</v>
      </c>
      <c r="M115">
        <f>SUM(J115:L115)</f>
        <v>104.999998359757</v>
      </c>
      <c r="O115" t="str">
        <f t="shared" si="50"/>
        <v>Negative</v>
      </c>
      <c r="P115" t="str">
        <f t="shared" si="50"/>
        <v>Female</v>
      </c>
      <c r="Q115" s="10">
        <f>J115*$C$16/J122</f>
        <v>17.4689410612248</v>
      </c>
      <c r="R115" s="11">
        <f>K115*$D$16/K122</f>
        <v>31.109413002074291</v>
      </c>
      <c r="S115" s="12">
        <f>L115*$E$16/L122</f>
        <v>56.421642489308944</v>
      </c>
      <c r="T115">
        <f>SUM(Q115:S115)</f>
        <v>104.99999655260802</v>
      </c>
    </row>
    <row r="116" spans="1:20" x14ac:dyDescent="0.35">
      <c r="C116">
        <f>SUM(C112:C115)</f>
        <v>115.99999998064752</v>
      </c>
      <c r="D116">
        <f>SUM(D112:D115)</f>
        <v>124.00000024784661</v>
      </c>
      <c r="E116">
        <f>SUM(E112:E115)</f>
        <v>259.99999977150583</v>
      </c>
      <c r="F116">
        <f>SUM(F112:F115)</f>
        <v>500</v>
      </c>
      <c r="J116">
        <f>SUM(J112:J115)</f>
        <v>116</v>
      </c>
      <c r="K116">
        <f>SUM(K112:K115)</f>
        <v>124</v>
      </c>
      <c r="L116">
        <f>SUM(L112:L115)</f>
        <v>260</v>
      </c>
      <c r="M116">
        <f>SUM(M112:M115)</f>
        <v>500</v>
      </c>
      <c r="Q116">
        <f>SUM(Q112:Q115)</f>
        <v>115.99999999999999</v>
      </c>
      <c r="R116">
        <f>SUM(R112:R115)</f>
        <v>124</v>
      </c>
      <c r="S116">
        <f>SUM(S112:S115)</f>
        <v>260</v>
      </c>
      <c r="T116">
        <f>SUM(T112:T115)</f>
        <v>500</v>
      </c>
    </row>
    <row r="118" spans="1:20" x14ac:dyDescent="0.35">
      <c r="A118" t="str">
        <f>A105</f>
        <v>Positive</v>
      </c>
      <c r="C118" s="5">
        <f>SUM(C112:C113)</f>
        <v>90.999994584864211</v>
      </c>
      <c r="D118" s="6">
        <f>SUM(D112:D113)</f>
        <v>79.000025257976446</v>
      </c>
      <c r="E118" s="7">
        <f>SUM(E112:E113)</f>
        <v>186.99998015715934</v>
      </c>
      <c r="H118" t="str">
        <f>A118</f>
        <v>Positive</v>
      </c>
      <c r="J118" s="5">
        <f>SUM(J112:J113)</f>
        <v>91</v>
      </c>
      <c r="K118" s="6">
        <f>SUM(K112:K113)</f>
        <v>79</v>
      </c>
      <c r="L118" s="7">
        <f>SUM(L112:L113)</f>
        <v>187</v>
      </c>
      <c r="O118" t="str">
        <f>H118</f>
        <v>Positive</v>
      </c>
      <c r="Q118" s="5">
        <f>SUM(Q112:Q113)</f>
        <v>90.99999916818588</v>
      </c>
      <c r="R118" s="6">
        <f>SUM(R112:R113)</f>
        <v>79.000003871647095</v>
      </c>
      <c r="S118" s="7">
        <f>SUM(S112:S113)</f>
        <v>186.99999780386446</v>
      </c>
    </row>
    <row r="119" spans="1:20" x14ac:dyDescent="0.35">
      <c r="A119" t="str">
        <f>A106</f>
        <v>Negative</v>
      </c>
      <c r="C119" s="10">
        <f>SUM(C114:C115)</f>
        <v>25.000005395783312</v>
      </c>
      <c r="D119" s="11">
        <f>SUM(D114:D115)</f>
        <v>44.999974989870161</v>
      </c>
      <c r="E119" s="11">
        <f>SUM(E114:E115)</f>
        <v>73.000019614346513</v>
      </c>
      <c r="H119" t="str">
        <f>A119</f>
        <v>Negative</v>
      </c>
      <c r="J119" s="10">
        <f>SUM(J114:J115)</f>
        <v>25</v>
      </c>
      <c r="K119" s="11">
        <f>SUM(K114:K115)</f>
        <v>45</v>
      </c>
      <c r="L119" s="11">
        <f>SUM(L114:L115)</f>
        <v>73.000000000000014</v>
      </c>
      <c r="O119" t="str">
        <f>H119</f>
        <v>Negative</v>
      </c>
      <c r="Q119" s="10">
        <f>SUM(Q114:Q115)</f>
        <v>25.000000831814113</v>
      </c>
      <c r="R119" s="11">
        <f>SUM(R114:R115)</f>
        <v>44.999996128352905</v>
      </c>
      <c r="S119" s="11">
        <f>SUM(S114:S115)</f>
        <v>73.000002196135554</v>
      </c>
    </row>
    <row r="121" spans="1:20" x14ac:dyDescent="0.35">
      <c r="B121" t="str">
        <f>B108</f>
        <v>Male</v>
      </c>
      <c r="C121" s="5">
        <f t="shared" ref="C121:E122" si="51">C112+C114</f>
        <v>68.000001312509511</v>
      </c>
      <c r="D121" s="6">
        <f t="shared" si="51"/>
        <v>66.999997820979104</v>
      </c>
      <c r="E121" s="7">
        <f t="shared" si="51"/>
        <v>124.00000086651137</v>
      </c>
      <c r="I121" t="str">
        <f>B121</f>
        <v>Male</v>
      </c>
      <c r="J121" s="5">
        <f t="shared" ref="J121:L122" si="52">J112+J114</f>
        <v>68.000003285395366</v>
      </c>
      <c r="K121" s="6">
        <f t="shared" si="52"/>
        <v>66.999988560890586</v>
      </c>
      <c r="L121" s="7">
        <f t="shared" si="52"/>
        <v>124.0000078107434</v>
      </c>
      <c r="P121" t="str">
        <f>I121</f>
        <v>Male</v>
      </c>
      <c r="Q121" s="5">
        <f t="shared" ref="Q121:S122" si="53">Q112+Q114</f>
        <v>68</v>
      </c>
      <c r="R121" s="6">
        <f t="shared" si="53"/>
        <v>67</v>
      </c>
      <c r="S121" s="7">
        <f t="shared" si="53"/>
        <v>124</v>
      </c>
    </row>
    <row r="122" spans="1:20" x14ac:dyDescent="0.35">
      <c r="B122" t="str">
        <f>B109</f>
        <v>Female</v>
      </c>
      <c r="C122" s="10">
        <f t="shared" si="51"/>
        <v>47.999998668138019</v>
      </c>
      <c r="D122" s="11">
        <f t="shared" si="51"/>
        <v>57.000002426867503</v>
      </c>
      <c r="E122" s="12">
        <f t="shared" si="51"/>
        <v>135.9999989049945</v>
      </c>
      <c r="I122" t="str">
        <f>B122</f>
        <v>Female</v>
      </c>
      <c r="J122" s="10">
        <f t="shared" si="52"/>
        <v>47.999996714604649</v>
      </c>
      <c r="K122" s="11">
        <f t="shared" si="52"/>
        <v>57.000011439109414</v>
      </c>
      <c r="L122" s="12">
        <f t="shared" si="52"/>
        <v>135.9999921892566</v>
      </c>
      <c r="P122" t="str">
        <f>I122</f>
        <v>Female</v>
      </c>
      <c r="Q122" s="10">
        <f t="shared" si="53"/>
        <v>48</v>
      </c>
      <c r="R122" s="11">
        <f t="shared" si="53"/>
        <v>57.000000000000007</v>
      </c>
      <c r="S122" s="12">
        <f t="shared" si="53"/>
        <v>136</v>
      </c>
    </row>
    <row r="124" spans="1:20" x14ac:dyDescent="0.35">
      <c r="C124" t="str">
        <f>C111</f>
        <v>Therapy 1</v>
      </c>
      <c r="D124" t="str">
        <f>D111</f>
        <v>Therapy 2</v>
      </c>
      <c r="E124" t="str">
        <f>E111</f>
        <v>Therapy 3</v>
      </c>
      <c r="J124" t="str">
        <f>J111</f>
        <v>Therapy 1</v>
      </c>
      <c r="K124" t="str">
        <f>K111</f>
        <v>Therapy 2</v>
      </c>
      <c r="L124" t="str">
        <f>L111</f>
        <v>Therapy 3</v>
      </c>
      <c r="Q124" t="str">
        <f>Q111</f>
        <v>Therapy 1</v>
      </c>
      <c r="R124" t="str">
        <f>R111</f>
        <v>Therapy 2</v>
      </c>
      <c r="S124" t="str">
        <f>S111</f>
        <v>Therapy 3</v>
      </c>
    </row>
    <row r="125" spans="1:20" x14ac:dyDescent="0.35">
      <c r="A125" t="str">
        <f t="shared" ref="A125:B128" si="54">A112</f>
        <v>Positive</v>
      </c>
      <c r="B125" t="str">
        <f t="shared" si="54"/>
        <v>Male</v>
      </c>
      <c r="C125" s="5">
        <f>Q112*$F$6/$T112</f>
        <v>60.468940941820875</v>
      </c>
      <c r="D125" s="6">
        <f>R112*$F$6/$T112</f>
        <v>53.109417499425916</v>
      </c>
      <c r="E125" s="7">
        <f>S112*$F$6/$T112</f>
        <v>107.42164155875322</v>
      </c>
      <c r="F125">
        <f>SUM(C125:E125)</f>
        <v>221</v>
      </c>
      <c r="H125" t="str">
        <f t="shared" ref="H125:I128" si="55">A125</f>
        <v>Positive</v>
      </c>
      <c r="I125" t="str">
        <f t="shared" si="55"/>
        <v>Male</v>
      </c>
      <c r="J125" s="5">
        <f>C125*$C$12/C131</f>
        <v>60.468941535426239</v>
      </c>
      <c r="K125" s="6">
        <f>D125*$D$12/D131</f>
        <v>53.109414917189113</v>
      </c>
      <c r="L125" s="7">
        <f>E125*$E$12/E131</f>
        <v>107.42164325207753</v>
      </c>
      <c r="M125">
        <f>SUM(J125:L125)</f>
        <v>220.99999970469287</v>
      </c>
      <c r="O125" t="str">
        <f t="shared" ref="O125:P128" si="56">H125</f>
        <v>Positive</v>
      </c>
      <c r="P125" t="str">
        <f t="shared" si="56"/>
        <v>Male</v>
      </c>
      <c r="Q125" s="5">
        <f>J125*$C$15/J134</f>
        <v>60.46894107115628</v>
      </c>
      <c r="R125" s="6">
        <f>K125*$D$15/K134</f>
        <v>53.109416292237356</v>
      </c>
      <c r="S125" s="7">
        <f>L125*$E$15/L134</f>
        <v>107.42164224585341</v>
      </c>
      <c r="T125">
        <f>SUM(Q125:S125)</f>
        <v>220.99999960924703</v>
      </c>
    </row>
    <row r="126" spans="1:20" x14ac:dyDescent="0.35">
      <c r="A126" t="str">
        <f t="shared" si="54"/>
        <v>Positive</v>
      </c>
      <c r="B126" t="str">
        <f t="shared" si="54"/>
        <v>Female</v>
      </c>
      <c r="C126" s="8">
        <f>Q113*$F$7/$T113</f>
        <v>30.531058164859573</v>
      </c>
      <c r="D126">
        <f>R113*$F$7/$T113</f>
        <v>25.890586341638954</v>
      </c>
      <c r="E126" s="9">
        <f>S113*$F$7/$T113</f>
        <v>79.578355493501476</v>
      </c>
      <c r="F126">
        <f>SUM(C126:E126)</f>
        <v>136</v>
      </c>
      <c r="H126" t="str">
        <f t="shared" si="55"/>
        <v>Positive</v>
      </c>
      <c r="I126" t="str">
        <f t="shared" si="55"/>
        <v>Female</v>
      </c>
      <c r="J126" s="8">
        <f>C126*$C$12/C131</f>
        <v>30.531058464573764</v>
      </c>
      <c r="K126">
        <f>D126*$D$12/D131</f>
        <v>25.890585082810894</v>
      </c>
      <c r="L126" s="9">
        <f>E126*$E$12/E131</f>
        <v>79.578356747922484</v>
      </c>
      <c r="M126">
        <f>SUM(J126:L126)</f>
        <v>136.00000029530713</v>
      </c>
      <c r="O126" t="str">
        <f t="shared" si="56"/>
        <v>Positive</v>
      </c>
      <c r="P126" t="str">
        <f t="shared" si="56"/>
        <v>Female</v>
      </c>
      <c r="Q126" s="8">
        <f>J126*$C$16/J135</f>
        <v>30.531058796657611</v>
      </c>
      <c r="R126">
        <f>K126*$D$16/K135</f>
        <v>25.890584294879854</v>
      </c>
      <c r="S126" s="9">
        <f>L126*$E$16/L135</f>
        <v>79.578357427565209</v>
      </c>
      <c r="T126">
        <f>SUM(Q126:S126)</f>
        <v>136.00000051910268</v>
      </c>
    </row>
    <row r="127" spans="1:20" x14ac:dyDescent="0.35">
      <c r="A127" t="str">
        <f t="shared" si="54"/>
        <v>Negative</v>
      </c>
      <c r="B127" t="str">
        <f t="shared" si="54"/>
        <v>Male</v>
      </c>
      <c r="C127" s="8">
        <f>Q114*$F$8/$T114</f>
        <v>7.5310592545741049</v>
      </c>
      <c r="D127">
        <f>R114*$F$8/$T114</f>
        <v>13.890582174519848</v>
      </c>
      <c r="E127" s="9">
        <f>S114*$F$8/$T114</f>
        <v>16.578358570906044</v>
      </c>
      <c r="F127">
        <f>SUM(C127:E127)</f>
        <v>38</v>
      </c>
      <c r="H127" t="str">
        <f t="shared" si="55"/>
        <v>Negative</v>
      </c>
      <c r="I127" t="str">
        <f t="shared" si="55"/>
        <v>Male</v>
      </c>
      <c r="J127" s="8">
        <f>C127*$C$13/C132</f>
        <v>7.5310589866658635</v>
      </c>
      <c r="K127">
        <f>D127*$D$13/D132</f>
        <v>13.89058334812354</v>
      </c>
      <c r="L127" s="9">
        <f>E127*$E$13/E132</f>
        <v>16.578357909436924</v>
      </c>
      <c r="M127">
        <f>SUM(J127:L127)</f>
        <v>38.000000244226328</v>
      </c>
      <c r="O127" t="str">
        <f t="shared" si="56"/>
        <v>Negative</v>
      </c>
      <c r="P127" t="str">
        <f t="shared" si="56"/>
        <v>Male</v>
      </c>
      <c r="Q127" s="8">
        <f>J127*$C$15/J134</f>
        <v>7.5310589288437102</v>
      </c>
      <c r="R127">
        <f>K127*$D$15/K134</f>
        <v>13.890583707762641</v>
      </c>
      <c r="S127" s="9">
        <f>L127*$E$15/L134</f>
        <v>16.578357754146584</v>
      </c>
      <c r="T127">
        <f>SUM(Q127:S127)</f>
        <v>38.00000039075293</v>
      </c>
    </row>
    <row r="128" spans="1:20" x14ac:dyDescent="0.35">
      <c r="A128" t="str">
        <f t="shared" si="54"/>
        <v>Negative</v>
      </c>
      <c r="B128" t="str">
        <f t="shared" si="54"/>
        <v>Female</v>
      </c>
      <c r="C128" s="10">
        <f>Q115*$F$9/$T115</f>
        <v>17.468941634770413</v>
      </c>
      <c r="D128" s="11">
        <f>R115*$F$9/$T115</f>
        <v>31.109414023468045</v>
      </c>
      <c r="E128" s="12">
        <f>S115*$F$9/$T115</f>
        <v>56.421644341761549</v>
      </c>
      <c r="F128">
        <f>SUM(C128:E128)</f>
        <v>105</v>
      </c>
      <c r="H128" t="str">
        <f t="shared" si="55"/>
        <v>Negative</v>
      </c>
      <c r="I128" t="str">
        <f t="shared" si="55"/>
        <v>Female</v>
      </c>
      <c r="J128" s="10">
        <f>C128*$C$13/C132</f>
        <v>17.468941013334135</v>
      </c>
      <c r="K128" s="11">
        <f>D128*$D$13/D132</f>
        <v>31.109416651876465</v>
      </c>
      <c r="L128" s="12">
        <f>E128*$E$13/E132</f>
        <v>56.421642090563076</v>
      </c>
      <c r="M128">
        <f>SUM(J128:L128)</f>
        <v>104.99999975577367</v>
      </c>
      <c r="O128" t="str">
        <f t="shared" si="56"/>
        <v>Negative</v>
      </c>
      <c r="P128" t="str">
        <f t="shared" si="56"/>
        <v>Female</v>
      </c>
      <c r="Q128" s="10">
        <f>J128*$C$16/J135</f>
        <v>17.468941203342389</v>
      </c>
      <c r="R128" s="11">
        <f>K128*$D$16/K135</f>
        <v>31.109415705120146</v>
      </c>
      <c r="S128" s="12">
        <f>L128*$E$16/L135</f>
        <v>56.421642572434784</v>
      </c>
      <c r="T128">
        <f>SUM(Q128:S128)</f>
        <v>104.99999948089732</v>
      </c>
    </row>
    <row r="129" spans="1:20" x14ac:dyDescent="0.35">
      <c r="C129">
        <f>SUM(C125:C128)</f>
        <v>115.99999999602497</v>
      </c>
      <c r="D129">
        <f>SUM(D125:D128)</f>
        <v>124.00000003905276</v>
      </c>
      <c r="E129">
        <f>SUM(E125:E128)</f>
        <v>259.99999996492227</v>
      </c>
      <c r="F129">
        <f>SUM(F125:F128)</f>
        <v>500</v>
      </c>
      <c r="J129">
        <f>SUM(J125:J128)</f>
        <v>116</v>
      </c>
      <c r="K129">
        <f>SUM(K125:K128)</f>
        <v>124</v>
      </c>
      <c r="L129">
        <f>SUM(L125:L128)</f>
        <v>260</v>
      </c>
      <c r="M129">
        <f>SUM(M125:M128)</f>
        <v>500</v>
      </c>
      <c r="Q129">
        <f>SUM(Q125:Q128)</f>
        <v>116</v>
      </c>
      <c r="R129">
        <f>SUM(R125:R128)</f>
        <v>124</v>
      </c>
      <c r="S129">
        <f>SUM(S125:S128)</f>
        <v>260</v>
      </c>
      <c r="T129">
        <f>SUM(T125:T128)</f>
        <v>499.99999999999994</v>
      </c>
    </row>
    <row r="131" spans="1:20" x14ac:dyDescent="0.35">
      <c r="A131" t="str">
        <f>A118</f>
        <v>Positive</v>
      </c>
      <c r="C131" s="5">
        <f>SUM(C125:C126)</f>
        <v>90.999999106680448</v>
      </c>
      <c r="D131" s="6">
        <f>SUM(D125:D126)</f>
        <v>79.000003841064867</v>
      </c>
      <c r="E131" s="7">
        <f>SUM(E125:E126)</f>
        <v>186.99999705225468</v>
      </c>
      <c r="H131" t="str">
        <f>A131</f>
        <v>Positive</v>
      </c>
      <c r="J131" s="5">
        <f>SUM(J125:J126)</f>
        <v>91</v>
      </c>
      <c r="K131" s="6">
        <f>SUM(K125:K126)</f>
        <v>79</v>
      </c>
      <c r="L131" s="7">
        <f>SUM(L125:L126)</f>
        <v>187</v>
      </c>
      <c r="O131" t="str">
        <f>H131</f>
        <v>Positive</v>
      </c>
      <c r="Q131" s="5">
        <f>SUM(Q125:Q126)</f>
        <v>90.999999867813898</v>
      </c>
      <c r="R131" s="6">
        <f>SUM(R125:R126)</f>
        <v>79.000000587117214</v>
      </c>
      <c r="S131" s="7">
        <f>SUM(S125:S126)</f>
        <v>186.99999967341861</v>
      </c>
    </row>
    <row r="132" spans="1:20" x14ac:dyDescent="0.35">
      <c r="A132" t="str">
        <f>A119</f>
        <v>Negative</v>
      </c>
      <c r="C132" s="10">
        <f>SUM(C127:C128)</f>
        <v>25.00000088934452</v>
      </c>
      <c r="D132" s="11">
        <f>SUM(D127:D128)</f>
        <v>44.99999619798789</v>
      </c>
      <c r="E132" s="11">
        <f>SUM(E127:E128)</f>
        <v>73.000002912667597</v>
      </c>
      <c r="H132" t="str">
        <f>A132</f>
        <v>Negative</v>
      </c>
      <c r="J132" s="10">
        <f>SUM(J127:J128)</f>
        <v>25</v>
      </c>
      <c r="K132" s="11">
        <f>SUM(K127:K128)</f>
        <v>45.000000000000007</v>
      </c>
      <c r="L132" s="11">
        <f>SUM(L127:L128)</f>
        <v>73</v>
      </c>
      <c r="O132" t="str">
        <f>H132</f>
        <v>Negative</v>
      </c>
      <c r="Q132" s="10">
        <f>SUM(Q127:Q128)</f>
        <v>25.000000132186099</v>
      </c>
      <c r="R132" s="11">
        <f>SUM(R127:R128)</f>
        <v>44.999999412882786</v>
      </c>
      <c r="S132" s="11">
        <f>SUM(S127:S128)</f>
        <v>73.000000326581372</v>
      </c>
    </row>
    <row r="134" spans="1:20" x14ac:dyDescent="0.35">
      <c r="B134" t="str">
        <f>B121</f>
        <v>Male</v>
      </c>
      <c r="C134" s="5">
        <f t="shared" ref="C134:E135" si="57">C125+C127</f>
        <v>68.000000196394979</v>
      </c>
      <c r="D134" s="6">
        <f t="shared" si="57"/>
        <v>66.999999673945766</v>
      </c>
      <c r="E134" s="7">
        <f t="shared" si="57"/>
        <v>124.00000012965927</v>
      </c>
      <c r="I134" t="str">
        <f>B134</f>
        <v>Male</v>
      </c>
      <c r="J134" s="5">
        <f t="shared" ref="J134:L135" si="58">J125+J127</f>
        <v>68.000000522092108</v>
      </c>
      <c r="K134" s="6">
        <f t="shared" si="58"/>
        <v>66.999998265312655</v>
      </c>
      <c r="L134" s="7">
        <f t="shared" si="58"/>
        <v>124.00000116151446</v>
      </c>
      <c r="P134" t="str">
        <f>I134</f>
        <v>Male</v>
      </c>
      <c r="Q134" s="5">
        <f t="shared" ref="Q134:S135" si="59">Q125+Q127</f>
        <v>67.999999999999986</v>
      </c>
      <c r="R134" s="6">
        <f t="shared" si="59"/>
        <v>67</v>
      </c>
      <c r="S134" s="7">
        <f t="shared" si="59"/>
        <v>123.99999999999999</v>
      </c>
    </row>
    <row r="135" spans="1:20" x14ac:dyDescent="0.35">
      <c r="B135" t="str">
        <f>B122</f>
        <v>Female</v>
      </c>
      <c r="C135" s="10">
        <f t="shared" si="57"/>
        <v>47.99999979962999</v>
      </c>
      <c r="D135" s="11">
        <f t="shared" si="57"/>
        <v>57.000000365106999</v>
      </c>
      <c r="E135" s="12">
        <f t="shared" si="57"/>
        <v>135.99999983526303</v>
      </c>
      <c r="I135" t="str">
        <f>B135</f>
        <v>Female</v>
      </c>
      <c r="J135" s="10">
        <f t="shared" si="58"/>
        <v>47.999999477907899</v>
      </c>
      <c r="K135" s="11">
        <f t="shared" si="58"/>
        <v>57.000001734687359</v>
      </c>
      <c r="L135" s="12">
        <f t="shared" si="58"/>
        <v>135.99999883848557</v>
      </c>
      <c r="P135" t="str">
        <f>I135</f>
        <v>Female</v>
      </c>
      <c r="Q135" s="10">
        <f t="shared" si="59"/>
        <v>48</v>
      </c>
      <c r="R135" s="11">
        <f t="shared" si="59"/>
        <v>57</v>
      </c>
      <c r="S135" s="12">
        <f t="shared" si="59"/>
        <v>136</v>
      </c>
    </row>
    <row r="137" spans="1:20" x14ac:dyDescent="0.35">
      <c r="C137" t="str">
        <f>C124</f>
        <v>Therapy 1</v>
      </c>
      <c r="D137" t="str">
        <f>D124</f>
        <v>Therapy 2</v>
      </c>
      <c r="E137" t="str">
        <f>E124</f>
        <v>Therapy 3</v>
      </c>
      <c r="J137" t="str">
        <f>J124</f>
        <v>Therapy 1</v>
      </c>
      <c r="K137" t="str">
        <f>K124</f>
        <v>Therapy 2</v>
      </c>
      <c r="L137" t="str">
        <f>L124</f>
        <v>Therapy 3</v>
      </c>
      <c r="Q137" t="str">
        <f>Q124</f>
        <v>Therapy 1</v>
      </c>
      <c r="R137" t="str">
        <f>R124</f>
        <v>Therapy 2</v>
      </c>
      <c r="S137" t="str">
        <f>S124</f>
        <v>Therapy 3</v>
      </c>
    </row>
    <row r="138" spans="1:20" x14ac:dyDescent="0.35">
      <c r="A138" t="str">
        <f t="shared" ref="A138:B141" si="60">A125</f>
        <v>Positive</v>
      </c>
      <c r="B138" t="str">
        <f t="shared" si="60"/>
        <v>Male</v>
      </c>
      <c r="C138" s="5">
        <f>Q125*$F$6/$T125</f>
        <v>60.4689411780722</v>
      </c>
      <c r="D138" s="6">
        <f>R125*$F$6/$T125</f>
        <v>53.109416386140808</v>
      </c>
      <c r="E138" s="7">
        <f>S125*$F$6/$T125</f>
        <v>107.42164243578701</v>
      </c>
      <c r="F138">
        <f>SUM(C138:E138)</f>
        <v>221</v>
      </c>
      <c r="H138" t="str">
        <f t="shared" ref="H138:I141" si="61">A138</f>
        <v>Positive</v>
      </c>
      <c r="I138" t="str">
        <f t="shared" si="61"/>
        <v>Male</v>
      </c>
      <c r="J138" s="5">
        <f>C138*$C$12/C144</f>
        <v>60.468941272300853</v>
      </c>
      <c r="K138" s="6">
        <f>D138*$D$12/D144</f>
        <v>53.109415994745881</v>
      </c>
      <c r="L138" s="7">
        <f>E138*$E$12/E144</f>
        <v>107.42164268876952</v>
      </c>
      <c r="M138">
        <f>SUM(J138:L138)</f>
        <v>220.99999995581624</v>
      </c>
      <c r="O138" t="str">
        <f t="shared" ref="O138:P141" si="62">H138</f>
        <v>Positive</v>
      </c>
      <c r="P138" t="str">
        <f t="shared" si="62"/>
        <v>Male</v>
      </c>
      <c r="Q138" s="5">
        <f>J138*$C$15/J147</f>
        <v>60.468941200098087</v>
      </c>
      <c r="R138" s="6">
        <f>K138*$D$15/K147</f>
        <v>53.109416202808752</v>
      </c>
      <c r="S138" s="7">
        <f>L138*$E$15/L147</f>
        <v>107.42164253834278</v>
      </c>
      <c r="T138">
        <f>SUM(Q138:S138)</f>
        <v>220.99999994124963</v>
      </c>
    </row>
    <row r="139" spans="1:20" x14ac:dyDescent="0.35">
      <c r="A139" t="str">
        <f t="shared" si="60"/>
        <v>Positive</v>
      </c>
      <c r="B139" t="str">
        <f t="shared" si="60"/>
        <v>Female</v>
      </c>
      <c r="C139" s="8">
        <f>Q126*$F$7/$T126</f>
        <v>30.531058680122651</v>
      </c>
      <c r="D139">
        <f>R126*$F$7/$T126</f>
        <v>25.890584196057265</v>
      </c>
      <c r="E139" s="9">
        <f>S126*$F$7/$T126</f>
        <v>79.578357123820069</v>
      </c>
      <c r="F139">
        <f>SUM(C139:E139)</f>
        <v>136</v>
      </c>
      <c r="H139" t="str">
        <f t="shared" si="61"/>
        <v>Positive</v>
      </c>
      <c r="I139" t="str">
        <f t="shared" si="61"/>
        <v>Female</v>
      </c>
      <c r="J139" s="8">
        <f>C139*$C$12/C144</f>
        <v>30.531058727699147</v>
      </c>
      <c r="K139">
        <f>D139*$D$12/D144</f>
        <v>25.890584005254127</v>
      </c>
      <c r="L139" s="9">
        <f>E139*$E$12/E144</f>
        <v>79.578357311230462</v>
      </c>
      <c r="M139">
        <f>SUM(J139:L139)</f>
        <v>136.00000004418374</v>
      </c>
      <c r="O139" t="str">
        <f t="shared" si="62"/>
        <v>Positive</v>
      </c>
      <c r="P139" t="str">
        <f t="shared" si="62"/>
        <v>Female</v>
      </c>
      <c r="Q139" s="8">
        <f>J139*$C$16/J148</f>
        <v>30.531058779344463</v>
      </c>
      <c r="R139">
        <f>K139*$D$16/K148</f>
        <v>25.890583886029805</v>
      </c>
      <c r="S139" s="9">
        <f>L139*$E$16/L148</f>
        <v>79.578357412834535</v>
      </c>
      <c r="T139">
        <f>SUM(Q139:S139)</f>
        <v>136.00000007820881</v>
      </c>
    </row>
    <row r="140" spans="1:20" x14ac:dyDescent="0.35">
      <c r="A140" t="str">
        <f t="shared" si="60"/>
        <v>Negative</v>
      </c>
      <c r="B140" t="str">
        <f t="shared" si="60"/>
        <v>Male</v>
      </c>
      <c r="C140" s="8">
        <f>Q127*$F$8/$T127</f>
        <v>7.5310588514020429</v>
      </c>
      <c r="D140">
        <f>R127*$F$8/$T127</f>
        <v>13.890583564926162</v>
      </c>
      <c r="E140" s="9">
        <f>S127*$F$8/$T127</f>
        <v>16.578357583671799</v>
      </c>
      <c r="F140">
        <f>SUM(C140:E140)</f>
        <v>38</v>
      </c>
      <c r="H140" t="str">
        <f t="shared" si="61"/>
        <v>Negative</v>
      </c>
      <c r="I140" t="str">
        <f t="shared" si="61"/>
        <v>Male</v>
      </c>
      <c r="J140" s="8">
        <f>C140*$C$13/C145</f>
        <v>7.531058808894338</v>
      </c>
      <c r="K140">
        <f>D140*$D$13/D145</f>
        <v>13.890583742773131</v>
      </c>
      <c r="L140" s="9">
        <f>E140*$E$13/E145</f>
        <v>16.578357484872541</v>
      </c>
      <c r="M140">
        <f>SUM(J140:L140)</f>
        <v>38.000000036540008</v>
      </c>
      <c r="O140" t="str">
        <f t="shared" si="62"/>
        <v>Negative</v>
      </c>
      <c r="P140" t="str">
        <f t="shared" si="62"/>
        <v>Male</v>
      </c>
      <c r="Q140" s="8">
        <f>J140*$C$15/J147</f>
        <v>7.5310587999018992</v>
      </c>
      <c r="R140">
        <f>K140*$D$15/K147</f>
        <v>13.890583797191255</v>
      </c>
      <c r="S140" s="9">
        <f>L140*$E$15/L147</f>
        <v>16.578357461657216</v>
      </c>
      <c r="T140">
        <f>SUM(Q140:S140)</f>
        <v>38.000000058750373</v>
      </c>
    </row>
    <row r="141" spans="1:20" x14ac:dyDescent="0.35">
      <c r="A141" t="str">
        <f t="shared" si="60"/>
        <v>Negative</v>
      </c>
      <c r="B141" t="str">
        <f t="shared" si="60"/>
        <v>Female</v>
      </c>
      <c r="C141" s="10">
        <f>Q128*$F$9/$T128</f>
        <v>17.468941289705953</v>
      </c>
      <c r="D141" s="11">
        <f>R128*$F$9/$T128</f>
        <v>31.109415858919967</v>
      </c>
      <c r="E141" s="12">
        <f>S128*$F$9/$T128</f>
        <v>56.421642851374081</v>
      </c>
      <c r="F141">
        <f>SUM(C141:E141)</f>
        <v>105</v>
      </c>
      <c r="H141" t="str">
        <f t="shared" si="61"/>
        <v>Negative</v>
      </c>
      <c r="I141" t="str">
        <f t="shared" si="61"/>
        <v>Female</v>
      </c>
      <c r="J141" s="10">
        <f>C141*$C$13/C145</f>
        <v>17.468941191105664</v>
      </c>
      <c r="K141" s="11">
        <f>D141*$D$13/D145</f>
        <v>31.109416257226869</v>
      </c>
      <c r="L141" s="12">
        <f>E141*$E$13/E145</f>
        <v>56.421642515127459</v>
      </c>
      <c r="M141">
        <f>SUM(J141:L141)</f>
        <v>104.99999996346</v>
      </c>
      <c r="O141" t="str">
        <f t="shared" si="62"/>
        <v>Negative</v>
      </c>
      <c r="P141" t="str">
        <f t="shared" si="62"/>
        <v>Female</v>
      </c>
      <c r="Q141" s="10">
        <f>J141*$C$16/J148</f>
        <v>17.468941220655537</v>
      </c>
      <c r="R141" s="11">
        <f>K141*$D$16/K148</f>
        <v>31.109416113970191</v>
      </c>
      <c r="S141" s="12">
        <f>L141*$E$16/L148</f>
        <v>56.421642587165493</v>
      </c>
      <c r="T141">
        <f>SUM(Q141:S141)</f>
        <v>104.99999992179121</v>
      </c>
    </row>
    <row r="142" spans="1:20" x14ac:dyDescent="0.35">
      <c r="C142">
        <f>SUM(C138:C141)</f>
        <v>115.99999999930284</v>
      </c>
      <c r="D142">
        <f>SUM(D138:D141)</f>
        <v>124.00000000604419</v>
      </c>
      <c r="E142">
        <f>SUM(E138:E141)</f>
        <v>259.99999999465297</v>
      </c>
      <c r="F142">
        <f>SUM(F138:F141)</f>
        <v>500</v>
      </c>
      <c r="J142">
        <f>SUM(J138:J141)</f>
        <v>116</v>
      </c>
      <c r="K142">
        <f>SUM(K138:K141)</f>
        <v>124</v>
      </c>
      <c r="L142">
        <f>SUM(L138:L141)</f>
        <v>260</v>
      </c>
      <c r="M142">
        <f>SUM(M138:M141)</f>
        <v>500</v>
      </c>
      <c r="Q142">
        <f>SUM(Q138:Q141)</f>
        <v>115.99999999999999</v>
      </c>
      <c r="R142">
        <f>SUM(R138:R141)</f>
        <v>124</v>
      </c>
      <c r="S142">
        <f>SUM(S138:S141)</f>
        <v>260</v>
      </c>
      <c r="T142">
        <f>SUM(T138:T141)</f>
        <v>500</v>
      </c>
    </row>
    <row r="144" spans="1:20" x14ac:dyDescent="0.35">
      <c r="A144" t="str">
        <f>A131</f>
        <v>Positive</v>
      </c>
      <c r="C144" s="5">
        <f>SUM(C138:C139)</f>
        <v>90.999999858194855</v>
      </c>
      <c r="D144" s="6">
        <f>SUM(D138:D139)</f>
        <v>79.000000582198069</v>
      </c>
      <c r="E144" s="7">
        <f>SUM(E138:E139)</f>
        <v>186.99999955960709</v>
      </c>
      <c r="H144" t="str">
        <f>A144</f>
        <v>Positive</v>
      </c>
      <c r="J144" s="5">
        <f>SUM(J138:J139)</f>
        <v>91</v>
      </c>
      <c r="K144" s="6">
        <f>SUM(K138:K139)</f>
        <v>79</v>
      </c>
      <c r="L144" s="7">
        <f>SUM(L138:L139)</f>
        <v>187</v>
      </c>
      <c r="O144" t="str">
        <f>H144</f>
        <v>Positive</v>
      </c>
      <c r="Q144" s="5">
        <f>SUM(Q138:Q139)</f>
        <v>90.999999979442549</v>
      </c>
      <c r="R144" s="6">
        <f>SUM(R138:R139)</f>
        <v>79.000000088838561</v>
      </c>
      <c r="S144" s="7">
        <f>SUM(S138:S139)</f>
        <v>186.9999999511773</v>
      </c>
    </row>
    <row r="145" spans="1:20" x14ac:dyDescent="0.35">
      <c r="A145" t="str">
        <f>A132</f>
        <v>Negative</v>
      </c>
      <c r="C145" s="10">
        <f>SUM(C140:C141)</f>
        <v>25.000000141107996</v>
      </c>
      <c r="D145" s="11">
        <f>SUM(D140:D141)</f>
        <v>44.999999423846127</v>
      </c>
      <c r="E145" s="11">
        <f>SUM(E140:E141)</f>
        <v>73.000000435045877</v>
      </c>
      <c r="H145" t="str">
        <f>A145</f>
        <v>Negative</v>
      </c>
      <c r="J145" s="10">
        <f>SUM(J140:J141)</f>
        <v>25</v>
      </c>
      <c r="K145" s="11">
        <f>SUM(K140:K141)</f>
        <v>45</v>
      </c>
      <c r="L145" s="11">
        <f>SUM(L140:L141)</f>
        <v>73</v>
      </c>
      <c r="O145" t="str">
        <f>H145</f>
        <v>Negative</v>
      </c>
      <c r="Q145" s="10">
        <f>SUM(Q140:Q141)</f>
        <v>25.000000020557437</v>
      </c>
      <c r="R145" s="11">
        <f>SUM(R140:R141)</f>
        <v>44.999999911161446</v>
      </c>
      <c r="S145" s="11">
        <f>SUM(S140:S141)</f>
        <v>73.000000048822713</v>
      </c>
    </row>
    <row r="147" spans="1:20" x14ac:dyDescent="0.35">
      <c r="B147" t="str">
        <f>B134</f>
        <v>Male</v>
      </c>
      <c r="C147" s="5">
        <f t="shared" ref="C147:E148" si="63">C138+C140</f>
        <v>68.000000029474236</v>
      </c>
      <c r="D147" s="6">
        <f t="shared" si="63"/>
        <v>66.999999951066968</v>
      </c>
      <c r="E147" s="7">
        <f t="shared" si="63"/>
        <v>124.00000001945881</v>
      </c>
      <c r="I147" t="str">
        <f>B147</f>
        <v>Male</v>
      </c>
      <c r="J147" s="5">
        <f t="shared" ref="J147:L148" si="64">J138+J140</f>
        <v>68.000000081195196</v>
      </c>
      <c r="K147" s="6">
        <f t="shared" si="64"/>
        <v>66.999999737519005</v>
      </c>
      <c r="L147" s="7">
        <f t="shared" si="64"/>
        <v>124.00000017364206</v>
      </c>
      <c r="P147" t="str">
        <f>I147</f>
        <v>Male</v>
      </c>
      <c r="Q147" s="5">
        <f t="shared" ref="Q147:S148" si="65">Q138+Q140</f>
        <v>67.999999999999986</v>
      </c>
      <c r="R147" s="6">
        <f t="shared" si="65"/>
        <v>67</v>
      </c>
      <c r="S147" s="7">
        <f t="shared" si="65"/>
        <v>124</v>
      </c>
    </row>
    <row r="148" spans="1:20" x14ac:dyDescent="0.35">
      <c r="B148" t="str">
        <f>B135</f>
        <v>Female</v>
      </c>
      <c r="C148" s="10">
        <f t="shared" si="63"/>
        <v>47.999999969828608</v>
      </c>
      <c r="D148" s="11">
        <f t="shared" si="63"/>
        <v>57.000000054977235</v>
      </c>
      <c r="E148" s="12">
        <f t="shared" si="63"/>
        <v>135.99999997519416</v>
      </c>
      <c r="I148" t="str">
        <f>B148</f>
        <v>Female</v>
      </c>
      <c r="J148" s="10">
        <f t="shared" si="64"/>
        <v>47.999999918804811</v>
      </c>
      <c r="K148" s="11">
        <f t="shared" si="64"/>
        <v>57.000000262480995</v>
      </c>
      <c r="L148" s="12">
        <f t="shared" si="64"/>
        <v>135.99999982635791</v>
      </c>
      <c r="P148" t="str">
        <f>I148</f>
        <v>Female</v>
      </c>
      <c r="Q148" s="10">
        <f t="shared" si="65"/>
        <v>48</v>
      </c>
      <c r="R148" s="11">
        <f t="shared" si="65"/>
        <v>57</v>
      </c>
      <c r="S148" s="12">
        <f t="shared" si="65"/>
        <v>136.00000000000003</v>
      </c>
    </row>
    <row r="150" spans="1:20" x14ac:dyDescent="0.35">
      <c r="C150" t="str">
        <f>C137</f>
        <v>Therapy 1</v>
      </c>
      <c r="D150" t="str">
        <f>D137</f>
        <v>Therapy 2</v>
      </c>
      <c r="E150" t="str">
        <f>E137</f>
        <v>Therapy 3</v>
      </c>
      <c r="J150" t="str">
        <f>J137</f>
        <v>Therapy 1</v>
      </c>
      <c r="K150" t="str">
        <f>K137</f>
        <v>Therapy 2</v>
      </c>
      <c r="L150" t="str">
        <f>L137</f>
        <v>Therapy 3</v>
      </c>
      <c r="Q150" t="str">
        <f>Q137</f>
        <v>Therapy 1</v>
      </c>
      <c r="R150" t="str">
        <f>R137</f>
        <v>Therapy 2</v>
      </c>
      <c r="S150" t="str">
        <f>S137</f>
        <v>Therapy 3</v>
      </c>
    </row>
    <row r="151" spans="1:20" x14ac:dyDescent="0.35">
      <c r="A151" t="str">
        <f t="shared" ref="A151:B154" si="66">A138</f>
        <v>Positive</v>
      </c>
      <c r="B151" t="str">
        <f t="shared" si="66"/>
        <v>Male</v>
      </c>
      <c r="C151" s="5">
        <f>Q138*$F$6/$T138</f>
        <v>60.468941216173079</v>
      </c>
      <c r="D151" s="6">
        <f>R138*$F$6/$T138</f>
        <v>53.109416216927293</v>
      </c>
      <c r="E151" s="7">
        <f>S138*$F$6/$T138</f>
        <v>107.42164256689962</v>
      </c>
      <c r="F151">
        <f>SUM(C151:E151)</f>
        <v>221</v>
      </c>
      <c r="H151" t="str">
        <f t="shared" ref="H151:I154" si="67">A151</f>
        <v>Positive</v>
      </c>
      <c r="I151" t="str">
        <f t="shared" si="67"/>
        <v>Male</v>
      </c>
      <c r="J151" s="5">
        <f>C151*$C$12/C157</f>
        <v>60.468941230818388</v>
      </c>
      <c r="K151" s="6">
        <f>D151*$D$12/D157</f>
        <v>53.109416157721505</v>
      </c>
      <c r="L151" s="7">
        <f>E151*$E$12/E157</f>
        <v>107.42164260482954</v>
      </c>
      <c r="M151">
        <f>SUM(J151:L151)</f>
        <v>220.99999999336944</v>
      </c>
      <c r="O151" t="str">
        <f t="shared" ref="O151:P154" si="68">H151</f>
        <v>Positive</v>
      </c>
      <c r="P151" t="str">
        <f t="shared" si="68"/>
        <v>Male</v>
      </c>
      <c r="Q151" s="5">
        <f>J151*$C$15/J160</f>
        <v>60.468941219727789</v>
      </c>
      <c r="R151" s="6">
        <f>K151*$D$15/K160</f>
        <v>53.109416189162133</v>
      </c>
      <c r="S151" s="7">
        <f>L151*$E$15/L160</f>
        <v>107.42164258226687</v>
      </c>
      <c r="T151">
        <f>SUM(Q151:S151)</f>
        <v>220.99999999115681</v>
      </c>
    </row>
    <row r="152" spans="1:20" x14ac:dyDescent="0.35">
      <c r="A152" t="str">
        <f t="shared" si="66"/>
        <v>Positive</v>
      </c>
      <c r="B152" t="str">
        <f t="shared" si="66"/>
        <v>Female</v>
      </c>
      <c r="C152" s="8">
        <f>Q139*$F$7/$T139</f>
        <v>30.531058761787126</v>
      </c>
      <c r="D152">
        <f>R139*$F$7/$T139</f>
        <v>25.89058387114104</v>
      </c>
      <c r="E152" s="9">
        <f>S139*$F$7/$T139</f>
        <v>79.578357367071817</v>
      </c>
      <c r="F152">
        <f>SUM(C152:E152)</f>
        <v>136</v>
      </c>
      <c r="H152" t="str">
        <f t="shared" si="67"/>
        <v>Positive</v>
      </c>
      <c r="I152" t="str">
        <f t="shared" si="67"/>
        <v>Female</v>
      </c>
      <c r="J152" s="8">
        <f>C152*$C$12/C157</f>
        <v>30.531058769181612</v>
      </c>
      <c r="K152">
        <f>D152*$D$12/D157</f>
        <v>25.890583842278499</v>
      </c>
      <c r="L152" s="9">
        <f>E152*$E$12/E157</f>
        <v>79.578357395170457</v>
      </c>
      <c r="M152">
        <f>SUM(J152:L152)</f>
        <v>136.00000000663056</v>
      </c>
      <c r="O152" t="str">
        <f t="shared" si="68"/>
        <v>Positive</v>
      </c>
      <c r="P152" t="str">
        <f t="shared" si="68"/>
        <v>Female</v>
      </c>
      <c r="Q152" s="8">
        <f>J152*$C$16/J161</f>
        <v>30.531058777114517</v>
      </c>
      <c r="R152">
        <f>K152*$D$16/K161</f>
        <v>25.890583824262364</v>
      </c>
      <c r="S152" s="9">
        <f>L152*$E$16/L161</f>
        <v>79.578357410410149</v>
      </c>
      <c r="T152">
        <f>SUM(Q152:S152)</f>
        <v>136.00000001178702</v>
      </c>
    </row>
    <row r="153" spans="1:20" x14ac:dyDescent="0.35">
      <c r="A153" t="str">
        <f t="shared" si="66"/>
        <v>Negative</v>
      </c>
      <c r="B153" t="str">
        <f t="shared" si="66"/>
        <v>Male</v>
      </c>
      <c r="C153" s="8">
        <f>Q140*$F$8/$T140</f>
        <v>7.5310587882584121</v>
      </c>
      <c r="D153">
        <f>R140*$F$8/$T140</f>
        <v>13.890583775715545</v>
      </c>
      <c r="E153" s="9">
        <f>S140*$F$8/$T140</f>
        <v>16.578357436026039</v>
      </c>
      <c r="F153">
        <f>SUM(C153:E153)</f>
        <v>38</v>
      </c>
      <c r="H153" t="str">
        <f t="shared" si="67"/>
        <v>Negative</v>
      </c>
      <c r="I153" t="str">
        <f t="shared" si="67"/>
        <v>Male</v>
      </c>
      <c r="J153" s="8">
        <f>C153*$C$13/C158</f>
        <v>7.5310587816534884</v>
      </c>
      <c r="K153">
        <f>D153*$D$13/D158</f>
        <v>13.890583802614676</v>
      </c>
      <c r="L153" s="9">
        <f>E153*$E$13/E158</f>
        <v>16.57835742121522</v>
      </c>
      <c r="M153">
        <f>SUM(J153:L153)</f>
        <v>38.000000005483386</v>
      </c>
      <c r="O153" t="str">
        <f t="shared" si="68"/>
        <v>Negative</v>
      </c>
      <c r="P153" t="str">
        <f t="shared" si="68"/>
        <v>Male</v>
      </c>
      <c r="Q153" s="8">
        <f>J153*$C$15/J160</f>
        <v>7.5310587802722173</v>
      </c>
      <c r="R153">
        <f>K153*$D$15/K160</f>
        <v>13.890583810837864</v>
      </c>
      <c r="S153" s="9">
        <f>L153*$E$15/L160</f>
        <v>16.57835741773313</v>
      </c>
      <c r="T153">
        <f>SUM(Q153:S153)</f>
        <v>38.000000008843216</v>
      </c>
    </row>
    <row r="154" spans="1:20" x14ac:dyDescent="0.35">
      <c r="A154" t="str">
        <f t="shared" si="66"/>
        <v>Negative</v>
      </c>
      <c r="B154" t="str">
        <f t="shared" si="66"/>
        <v>Female</v>
      </c>
      <c r="C154" s="10">
        <f>Q141*$F$9/$T141</f>
        <v>17.468941233667199</v>
      </c>
      <c r="D154" s="11">
        <f>R141*$F$9/$T141</f>
        <v>31.109416137141903</v>
      </c>
      <c r="E154" s="12">
        <f>S141*$F$9/$T141</f>
        <v>56.421642629190906</v>
      </c>
      <c r="F154">
        <f>SUM(C154:E154)</f>
        <v>105</v>
      </c>
      <c r="H154" t="str">
        <f t="shared" si="67"/>
        <v>Negative</v>
      </c>
      <c r="I154" t="str">
        <f t="shared" si="67"/>
        <v>Female</v>
      </c>
      <c r="J154" s="10">
        <f>C154*$C$13/C158</f>
        <v>17.468941218346512</v>
      </c>
      <c r="K154" s="11">
        <f>D154*$D$13/D158</f>
        <v>31.109416197385325</v>
      </c>
      <c r="L154" s="12">
        <f>E154*$E$13/E158</f>
        <v>56.421642578784791</v>
      </c>
      <c r="M154">
        <f>SUM(J154:L154)</f>
        <v>104.99999999451663</v>
      </c>
      <c r="O154" t="str">
        <f t="shared" si="68"/>
        <v>Negative</v>
      </c>
      <c r="P154" t="str">
        <f t="shared" si="68"/>
        <v>Female</v>
      </c>
      <c r="Q154" s="10">
        <f>J154*$C$16/J161</f>
        <v>17.468941222885476</v>
      </c>
      <c r="R154" s="11">
        <f>K154*$D$16/K161</f>
        <v>31.109416175737632</v>
      </c>
      <c r="S154" s="12">
        <f>L154*$E$16/L161</f>
        <v>56.421642589589844</v>
      </c>
      <c r="T154">
        <f>SUM(Q154:S154)</f>
        <v>104.99999998821295</v>
      </c>
    </row>
    <row r="155" spans="1:20" x14ac:dyDescent="0.35">
      <c r="C155">
        <f>SUM(C151:C154)</f>
        <v>115.9999999998858</v>
      </c>
      <c r="D155">
        <f>SUM(D151:D154)</f>
        <v>124.00000000092578</v>
      </c>
      <c r="E155">
        <f>SUM(E151:E154)</f>
        <v>259.99999999918839</v>
      </c>
      <c r="F155">
        <f>SUM(F151:F154)</f>
        <v>500</v>
      </c>
      <c r="J155">
        <f>SUM(J151:J154)</f>
        <v>116</v>
      </c>
      <c r="K155">
        <f>SUM(K151:K154)</f>
        <v>124</v>
      </c>
      <c r="L155">
        <f>SUM(L151:L154)</f>
        <v>260</v>
      </c>
      <c r="M155">
        <f>SUM(M151:M154)</f>
        <v>500</v>
      </c>
      <c r="Q155">
        <f>SUM(Q151:Q154)</f>
        <v>116</v>
      </c>
      <c r="R155">
        <f>SUM(R151:R154)</f>
        <v>124</v>
      </c>
      <c r="S155">
        <f>SUM(S151:S154)</f>
        <v>260</v>
      </c>
      <c r="T155">
        <f>SUM(T151:T154)</f>
        <v>500</v>
      </c>
    </row>
    <row r="157" spans="1:20" x14ac:dyDescent="0.35">
      <c r="A157" t="str">
        <f>A144</f>
        <v>Positive</v>
      </c>
      <c r="C157" s="5">
        <f>SUM(C151:C152)</f>
        <v>90.999999977960201</v>
      </c>
      <c r="D157" s="6">
        <f>SUM(D151:D152)</f>
        <v>79.000000088068333</v>
      </c>
      <c r="E157" s="7">
        <f>SUM(E151:E152)</f>
        <v>186.99999993397142</v>
      </c>
      <c r="H157" t="str">
        <f>A157</f>
        <v>Positive</v>
      </c>
      <c r="J157" s="5">
        <f>SUM(J151:J152)</f>
        <v>91</v>
      </c>
      <c r="K157" s="6">
        <f>SUM(K151:K152)</f>
        <v>79</v>
      </c>
      <c r="L157" s="7">
        <f>SUM(L151:L152)</f>
        <v>187</v>
      </c>
      <c r="O157" t="str">
        <f>H157</f>
        <v>Positive</v>
      </c>
      <c r="Q157" s="5">
        <f>SUM(Q151:Q152)</f>
        <v>90.999999996842305</v>
      </c>
      <c r="R157" s="6">
        <f>SUM(R151:R152)</f>
        <v>79.000000013424497</v>
      </c>
      <c r="S157" s="7">
        <f>SUM(S151:S152)</f>
        <v>186.99999999267703</v>
      </c>
    </row>
    <row r="158" spans="1:20" x14ac:dyDescent="0.35">
      <c r="A158" t="str">
        <f>A145</f>
        <v>Negative</v>
      </c>
      <c r="C158" s="10">
        <f>SUM(C153:C154)</f>
        <v>25.000000021925612</v>
      </c>
      <c r="D158" s="11">
        <f>SUM(D153:D154)</f>
        <v>44.999999912857447</v>
      </c>
      <c r="E158" s="11">
        <f>SUM(E153:E154)</f>
        <v>73.000000065216938</v>
      </c>
      <c r="H158" t="str">
        <f>A158</f>
        <v>Negative</v>
      </c>
      <c r="J158" s="10">
        <f>SUM(J153:J154)</f>
        <v>25</v>
      </c>
      <c r="K158" s="11">
        <f>SUM(K153:K154)</f>
        <v>45</v>
      </c>
      <c r="L158" s="11">
        <f>SUM(L153:L154)</f>
        <v>73.000000000000014</v>
      </c>
      <c r="O158" t="str">
        <f>H158</f>
        <v>Negative</v>
      </c>
      <c r="Q158" s="10">
        <f>SUM(Q153:Q154)</f>
        <v>25.000000003157695</v>
      </c>
      <c r="R158" s="11">
        <f>SUM(R153:R154)</f>
        <v>44.999999986575496</v>
      </c>
      <c r="S158" s="11">
        <f>SUM(S153:S154)</f>
        <v>73.000000007322967</v>
      </c>
    </row>
    <row r="160" spans="1:20" x14ac:dyDescent="0.35">
      <c r="B160" t="str">
        <f>B147</f>
        <v>Male</v>
      </c>
      <c r="C160" s="5">
        <f t="shared" ref="C160:E161" si="69">C151+C153</f>
        <v>68.000000004431485</v>
      </c>
      <c r="D160" s="6">
        <f t="shared" si="69"/>
        <v>66.999999992642842</v>
      </c>
      <c r="E160" s="7">
        <f t="shared" si="69"/>
        <v>124.00000000292566</v>
      </c>
      <c r="I160" t="str">
        <f>B160</f>
        <v>Male</v>
      </c>
      <c r="J160" s="5">
        <f t="shared" ref="J160:L161" si="70">J151+J153</f>
        <v>68.000000012471872</v>
      </c>
      <c r="K160" s="6">
        <f t="shared" si="70"/>
        <v>66.999999960336183</v>
      </c>
      <c r="L160" s="7">
        <f t="shared" si="70"/>
        <v>124.00000002604476</v>
      </c>
      <c r="P160" t="str">
        <f>I160</f>
        <v>Male</v>
      </c>
      <c r="Q160" s="5">
        <f t="shared" ref="Q160:S161" si="71">Q151+Q153</f>
        <v>68</v>
      </c>
      <c r="R160" s="6">
        <f t="shared" si="71"/>
        <v>67</v>
      </c>
      <c r="S160" s="7">
        <f t="shared" si="71"/>
        <v>124</v>
      </c>
    </row>
    <row r="161" spans="2:19" x14ac:dyDescent="0.35">
      <c r="B161" t="str">
        <f>B148</f>
        <v>Female</v>
      </c>
      <c r="C161" s="10">
        <f t="shared" si="69"/>
        <v>47.999999995454324</v>
      </c>
      <c r="D161" s="11">
        <f t="shared" si="69"/>
        <v>57.000000008282939</v>
      </c>
      <c r="E161" s="12">
        <f t="shared" si="69"/>
        <v>135.99999999626272</v>
      </c>
      <c r="I161" t="str">
        <f>B161</f>
        <v>Female</v>
      </c>
      <c r="J161" s="10">
        <f t="shared" si="70"/>
        <v>47.999999987528128</v>
      </c>
      <c r="K161" s="11">
        <f t="shared" si="70"/>
        <v>57.000000039663824</v>
      </c>
      <c r="L161" s="12">
        <f t="shared" si="70"/>
        <v>135.99999997395525</v>
      </c>
      <c r="P161" t="str">
        <f>I161</f>
        <v>Female</v>
      </c>
      <c r="Q161" s="10">
        <f t="shared" si="71"/>
        <v>47.999999999999993</v>
      </c>
      <c r="R161" s="11">
        <f t="shared" si="71"/>
        <v>57</v>
      </c>
      <c r="S161" s="12">
        <f t="shared" si="71"/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4D55-5DA7-47AA-8818-8DE585E2EFBA}">
  <sheetPr codeName="Sheet145"/>
  <dimension ref="A1:Q17"/>
  <sheetViews>
    <sheetView workbookViewId="0"/>
  </sheetViews>
  <sheetFormatPr defaultRowHeight="14.5" x14ac:dyDescent="0.35"/>
  <cols>
    <col min="2" max="2" width="8.7265625" customWidth="1"/>
    <col min="3" max="3" width="9.7265625" customWidth="1"/>
    <col min="4" max="10" width="7.81640625" customWidth="1"/>
    <col min="13" max="13" width="5.1796875" customWidth="1"/>
    <col min="15" max="15" width="11.81640625" customWidth="1"/>
    <col min="16" max="16" width="4.26953125" customWidth="1"/>
    <col min="17" max="17" width="15" customWidth="1"/>
  </cols>
  <sheetData>
    <row r="1" spans="1:17" x14ac:dyDescent="0.35">
      <c r="A1" s="1" t="s">
        <v>101</v>
      </c>
    </row>
    <row r="3" spans="1:17" x14ac:dyDescent="0.35">
      <c r="A3" s="1" t="s">
        <v>50</v>
      </c>
    </row>
    <row r="5" spans="1:17" ht="16.5" x14ac:dyDescent="0.45">
      <c r="A5" s="16" t="s">
        <v>4</v>
      </c>
      <c r="B5" s="3" t="s">
        <v>5</v>
      </c>
      <c r="C5" s="37" t="s">
        <v>6</v>
      </c>
      <c r="D5" s="17" t="s">
        <v>102</v>
      </c>
      <c r="E5" s="18" t="s">
        <v>103</v>
      </c>
      <c r="F5" s="18" t="s">
        <v>104</v>
      </c>
      <c r="G5" s="18" t="s">
        <v>105</v>
      </c>
      <c r="H5" s="18" t="s">
        <v>106</v>
      </c>
      <c r="I5" s="18" t="s">
        <v>107</v>
      </c>
      <c r="J5" s="19" t="s">
        <v>108</v>
      </c>
      <c r="K5" s="19" t="s">
        <v>109</v>
      </c>
      <c r="L5" s="19" t="s">
        <v>26</v>
      </c>
      <c r="N5" s="38"/>
      <c r="O5" s="20" t="s">
        <v>110</v>
      </c>
    </row>
    <row r="6" spans="1:17" x14ac:dyDescent="0.35">
      <c r="A6" s="8" t="s">
        <v>8</v>
      </c>
      <c r="B6" t="s">
        <v>9</v>
      </c>
      <c r="C6" s="9" t="s">
        <v>1</v>
      </c>
      <c r="D6" s="39">
        <f>IF(A6="Positive",1,0)</f>
        <v>1</v>
      </c>
      <c r="E6" s="31">
        <f>IF(B6="Male",1,0)</f>
        <v>1</v>
      </c>
      <c r="F6" s="31">
        <f>IF(C6="Therapy 1",1,0)</f>
        <v>1</v>
      </c>
      <c r="G6" s="31">
        <f>IF(C6="Therapy 2",1,0)</f>
        <v>0</v>
      </c>
      <c r="H6" s="32">
        <f>D6*E6</f>
        <v>1</v>
      </c>
      <c r="I6" s="32">
        <f>D6*F6</f>
        <v>1</v>
      </c>
      <c r="J6" s="33">
        <f>D6*G6</f>
        <v>0</v>
      </c>
      <c r="K6" s="9">
        <f>'Log Lin 2.2'!M95</f>
        <v>56.333333333333336</v>
      </c>
      <c r="L6" s="9">
        <f>'Log Lin 2.2'!O95</f>
        <v>4.0312864262549635</v>
      </c>
      <c r="N6" s="8" t="s">
        <v>111</v>
      </c>
      <c r="O6" s="24">
        <f>L17</f>
        <v>3.9815751610460071</v>
      </c>
      <c r="Q6" s="40" t="s">
        <v>112</v>
      </c>
    </row>
    <row r="7" spans="1:17" x14ac:dyDescent="0.35">
      <c r="A7" s="8" t="s">
        <v>8</v>
      </c>
      <c r="B7" t="s">
        <v>9</v>
      </c>
      <c r="C7" s="9" t="s">
        <v>2</v>
      </c>
      <c r="D7" s="39">
        <f t="shared" ref="D7:D17" si="0">IF(A7="Positive",1,0)</f>
        <v>1</v>
      </c>
      <c r="E7" s="31">
        <f t="shared" ref="E7:E17" si="1">IF(B7="Male",1,0)</f>
        <v>1</v>
      </c>
      <c r="F7" s="31">
        <f t="shared" ref="F7:F17" si="2">IF(C7="Therapy 1",1,0)</f>
        <v>0</v>
      </c>
      <c r="G7" s="31">
        <f t="shared" ref="G7:G17" si="3">IF(C7="Therapy 2",1,0)</f>
        <v>1</v>
      </c>
      <c r="H7" s="31">
        <f t="shared" ref="H7:H17" si="4">D7*E7</f>
        <v>1</v>
      </c>
      <c r="I7" s="31">
        <f t="shared" ref="I7:I17" si="5">D7*F7</f>
        <v>0</v>
      </c>
      <c r="J7" s="34">
        <f t="shared" ref="J7:J17" si="6">D7*G7</f>
        <v>1</v>
      </c>
      <c r="K7" s="9">
        <f>'Log Lin 2.2'!M96</f>
        <v>48.904761904761905</v>
      </c>
      <c r="L7" s="9">
        <f>'Log Lin 2.2'!O96</f>
        <v>3.8898747722051352</v>
      </c>
      <c r="N7" s="8" t="s">
        <v>113</v>
      </c>
      <c r="O7" s="24">
        <f>L11-O6</f>
        <v>0.28445255976499251</v>
      </c>
      <c r="Q7" s="40" t="s">
        <v>114</v>
      </c>
    </row>
    <row r="8" spans="1:17" x14ac:dyDescent="0.35">
      <c r="A8" s="8" t="s">
        <v>8</v>
      </c>
      <c r="B8" t="s">
        <v>9</v>
      </c>
      <c r="C8" s="9" t="s">
        <v>3</v>
      </c>
      <c r="D8" s="39">
        <f t="shared" si="0"/>
        <v>1</v>
      </c>
      <c r="E8" s="31">
        <f t="shared" si="1"/>
        <v>1</v>
      </c>
      <c r="F8" s="31">
        <f t="shared" si="2"/>
        <v>0</v>
      </c>
      <c r="G8" s="31">
        <f t="shared" si="3"/>
        <v>0</v>
      </c>
      <c r="H8" s="31">
        <f t="shared" si="4"/>
        <v>1</v>
      </c>
      <c r="I8" s="31">
        <f t="shared" si="5"/>
        <v>0</v>
      </c>
      <c r="J8" s="34">
        <f t="shared" si="6"/>
        <v>0</v>
      </c>
      <c r="K8" s="9">
        <f>'Log Lin 2.2'!M97</f>
        <v>115.76190476190476</v>
      </c>
      <c r="L8" s="9">
        <f>'Log Lin 2.2'!O97</f>
        <v>4.7515355365927006</v>
      </c>
      <c r="N8" s="8" t="s">
        <v>115</v>
      </c>
      <c r="O8" s="24">
        <f>L14-O6</f>
        <v>-1.0163741904311374</v>
      </c>
      <c r="Q8" s="40" t="s">
        <v>116</v>
      </c>
    </row>
    <row r="9" spans="1:17" x14ac:dyDescent="0.35">
      <c r="A9" s="8" t="s">
        <v>8</v>
      </c>
      <c r="B9" t="s">
        <v>10</v>
      </c>
      <c r="C9" s="9" t="s">
        <v>1</v>
      </c>
      <c r="D9" s="39">
        <f t="shared" si="0"/>
        <v>1</v>
      </c>
      <c r="E9" s="31">
        <f t="shared" si="1"/>
        <v>0</v>
      </c>
      <c r="F9" s="31">
        <f t="shared" si="2"/>
        <v>1</v>
      </c>
      <c r="G9" s="31">
        <f t="shared" si="3"/>
        <v>0</v>
      </c>
      <c r="H9" s="31">
        <f t="shared" si="4"/>
        <v>0</v>
      </c>
      <c r="I9" s="31">
        <f t="shared" si="5"/>
        <v>1</v>
      </c>
      <c r="J9" s="34">
        <f t="shared" si="6"/>
        <v>0</v>
      </c>
      <c r="K9" s="9">
        <f>'Log Lin 2.2'!M98</f>
        <v>34.666666666666664</v>
      </c>
      <c r="L9" s="9">
        <f>'Log Lin 2.2'!O98</f>
        <v>3.5457786104732629</v>
      </c>
      <c r="N9" s="8" t="s">
        <v>117</v>
      </c>
      <c r="O9" s="24">
        <f>L15-O6</f>
        <v>-1.0715836162801904</v>
      </c>
      <c r="Q9" s="40" t="s">
        <v>118</v>
      </c>
    </row>
    <row r="10" spans="1:17" x14ac:dyDescent="0.35">
      <c r="A10" s="8" t="s">
        <v>8</v>
      </c>
      <c r="B10" t="s">
        <v>10</v>
      </c>
      <c r="C10" s="9" t="s">
        <v>2</v>
      </c>
      <c r="D10" s="39">
        <f t="shared" si="0"/>
        <v>1</v>
      </c>
      <c r="E10" s="31">
        <f t="shared" si="1"/>
        <v>0</v>
      </c>
      <c r="F10" s="31">
        <f t="shared" si="2"/>
        <v>0</v>
      </c>
      <c r="G10" s="31">
        <f t="shared" si="3"/>
        <v>1</v>
      </c>
      <c r="H10" s="31">
        <f t="shared" si="4"/>
        <v>0</v>
      </c>
      <c r="I10" s="31">
        <f t="shared" si="5"/>
        <v>0</v>
      </c>
      <c r="J10" s="34">
        <f t="shared" si="6"/>
        <v>1</v>
      </c>
      <c r="K10" s="9">
        <f>'Log Lin 2.2'!M99</f>
        <v>30.095238095238095</v>
      </c>
      <c r="L10" s="9">
        <f>'Log Lin 2.2'!O99</f>
        <v>3.4043669564234342</v>
      </c>
      <c r="N10" s="8" t="s">
        <v>119</v>
      </c>
      <c r="O10" s="24">
        <f>L16-O6</f>
        <v>-0.48379695137807133</v>
      </c>
      <c r="Q10" s="40" t="s">
        <v>120</v>
      </c>
    </row>
    <row r="11" spans="1:17" x14ac:dyDescent="0.35">
      <c r="A11" s="8" t="s">
        <v>8</v>
      </c>
      <c r="B11" t="s">
        <v>10</v>
      </c>
      <c r="C11" s="9" t="s">
        <v>3</v>
      </c>
      <c r="D11" s="39">
        <f t="shared" si="0"/>
        <v>1</v>
      </c>
      <c r="E11" s="31">
        <f t="shared" si="1"/>
        <v>0</v>
      </c>
      <c r="F11" s="31">
        <f t="shared" si="2"/>
        <v>0</v>
      </c>
      <c r="G11" s="31">
        <f t="shared" si="3"/>
        <v>0</v>
      </c>
      <c r="H11" s="31">
        <f t="shared" si="4"/>
        <v>0</v>
      </c>
      <c r="I11" s="31">
        <f t="shared" si="5"/>
        <v>0</v>
      </c>
      <c r="J11" s="34">
        <f t="shared" si="6"/>
        <v>0</v>
      </c>
      <c r="K11" s="9">
        <f>'Log Lin 2.2'!M100</f>
        <v>71.238095238095241</v>
      </c>
      <c r="L11" s="9">
        <f>'Log Lin 2.2'!O100</f>
        <v>4.2660277208109996</v>
      </c>
      <c r="N11" s="8" t="s">
        <v>121</v>
      </c>
      <c r="O11" s="24">
        <f>L8-O6-O7-O8</f>
        <v>1.5018820062128384</v>
      </c>
      <c r="Q11" s="40" t="s">
        <v>122</v>
      </c>
    </row>
    <row r="12" spans="1:17" x14ac:dyDescent="0.35">
      <c r="A12" s="8" t="s">
        <v>11</v>
      </c>
      <c r="B12" t="s">
        <v>9</v>
      </c>
      <c r="C12" s="9" t="s">
        <v>1</v>
      </c>
      <c r="D12" s="39">
        <f t="shared" si="0"/>
        <v>0</v>
      </c>
      <c r="E12" s="31">
        <f t="shared" si="1"/>
        <v>1</v>
      </c>
      <c r="F12" s="31">
        <f t="shared" si="2"/>
        <v>1</v>
      </c>
      <c r="G12" s="31">
        <f t="shared" si="3"/>
        <v>0</v>
      </c>
      <c r="H12" s="31">
        <f t="shared" si="4"/>
        <v>0</v>
      </c>
      <c r="I12" s="31">
        <f t="shared" si="5"/>
        <v>0</v>
      </c>
      <c r="J12" s="34">
        <f t="shared" si="6"/>
        <v>0</v>
      </c>
      <c r="K12" s="9">
        <f>'Log Lin 2.2'!M101</f>
        <v>6.6433566433566433</v>
      </c>
      <c r="L12" s="9">
        <f>'Log Lin 2.2'!O101</f>
        <v>1.8936173543346793</v>
      </c>
      <c r="N12" s="8" t="s">
        <v>123</v>
      </c>
      <c r="O12" s="24">
        <f>L9-O6-O7-O9</f>
        <v>0.35133450594245375</v>
      </c>
      <c r="Q12" s="40" t="s">
        <v>124</v>
      </c>
    </row>
    <row r="13" spans="1:17" x14ac:dyDescent="0.35">
      <c r="A13" s="8" t="s">
        <v>11</v>
      </c>
      <c r="B13" t="s">
        <v>9</v>
      </c>
      <c r="C13" s="9" t="s">
        <v>2</v>
      </c>
      <c r="D13" s="39">
        <f t="shared" si="0"/>
        <v>0</v>
      </c>
      <c r="E13" s="31">
        <f t="shared" si="1"/>
        <v>1</v>
      </c>
      <c r="F13" s="31">
        <f t="shared" si="2"/>
        <v>0</v>
      </c>
      <c r="G13" s="31">
        <f t="shared" si="3"/>
        <v>1</v>
      </c>
      <c r="H13" s="31">
        <f t="shared" si="4"/>
        <v>0</v>
      </c>
      <c r="I13" s="31">
        <f t="shared" si="5"/>
        <v>0</v>
      </c>
      <c r="J13" s="34">
        <f t="shared" si="6"/>
        <v>0</v>
      </c>
      <c r="K13" s="9">
        <f>'Log Lin 2.2'!M102</f>
        <v>11.958041958041958</v>
      </c>
      <c r="L13" s="9">
        <f>'Log Lin 2.2'!O102</f>
        <v>2.4814040192367983</v>
      </c>
      <c r="N13" s="10" t="s">
        <v>125</v>
      </c>
      <c r="O13" s="28">
        <f>L10-O6-O7-O10</f>
        <v>-0.37786381300949401</v>
      </c>
      <c r="Q13" s="40" t="s">
        <v>126</v>
      </c>
    </row>
    <row r="14" spans="1:17" x14ac:dyDescent="0.35">
      <c r="A14" s="8" t="s">
        <v>11</v>
      </c>
      <c r="B14" t="s">
        <v>9</v>
      </c>
      <c r="C14" s="9" t="s">
        <v>3</v>
      </c>
      <c r="D14" s="39">
        <f t="shared" si="0"/>
        <v>0</v>
      </c>
      <c r="E14" s="31">
        <f t="shared" si="1"/>
        <v>1</v>
      </c>
      <c r="F14" s="31">
        <f t="shared" si="2"/>
        <v>0</v>
      </c>
      <c r="G14" s="31">
        <f t="shared" si="3"/>
        <v>0</v>
      </c>
      <c r="H14" s="31">
        <f t="shared" si="4"/>
        <v>0</v>
      </c>
      <c r="I14" s="31">
        <f t="shared" si="5"/>
        <v>0</v>
      </c>
      <c r="J14" s="34">
        <f t="shared" si="6"/>
        <v>0</v>
      </c>
      <c r="K14" s="9">
        <f>'Log Lin 2.2'!M103</f>
        <v>19.3986013986014</v>
      </c>
      <c r="L14" s="9">
        <f>'Log Lin 2.2'!O103</f>
        <v>2.9652009706148696</v>
      </c>
    </row>
    <row r="15" spans="1:17" x14ac:dyDescent="0.35">
      <c r="A15" s="8" t="s">
        <v>11</v>
      </c>
      <c r="B15" t="s">
        <v>10</v>
      </c>
      <c r="C15" s="9" t="s">
        <v>1</v>
      </c>
      <c r="D15" s="39">
        <f t="shared" si="0"/>
        <v>0</v>
      </c>
      <c r="E15" s="31">
        <f t="shared" si="1"/>
        <v>0</v>
      </c>
      <c r="F15" s="31">
        <f t="shared" si="2"/>
        <v>1</v>
      </c>
      <c r="G15" s="31">
        <f t="shared" si="3"/>
        <v>0</v>
      </c>
      <c r="H15" s="31">
        <f t="shared" si="4"/>
        <v>0</v>
      </c>
      <c r="I15" s="31">
        <f t="shared" si="5"/>
        <v>0</v>
      </c>
      <c r="J15" s="34">
        <f t="shared" si="6"/>
        <v>0</v>
      </c>
      <c r="K15" s="9">
        <f>'Log Lin 2.2'!M104</f>
        <v>18.356643356643357</v>
      </c>
      <c r="L15" s="9">
        <f>'Log Lin 2.2'!O104</f>
        <v>2.9099915447658167</v>
      </c>
    </row>
    <row r="16" spans="1:17" x14ac:dyDescent="0.35">
      <c r="A16" s="8" t="s">
        <v>11</v>
      </c>
      <c r="B16" t="s">
        <v>10</v>
      </c>
      <c r="C16" s="9" t="s">
        <v>2</v>
      </c>
      <c r="D16" s="39">
        <f t="shared" si="0"/>
        <v>0</v>
      </c>
      <c r="E16" s="31">
        <f t="shared" si="1"/>
        <v>0</v>
      </c>
      <c r="F16" s="31">
        <f t="shared" si="2"/>
        <v>0</v>
      </c>
      <c r="G16" s="31">
        <f t="shared" si="3"/>
        <v>1</v>
      </c>
      <c r="H16" s="31">
        <f t="shared" si="4"/>
        <v>0</v>
      </c>
      <c r="I16" s="31">
        <f t="shared" si="5"/>
        <v>0</v>
      </c>
      <c r="J16" s="34">
        <f t="shared" si="6"/>
        <v>0</v>
      </c>
      <c r="K16" s="9">
        <f>'Log Lin 2.2'!M105</f>
        <v>33.04195804195804</v>
      </c>
      <c r="L16" s="9">
        <f>'Log Lin 2.2'!O105</f>
        <v>3.4977782096679357</v>
      </c>
    </row>
    <row r="17" spans="1:12" x14ac:dyDescent="0.35">
      <c r="A17" s="10" t="s">
        <v>11</v>
      </c>
      <c r="B17" s="11" t="s">
        <v>10</v>
      </c>
      <c r="C17" s="12" t="s">
        <v>3</v>
      </c>
      <c r="D17" s="41">
        <f t="shared" si="0"/>
        <v>0</v>
      </c>
      <c r="E17" s="35">
        <f t="shared" si="1"/>
        <v>0</v>
      </c>
      <c r="F17" s="35">
        <f t="shared" si="2"/>
        <v>0</v>
      </c>
      <c r="G17" s="35">
        <f t="shared" si="3"/>
        <v>0</v>
      </c>
      <c r="H17" s="35">
        <f t="shared" si="4"/>
        <v>0</v>
      </c>
      <c r="I17" s="35">
        <f t="shared" si="5"/>
        <v>0</v>
      </c>
      <c r="J17" s="36">
        <f t="shared" si="6"/>
        <v>0</v>
      </c>
      <c r="K17" s="28">
        <f>'Log Lin 2.2'!M106</f>
        <v>53.6013986013986</v>
      </c>
      <c r="L17" s="12">
        <f>'Log Lin 2.2'!O106</f>
        <v>3.9815751610460071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Log Lin 2.1</vt:lpstr>
      <vt:lpstr>Log Lin 2.2</vt:lpstr>
      <vt:lpstr>Log Lin 2.3</vt:lpstr>
      <vt:lpstr>Log Lin 2.4</vt:lpstr>
      <vt:lpstr>Log Lin 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2024-03-12T09:48:15Z</dcterms:created>
  <dcterms:modified xsi:type="dcterms:W3CDTF">2024-03-12T09:56:26Z</dcterms:modified>
</cp:coreProperties>
</file>