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D73606D-8D12-4F2A-B03D-EEADA407D9D6}" xr6:coauthVersionLast="47" xr6:coauthVersionMax="47" xr10:uidLastSave="{00000000-0000-0000-0000-000000000000}"/>
  <bookViews>
    <workbookView xWindow="-110" yWindow="-110" windowWidth="19420" windowHeight="10300" xr2:uid="{6CC28139-105E-4C62-B123-E938E122ABFD}"/>
  </bookViews>
  <sheets>
    <sheet name="Title" sheetId="2" r:id="rId1"/>
    <sheet name="KW-Po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5" i="1"/>
  <c r="G34" i="1"/>
  <c r="G33" i="1"/>
  <c r="G32" i="1"/>
  <c r="I27" i="1"/>
  <c r="AG26" i="1"/>
  <c r="Y26" i="1"/>
  <c r="Q26" i="1"/>
  <c r="I26" i="1"/>
  <c r="AG25" i="1"/>
  <c r="Y25" i="1"/>
  <c r="Q25" i="1"/>
  <c r="AG24" i="1"/>
  <c r="Y24" i="1"/>
  <c r="Q24" i="1"/>
  <c r="AQ23" i="1" a="1"/>
  <c r="AR23" i="1" s="1"/>
  <c r="J23" i="1"/>
  <c r="G22" i="1"/>
  <c r="Z21" i="1"/>
  <c r="G21" i="1"/>
  <c r="AE20" i="1"/>
  <c r="AG20" i="1" s="1"/>
  <c r="W20" i="1"/>
  <c r="Y20" i="1" s="1"/>
  <c r="O20" i="1"/>
  <c r="Q20" i="1" s="1"/>
  <c r="G20" i="1"/>
  <c r="AE19" i="1"/>
  <c r="AG19" i="1" s="1"/>
  <c r="W19" i="1"/>
  <c r="Y19" i="1" s="1"/>
  <c r="O19" i="1"/>
  <c r="AE18" i="1"/>
  <c r="AG18" i="1" s="1"/>
  <c r="W18" i="1"/>
  <c r="O18" i="1"/>
  <c r="AN15" i="1"/>
  <c r="AN14" i="1"/>
  <c r="AN13" i="1"/>
  <c r="AG13" i="1"/>
  <c r="Y13" i="1"/>
  <c r="Q13" i="1"/>
  <c r="K13" i="1"/>
  <c r="AG12" i="1"/>
  <c r="Y12" i="1"/>
  <c r="Q12" i="1"/>
  <c r="K12" i="1"/>
  <c r="BB11" i="1"/>
  <c r="AX11" i="1" a="1"/>
  <c r="AX11" i="1" s="1"/>
  <c r="AG11" i="1"/>
  <c r="Y11" i="1"/>
  <c r="Q11" i="1"/>
  <c r="K11" i="1"/>
  <c r="AQ9" i="1" a="1"/>
  <c r="AR11" i="1" s="1"/>
  <c r="AN8" i="1"/>
  <c r="Z8" i="1"/>
  <c r="J8" i="1"/>
  <c r="AZ7" i="1"/>
  <c r="AN7" i="1"/>
  <c r="AE7" i="1"/>
  <c r="AG7" i="1" s="1"/>
  <c r="W7" i="1"/>
  <c r="Y7" i="1" s="1"/>
  <c r="O7" i="1"/>
  <c r="Q7" i="1" s="1"/>
  <c r="G7" i="1"/>
  <c r="I7" i="1" s="1"/>
  <c r="AZ6" i="1"/>
  <c r="AN6" i="1"/>
  <c r="AE6" i="1"/>
  <c r="AG6" i="1" s="1"/>
  <c r="W6" i="1"/>
  <c r="Y6" i="1" s="1"/>
  <c r="O6" i="1"/>
  <c r="Q6" i="1" s="1"/>
  <c r="G6" i="1"/>
  <c r="I6" i="1" s="1"/>
  <c r="AZ5" i="1"/>
  <c r="AZ8" i="1" s="1"/>
  <c r="AE5" i="1"/>
  <c r="W5" i="1"/>
  <c r="O5" i="1"/>
  <c r="Q5" i="1" s="1"/>
  <c r="G5" i="1"/>
  <c r="F39" i="1"/>
  <c r="F38" i="1"/>
  <c r="I35" i="1"/>
  <c r="H35" i="1"/>
  <c r="H34" i="1"/>
  <c r="F34" i="1"/>
  <c r="H33" i="1"/>
  <c r="F33" i="1"/>
  <c r="H32" i="1"/>
  <c r="F32" i="1"/>
  <c r="J30" i="1"/>
  <c r="D30" i="1"/>
  <c r="C30" i="1"/>
  <c r="B30" i="1"/>
  <c r="D29" i="1"/>
  <c r="C29" i="1"/>
  <c r="B29" i="1"/>
  <c r="F27" i="1"/>
  <c r="V26" i="1"/>
  <c r="O26" i="1"/>
  <c r="F26" i="1"/>
  <c r="O25" i="1"/>
  <c r="N25" i="1"/>
  <c r="AT24" i="1"/>
  <c r="AT25" i="1" s="1"/>
  <c r="O24" i="1"/>
  <c r="N24" i="1"/>
  <c r="H22" i="1"/>
  <c r="F22" i="1"/>
  <c r="P21" i="1"/>
  <c r="H21" i="1"/>
  <c r="F21" i="1"/>
  <c r="AF20" i="1"/>
  <c r="AD20" i="1"/>
  <c r="AE26" i="1" s="1"/>
  <c r="X20" i="1"/>
  <c r="V20" i="1"/>
  <c r="P20" i="1"/>
  <c r="N20" i="1"/>
  <c r="H20" i="1"/>
  <c r="F20" i="1"/>
  <c r="AF19" i="1"/>
  <c r="AD19" i="1"/>
  <c r="X19" i="1"/>
  <c r="V19" i="1"/>
  <c r="W24" i="1" s="1"/>
  <c r="P19" i="1"/>
  <c r="N19" i="1"/>
  <c r="N26" i="1" s="1"/>
  <c r="AF18" i="1"/>
  <c r="AF21" i="1" s="1"/>
  <c r="AI21" i="1" s="1"/>
  <c r="AD18" i="1"/>
  <c r="X18" i="1"/>
  <c r="X21" i="1" s="1"/>
  <c r="V18" i="1"/>
  <c r="V25" i="1" s="1"/>
  <c r="P18" i="1"/>
  <c r="N18" i="1"/>
  <c r="AO15" i="1"/>
  <c r="AM15" i="1"/>
  <c r="AL15" i="1"/>
  <c r="D15" i="1"/>
  <c r="C15" i="1"/>
  <c r="B15" i="1"/>
  <c r="AO14" i="1"/>
  <c r="AM14" i="1"/>
  <c r="AL14" i="1"/>
  <c r="D14" i="1"/>
  <c r="C14" i="1"/>
  <c r="B14" i="1"/>
  <c r="AO13" i="1"/>
  <c r="AM13" i="1"/>
  <c r="AL13" i="1"/>
  <c r="AE13" i="1"/>
  <c r="AD13" i="1"/>
  <c r="O13" i="1"/>
  <c r="N13" i="1"/>
  <c r="V12" i="1"/>
  <c r="G12" i="1"/>
  <c r="F12" i="1"/>
  <c r="AD11" i="1"/>
  <c r="V11" i="1"/>
  <c r="O11" i="1"/>
  <c r="G11" i="1"/>
  <c r="F11" i="1"/>
  <c r="AY8" i="1"/>
  <c r="AO8" i="1"/>
  <c r="AM8" i="1"/>
  <c r="AL8" i="1"/>
  <c r="R8" i="1"/>
  <c r="BA7" i="1"/>
  <c r="AX7" i="1"/>
  <c r="AO7" i="1"/>
  <c r="AM7" i="1"/>
  <c r="AL7" i="1"/>
  <c r="AF7" i="1"/>
  <c r="AD7" i="1"/>
  <c r="AE12" i="1" s="1"/>
  <c r="X7" i="1"/>
  <c r="V7" i="1"/>
  <c r="P7" i="1"/>
  <c r="N7" i="1"/>
  <c r="O12" i="1" s="1"/>
  <c r="H7" i="1"/>
  <c r="F7" i="1"/>
  <c r="G13" i="1" s="1"/>
  <c r="BA6" i="1"/>
  <c r="AX6" i="1"/>
  <c r="AO6" i="1"/>
  <c r="AM6" i="1"/>
  <c r="AL6" i="1"/>
  <c r="AF6" i="1"/>
  <c r="AD6" i="1"/>
  <c r="AE11" i="1" s="1"/>
  <c r="X6" i="1"/>
  <c r="V6" i="1"/>
  <c r="V13" i="1" s="1"/>
  <c r="P6" i="1"/>
  <c r="N6" i="1"/>
  <c r="H6" i="1"/>
  <c r="F6" i="1"/>
  <c r="F13" i="1" s="1"/>
  <c r="BA5" i="1"/>
  <c r="AX5" i="1"/>
  <c r="AG5" i="1"/>
  <c r="AF5" i="1"/>
  <c r="AD5" i="1"/>
  <c r="AD12" i="1" s="1"/>
  <c r="X5" i="1"/>
  <c r="V5" i="1"/>
  <c r="P5" i="1"/>
  <c r="S3" i="1" s="1"/>
  <c r="R16" i="1" s="1"/>
  <c r="R21" i="1" s="1"/>
  <c r="N5" i="1"/>
  <c r="H5" i="1"/>
  <c r="F5" i="1"/>
  <c r="G27" i="1" l="1"/>
  <c r="G39" i="1"/>
  <c r="P13" i="1"/>
  <c r="AS23" i="1"/>
  <c r="AS24" i="1"/>
  <c r="AQ24" i="1"/>
  <c r="AR24" i="1"/>
  <c r="AS11" i="1"/>
  <c r="AQ25" i="1"/>
  <c r="AR25" i="1"/>
  <c r="AQ9" i="1"/>
  <c r="AR9" i="1"/>
  <c r="X26" i="1"/>
  <c r="AS9" i="1"/>
  <c r="AS25" i="1"/>
  <c r="AQ10" i="1"/>
  <c r="AR10" i="1"/>
  <c r="AS10" i="1"/>
  <c r="AQ23" i="1"/>
  <c r="AQ11" i="1"/>
  <c r="AF13" i="1"/>
  <c r="H13" i="1"/>
  <c r="Q19" i="1"/>
  <c r="P26" i="1" s="1"/>
  <c r="G26" i="1"/>
  <c r="AF11" i="1"/>
  <c r="K35" i="1"/>
  <c r="G38" i="1"/>
  <c r="H38" i="1" s="1"/>
  <c r="AF26" i="1"/>
  <c r="Q18" i="1"/>
  <c r="P25" i="1" s="1"/>
  <c r="H8" i="1"/>
  <c r="AD25" i="1"/>
  <c r="AD24" i="1"/>
  <c r="AF25" i="1"/>
  <c r="AF24" i="1"/>
  <c r="Y18" i="1"/>
  <c r="X13" i="1"/>
  <c r="AD26" i="1"/>
  <c r="AE24" i="1"/>
  <c r="I5" i="1"/>
  <c r="AZ11" i="1"/>
  <c r="P12" i="1"/>
  <c r="P11" i="1"/>
  <c r="X8" i="1"/>
  <c r="AF12" i="1"/>
  <c r="AA3" i="1"/>
  <c r="Z16" i="1" s="1"/>
  <c r="N12" i="1"/>
  <c r="N11" i="1"/>
  <c r="W11" i="1"/>
  <c r="AI3" i="1"/>
  <c r="AH16" i="1" s="1"/>
  <c r="AH21" i="1" s="1"/>
  <c r="AF8" i="1"/>
  <c r="W13" i="1"/>
  <c r="W12" i="1"/>
  <c r="W25" i="1"/>
  <c r="W26" i="1"/>
  <c r="P8" i="1"/>
  <c r="AE25" i="1"/>
  <c r="BA8" i="1"/>
  <c r="AY11" i="1" s="1"/>
  <c r="BA11" i="1" s="1"/>
  <c r="BC11" i="1" s="1"/>
  <c r="Y5" i="1"/>
  <c r="V24" i="1"/>
  <c r="H23" i="1"/>
  <c r="I23" i="1" s="1"/>
  <c r="K23" i="1" s="1"/>
  <c r="P24" i="1" l="1"/>
  <c r="R24" i="1" s="1"/>
  <c r="T24" i="1" s="1"/>
  <c r="AI25" i="1"/>
  <c r="AI24" i="1"/>
  <c r="AI8" i="1"/>
  <c r="AH8" i="1" s="1"/>
  <c r="AH12" i="1"/>
  <c r="AJ12" i="1" s="1"/>
  <c r="AR20" i="1"/>
  <c r="I13" i="1"/>
  <c r="I12" i="1"/>
  <c r="L12" i="1" s="1"/>
  <c r="I11" i="1"/>
  <c r="L11" i="1" s="1"/>
  <c r="X12" i="1"/>
  <c r="X11" i="1"/>
  <c r="X25" i="1"/>
  <c r="X24" i="1"/>
  <c r="H27" i="1"/>
  <c r="AH25" i="1"/>
  <c r="AJ25" i="1" s="1"/>
  <c r="R25" i="1"/>
  <c r="T25" i="1" s="1"/>
  <c r="H39" i="1"/>
  <c r="H11" i="1"/>
  <c r="H12" i="1"/>
  <c r="S12" i="1"/>
  <c r="S11" i="1"/>
  <c r="S25" i="1"/>
  <c r="S24" i="1"/>
  <c r="R11" i="1"/>
  <c r="T11" i="1" s="1"/>
  <c r="AH24" i="1"/>
  <c r="AJ24" i="1" s="1"/>
  <c r="AA13" i="1"/>
  <c r="AA12" i="1"/>
  <c r="AA11" i="1"/>
  <c r="AA25" i="1"/>
  <c r="AA24" i="1"/>
  <c r="H26" i="1"/>
  <c r="AR6" i="1"/>
  <c r="AT9" i="1" s="1"/>
  <c r="R12" i="1" l="1"/>
  <c r="T12" i="1" s="1"/>
  <c r="AU23" i="1"/>
  <c r="AU25" i="1"/>
  <c r="AV25" i="1" s="1"/>
  <c r="AV24" i="1" s="1"/>
  <c r="AV23" i="1" s="1"/>
  <c r="AU24" i="1"/>
  <c r="AI26" i="1"/>
  <c r="AH26" i="1"/>
  <c r="AJ26" i="1" s="1"/>
  <c r="L13" i="1"/>
  <c r="J13" i="1"/>
  <c r="Z13" i="1"/>
  <c r="AB13" i="1" s="1"/>
  <c r="AT10" i="1"/>
  <c r="AU9" i="1"/>
  <c r="AI11" i="1"/>
  <c r="AH11" i="1"/>
  <c r="AJ11" i="1" s="1"/>
  <c r="AI12" i="1"/>
  <c r="Z24" i="1"/>
  <c r="AB24" i="1" s="1"/>
  <c r="AI13" i="1"/>
  <c r="AH13" i="1"/>
  <c r="AJ13" i="1" s="1"/>
  <c r="S13" i="1"/>
  <c r="R13" i="1"/>
  <c r="T13" i="1" s="1"/>
  <c r="S26" i="1"/>
  <c r="R26" i="1"/>
  <c r="T26" i="1" s="1"/>
  <c r="Z25" i="1"/>
  <c r="AB25" i="1" s="1"/>
  <c r="AA26" i="1"/>
  <c r="Z26" i="1"/>
  <c r="AB26" i="1" s="1"/>
  <c r="J12" i="1"/>
  <c r="Z11" i="1"/>
  <c r="AB11" i="1" s="1"/>
  <c r="J11" i="1"/>
  <c r="Z12" i="1"/>
  <c r="AB12" i="1" s="1"/>
  <c r="AU10" i="1" l="1"/>
  <c r="AT11" i="1"/>
  <c r="AU11" i="1" s="1"/>
  <c r="AV11" i="1" s="1"/>
  <c r="AV10" i="1" s="1"/>
  <c r="AV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<sst xmlns="http://schemas.openxmlformats.org/spreadsheetml/2006/main" count="189" uniqueCount="55">
  <si>
    <t>Kruskal-Wallis Post-Hoc</t>
  </si>
  <si>
    <t>New</t>
  </si>
  <si>
    <t>Old</t>
  </si>
  <si>
    <t>Control</t>
  </si>
  <si>
    <t>NEMENYI TEST</t>
  </si>
  <si>
    <t>alpha</t>
  </si>
  <si>
    <t>DUNN's TEST</t>
  </si>
  <si>
    <t>Schaich-Hamerle Test</t>
  </si>
  <si>
    <t>CONOVER TEST</t>
  </si>
  <si>
    <t>Pairwise Mann-Whitney tests</t>
  </si>
  <si>
    <t>Hochberg's Method</t>
  </si>
  <si>
    <t>CONTRAST KW</t>
  </si>
  <si>
    <t>group</t>
  </si>
  <si>
    <t>R sum</t>
  </si>
  <si>
    <t>size</t>
  </si>
  <si>
    <t>R mean</t>
  </si>
  <si>
    <t>q-crit</t>
  </si>
  <si>
    <t>R-sum</t>
  </si>
  <si>
    <t>R-mean</t>
  </si>
  <si>
    <t>z-crit</t>
  </si>
  <si>
    <t>chi-crit</t>
  </si>
  <si>
    <t>t-crit</t>
  </si>
  <si>
    <t>df</t>
  </si>
  <si>
    <t>contrast</t>
  </si>
  <si>
    <t>group 1</t>
  </si>
  <si>
    <t>group 2</t>
  </si>
  <si>
    <t>p-value</t>
  </si>
  <si>
    <t>mean</t>
  </si>
  <si>
    <t>Alpha</t>
  </si>
  <si>
    <t># of tests</t>
  </si>
  <si>
    <t>rank</t>
  </si>
  <si>
    <t>sig</t>
  </si>
  <si>
    <t>Q TEST</t>
  </si>
  <si>
    <t>D TEST</t>
  </si>
  <si>
    <t>CHI-SQ TEST</t>
  </si>
  <si>
    <t>T TEST</t>
  </si>
  <si>
    <t>std err</t>
  </si>
  <si>
    <t>q-stat</t>
  </si>
  <si>
    <t>R-crit</t>
  </si>
  <si>
    <t>z-stat</t>
  </si>
  <si>
    <t>chi-stat</t>
  </si>
  <si>
    <t>t-stat</t>
  </si>
  <si>
    <t>Pairwise Mann-Whitney exact tests</t>
  </si>
  <si>
    <t>chi-sq</t>
  </si>
  <si>
    <t>var</t>
  </si>
  <si>
    <t>Benjamini-Hochberg Method</t>
  </si>
  <si>
    <t>STEEL's TEST</t>
  </si>
  <si>
    <t>std error</t>
  </si>
  <si>
    <t>d-crit</t>
  </si>
  <si>
    <t>FDR</t>
  </si>
  <si>
    <t>d-stat</t>
  </si>
  <si>
    <t>Real Statistics Using Excel</t>
  </si>
  <si>
    <t>Updated</t>
  </si>
  <si>
    <t>Copyright © 2013 - 2024 Charles Zaiontz</t>
  </si>
  <si>
    <t>Kruskal-Wallis Post-hoc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</si>
</sst>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right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D8E-79A1-4958-8547-6A82C1863049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51</v>
      </c>
    </row>
    <row r="2" spans="1:13" x14ac:dyDescent="0.35">
      <c r="A2" t="s">
        <v>54</v>
      </c>
    </row>
    <row r="4" spans="1:13" x14ac:dyDescent="0.35">
      <c r="A4" t="s">
        <v>52</v>
      </c>
      <c r="B4" s="14">
        <v>45473</v>
      </c>
    </row>
    <row r="6" spans="1:13" x14ac:dyDescent="0.35">
      <c r="A6" s="15" t="s">
        <v>53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A794-1C12-497B-97BC-6907F3C5CCC7}">
  <dimension ref="A1:BC39"/>
  <sheetViews>
    <sheetView workbookViewId="0"/>
  </sheetViews>
  <sheetFormatPr defaultRowHeight="14.5" x14ac:dyDescent="0.35"/>
  <cols>
    <col min="1" max="1" width="6.1796875" customWidth="1"/>
    <col min="2" max="4" width="7" customWidth="1"/>
  </cols>
  <sheetData>
    <row r="1" spans="1:55" x14ac:dyDescent="0.35">
      <c r="A1" s="1" t="s">
        <v>0</v>
      </c>
    </row>
    <row r="3" spans="1:55" ht="15" thickBot="1" x14ac:dyDescent="0.4">
      <c r="B3" s="2" t="s">
        <v>1</v>
      </c>
      <c r="C3" s="2" t="s">
        <v>2</v>
      </c>
      <c r="D3" s="2" t="s">
        <v>3</v>
      </c>
      <c r="F3" t="s">
        <v>4</v>
      </c>
      <c r="I3" t="s">
        <v>5</v>
      </c>
      <c r="J3">
        <v>0.05</v>
      </c>
      <c r="N3" t="s">
        <v>6</v>
      </c>
      <c r="Q3" t="s">
        <v>5</v>
      </c>
      <c r="R3">
        <v>0.05</v>
      </c>
      <c r="S3">
        <f>R3/(COUNT(P5:P7)*(COUNT(P5:P7)-1)/2)</f>
        <v>1.6666666666666666E-2</v>
      </c>
      <c r="V3" t="s">
        <v>7</v>
      </c>
      <c r="Y3" t="s">
        <v>5</v>
      </c>
      <c r="Z3">
        <v>0.05</v>
      </c>
      <c r="AA3">
        <f>Z3/(COUNT(X5:X7)*(COUNT(X5:X7)-1)/2)</f>
        <v>1.6666666666666666E-2</v>
      </c>
      <c r="AD3" t="s">
        <v>8</v>
      </c>
      <c r="AG3" t="s">
        <v>5</v>
      </c>
      <c r="AH3">
        <v>0.05</v>
      </c>
      <c r="AI3">
        <f>AH3/(COUNT(AF5:AF7)*(COUNT(AF5:AF7)-1)/2)</f>
        <v>1.6666666666666666E-2</v>
      </c>
      <c r="AL3" t="s">
        <v>9</v>
      </c>
      <c r="AQ3" t="s">
        <v>10</v>
      </c>
      <c r="AX3" t="s">
        <v>11</v>
      </c>
    </row>
    <row r="4" spans="1:55" ht="15.5" thickTop="1" thickBot="1" x14ac:dyDescent="0.4">
      <c r="B4" s="3">
        <v>81</v>
      </c>
      <c r="C4" s="3">
        <v>48</v>
      </c>
      <c r="D4" s="3">
        <v>18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N4" s="4" t="s">
        <v>12</v>
      </c>
      <c r="O4" s="4" t="s">
        <v>17</v>
      </c>
      <c r="P4" s="4" t="s">
        <v>14</v>
      </c>
      <c r="Q4" s="4" t="s">
        <v>18</v>
      </c>
      <c r="R4" s="4" t="s">
        <v>19</v>
      </c>
      <c r="V4" s="4" t="s">
        <v>12</v>
      </c>
      <c r="W4" s="4" t="s">
        <v>17</v>
      </c>
      <c r="X4" s="4" t="s">
        <v>14</v>
      </c>
      <c r="Y4" s="4" t="s">
        <v>18</v>
      </c>
      <c r="Z4" s="4" t="s">
        <v>20</v>
      </c>
      <c r="AD4" s="4" t="s">
        <v>12</v>
      </c>
      <c r="AE4" s="4" t="s">
        <v>17</v>
      </c>
      <c r="AF4" s="4" t="s">
        <v>14</v>
      </c>
      <c r="AG4" s="4" t="s">
        <v>18</v>
      </c>
      <c r="AH4" s="4" t="s">
        <v>21</v>
      </c>
      <c r="AI4" s="4" t="s">
        <v>22</v>
      </c>
      <c r="AX4" s="4" t="s">
        <v>12</v>
      </c>
      <c r="AY4" s="4" t="s">
        <v>23</v>
      </c>
      <c r="AZ4" s="4" t="s">
        <v>18</v>
      </c>
      <c r="BA4" s="4" t="s">
        <v>14</v>
      </c>
    </row>
    <row r="5" spans="1:55" ht="15" thickTop="1" x14ac:dyDescent="0.35">
      <c r="B5" s="3">
        <v>32</v>
      </c>
      <c r="C5" s="3">
        <v>31</v>
      </c>
      <c r="D5" s="3">
        <v>49</v>
      </c>
      <c r="F5" t="str">
        <f>B3</f>
        <v>New</v>
      </c>
      <c r="G5" t="e">
        <f ca="1">RANK_SUM(B4:D13,1,1)</f>
        <v>#NAME?</v>
      </c>
      <c r="H5">
        <f>COUNT(B4:B13)</f>
        <v>10</v>
      </c>
      <c r="I5" t="e">
        <f ca="1">G5/H5</f>
        <v>#NAME?</v>
      </c>
      <c r="N5" t="str">
        <f>B3</f>
        <v>New</v>
      </c>
      <c r="O5" t="e">
        <f ca="1">RANK_SUM(B4:D13,1,1)</f>
        <v>#NAME?</v>
      </c>
      <c r="P5">
        <f>COUNT(B4:B13)</f>
        <v>10</v>
      </c>
      <c r="Q5" t="e">
        <f ca="1">O5/P5</f>
        <v>#NAME?</v>
      </c>
      <c r="V5" t="str">
        <f>B3</f>
        <v>New</v>
      </c>
      <c r="W5" t="e">
        <f ca="1">RANK_SUM(B4:D13,1,1)</f>
        <v>#NAME?</v>
      </c>
      <c r="X5">
        <f>COUNT(B4:B13)</f>
        <v>10</v>
      </c>
      <c r="Y5" t="e">
        <f ca="1">W5/X5</f>
        <v>#NAME?</v>
      </c>
      <c r="AD5" t="str">
        <f>B3</f>
        <v>New</v>
      </c>
      <c r="AE5" t="e">
        <f ca="1">RANK_SUM(B4:D13,1,1)</f>
        <v>#NAME?</v>
      </c>
      <c r="AF5">
        <f>COUNT(B4:B13)</f>
        <v>10</v>
      </c>
      <c r="AG5" t="e">
        <f ca="1">AE5/AF5</f>
        <v>#NAME?</v>
      </c>
      <c r="AL5" s="4" t="s">
        <v>24</v>
      </c>
      <c r="AM5" s="4" t="s">
        <v>25</v>
      </c>
      <c r="AN5" s="4" t="s">
        <v>26</v>
      </c>
      <c r="AO5" s="4" t="s">
        <v>27</v>
      </c>
      <c r="AQ5" t="s">
        <v>28</v>
      </c>
      <c r="AR5" s="5">
        <v>0.05</v>
      </c>
      <c r="AX5" t="str">
        <f>B3</f>
        <v>New</v>
      </c>
      <c r="AY5" s="6">
        <v>0.5</v>
      </c>
      <c r="AZ5" t="e">
        <f ca="1">RANK_SUM(B4:D13,1,1)/BA5</f>
        <v>#NAME?</v>
      </c>
      <c r="BA5">
        <f>COUNT(B4:B13)</f>
        <v>10</v>
      </c>
    </row>
    <row r="6" spans="1:55" x14ac:dyDescent="0.35">
      <c r="B6" s="3">
        <v>42</v>
      </c>
      <c r="C6" s="3">
        <v>25</v>
      </c>
      <c r="D6" s="3">
        <v>33</v>
      </c>
      <c r="F6" t="str">
        <f>C3</f>
        <v>Old</v>
      </c>
      <c r="G6" t="e">
        <f ca="1">RANK_SUM(B4:D13,2,1)</f>
        <v>#NAME?</v>
      </c>
      <c r="H6">
        <f>COUNT(C4:C13)</f>
        <v>9</v>
      </c>
      <c r="I6" t="e">
        <f ca="1">G6/H6</f>
        <v>#NAME?</v>
      </c>
      <c r="N6" t="str">
        <f>C3</f>
        <v>Old</v>
      </c>
      <c r="O6" t="e">
        <f ca="1">RANK_SUM(B4:D13,2,1)</f>
        <v>#NAME?</v>
      </c>
      <c r="P6">
        <f>COUNT(C4:C13)</f>
        <v>9</v>
      </c>
      <c r="Q6" t="e">
        <f ca="1">O6/P6</f>
        <v>#NAME?</v>
      </c>
      <c r="V6" t="str">
        <f>C3</f>
        <v>Old</v>
      </c>
      <c r="W6" t="e">
        <f ca="1">RANK_SUM(B4:D13,2,1)</f>
        <v>#NAME?</v>
      </c>
      <c r="X6">
        <f>COUNT(C4:C13)</f>
        <v>9</v>
      </c>
      <c r="Y6" t="e">
        <f ca="1">W6/X6</f>
        <v>#NAME?</v>
      </c>
      <c r="AD6" t="str">
        <f>C3</f>
        <v>Old</v>
      </c>
      <c r="AE6" t="e">
        <f ca="1">RANK_SUM(B4:D13,2,1)</f>
        <v>#NAME?</v>
      </c>
      <c r="AF6">
        <f>COUNT(C4:C13)</f>
        <v>9</v>
      </c>
      <c r="AG6" t="e">
        <f ca="1">AE6/AF6</f>
        <v>#NAME?</v>
      </c>
      <c r="AL6" t="str">
        <f>B3</f>
        <v>New</v>
      </c>
      <c r="AM6" t="str">
        <f>C3</f>
        <v>Old</v>
      </c>
      <c r="AN6" t="e">
        <f ca="1">MWTEST(B4:B13,C4:C13)</f>
        <v>#NAME?</v>
      </c>
      <c r="AO6">
        <f>ABS(AVERAGE(B4:B13)-AVERAGE(C4:C13))</f>
        <v>16.966666666666665</v>
      </c>
      <c r="AQ6" t="s">
        <v>29</v>
      </c>
      <c r="AR6" s="7">
        <f ca="1">COUNT(AS9:AS11)</f>
        <v>0</v>
      </c>
      <c r="AX6" t="str">
        <f>C3</f>
        <v>Old</v>
      </c>
      <c r="AY6" s="6">
        <v>0.5</v>
      </c>
      <c r="AZ6" t="e">
        <f ca="1">RANK_SUM(B4:D13,2,1)/BA6</f>
        <v>#NAME?</v>
      </c>
      <c r="BA6">
        <f>COUNT(C4:C13)</f>
        <v>9</v>
      </c>
    </row>
    <row r="7" spans="1:55" ht="15" thickBot="1" x14ac:dyDescent="0.4">
      <c r="B7" s="3">
        <v>62</v>
      </c>
      <c r="C7" s="3">
        <v>22</v>
      </c>
      <c r="D7" s="3">
        <v>19</v>
      </c>
      <c r="F7" t="str">
        <f>D3</f>
        <v>Control</v>
      </c>
      <c r="G7" t="e">
        <f ca="1">RANK_SUM(B4:D13,3,1)</f>
        <v>#NAME?</v>
      </c>
      <c r="H7">
        <f>COUNT(D4:D13)</f>
        <v>8</v>
      </c>
      <c r="I7" t="e">
        <f ca="1">G7/H7</f>
        <v>#NAME?</v>
      </c>
      <c r="N7" t="str">
        <f>D3</f>
        <v>Control</v>
      </c>
      <c r="O7" t="e">
        <f ca="1">RANK_SUM(B4:D13,3,1)</f>
        <v>#NAME?</v>
      </c>
      <c r="P7">
        <f>COUNT(D4:D13)</f>
        <v>8</v>
      </c>
      <c r="Q7" t="e">
        <f ca="1">O7/P7</f>
        <v>#NAME?</v>
      </c>
      <c r="V7" t="str">
        <f>D3</f>
        <v>Control</v>
      </c>
      <c r="W7" t="e">
        <f ca="1">RANK_SUM(B4:D13,3,1)</f>
        <v>#NAME?</v>
      </c>
      <c r="X7">
        <f>COUNT(D4:D13)</f>
        <v>8</v>
      </c>
      <c r="Y7" t="e">
        <f ca="1">W7/X7</f>
        <v>#NAME?</v>
      </c>
      <c r="AD7" t="str">
        <f>D3</f>
        <v>Control</v>
      </c>
      <c r="AE7" t="e">
        <f ca="1">RANK_SUM(B4:D13,3,1)</f>
        <v>#NAME?</v>
      </c>
      <c r="AF7">
        <f>COUNT(D4:D13)</f>
        <v>8</v>
      </c>
      <c r="AG7" t="e">
        <f ca="1">AE7/AF7</f>
        <v>#NAME?</v>
      </c>
      <c r="AL7" t="str">
        <f>B3</f>
        <v>New</v>
      </c>
      <c r="AM7" t="str">
        <f>D3</f>
        <v>Control</v>
      </c>
      <c r="AN7" t="e">
        <f ca="1">MWTEST(B4:B13,D4:D13)</f>
        <v>#NAME?</v>
      </c>
      <c r="AO7">
        <f>ABS(AVERAGE(B4:B13)-AVERAGE(D4:D13))</f>
        <v>18.549999999999997</v>
      </c>
      <c r="AX7" t="str">
        <f>D3</f>
        <v>Control</v>
      </c>
      <c r="AY7" s="6">
        <v>-1</v>
      </c>
      <c r="AZ7" t="e">
        <f ca="1">RANK_SUM(B4:D13,3,1)/BA7</f>
        <v>#NAME?</v>
      </c>
      <c r="BA7">
        <f>COUNT(D4:D13)</f>
        <v>8</v>
      </c>
    </row>
    <row r="8" spans="1:55" ht="15" thickTop="1" x14ac:dyDescent="0.35">
      <c r="B8" s="3">
        <v>37</v>
      </c>
      <c r="C8" s="3">
        <v>30</v>
      </c>
      <c r="D8" s="3">
        <v>24</v>
      </c>
      <c r="F8" s="8"/>
      <c r="G8" s="8"/>
      <c r="H8" s="8">
        <f>SUM(H5:H7)</f>
        <v>27</v>
      </c>
      <c r="I8" s="8"/>
      <c r="J8" s="8" t="e">
        <f ca="1">QCRIT(COUNT(H5:H7),480,J3,2)</f>
        <v>#NAME?</v>
      </c>
      <c r="N8" s="8"/>
      <c r="O8" s="8"/>
      <c r="P8" s="8">
        <f>SUM(P5:P7)</f>
        <v>27</v>
      </c>
      <c r="Q8" s="8"/>
      <c r="R8" s="8">
        <f>_xlfn.NORM.S.INV(1-R3/2)</f>
        <v>1.9599639845400536</v>
      </c>
      <c r="V8" s="8"/>
      <c r="W8" s="8"/>
      <c r="X8" s="8">
        <f>SUM(X5:X7)</f>
        <v>27</v>
      </c>
      <c r="Y8" s="8"/>
      <c r="Z8" s="8" t="e">
        <f ca="1">CHISQ_INV_RT(Z3,COUNT(X$5:X$7)-1)</f>
        <v>#NAME?</v>
      </c>
      <c r="AD8" s="8"/>
      <c r="AE8" s="8"/>
      <c r="AF8" s="8">
        <f>SUM(AF5:AF7)</f>
        <v>27</v>
      </c>
      <c r="AG8" s="8"/>
      <c r="AH8" s="8">
        <f>_xlfn.T.INV.2T(AH3,AI8)</f>
        <v>2.0638985616280254</v>
      </c>
      <c r="AI8" s="8">
        <f>AF8-COUNT(AF5:AF7)</f>
        <v>24</v>
      </c>
      <c r="AL8" s="9" t="str">
        <f>C3</f>
        <v>Old</v>
      </c>
      <c r="AM8" s="9" t="str">
        <f>D3</f>
        <v>Control</v>
      </c>
      <c r="AN8" s="9" t="e">
        <f ca="1">MWTEST(C4:C13,D4:D13)</f>
        <v>#NAME?</v>
      </c>
      <c r="AO8" s="9">
        <f>ABS(AVERAGE(C4:C13)-AVERAGE(D4:D13))</f>
        <v>1.5833333333333321</v>
      </c>
      <c r="AQ8" s="4" t="s">
        <v>24</v>
      </c>
      <c r="AR8" s="4" t="s">
        <v>25</v>
      </c>
      <c r="AS8" s="4" t="s">
        <v>26</v>
      </c>
      <c r="AT8" s="4" t="s">
        <v>30</v>
      </c>
      <c r="AU8" s="4" t="s">
        <v>5</v>
      </c>
      <c r="AV8" s="4" t="s">
        <v>31</v>
      </c>
      <c r="AX8" s="8"/>
      <c r="AY8" s="8">
        <f>SUM(AY5:AY7)</f>
        <v>0</v>
      </c>
      <c r="AZ8" s="8" t="e">
        <f ca="1">SUMPRODUCT(AY5:AY7,AZ5:AZ7)</f>
        <v>#NAME?</v>
      </c>
      <c r="BA8" s="8">
        <f>SUM(BA5:BA7)</f>
        <v>27</v>
      </c>
    </row>
    <row r="9" spans="1:55" ht="15" thickBot="1" x14ac:dyDescent="0.4">
      <c r="B9" s="3">
        <v>44</v>
      </c>
      <c r="C9" s="3">
        <v>30</v>
      </c>
      <c r="D9" s="3">
        <v>17</v>
      </c>
      <c r="F9" t="s">
        <v>32</v>
      </c>
      <c r="N9" t="s">
        <v>33</v>
      </c>
      <c r="V9" t="s">
        <v>34</v>
      </c>
      <c r="AD9" t="s">
        <v>35</v>
      </c>
      <c r="AQ9" t="e">
        <f t="array" aca="1" ref="AQ9:AS11" ca="1">QSORTRows(AL13:AN15,3)</f>
        <v>#NAME?</v>
      </c>
      <c r="AR9" t="e">
        <f ca="1"/>
        <v>#NAME?</v>
      </c>
      <c r="AS9" t="e">
        <f ca="1"/>
        <v>#NAME?</v>
      </c>
      <c r="AT9">
        <f ca="1">AR6</f>
        <v>0</v>
      </c>
      <c r="AU9" t="e">
        <f ca="1">AR$5/AT9</f>
        <v>#DIV/0!</v>
      </c>
      <c r="AV9" s="10" t="e">
        <f ca="1">IF(AV10="yes","yes",IF(AS9&lt;AU9,"yes","no"))</f>
        <v>#NAME?</v>
      </c>
      <c r="AX9" t="s">
        <v>34</v>
      </c>
      <c r="BB9" s="10" t="s">
        <v>28</v>
      </c>
      <c r="BC9" s="10">
        <v>0.05</v>
      </c>
    </row>
    <row r="10" spans="1:55" ht="15" thickTop="1" x14ac:dyDescent="0.35">
      <c r="B10" s="3">
        <v>38</v>
      </c>
      <c r="C10" s="3">
        <v>32</v>
      </c>
      <c r="D10" s="3">
        <v>48</v>
      </c>
      <c r="F10" s="4" t="s">
        <v>24</v>
      </c>
      <c r="G10" s="4" t="s">
        <v>25</v>
      </c>
      <c r="H10" s="4" t="s">
        <v>15</v>
      </c>
      <c r="I10" s="4" t="s">
        <v>36</v>
      </c>
      <c r="J10" s="4" t="s">
        <v>37</v>
      </c>
      <c r="K10" s="4" t="s">
        <v>26</v>
      </c>
      <c r="L10" s="4" t="s">
        <v>38</v>
      </c>
      <c r="N10" s="4" t="s">
        <v>24</v>
      </c>
      <c r="O10" s="4" t="s">
        <v>25</v>
      </c>
      <c r="P10" s="4" t="s">
        <v>18</v>
      </c>
      <c r="Q10" s="4" t="s">
        <v>36</v>
      </c>
      <c r="R10" s="4" t="s">
        <v>39</v>
      </c>
      <c r="S10" s="4" t="s">
        <v>38</v>
      </c>
      <c r="T10" s="4" t="s">
        <v>26</v>
      </c>
      <c r="V10" s="4" t="s">
        <v>24</v>
      </c>
      <c r="W10" s="4" t="s">
        <v>25</v>
      </c>
      <c r="X10" s="4" t="s">
        <v>18</v>
      </c>
      <c r="Y10" s="4" t="s">
        <v>36</v>
      </c>
      <c r="Z10" s="4" t="s">
        <v>40</v>
      </c>
      <c r="AA10" s="4" t="s">
        <v>38</v>
      </c>
      <c r="AB10" s="4" t="s">
        <v>26</v>
      </c>
      <c r="AD10" s="4" t="s">
        <v>24</v>
      </c>
      <c r="AE10" s="4" t="s">
        <v>25</v>
      </c>
      <c r="AF10" s="4" t="s">
        <v>18</v>
      </c>
      <c r="AG10" s="4" t="s">
        <v>36</v>
      </c>
      <c r="AH10" s="4" t="s">
        <v>41</v>
      </c>
      <c r="AI10" s="4" t="s">
        <v>38</v>
      </c>
      <c r="AJ10" s="4" t="s">
        <v>26</v>
      </c>
      <c r="AL10" t="s">
        <v>42</v>
      </c>
      <c r="AQ10" t="e">
        <f ca="1"/>
        <v>#NAME?</v>
      </c>
      <c r="AR10" t="e">
        <f ca="1"/>
        <v>#NAME?</v>
      </c>
      <c r="AS10" t="e">
        <f ca="1"/>
        <v>#NAME?</v>
      </c>
      <c r="AT10">
        <f ca="1">AT9-1</f>
        <v>-1</v>
      </c>
      <c r="AU10">
        <f t="shared" ref="AU10:AU11" ca="1" si="0">AR$5/AT10</f>
        <v>-0.05</v>
      </c>
      <c r="AV10" s="10" t="e">
        <f t="shared" ref="AV10:AV11" ca="1" si="1">IF(AV11="yes","yes",IF(AS10&lt;AU10,"yes","no"))</f>
        <v>#NAME?</v>
      </c>
      <c r="AX10" s="4" t="s">
        <v>36</v>
      </c>
      <c r="AY10" s="4" t="s">
        <v>43</v>
      </c>
      <c r="AZ10" s="4" t="s">
        <v>22</v>
      </c>
      <c r="BA10" s="4" t="s">
        <v>26</v>
      </c>
      <c r="BB10" s="4" t="s">
        <v>20</v>
      </c>
      <c r="BC10" s="4" t="s">
        <v>31</v>
      </c>
    </row>
    <row r="11" spans="1:55" ht="15" thickBot="1" x14ac:dyDescent="0.4">
      <c r="B11" s="3">
        <v>47</v>
      </c>
      <c r="C11" s="3">
        <v>15</v>
      </c>
      <c r="D11" s="3">
        <v>22</v>
      </c>
      <c r="F11" s="8" t="str">
        <f>F5</f>
        <v>New</v>
      </c>
      <c r="G11" s="8" t="str">
        <f>F6</f>
        <v>Old</v>
      </c>
      <c r="H11" s="8" t="e">
        <f ca="1">ABS(I5-I6)</f>
        <v>#NAME?</v>
      </c>
      <c r="I11" s="8">
        <f>SQRT(H$8*(H$8+1)/12/HARMEAN(H5,H6))</f>
        <v>2.5787593916455256</v>
      </c>
      <c r="J11" s="8" t="e">
        <f ca="1">H11/I11</f>
        <v>#NAME?</v>
      </c>
      <c r="K11" s="8" t="e">
        <f ca="1">QDIST(J11,COUNT(H$5:H$7),480)</f>
        <v>#NAME?</v>
      </c>
      <c r="L11" s="8" t="e">
        <f ca="1">I11*J$8</f>
        <v>#NAME?</v>
      </c>
      <c r="N11" s="8" t="str">
        <f>N5</f>
        <v>New</v>
      </c>
      <c r="O11" s="8" t="str">
        <f>N6</f>
        <v>Old</v>
      </c>
      <c r="P11" s="8" t="e">
        <f ca="1">ABS(Q5-Q6)</f>
        <v>#NAME?</v>
      </c>
      <c r="Q11" s="8" t="e">
        <f ca="1">SQRT((P$8*(P$8+1)-TiesCorrection($B$4:$D$13)/(P$8-1))/12*(1/P5+1/P6))</f>
        <v>#NAME?</v>
      </c>
      <c r="R11" s="8" t="e">
        <f ca="1">P11/Q11</f>
        <v>#NAME?</v>
      </c>
      <c r="S11" s="8" t="e">
        <f ca="1">Q11*R$8</f>
        <v>#NAME?</v>
      </c>
      <c r="T11" s="8" t="e">
        <f ca="1">2*(1-_xlfn.NORM.S.DIST(R11,TRUE))</f>
        <v>#NAME?</v>
      </c>
      <c r="V11" s="8" t="str">
        <f>V5</f>
        <v>New</v>
      </c>
      <c r="W11" s="8" t="str">
        <f>V6</f>
        <v>Old</v>
      </c>
      <c r="X11" s="8" t="e">
        <f ca="1">ABS(Y5-Y6)</f>
        <v>#NAME?</v>
      </c>
      <c r="Y11" s="8" t="e">
        <f ca="1">SQRT((X$8*(X$8+1)-TiesCorrection($B$4:$D$13)/(X$8-1))/12*(1/X5+1/X6))</f>
        <v>#NAME?</v>
      </c>
      <c r="Z11" s="8" t="e">
        <f ca="1">(X11/Y11)^2</f>
        <v>#NAME?</v>
      </c>
      <c r="AA11" s="8" t="e">
        <f ca="1">Y11*SQRT(Z$8)</f>
        <v>#NAME?</v>
      </c>
      <c r="AB11" s="8" t="e">
        <f ca="1">_xlfn.CHISQ.DIST.RT(Z11,COUNT(X$5:X$7)-1)</f>
        <v>#NAME?</v>
      </c>
      <c r="AD11" s="8" t="str">
        <f>AD5</f>
        <v>New</v>
      </c>
      <c r="AE11" s="8" t="str">
        <f>AD6</f>
        <v>Old</v>
      </c>
      <c r="AF11" s="8" t="e">
        <f ca="1">ABS(AG5-AG6)</f>
        <v>#NAME?</v>
      </c>
      <c r="AG11" s="8" t="e">
        <f ca="1">SQRT((SUMSQ(RANKS($B$4:$D$13,1))-AF$8/4*(AF$8+1)^2)/(AF$8-1)*(AF$8-1-KRUSKAL($B$4:$D$13))/(AF$8-COUNT(AF$5:AF$7))*(1/AF5+1/AF6))</f>
        <v>#NAME?</v>
      </c>
      <c r="AH11" s="8" t="e">
        <f ca="1">AF11/AG11</f>
        <v>#NAME?</v>
      </c>
      <c r="AI11" s="8" t="e">
        <f ca="1">AG11*AH$8</f>
        <v>#NAME?</v>
      </c>
      <c r="AJ11" s="8" t="e">
        <f ca="1">_xlfn.T.DIST.2T(AH11,AI$8)</f>
        <v>#NAME?</v>
      </c>
      <c r="AQ11" s="9" t="e">
        <f ca="1"/>
        <v>#NAME?</v>
      </c>
      <c r="AR11" s="9" t="e">
        <f ca="1"/>
        <v>#NAME?</v>
      </c>
      <c r="AS11" s="9" t="e">
        <f ca="1"/>
        <v>#NAME?</v>
      </c>
      <c r="AT11" s="9">
        <f ca="1">AT10-1</f>
        <v>-2</v>
      </c>
      <c r="AU11" s="9">
        <f t="shared" ca="1" si="0"/>
        <v>-2.5000000000000001E-2</v>
      </c>
      <c r="AV11" s="11" t="e">
        <f t="shared" ca="1" si="1"/>
        <v>#NAME?</v>
      </c>
      <c r="AX11" s="12" t="e" cm="1">
        <f t="array" aca="1" ref="AX11" ca="1">SQRT((BA8*(BA8+1)-_xlfn.SINGLE(TiesCorrection(B4:D13))/(BA8-1))/12*SUMPRODUCT(AY5:AY7^2,1/BA5:BA7))</f>
        <v>#NAME?</v>
      </c>
      <c r="AY11" s="12" t="e">
        <f ca="1">(AZ8/AX11)^2</f>
        <v>#NAME?</v>
      </c>
      <c r="AZ11" s="12">
        <f>COUNT(BA5:BA7)-1</f>
        <v>2</v>
      </c>
      <c r="BA11" s="12" t="e">
        <f ca="1">_xlfn.CHISQ.DIST.RT(ABS(AY11),AZ11)</f>
        <v>#NAME?</v>
      </c>
      <c r="BB11" s="12" t="e">
        <f ca="1">CHISQ_INV_RT(BC9,AZ11)</f>
        <v>#NAME?</v>
      </c>
      <c r="BC11" s="2" t="e">
        <f ca="1">IF(BA11&lt;BC9,"yes","no")</f>
        <v>#NAME?</v>
      </c>
    </row>
    <row r="12" spans="1:55" ht="15" thickTop="1" x14ac:dyDescent="0.35">
      <c r="B12" s="3">
        <v>49</v>
      </c>
      <c r="C12" s="3">
        <v>40</v>
      </c>
      <c r="D12" s="3"/>
      <c r="F12" t="str">
        <f>F5</f>
        <v>New</v>
      </c>
      <c r="G12" t="str">
        <f>F7</f>
        <v>Control</v>
      </c>
      <c r="H12" t="e">
        <f ca="1">ABS(I5-I7)</f>
        <v>#NAME?</v>
      </c>
      <c r="I12">
        <f>SQRT(H$8*(H$8+1)/12/HARMEAN(H5,H7))</f>
        <v>2.6622359023948272</v>
      </c>
      <c r="J12" t="e">
        <f t="shared" ref="J12:J13" ca="1" si="2">H12/I12</f>
        <v>#NAME?</v>
      </c>
      <c r="K12" t="e">
        <f ca="1">QDIST(J12,COUNT(H$5:H$7),480)</f>
        <v>#NAME?</v>
      </c>
      <c r="L12" t="e">
        <f t="shared" ref="L12:L13" ca="1" si="3">I12*J$8</f>
        <v>#NAME?</v>
      </c>
      <c r="N12" t="str">
        <f>N5</f>
        <v>New</v>
      </c>
      <c r="O12" t="str">
        <f>N7</f>
        <v>Control</v>
      </c>
      <c r="P12" t="e">
        <f ca="1">ABS(Q5-Q7)</f>
        <v>#NAME?</v>
      </c>
      <c r="Q12" t="e">
        <f ca="1">SQRT((P$8*(P$8+1)-TiesCorrection($B$4:$D$13)/(P$8-1))/12*(1/P5+1/P7))</f>
        <v>#NAME?</v>
      </c>
      <c r="R12" t="e">
        <f t="shared" ref="R12:R13" ca="1" si="4">P12/Q12</f>
        <v>#NAME?</v>
      </c>
      <c r="S12" t="e">
        <f t="shared" ref="S12:S13" ca="1" si="5">Q12*R$8</f>
        <v>#NAME?</v>
      </c>
      <c r="T12" t="e">
        <f t="shared" ref="T12:T13" ca="1" si="6">2*(1-_xlfn.NORM.S.DIST(R12,TRUE))</f>
        <v>#NAME?</v>
      </c>
      <c r="V12" t="str">
        <f>V5</f>
        <v>New</v>
      </c>
      <c r="W12" t="str">
        <f>V7</f>
        <v>Control</v>
      </c>
      <c r="X12" t="e">
        <f ca="1">ABS(Y5-Y7)</f>
        <v>#NAME?</v>
      </c>
      <c r="Y12" t="e">
        <f ca="1">SQRT((X$8*(X$8+1)-TiesCorrection($B$4:$D$13)/(X$8-1))/12*(1/X5+1/X7))</f>
        <v>#NAME?</v>
      </c>
      <c r="Z12" t="e">
        <f t="shared" ref="Z12:Z13" ca="1" si="7">(X12/Y12)^2</f>
        <v>#NAME?</v>
      </c>
      <c r="AA12" t="e">
        <f t="shared" ref="AA12:AA13" ca="1" si="8">Y12*SQRT(Z$8)</f>
        <v>#NAME?</v>
      </c>
      <c r="AB12" t="e">
        <f t="shared" ref="AB12:AB13" ca="1" si="9">_xlfn.CHISQ.DIST.RT(Z12,COUNT(X$5:X$7)-1)</f>
        <v>#NAME?</v>
      </c>
      <c r="AD12" t="str">
        <f>AD5</f>
        <v>New</v>
      </c>
      <c r="AE12" t="str">
        <f>AD7</f>
        <v>Control</v>
      </c>
      <c r="AF12" t="e">
        <f ca="1">ABS(AG5-AG7)</f>
        <v>#NAME?</v>
      </c>
      <c r="AG12" t="e">
        <f ca="1">SQRT((SUMSQ(RANKS($B$4:$D$13,1))-AF$8/4*(AF$8+1)^2)/(AF$8-1)*(AF$8-1-KRUSKAL($B$4:$D$13))/(AF$8-COUNT(AF$5:AF$7))*(1/AF5+1/AF7))</f>
        <v>#NAME?</v>
      </c>
      <c r="AH12" t="e">
        <f t="shared" ref="AH12:AH13" ca="1" si="10">AF12/AG12</f>
        <v>#NAME?</v>
      </c>
      <c r="AI12" t="e">
        <f ca="1">AG12*AH$8</f>
        <v>#NAME?</v>
      </c>
      <c r="AJ12" t="e">
        <f ca="1">_xlfn.T.DIST.2T(AH12,AI$8)</f>
        <v>#NAME?</v>
      </c>
      <c r="AL12" s="4" t="s">
        <v>24</v>
      </c>
      <c r="AM12" s="4" t="s">
        <v>25</v>
      </c>
      <c r="AN12" s="4" t="s">
        <v>26</v>
      </c>
      <c r="AO12" s="4" t="s">
        <v>27</v>
      </c>
    </row>
    <row r="13" spans="1:55" x14ac:dyDescent="0.35">
      <c r="B13" s="13">
        <v>41</v>
      </c>
      <c r="C13" s="13"/>
      <c r="D13" s="13"/>
      <c r="F13" s="9" t="str">
        <f>F6</f>
        <v>Old</v>
      </c>
      <c r="G13" s="9" t="str">
        <f>F7</f>
        <v>Control</v>
      </c>
      <c r="H13" s="9" t="e">
        <f ca="1">ABS(I6-I7)</f>
        <v>#NAME?</v>
      </c>
      <c r="I13" s="9">
        <f>SQRT(H$8*(H$8+1)/12/HARMEAN(H6,H7))</f>
        <v>2.7271780286589284</v>
      </c>
      <c r="J13" s="9" t="e">
        <f t="shared" ca="1" si="2"/>
        <v>#NAME?</v>
      </c>
      <c r="K13" s="9" t="e">
        <f ca="1">QDIST(J13,COUNT(H$5:H$7),480)</f>
        <v>#NAME?</v>
      </c>
      <c r="L13" s="9" t="e">
        <f t="shared" ca="1" si="3"/>
        <v>#NAME?</v>
      </c>
      <c r="N13" s="9" t="str">
        <f>N6</f>
        <v>Old</v>
      </c>
      <c r="O13" s="9" t="str">
        <f>N7</f>
        <v>Control</v>
      </c>
      <c r="P13" s="9" t="e">
        <f ca="1">ABS(Q6-Q7)</f>
        <v>#NAME?</v>
      </c>
      <c r="Q13" s="9" t="e">
        <f ca="1">SQRT((P$8*(P$8+1)-TiesCorrection($B$4:$D$13)/(P$8-1))/12*(1/P6+1/P7))</f>
        <v>#NAME?</v>
      </c>
      <c r="R13" s="9" t="e">
        <f t="shared" ca="1" si="4"/>
        <v>#NAME?</v>
      </c>
      <c r="S13" s="9" t="e">
        <f t="shared" ca="1" si="5"/>
        <v>#NAME?</v>
      </c>
      <c r="T13" s="9" t="e">
        <f t="shared" ca="1" si="6"/>
        <v>#NAME?</v>
      </c>
      <c r="V13" s="9" t="str">
        <f>V6</f>
        <v>Old</v>
      </c>
      <c r="W13" s="9" t="str">
        <f>V7</f>
        <v>Control</v>
      </c>
      <c r="X13" s="9" t="e">
        <f ca="1">ABS(Y6-Y7)</f>
        <v>#NAME?</v>
      </c>
      <c r="Y13" s="9" t="e">
        <f ca="1">SQRT((X$8*(X$8+1)-TiesCorrection($B$4:$D$13)/(X$8-1))/12*(1/X6+1/X7))</f>
        <v>#NAME?</v>
      </c>
      <c r="Z13" s="9" t="e">
        <f t="shared" ca="1" si="7"/>
        <v>#NAME?</v>
      </c>
      <c r="AA13" s="9" t="e">
        <f t="shared" ca="1" si="8"/>
        <v>#NAME?</v>
      </c>
      <c r="AB13" s="9" t="e">
        <f t="shared" ca="1" si="9"/>
        <v>#NAME?</v>
      </c>
      <c r="AD13" s="9" t="str">
        <f>AD6</f>
        <v>Old</v>
      </c>
      <c r="AE13" s="9" t="str">
        <f>AD7</f>
        <v>Control</v>
      </c>
      <c r="AF13" s="9" t="e">
        <f ca="1">ABS(AG6-AG7)</f>
        <v>#NAME?</v>
      </c>
      <c r="AG13" s="9" t="e">
        <f ca="1">SQRT((SUMSQ(RANKS($B$4:$D$13,1))-AF$8/4*(AF$8+1)^2)/(AF$8-1)*(AF$8-1-KRUSKAL($B$4:$D$13))/(AF$8-COUNT(AF$5:AF$7))*(1/AF6+1/AF7))</f>
        <v>#NAME?</v>
      </c>
      <c r="AH13" s="9" t="e">
        <f t="shared" ca="1" si="10"/>
        <v>#NAME?</v>
      </c>
      <c r="AI13" s="9" t="e">
        <f ca="1">AG13*AH$8</f>
        <v>#NAME?</v>
      </c>
      <c r="AJ13" s="9" t="e">
        <f ca="1">_xlfn.T.DIST.2T(AH13,AI$8)</f>
        <v>#NAME?</v>
      </c>
      <c r="AL13" t="str">
        <f>B3</f>
        <v>New</v>
      </c>
      <c r="AM13" t="str">
        <f>C3</f>
        <v>Old</v>
      </c>
      <c r="AN13" t="e">
        <f ca="1">MW_EXACT(B4:B13,C4:C13)</f>
        <v>#NAME?</v>
      </c>
      <c r="AO13">
        <f>ABS(AVERAGE(B4:B13)-AVERAGE(C4:C13))</f>
        <v>16.966666666666665</v>
      </c>
    </row>
    <row r="14" spans="1:55" x14ac:dyDescent="0.35">
      <c r="A14" t="s">
        <v>27</v>
      </c>
      <c r="B14">
        <f>AVERAGE(B4:B13)</f>
        <v>47.3</v>
      </c>
      <c r="C14">
        <f>AVERAGE(C4:C13)</f>
        <v>30.333333333333332</v>
      </c>
      <c r="D14">
        <f>AVERAGE(D4:D13)</f>
        <v>28.75</v>
      </c>
      <c r="AL14" t="str">
        <f>B3</f>
        <v>New</v>
      </c>
      <c r="AM14" t="str">
        <f>D3</f>
        <v>Control</v>
      </c>
      <c r="AN14" t="e">
        <f ca="1">MW_EXACT(B4:B13,D4:D13)</f>
        <v>#NAME?</v>
      </c>
      <c r="AO14">
        <f>ABS(AVERAGE(B4:B13)-AVERAGE(D4:D13))</f>
        <v>18.549999999999997</v>
      </c>
    </row>
    <row r="15" spans="1:55" x14ac:dyDescent="0.35">
      <c r="A15" t="s">
        <v>44</v>
      </c>
      <c r="B15">
        <f>VAR(B4:B13)</f>
        <v>206.67777777777761</v>
      </c>
      <c r="C15">
        <f>VAR(C4:C13)</f>
        <v>92.75</v>
      </c>
      <c r="D15">
        <f>VAR(D4:D13)</f>
        <v>173.64285714285714</v>
      </c>
      <c r="AL15" s="9" t="str">
        <f>C3</f>
        <v>Old</v>
      </c>
      <c r="AM15" s="9" t="str">
        <f>D3</f>
        <v>Control</v>
      </c>
      <c r="AN15" s="9" t="e">
        <f ca="1">MW_EXACT(C4:C13,D4:D13)</f>
        <v>#NAME?</v>
      </c>
      <c r="AO15" s="9">
        <f>ABS(AVERAGE(C4:C13)-AVERAGE(D4:D13))</f>
        <v>1.5833333333333321</v>
      </c>
    </row>
    <row r="16" spans="1:55" ht="15" thickBot="1" x14ac:dyDescent="0.4">
      <c r="N16" t="s">
        <v>6</v>
      </c>
      <c r="Q16" t="s">
        <v>5</v>
      </c>
      <c r="R16">
        <f>S3</f>
        <v>1.6666666666666666E-2</v>
      </c>
      <c r="V16" t="s">
        <v>7</v>
      </c>
      <c r="Y16" t="s">
        <v>5</v>
      </c>
      <c r="Z16">
        <f>AA3</f>
        <v>1.6666666666666666E-2</v>
      </c>
      <c r="AD16" t="s">
        <v>8</v>
      </c>
      <c r="AG16" t="s">
        <v>5</v>
      </c>
      <c r="AH16">
        <f>AI3</f>
        <v>1.6666666666666666E-2</v>
      </c>
    </row>
    <row r="17" spans="1:48" ht="15" thickTop="1" x14ac:dyDescent="0.35">
      <c r="N17" s="4" t="s">
        <v>12</v>
      </c>
      <c r="O17" s="4" t="s">
        <v>17</v>
      </c>
      <c r="P17" s="4" t="s">
        <v>14</v>
      </c>
      <c r="Q17" s="4" t="s">
        <v>18</v>
      </c>
      <c r="R17" s="4" t="s">
        <v>19</v>
      </c>
      <c r="V17" s="4" t="s">
        <v>12</v>
      </c>
      <c r="W17" s="4" t="s">
        <v>17</v>
      </c>
      <c r="X17" s="4" t="s">
        <v>14</v>
      </c>
      <c r="Y17" s="4" t="s">
        <v>18</v>
      </c>
      <c r="Z17" s="4" t="s">
        <v>20</v>
      </c>
      <c r="AD17" s="4" t="s">
        <v>12</v>
      </c>
      <c r="AE17" s="4" t="s">
        <v>17</v>
      </c>
      <c r="AF17" s="4" t="s">
        <v>14</v>
      </c>
      <c r="AG17" s="4" t="s">
        <v>18</v>
      </c>
      <c r="AH17" s="4" t="s">
        <v>21</v>
      </c>
      <c r="AI17" s="4" t="s">
        <v>22</v>
      </c>
      <c r="AQ17" t="s">
        <v>45</v>
      </c>
    </row>
    <row r="18" spans="1:48" ht="15" thickBot="1" x14ac:dyDescent="0.4">
      <c r="B18" s="2" t="s">
        <v>3</v>
      </c>
      <c r="C18" s="2" t="s">
        <v>1</v>
      </c>
      <c r="D18" s="2" t="s">
        <v>2</v>
      </c>
      <c r="F18" t="s">
        <v>46</v>
      </c>
      <c r="I18" t="s">
        <v>5</v>
      </c>
      <c r="J18">
        <v>0.05</v>
      </c>
      <c r="K18">
        <v>2.5000000000000001E-2</v>
      </c>
      <c r="N18" t="str">
        <f>B3</f>
        <v>New</v>
      </c>
      <c r="O18" t="e">
        <f ca="1">RANK_SUM(B4:D13,1,1)</f>
        <v>#NAME?</v>
      </c>
      <c r="P18">
        <f>COUNT(B4:B13)</f>
        <v>10</v>
      </c>
      <c r="Q18" t="e">
        <f ca="1">O18/P18</f>
        <v>#NAME?</v>
      </c>
      <c r="V18" t="str">
        <f>B3</f>
        <v>New</v>
      </c>
      <c r="W18" t="e">
        <f ca="1">RANK_SUM(B4:D13,1,1)</f>
        <v>#NAME?</v>
      </c>
      <c r="X18">
        <f>COUNT(B4:B13)</f>
        <v>10</v>
      </c>
      <c r="Y18" t="e">
        <f ca="1">W18/X18</f>
        <v>#NAME?</v>
      </c>
      <c r="AD18" t="str">
        <f>B3</f>
        <v>New</v>
      </c>
      <c r="AE18" t="e">
        <f ca="1">RANK_SUM(B4:D13,1,1)</f>
        <v>#NAME?</v>
      </c>
      <c r="AF18">
        <f>COUNT(B4:B13)</f>
        <v>10</v>
      </c>
      <c r="AG18" t="e">
        <f ca="1">AE18/AF18</f>
        <v>#NAME?</v>
      </c>
    </row>
    <row r="19" spans="1:48" ht="15" thickTop="1" x14ac:dyDescent="0.35">
      <c r="B19" s="3">
        <v>18</v>
      </c>
      <c r="C19" s="3">
        <v>81</v>
      </c>
      <c r="D19" s="3">
        <v>48</v>
      </c>
      <c r="F19" s="4" t="s">
        <v>12</v>
      </c>
      <c r="G19" s="4" t="s">
        <v>13</v>
      </c>
      <c r="H19" s="4" t="s">
        <v>14</v>
      </c>
      <c r="I19" s="4" t="s">
        <v>47</v>
      </c>
      <c r="J19" s="4" t="s">
        <v>48</v>
      </c>
      <c r="K19" s="4" t="s">
        <v>38</v>
      </c>
      <c r="N19" t="str">
        <f>C3</f>
        <v>Old</v>
      </c>
      <c r="O19" t="e">
        <f ca="1">RANK_SUM(B4:D13,2,1)</f>
        <v>#NAME?</v>
      </c>
      <c r="P19">
        <f>COUNT(C4:C13)</f>
        <v>9</v>
      </c>
      <c r="Q19" t="e">
        <f ca="1">O19/P19</f>
        <v>#NAME?</v>
      </c>
      <c r="V19" t="str">
        <f>C3</f>
        <v>Old</v>
      </c>
      <c r="W19" t="e">
        <f ca="1">RANK_SUM(B4:D13,2,1)</f>
        <v>#NAME?</v>
      </c>
      <c r="X19">
        <f>COUNT(C4:C13)</f>
        <v>9</v>
      </c>
      <c r="Y19" t="e">
        <f ca="1">W19/X19</f>
        <v>#NAME?</v>
      </c>
      <c r="AD19" t="str">
        <f>C3</f>
        <v>Old</v>
      </c>
      <c r="AE19" t="e">
        <f ca="1">RANK_SUM(B4:D13,2,1)</f>
        <v>#NAME?</v>
      </c>
      <c r="AF19">
        <f>COUNT(C4:C13)</f>
        <v>9</v>
      </c>
      <c r="AG19" t="e">
        <f ca="1">AE19/AF19</f>
        <v>#NAME?</v>
      </c>
      <c r="AQ19" t="s">
        <v>49</v>
      </c>
      <c r="AR19" s="5">
        <v>0.05</v>
      </c>
    </row>
    <row r="20" spans="1:48" x14ac:dyDescent="0.35">
      <c r="B20" s="3">
        <v>49</v>
      </c>
      <c r="C20" s="3">
        <v>32</v>
      </c>
      <c r="D20" s="3">
        <v>31</v>
      </c>
      <c r="F20" t="str">
        <f>B18</f>
        <v>Control</v>
      </c>
      <c r="G20" t="e">
        <f ca="1">RANK_SUM(B19:D28,1,1)</f>
        <v>#NAME?</v>
      </c>
      <c r="H20">
        <f>COUNT(B19:B28)</f>
        <v>10</v>
      </c>
      <c r="N20" t="str">
        <f>D3</f>
        <v>Control</v>
      </c>
      <c r="O20" t="e">
        <f ca="1">RANK_SUM(B4:D13,3,1)</f>
        <v>#NAME?</v>
      </c>
      <c r="P20">
        <f>COUNT(D4:D13)</f>
        <v>8</v>
      </c>
      <c r="Q20" t="e">
        <f ca="1">O20/P20</f>
        <v>#NAME?</v>
      </c>
      <c r="V20" t="str">
        <f>D3</f>
        <v>Control</v>
      </c>
      <c r="W20" t="e">
        <f ca="1">RANK_SUM(B4:D13,3,1)</f>
        <v>#NAME?</v>
      </c>
      <c r="X20">
        <f>COUNT(D4:D13)</f>
        <v>8</v>
      </c>
      <c r="Y20" t="e">
        <f ca="1">W20/X20</f>
        <v>#NAME?</v>
      </c>
      <c r="AD20" t="str">
        <f>D3</f>
        <v>Control</v>
      </c>
      <c r="AE20" t="e">
        <f ca="1">RANK_SUM(B4:D13,3,1)</f>
        <v>#NAME?</v>
      </c>
      <c r="AF20">
        <f>COUNT(D4:D13)</f>
        <v>8</v>
      </c>
      <c r="AG20" t="e">
        <f ca="1">AE20/AF20</f>
        <v>#NAME?</v>
      </c>
      <c r="AQ20" t="s">
        <v>29</v>
      </c>
      <c r="AR20" s="7">
        <f ca="1">COUNT(AS23:AS25)</f>
        <v>0</v>
      </c>
    </row>
    <row r="21" spans="1:48" ht="15" thickBot="1" x14ac:dyDescent="0.4">
      <c r="B21" s="3">
        <v>33</v>
      </c>
      <c r="C21" s="3">
        <v>42</v>
      </c>
      <c r="D21" s="3">
        <v>25</v>
      </c>
      <c r="F21" t="str">
        <f>C18</f>
        <v>New</v>
      </c>
      <c r="G21" t="e">
        <f ca="1">RANK_SUM(B19:D28,2,1)</f>
        <v>#NAME?</v>
      </c>
      <c r="H21">
        <f>COUNT(C19:C28)</f>
        <v>10</v>
      </c>
      <c r="N21" s="8"/>
      <c r="O21" s="8"/>
      <c r="P21" s="8">
        <f>SUM(P18:P20)</f>
        <v>27</v>
      </c>
      <c r="Q21" s="8"/>
      <c r="R21" s="8">
        <f>_xlfn.NORM.S.INV(1-R16/2)</f>
        <v>2.3939797998185104</v>
      </c>
      <c r="V21" s="8"/>
      <c r="W21" s="8"/>
      <c r="X21" s="8">
        <f>SUM(X18:X20)</f>
        <v>27</v>
      </c>
      <c r="Y21" s="8"/>
      <c r="Z21" s="8" t="e">
        <f ca="1">CHISQ_INV_RT(Z16,COUNT(X$5:X$7)-1)</f>
        <v>#NAME?</v>
      </c>
      <c r="AD21" s="8"/>
      <c r="AE21" s="8"/>
      <c r="AF21" s="8">
        <f>SUM(AF18:AF20)</f>
        <v>27</v>
      </c>
      <c r="AG21" s="8"/>
      <c r="AH21" s="8">
        <f>_xlfn.T.INV.2T(AH16,AI21)</f>
        <v>2.5736410170408828</v>
      </c>
      <c r="AI21" s="8">
        <f>AF21-COUNT(AF18:AF20)</f>
        <v>24</v>
      </c>
    </row>
    <row r="22" spans="1:48" ht="15.5" thickTop="1" thickBot="1" x14ac:dyDescent="0.4">
      <c r="B22" s="3">
        <v>19</v>
      </c>
      <c r="C22" s="3">
        <v>62</v>
      </c>
      <c r="D22" s="3">
        <v>22</v>
      </c>
      <c r="F22" t="str">
        <f>D18</f>
        <v>Old</v>
      </c>
      <c r="G22" t="e">
        <f ca="1">RANK_SUM(B19:D28,3,1)</f>
        <v>#NAME?</v>
      </c>
      <c r="H22">
        <f>COUNT(D19:D28)</f>
        <v>10</v>
      </c>
      <c r="N22" t="s">
        <v>33</v>
      </c>
      <c r="V22" t="s">
        <v>34</v>
      </c>
      <c r="AD22" t="s">
        <v>35</v>
      </c>
      <c r="AQ22" s="4" t="s">
        <v>24</v>
      </c>
      <c r="AR22" s="4" t="s">
        <v>25</v>
      </c>
      <c r="AS22" s="4" t="s">
        <v>26</v>
      </c>
      <c r="AT22" s="4" t="s">
        <v>30</v>
      </c>
      <c r="AU22" s="4" t="s">
        <v>5</v>
      </c>
      <c r="AV22" s="4" t="s">
        <v>31</v>
      </c>
    </row>
    <row r="23" spans="1:48" ht="15" thickTop="1" x14ac:dyDescent="0.35">
      <c r="B23" s="3">
        <v>24</v>
      </c>
      <c r="C23" s="3">
        <v>37</v>
      </c>
      <c r="D23" s="3">
        <v>30</v>
      </c>
      <c r="F23" s="8"/>
      <c r="G23" s="8"/>
      <c r="H23" s="8">
        <f>HARMEAN(H20:H22)</f>
        <v>9.9999999999999982</v>
      </c>
      <c r="I23" s="8">
        <f>SQRT(H23^2*COUNT(H$20:H$22)*(H23*COUNT(H20:H22)+1)/6)</f>
        <v>39.370039370059047</v>
      </c>
      <c r="J23" s="8" t="e">
        <f ca="1">DCRIT(COUNT(H20:H22),480,J18)</f>
        <v>#NAME?</v>
      </c>
      <c r="K23" s="8" t="e">
        <f ca="1">I23*J23</f>
        <v>#NAME?</v>
      </c>
      <c r="N23" s="4" t="s">
        <v>24</v>
      </c>
      <c r="O23" s="4" t="s">
        <v>25</v>
      </c>
      <c r="P23" s="4" t="s">
        <v>18</v>
      </c>
      <c r="Q23" s="4" t="s">
        <v>36</v>
      </c>
      <c r="R23" s="4" t="s">
        <v>39</v>
      </c>
      <c r="S23" s="4" t="s">
        <v>38</v>
      </c>
      <c r="T23" s="4" t="s">
        <v>26</v>
      </c>
      <c r="V23" s="4" t="s">
        <v>24</v>
      </c>
      <c r="W23" s="4" t="s">
        <v>25</v>
      </c>
      <c r="X23" s="4" t="s">
        <v>18</v>
      </c>
      <c r="Y23" s="4" t="s">
        <v>36</v>
      </c>
      <c r="Z23" s="4" t="s">
        <v>40</v>
      </c>
      <c r="AA23" s="4" t="s">
        <v>38</v>
      </c>
      <c r="AB23" s="4" t="s">
        <v>26</v>
      </c>
      <c r="AD23" s="4" t="s">
        <v>24</v>
      </c>
      <c r="AE23" s="4" t="s">
        <v>25</v>
      </c>
      <c r="AF23" s="4" t="s">
        <v>18</v>
      </c>
      <c r="AG23" s="4" t="s">
        <v>36</v>
      </c>
      <c r="AH23" s="4" t="s">
        <v>41</v>
      </c>
      <c r="AI23" s="4" t="s">
        <v>38</v>
      </c>
      <c r="AJ23" s="4" t="s">
        <v>26</v>
      </c>
      <c r="AQ23" t="e">
        <f t="array" aca="1" ref="AQ23:AS25" ca="1">QSORTRows(AL13:AN15,3)</f>
        <v>#NAME?</v>
      </c>
      <c r="AR23" t="e">
        <f ca="1"/>
        <v>#NAME?</v>
      </c>
      <c r="AS23" t="e">
        <f ca="1"/>
        <v>#NAME?</v>
      </c>
      <c r="AT23">
        <v>1</v>
      </c>
      <c r="AU23" t="e">
        <f ca="1">AR$19*AT23/AR$20</f>
        <v>#DIV/0!</v>
      </c>
      <c r="AV23" s="10" t="e">
        <f ca="1">IF(AV24="yes","yes",IF(AS23&lt;AU23,"yes","no"))</f>
        <v>#NAME?</v>
      </c>
    </row>
    <row r="24" spans="1:48" ht="15" thickBot="1" x14ac:dyDescent="0.4">
      <c r="B24" s="3">
        <v>17</v>
      </c>
      <c r="C24" s="3">
        <v>44</v>
      </c>
      <c r="D24" s="3">
        <v>30</v>
      </c>
      <c r="F24" t="s">
        <v>33</v>
      </c>
      <c r="N24" s="8" t="str">
        <f>N18</f>
        <v>New</v>
      </c>
      <c r="O24" s="8" t="str">
        <f>N19</f>
        <v>Old</v>
      </c>
      <c r="P24" s="8" t="e">
        <f ca="1">ABS(Q18-Q19)</f>
        <v>#NAME?</v>
      </c>
      <c r="Q24" s="8" t="e">
        <f ca="1">SQRT((P$8*(P$8+1)-TiesCorrection($B$4:$D$13)/(P$8-1))/12*(1/P18+1/P19))</f>
        <v>#NAME?</v>
      </c>
      <c r="R24" s="8" t="e">
        <f ca="1">P24/Q24</f>
        <v>#NAME?</v>
      </c>
      <c r="S24" s="8" t="e">
        <f ca="1">Q24*R$21</f>
        <v>#NAME?</v>
      </c>
      <c r="T24" s="8" t="e">
        <f ca="1">2*(1-_xlfn.NORM.S.DIST(R24,TRUE))</f>
        <v>#NAME?</v>
      </c>
      <c r="V24" s="8" t="str">
        <f>V18</f>
        <v>New</v>
      </c>
      <c r="W24" s="8" t="str">
        <f>V19</f>
        <v>Old</v>
      </c>
      <c r="X24" s="8" t="e">
        <f ca="1">ABS(Y18-Y19)</f>
        <v>#NAME?</v>
      </c>
      <c r="Y24" s="8" t="e">
        <f ca="1">SQRT((X$8*(X$8+1)-TiesCorrection($B$4:$D$13)/(X$8-1))/12*(1/X18+1/X19))</f>
        <v>#NAME?</v>
      </c>
      <c r="Z24" s="8" t="e">
        <f ca="1">(X24/Y24)^2</f>
        <v>#NAME?</v>
      </c>
      <c r="AA24" s="8" t="e">
        <f ca="1">Y24*SQRT(Z$21)</f>
        <v>#NAME?</v>
      </c>
      <c r="AB24" s="8" t="e">
        <f ca="1">_xlfn.CHISQ.DIST.RT(Z24,COUNT(X$5:X$7)-1)</f>
        <v>#NAME?</v>
      </c>
      <c r="AD24" s="8" t="str">
        <f>AD18</f>
        <v>New</v>
      </c>
      <c r="AE24" s="8" t="str">
        <f>AD19</f>
        <v>Old</v>
      </c>
      <c r="AF24" s="8" t="e">
        <f ca="1">ABS(AG18-AG19)</f>
        <v>#NAME?</v>
      </c>
      <c r="AG24" s="8" t="e">
        <f ca="1">SQRT((SUMSQ(RANKS($B$4:$D$13,1))-AF$8/4*(AF$8+1)^2)/(AF$8-1)*(AF$8-1-KRUSKAL($B$4:$D$13))/(AF$8-COUNT(AF$5:AF$7))*(1/AF18+1/AF19))</f>
        <v>#NAME?</v>
      </c>
      <c r="AH24" s="8" t="e">
        <f ca="1">AF24/AG24</f>
        <v>#NAME?</v>
      </c>
      <c r="AI24" s="8" t="e">
        <f ca="1">AG24*AH$21</f>
        <v>#NAME?</v>
      </c>
      <c r="AJ24" s="8" t="e">
        <f ca="1">_xlfn.T.DIST.2T(AH24,AI$8)</f>
        <v>#NAME?</v>
      </c>
      <c r="AQ24" t="e">
        <f ca="1"/>
        <v>#NAME?</v>
      </c>
      <c r="AR24" t="e">
        <f ca="1"/>
        <v>#NAME?</v>
      </c>
      <c r="AS24" t="e">
        <f ca="1"/>
        <v>#NAME?</v>
      </c>
      <c r="AT24">
        <f>AT23+1</f>
        <v>2</v>
      </c>
      <c r="AU24" t="e">
        <f ca="1">AR$19*AT24/AR$20</f>
        <v>#DIV/0!</v>
      </c>
      <c r="AV24" s="10" t="e">
        <f t="shared" ref="AV24:AV25" ca="1" si="11">IF(AV25="yes","yes",IF(AS24&lt;AU24,"yes","no"))</f>
        <v>#NAME?</v>
      </c>
    </row>
    <row r="25" spans="1:48" ht="15" thickTop="1" x14ac:dyDescent="0.35">
      <c r="B25" s="3">
        <v>48</v>
      </c>
      <c r="C25" s="3">
        <v>38</v>
      </c>
      <c r="D25" s="3">
        <v>32</v>
      </c>
      <c r="F25" s="4" t="s">
        <v>12</v>
      </c>
      <c r="G25" s="4" t="s">
        <v>17</v>
      </c>
      <c r="H25" s="4" t="s">
        <v>50</v>
      </c>
      <c r="I25" s="4" t="s">
        <v>26</v>
      </c>
      <c r="N25" t="str">
        <f>N18</f>
        <v>New</v>
      </c>
      <c r="O25" t="str">
        <f>N20</f>
        <v>Control</v>
      </c>
      <c r="P25" t="e">
        <f ca="1">ABS(Q18-Q20)</f>
        <v>#NAME?</v>
      </c>
      <c r="Q25" t="e">
        <f ca="1">SQRT((P$8*(P$8+1)-TiesCorrection($B$4:$D$13)/(P$8-1))/12*(1/P18+1/P20))</f>
        <v>#NAME?</v>
      </c>
      <c r="R25" t="e">
        <f t="shared" ref="R25:R26" ca="1" si="12">P25/Q25</f>
        <v>#NAME?</v>
      </c>
      <c r="S25" t="e">
        <f ca="1">Q25*R$21</f>
        <v>#NAME?</v>
      </c>
      <c r="T25" t="e">
        <f t="shared" ref="T25:T26" ca="1" si="13">2*(1-_xlfn.NORM.S.DIST(R25,TRUE))</f>
        <v>#NAME?</v>
      </c>
      <c r="V25" t="str">
        <f>V18</f>
        <v>New</v>
      </c>
      <c r="W25" t="str">
        <f>V20</f>
        <v>Control</v>
      </c>
      <c r="X25" t="e">
        <f ca="1">ABS(Y18-Y20)</f>
        <v>#NAME?</v>
      </c>
      <c r="Y25" t="e">
        <f ca="1">SQRT((X$8*(X$8+1)-TiesCorrection($B$4:$D$13)/(X$8-1))/12*(1/X18+1/X20))</f>
        <v>#NAME?</v>
      </c>
      <c r="Z25" t="e">
        <f t="shared" ref="Z25:Z26" ca="1" si="14">(X25/Y25)^2</f>
        <v>#NAME?</v>
      </c>
      <c r="AA25" t="e">
        <f ca="1">Y25*SQRT(Z$21)</f>
        <v>#NAME?</v>
      </c>
      <c r="AB25" t="e">
        <f t="shared" ref="AB25:AB26" ca="1" si="15">_xlfn.CHISQ.DIST.RT(Z25,COUNT(X$5:X$7)-1)</f>
        <v>#NAME?</v>
      </c>
      <c r="AD25" t="str">
        <f>AD18</f>
        <v>New</v>
      </c>
      <c r="AE25" t="str">
        <f>AD20</f>
        <v>Control</v>
      </c>
      <c r="AF25" t="e">
        <f ca="1">ABS(AG18-AG20)</f>
        <v>#NAME?</v>
      </c>
      <c r="AG25" t="e">
        <f ca="1">SQRT((SUMSQ(RANKS($B$4:$D$13,1))-AF$8/4*(AF$8+1)^2)/(AF$8-1)*(AF$8-1-KRUSKAL($B$4:$D$13))/(AF$8-COUNT(AF$5:AF$7))*(1/AF18+1/AF20))</f>
        <v>#NAME?</v>
      </c>
      <c r="AH25" t="e">
        <f t="shared" ref="AH25:AH26" ca="1" si="16">AF25/AG25</f>
        <v>#NAME?</v>
      </c>
      <c r="AI25" t="e">
        <f ca="1">AG25*AH$21</f>
        <v>#NAME?</v>
      </c>
      <c r="AJ25" t="e">
        <f ca="1">_xlfn.T.DIST.2T(AH25,AI$8)</f>
        <v>#NAME?</v>
      </c>
      <c r="AQ25" s="9" t="e">
        <f ca="1"/>
        <v>#NAME?</v>
      </c>
      <c r="AR25" s="9" t="e">
        <f ca="1"/>
        <v>#NAME?</v>
      </c>
      <c r="AS25" s="9" t="e">
        <f ca="1"/>
        <v>#NAME?</v>
      </c>
      <c r="AT25" s="9">
        <f>AT24+1</f>
        <v>3</v>
      </c>
      <c r="AU25" s="9" t="e">
        <f ca="1">AR$19*AT25/AR$20</f>
        <v>#DIV/0!</v>
      </c>
      <c r="AV25" s="11" t="e">
        <f t="shared" ca="1" si="11"/>
        <v>#NAME?</v>
      </c>
    </row>
    <row r="26" spans="1:48" x14ac:dyDescent="0.35">
      <c r="B26" s="3">
        <v>22</v>
      </c>
      <c r="C26" s="3">
        <v>47</v>
      </c>
      <c r="D26" s="3">
        <v>15</v>
      </c>
      <c r="F26" s="8" t="str">
        <f>F21</f>
        <v>New</v>
      </c>
      <c r="G26" s="8" t="e">
        <f ca="1">ABS(G$20-G21)</f>
        <v>#NAME?</v>
      </c>
      <c r="H26" s="8" t="e">
        <f ca="1">G26/I$23</f>
        <v>#NAME?</v>
      </c>
      <c r="I26" s="8" t="e">
        <f ca="1">DPROB(H26,COUNT(H$20:H$22),480)</f>
        <v>#NAME?</v>
      </c>
      <c r="N26" s="9" t="str">
        <f>N19</f>
        <v>Old</v>
      </c>
      <c r="O26" s="9" t="str">
        <f>N20</f>
        <v>Control</v>
      </c>
      <c r="P26" s="9" t="e">
        <f ca="1">ABS(Q19-Q20)</f>
        <v>#NAME?</v>
      </c>
      <c r="Q26" s="9" t="e">
        <f ca="1">SQRT((P$8*(P$8+1)-TiesCorrection($B$4:$D$13)/(P$8-1))/12*(1/P19+1/P20))</f>
        <v>#NAME?</v>
      </c>
      <c r="R26" s="9" t="e">
        <f t="shared" ca="1" si="12"/>
        <v>#NAME?</v>
      </c>
      <c r="S26" s="9" t="e">
        <f ca="1">Q26*R$21</f>
        <v>#NAME?</v>
      </c>
      <c r="T26" s="9" t="e">
        <f t="shared" ca="1" si="13"/>
        <v>#NAME?</v>
      </c>
      <c r="V26" s="9" t="str">
        <f>V19</f>
        <v>Old</v>
      </c>
      <c r="W26" s="9" t="str">
        <f>V20</f>
        <v>Control</v>
      </c>
      <c r="X26" s="9" t="e">
        <f ca="1">ABS(Y19-Y20)</f>
        <v>#NAME?</v>
      </c>
      <c r="Y26" s="9" t="e">
        <f ca="1">SQRT((X$8*(X$8+1)-TiesCorrection($B$4:$D$13)/(X$8-1))/12*(1/X19+1/X20))</f>
        <v>#NAME?</v>
      </c>
      <c r="Z26" s="9" t="e">
        <f t="shared" ca="1" si="14"/>
        <v>#NAME?</v>
      </c>
      <c r="AA26" s="9" t="e">
        <f ca="1">Y26*SQRT(Z$21)</f>
        <v>#NAME?</v>
      </c>
      <c r="AB26" s="9" t="e">
        <f t="shared" ca="1" si="15"/>
        <v>#NAME?</v>
      </c>
      <c r="AD26" s="9" t="str">
        <f>AD19</f>
        <v>Old</v>
      </c>
      <c r="AE26" s="9" t="str">
        <f>AD20</f>
        <v>Control</v>
      </c>
      <c r="AF26" s="9" t="e">
        <f ca="1">ABS(AG19-AG20)</f>
        <v>#NAME?</v>
      </c>
      <c r="AG26" s="9" t="e">
        <f ca="1">SQRT((SUMSQ(RANKS($B$4:$D$13,1))-AF$8/4*(AF$8+1)^2)/(AF$8-1)*(AF$8-1-KRUSKAL($B$4:$D$13))/(AF$8-COUNT(AF$5:AF$7))*(1/AF19+1/AF20))</f>
        <v>#NAME?</v>
      </c>
      <c r="AH26" s="9" t="e">
        <f t="shared" ca="1" si="16"/>
        <v>#NAME?</v>
      </c>
      <c r="AI26" s="9" t="e">
        <f ca="1">AG26*AH$21</f>
        <v>#NAME?</v>
      </c>
      <c r="AJ26" s="9" t="e">
        <f ca="1">_xlfn.T.DIST.2T(AH26,AI$8)</f>
        <v>#NAME?</v>
      </c>
    </row>
    <row r="27" spans="1:48" x14ac:dyDescent="0.35">
      <c r="B27" s="3">
        <v>35</v>
      </c>
      <c r="C27" s="3">
        <v>49</v>
      </c>
      <c r="D27" s="3">
        <v>64</v>
      </c>
      <c r="F27" s="9" t="str">
        <f>F22</f>
        <v>Old</v>
      </c>
      <c r="G27" s="9" t="e">
        <f ca="1">ABS(G$20-G22)</f>
        <v>#NAME?</v>
      </c>
      <c r="H27" s="9" t="e">
        <f ca="1">G27/I$23</f>
        <v>#NAME?</v>
      </c>
      <c r="I27" s="9" t="e">
        <f ca="1">DPROB(H27,COUNT(H$20:H$22),480)</f>
        <v>#NAME?</v>
      </c>
    </row>
    <row r="28" spans="1:48" x14ac:dyDescent="0.35">
      <c r="B28" s="13">
        <v>30</v>
      </c>
      <c r="C28" s="13">
        <v>31</v>
      </c>
      <c r="D28" s="13">
        <v>50</v>
      </c>
    </row>
    <row r="29" spans="1:48" x14ac:dyDescent="0.35">
      <c r="A29" t="s">
        <v>27</v>
      </c>
      <c r="B29">
        <f>AVERAGE(B19:B28)</f>
        <v>29.5</v>
      </c>
      <c r="C29">
        <f>AVERAGE(C19:C28)</f>
        <v>46.3</v>
      </c>
      <c r="D29">
        <f>AVERAGE(D19:D28)</f>
        <v>34.700000000000003</v>
      </c>
    </row>
    <row r="30" spans="1:48" ht="15" thickBot="1" x14ac:dyDescent="0.4">
      <c r="A30" t="s">
        <v>44</v>
      </c>
      <c r="B30">
        <f>VAR(B19:B28)</f>
        <v>138.94444444444446</v>
      </c>
      <c r="C30">
        <f>VAR(C19:C28)</f>
        <v>230.67777777777761</v>
      </c>
      <c r="D30">
        <f>VAR(D19:D28)</f>
        <v>219.78888888888892</v>
      </c>
      <c r="F30" t="s">
        <v>46</v>
      </c>
      <c r="I30" t="s">
        <v>5</v>
      </c>
      <c r="J30">
        <f>K18</f>
        <v>2.5000000000000001E-2</v>
      </c>
    </row>
    <row r="31" spans="1:48" ht="15" thickTop="1" x14ac:dyDescent="0.35">
      <c r="F31" s="4" t="s">
        <v>12</v>
      </c>
      <c r="G31" s="4" t="s">
        <v>13</v>
      </c>
      <c r="H31" s="4" t="s">
        <v>14</v>
      </c>
      <c r="I31" s="4" t="s">
        <v>47</v>
      </c>
      <c r="J31" s="4" t="s">
        <v>48</v>
      </c>
      <c r="K31" s="4" t="s">
        <v>38</v>
      </c>
    </row>
    <row r="32" spans="1:48" x14ac:dyDescent="0.35">
      <c r="F32" t="str">
        <f>B18</f>
        <v>Control</v>
      </c>
      <c r="G32" t="e">
        <f ca="1">RANK_SUM(B19:D28,1,1)</f>
        <v>#NAME?</v>
      </c>
      <c r="H32">
        <f>COUNT(B19:B28)</f>
        <v>10</v>
      </c>
    </row>
    <row r="33" spans="6:11" x14ac:dyDescent="0.35">
      <c r="F33" t="str">
        <f>C18</f>
        <v>New</v>
      </c>
      <c r="G33" t="e">
        <f ca="1">RANK_SUM(B19:D28,2,1)</f>
        <v>#NAME?</v>
      </c>
      <c r="H33">
        <f>COUNT(C19:C28)</f>
        <v>10</v>
      </c>
    </row>
    <row r="34" spans="6:11" x14ac:dyDescent="0.35">
      <c r="F34" t="str">
        <f>D18</f>
        <v>Old</v>
      </c>
      <c r="G34" t="e">
        <f ca="1">RANK_SUM(B19:D28,3,1)</f>
        <v>#NAME?</v>
      </c>
      <c r="H34">
        <f>COUNT(D19:D28)</f>
        <v>10</v>
      </c>
    </row>
    <row r="35" spans="6:11" x14ac:dyDescent="0.35">
      <c r="F35" s="8"/>
      <c r="G35" s="8"/>
      <c r="H35" s="8">
        <f>HARMEAN(H32:H34)</f>
        <v>9.9999999999999982</v>
      </c>
      <c r="I35" s="8">
        <f>SQRT(H35^2*COUNT(H$20:H$22)*(H35*COUNT(H32:H34)+1)/6)</f>
        <v>39.370039370059047</v>
      </c>
      <c r="J35" s="8" t="e">
        <f ca="1">DCRIT(COUNT(H32:H34),480,J30)</f>
        <v>#NAME?</v>
      </c>
      <c r="K35" s="8" t="e">
        <f ca="1">I35*J35</f>
        <v>#NAME?</v>
      </c>
    </row>
    <row r="36" spans="6:11" ht="15" thickBot="1" x14ac:dyDescent="0.4">
      <c r="F36" t="s">
        <v>33</v>
      </c>
    </row>
    <row r="37" spans="6:11" ht="15" thickTop="1" x14ac:dyDescent="0.35">
      <c r="F37" s="4" t="s">
        <v>12</v>
      </c>
      <c r="G37" s="4" t="s">
        <v>17</v>
      </c>
      <c r="H37" s="4" t="s">
        <v>50</v>
      </c>
      <c r="I37" s="4" t="s">
        <v>26</v>
      </c>
    </row>
    <row r="38" spans="6:11" x14ac:dyDescent="0.35">
      <c r="F38" s="8" t="str">
        <f>F33</f>
        <v>New</v>
      </c>
      <c r="G38" s="8" t="e">
        <f ca="1">ABS(G$20-G33)</f>
        <v>#NAME?</v>
      </c>
      <c r="H38" s="8" t="e">
        <f ca="1">G38/I$23</f>
        <v>#NAME?</v>
      </c>
      <c r="I38" s="8" t="e">
        <f ca="1">DPROB(H38,COUNT(H$20:H$22),480)</f>
        <v>#NAME?</v>
      </c>
    </row>
    <row r="39" spans="6:11" x14ac:dyDescent="0.35">
      <c r="F39" s="9" t="str">
        <f>F34</f>
        <v>Old</v>
      </c>
      <c r="G39" s="9" t="e">
        <f ca="1">ABS(G$20-G34)</f>
        <v>#NAME?</v>
      </c>
      <c r="H39" s="9" t="e">
        <f ca="1">G39/I$23</f>
        <v>#NAME?</v>
      </c>
      <c r="I39" s="9" t="e">
        <f ca="1">DPROB(H39,COUNT(H$20:H$22),480)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KW-Post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2024-06-30T13:39:34Z</dcterms:created>
  <dcterms:modified xsi:type="dcterms:W3CDTF">2024-06-30T13:42:08Z</dcterms:modified>
</cp:coreProperties>
</file>