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AFCE11FD-E099-4BFA-B1CB-B34D3DB65560}" xr6:coauthVersionLast="47" xr6:coauthVersionMax="47" xr10:uidLastSave="{00000000-0000-0000-0000-000000000000}"/>
  <bookViews>
    <workbookView xWindow="-110" yWindow="-110" windowWidth="19420" windowHeight="10300" xr2:uid="{44C0B4B4-D95B-4921-9B8A-5E56B3A3EBA8}"/>
  </bookViews>
  <sheets>
    <sheet name="Title" sheetId="4" r:id="rId1"/>
    <sheet name="Pearson" sheetId="2" r:id="rId2"/>
    <sheet name="Spearman" sheetId="1" r:id="rId3"/>
    <sheet name="Kendall" sheetId="3" r:id="rId4"/>
  </sheets>
  <externalReferences>
    <externalReference r:id="rId5"/>
    <externalReference r:id="rId6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W4" i="3"/>
  <c r="T4" i="3"/>
  <c r="K14" i="2"/>
  <c r="E14" i="2"/>
  <c r="K5" i="2"/>
  <c r="N15" i="2" s="1"/>
  <c r="E5" i="2"/>
  <c r="H15" i="2" s="1"/>
  <c r="G7" i="1"/>
  <c r="G11" i="1" s="1"/>
  <c r="G6" i="1"/>
  <c r="H6" i="1" s="1"/>
  <c r="H7" i="1" s="1"/>
  <c r="H11" i="1" s="1"/>
  <c r="R5" i="1"/>
  <c r="N5" i="1"/>
  <c r="G5" i="1"/>
  <c r="K18" i="3"/>
  <c r="K7" i="3"/>
  <c r="D18" i="1"/>
  <c r="D11" i="1"/>
  <c r="R6" i="1"/>
  <c r="M14" i="1" a="1"/>
  <c r="C14" i="1"/>
  <c r="E7" i="2"/>
  <c r="K6" i="2"/>
  <c r="G17" i="2" a="1"/>
  <c r="K17" i="3"/>
  <c r="W6" i="3"/>
  <c r="M4" i="3" a="1"/>
  <c r="C18" i="1"/>
  <c r="C11" i="1"/>
  <c r="N6" i="1"/>
  <c r="M17" i="2" a="1"/>
  <c r="K6" i="3"/>
  <c r="C5" i="1"/>
  <c r="V13" i="3" a="1"/>
  <c r="C16" i="1"/>
  <c r="D15" i="1"/>
  <c r="D14" i="1"/>
  <c r="D16" i="2" a="1"/>
  <c r="C15" i="1"/>
  <c r="K7" i="2"/>
  <c r="D13" i="1"/>
  <c r="J16" i="2" a="1"/>
  <c r="C13" i="1"/>
  <c r="N7" i="1"/>
  <c r="P4" i="3" a="1"/>
  <c r="D12" i="1"/>
  <c r="K15" i="3"/>
  <c r="K4" i="3"/>
  <c r="D17" i="1"/>
  <c r="D10" i="1"/>
  <c r="D6" i="1"/>
  <c r="J5" i="1" a="1"/>
  <c r="D9" i="1"/>
  <c r="C9" i="1"/>
  <c r="D8" i="1"/>
  <c r="S13" i="3" a="1"/>
  <c r="K12" i="3"/>
  <c r="K9" i="3"/>
  <c r="C19" i="1"/>
  <c r="N16" i="2"/>
  <c r="T6" i="3" a="1"/>
  <c r="C17" i="1"/>
  <c r="C10" i="1"/>
  <c r="C6" i="1"/>
  <c r="D5" i="1"/>
  <c r="D16" i="1"/>
  <c r="W5" i="3"/>
  <c r="T5" i="3"/>
  <c r="Q14" i="1" a="1"/>
  <c r="K5" i="3"/>
  <c r="C8" i="1"/>
  <c r="R7" i="1"/>
  <c r="D4" i="3" a="1"/>
  <c r="H16" i="2"/>
  <c r="D19" i="1"/>
  <c r="D7" i="1"/>
  <c r="E6" i="2"/>
  <c r="K8" i="3"/>
  <c r="C12" i="1"/>
  <c r="C7" i="1"/>
  <c r="D14" i="3" l="1"/>
  <c r="D8" i="3"/>
  <c r="E13" i="3"/>
  <c r="E7" i="3"/>
  <c r="E17" i="3"/>
  <c r="E11" i="3"/>
  <c r="E5" i="3"/>
  <c r="D17" i="3"/>
  <c r="D11" i="3"/>
  <c r="D5" i="3"/>
  <c r="E16" i="3"/>
  <c r="F16" i="3" s="1"/>
  <c r="D16" i="3"/>
  <c r="D10" i="3"/>
  <c r="D4" i="3"/>
  <c r="E9" i="3"/>
  <c r="D13" i="3"/>
  <c r="D7" i="3"/>
  <c r="E14" i="3"/>
  <c r="E18" i="3"/>
  <c r="F18" i="3" s="1"/>
  <c r="E12" i="3"/>
  <c r="E6" i="3"/>
  <c r="D18" i="3"/>
  <c r="D12" i="3"/>
  <c r="D6" i="3"/>
  <c r="E10" i="3"/>
  <c r="E4" i="3"/>
  <c r="E15" i="3"/>
  <c r="D15" i="3"/>
  <c r="D9" i="3"/>
  <c r="E8" i="3"/>
  <c r="R16" i="1"/>
  <c r="R14" i="1"/>
  <c r="Q16" i="1"/>
  <c r="Q18" i="1"/>
  <c r="R17" i="1"/>
  <c r="R15" i="1"/>
  <c r="Q15" i="1"/>
  <c r="Q14" i="1"/>
  <c r="R18" i="1"/>
  <c r="Q17" i="1"/>
  <c r="T6" i="3"/>
  <c r="T16" i="3"/>
  <c r="S16" i="3"/>
  <c r="T14" i="3"/>
  <c r="T18" i="3"/>
  <c r="S18" i="3"/>
  <c r="T15" i="3"/>
  <c r="S14" i="3"/>
  <c r="T13" i="3"/>
  <c r="S13" i="3"/>
  <c r="S17" i="3"/>
  <c r="S15" i="3"/>
  <c r="T19" i="3"/>
  <c r="S19" i="3"/>
  <c r="T17" i="3"/>
  <c r="K5" i="1"/>
  <c r="J5" i="1"/>
  <c r="K9" i="1"/>
  <c r="J8" i="1"/>
  <c r="K7" i="1"/>
  <c r="K6" i="1"/>
  <c r="J9" i="1"/>
  <c r="K8" i="1"/>
  <c r="J7" i="1"/>
  <c r="J6" i="1"/>
  <c r="Q8" i="3"/>
  <c r="P8" i="3"/>
  <c r="P6" i="3"/>
  <c r="Q5" i="3"/>
  <c r="Q10" i="3"/>
  <c r="Q4" i="3"/>
  <c r="P10" i="3"/>
  <c r="Q7" i="3"/>
  <c r="P9" i="3"/>
  <c r="P7" i="3"/>
  <c r="Q6" i="3"/>
  <c r="P5" i="3"/>
  <c r="P4" i="3"/>
  <c r="Q9" i="3"/>
  <c r="K19" i="2"/>
  <c r="K16" i="2"/>
  <c r="J19" i="2"/>
  <c r="K17" i="2"/>
  <c r="J17" i="2"/>
  <c r="J16" i="2"/>
  <c r="K18" i="2"/>
  <c r="J18" i="2"/>
  <c r="E18" i="2"/>
  <c r="D18" i="2"/>
  <c r="D16" i="2"/>
  <c r="E17" i="2"/>
  <c r="E16" i="2"/>
  <c r="D17" i="2"/>
  <c r="E19" i="2"/>
  <c r="D19" i="2"/>
  <c r="V15" i="3"/>
  <c r="W14" i="3"/>
  <c r="V18" i="3"/>
  <c r="W17" i="3"/>
  <c r="V16" i="3"/>
  <c r="V14" i="3"/>
  <c r="V13" i="3"/>
  <c r="W19" i="3"/>
  <c r="W13" i="3"/>
  <c r="V19" i="3"/>
  <c r="W18" i="3"/>
  <c r="V17" i="3"/>
  <c r="W16" i="3"/>
  <c r="W15" i="3"/>
  <c r="M17" i="2"/>
  <c r="M20" i="2"/>
  <c r="N19" i="2"/>
  <c r="M19" i="2"/>
  <c r="N18" i="2"/>
  <c r="M18" i="2"/>
  <c r="N20" i="2"/>
  <c r="N17" i="2"/>
  <c r="M10" i="3"/>
  <c r="M4" i="3"/>
  <c r="N9" i="3"/>
  <c r="N7" i="3"/>
  <c r="M7" i="3"/>
  <c r="M6" i="3"/>
  <c r="N5" i="3"/>
  <c r="M9" i="3"/>
  <c r="N10" i="3"/>
  <c r="N4" i="3"/>
  <c r="N8" i="3"/>
  <c r="M8" i="3"/>
  <c r="N6" i="3"/>
  <c r="M5" i="3"/>
  <c r="G19" i="2"/>
  <c r="H17" i="2"/>
  <c r="H20" i="2"/>
  <c r="G20" i="2"/>
  <c r="H19" i="2"/>
  <c r="H18" i="2"/>
  <c r="G18" i="2"/>
  <c r="G17" i="2"/>
  <c r="M16" i="1"/>
  <c r="N16" i="1"/>
  <c r="N15" i="1"/>
  <c r="M14" i="1"/>
  <c r="M18" i="1"/>
  <c r="N17" i="1"/>
  <c r="M17" i="1"/>
  <c r="M15" i="1"/>
  <c r="N14" i="1"/>
  <c r="N18" i="1"/>
  <c r="F17" i="3"/>
  <c r="E15" i="2"/>
  <c r="K15" i="2"/>
  <c r="H5" i="1"/>
  <c r="H8" i="1" s="1"/>
  <c r="H9" i="1" s="1"/>
  <c r="H12" i="1" s="1"/>
  <c r="H13" i="1" s="1"/>
  <c r="G8" i="1"/>
  <c r="G9" i="1" s="1"/>
  <c r="G12" i="1" s="1"/>
  <c r="G13" i="1" s="1"/>
  <c r="F10" i="3" l="1"/>
  <c r="F5" i="3"/>
  <c r="F4" i="3"/>
  <c r="F15" i="3"/>
  <c r="F12" i="3"/>
  <c r="F13" i="3"/>
  <c r="I4" i="3"/>
  <c r="F7" i="3"/>
  <c r="F9" i="3"/>
  <c r="F8" i="3"/>
  <c r="F11" i="3"/>
  <c r="F14" i="3"/>
  <c r="F6" i="3"/>
  <c r="I5" i="3" l="1"/>
  <c r="I9" i="3" s="1"/>
  <c r="F19" i="3"/>
  <c r="I6" i="3" s="1"/>
  <c r="I7" i="3" l="1"/>
  <c r="I8" i="3" s="1"/>
  <c r="I17" i="3" l="1"/>
  <c r="I12" i="3"/>
  <c r="I14" i="3" s="1"/>
  <c r="I15" i="3" s="1"/>
  <c r="I18" i="3"/>
</calcChain>
</file>

<file path=xl/sharedStrings.xml><?xml version="1.0" encoding="utf-8"?>
<sst xmlns="http://schemas.openxmlformats.org/spreadsheetml/2006/main" count="110" uniqueCount="52">
  <si>
    <t>Spearman's rho</t>
  </si>
  <si>
    <t>Sample</t>
  </si>
  <si>
    <t>Ranks</t>
  </si>
  <si>
    <t>t-test</t>
  </si>
  <si>
    <t>SCORREL (two-tailed)</t>
  </si>
  <si>
    <t>Correlation Coefficients</t>
  </si>
  <si>
    <t>Life Exp</t>
  </si>
  <si>
    <t>Cigarettes</t>
  </si>
  <si>
    <t>Pearson</t>
  </si>
  <si>
    <t>Spearman</t>
  </si>
  <si>
    <t>r</t>
  </si>
  <si>
    <t>n</t>
  </si>
  <si>
    <t>df</t>
  </si>
  <si>
    <t>Kendall</t>
  </si>
  <si>
    <r>
      <t>s</t>
    </r>
    <r>
      <rPr>
        <vertAlign val="subscript"/>
        <sz val="11"/>
        <color theme="1"/>
        <rFont val="Aptos Narrow"/>
        <family val="2"/>
        <scheme val="minor"/>
      </rPr>
      <t>r</t>
    </r>
  </si>
  <si>
    <t>t</t>
  </si>
  <si>
    <t>Spearman's coefficient (test)</t>
  </si>
  <si>
    <t>α</t>
  </si>
  <si>
    <t>t-crit</t>
  </si>
  <si>
    <t>Alpha</t>
  </si>
  <si>
    <t>p-value</t>
  </si>
  <si>
    <t>Tails</t>
  </si>
  <si>
    <t>reject</t>
  </si>
  <si>
    <t>Correlation: One Sample Hypothesis Testing using Real Statistics data analysis tool</t>
  </si>
  <si>
    <t># Cig</t>
  </si>
  <si>
    <t>Pearson's coeff (t test)</t>
  </si>
  <si>
    <t>Pearson's coeff (Fisher)</t>
  </si>
  <si>
    <t>Rho</t>
  </si>
  <si>
    <t>corr</t>
  </si>
  <si>
    <t>std err</t>
  </si>
  <si>
    <t>Kendall's tau</t>
  </si>
  <si>
    <t>KCORREL</t>
  </si>
  <si>
    <t>two tail</t>
  </si>
  <si>
    <t>one tail</t>
  </si>
  <si>
    <t>Inversions</t>
  </si>
  <si>
    <t>C(n, 2)</t>
  </si>
  <si>
    <t>D</t>
  </si>
  <si>
    <t>C</t>
  </si>
  <si>
    <t>tau</t>
  </si>
  <si>
    <t>Kendall's coefficient (test)</t>
  </si>
  <si>
    <t>std error</t>
  </si>
  <si>
    <t>z</t>
  </si>
  <si>
    <t>z-crit</t>
  </si>
  <si>
    <t>=NORM.S.INV(1-I11/2)</t>
  </si>
  <si>
    <t>=2*NORM.S.DIST(-ABS(I12),TRUE)</t>
  </si>
  <si>
    <t>sig</t>
  </si>
  <si>
    <t>lower</t>
  </si>
  <si>
    <t>upper</t>
  </si>
  <si>
    <t>Real Statistics Using Excel</t>
  </si>
  <si>
    <t>Updated</t>
  </si>
  <si>
    <t>Copyright © 2013 - 2024 Charles Zaiontz</t>
  </si>
  <si>
    <t>Correlation Data Analysis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</si>
</sst>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/>
    <xf numFmtId="0" fontId="0" fillId="0" borderId="0" xfId="0" quotePrefix="1"/>
    <xf numFmtId="0" fontId="0" fillId="0" borderId="26" xfId="0" applyBorder="1"/>
    <xf numFmtId="0" fontId="0" fillId="0" borderId="27" xfId="0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CorrelTest"/>
      <definedName name="CorrelTTest"/>
      <definedName name="CountPairs"/>
      <definedName name="FTEXT"/>
      <definedName name="KCORREL"/>
      <definedName name="QSORTRows"/>
      <definedName name="RANK_AVG"/>
      <definedName name="SCORRE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3D1F-0366-4A10-BF80-958515AB8633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48</v>
      </c>
    </row>
    <row r="2" spans="1:13" x14ac:dyDescent="0.35">
      <c r="A2" t="s">
        <v>51</v>
      </c>
    </row>
    <row r="4" spans="1:13" x14ac:dyDescent="0.35">
      <c r="A4" t="s">
        <v>49</v>
      </c>
      <c r="B4" s="46">
        <v>45502</v>
      </c>
    </row>
    <row r="6" spans="1:13" x14ac:dyDescent="0.35">
      <c r="A6" s="47" t="s">
        <v>50</v>
      </c>
    </row>
    <row r="10" spans="1:13" ht="18.5" x14ac:dyDescent="0.45">
      <c r="M10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61ED-5CA2-46E3-9293-137CDE31262B}">
  <dimension ref="A1:N20"/>
  <sheetViews>
    <sheetView workbookViewId="0"/>
  </sheetViews>
  <sheetFormatPr defaultRowHeight="14.5" x14ac:dyDescent="0.35"/>
  <cols>
    <col min="3" max="3" width="9.1796875" customWidth="1"/>
    <col min="4" max="4" width="10.54296875" customWidth="1"/>
    <col min="6" max="6" width="7" customWidth="1"/>
    <col min="10" max="10" width="10.54296875" customWidth="1"/>
    <col min="12" max="12" width="6.81640625" customWidth="1"/>
  </cols>
  <sheetData>
    <row r="1" spans="1:14" x14ac:dyDescent="0.35">
      <c r="A1" s="1" t="s">
        <v>23</v>
      </c>
      <c r="B1" s="1"/>
    </row>
    <row r="3" spans="1:14" x14ac:dyDescent="0.35">
      <c r="A3" s="3" t="s">
        <v>24</v>
      </c>
      <c r="B3" s="3" t="s">
        <v>6</v>
      </c>
      <c r="D3" t="s">
        <v>5</v>
      </c>
      <c r="J3" t="s">
        <v>5</v>
      </c>
    </row>
    <row r="4" spans="1:14" x14ac:dyDescent="0.35">
      <c r="A4" s="16">
        <v>5</v>
      </c>
      <c r="B4" s="7">
        <v>80</v>
      </c>
    </row>
    <row r="5" spans="1:14" x14ac:dyDescent="0.35">
      <c r="A5" s="16">
        <v>23</v>
      </c>
      <c r="B5" s="16">
        <v>78</v>
      </c>
      <c r="D5" t="s">
        <v>8</v>
      </c>
      <c r="E5" s="28">
        <f>CORREL(A4:A18,B4:B18)</f>
        <v>-0.71343017438658085</v>
      </c>
      <c r="J5" t="s">
        <v>8</v>
      </c>
      <c r="K5" s="28">
        <f>CORREL(A4:A18,B4:B18)</f>
        <v>-0.71343017438658085</v>
      </c>
    </row>
    <row r="6" spans="1:14" x14ac:dyDescent="0.35">
      <c r="A6" s="16">
        <v>25</v>
      </c>
      <c r="B6" s="16">
        <v>60</v>
      </c>
      <c r="D6" t="s">
        <v>9</v>
      </c>
      <c r="E6" s="20">
        <f>[2]!SCORREL(A4:A18,B4:B18)</f>
        <v>-0.67441968378913153</v>
      </c>
      <c r="J6" t="s">
        <v>9</v>
      </c>
      <c r="K6" s="20">
        <f>[2]!SCORREL(A4:A18,B4:B18)</f>
        <v>-0.67441968378913153</v>
      </c>
    </row>
    <row r="7" spans="1:14" x14ac:dyDescent="0.35">
      <c r="A7" s="16">
        <v>48</v>
      </c>
      <c r="B7" s="16">
        <v>53</v>
      </c>
      <c r="D7" t="s">
        <v>13</v>
      </c>
      <c r="E7" s="21">
        <f>[2]!KCORREL(A4:A18,B4:B18)</f>
        <v>-0.5096389446525954</v>
      </c>
      <c r="J7" t="s">
        <v>13</v>
      </c>
      <c r="K7" s="21">
        <f>[2]!KCORREL(A4:A18,B4:B18)</f>
        <v>-0.5096389446525954</v>
      </c>
    </row>
    <row r="8" spans="1:14" x14ac:dyDescent="0.35">
      <c r="A8" s="16">
        <v>17</v>
      </c>
      <c r="B8" s="16">
        <v>85</v>
      </c>
    </row>
    <row r="9" spans="1:14" x14ac:dyDescent="0.35">
      <c r="A9" s="16">
        <v>8</v>
      </c>
      <c r="B9" s="16">
        <v>84</v>
      </c>
      <c r="D9" t="s">
        <v>25</v>
      </c>
      <c r="G9" t="s">
        <v>26</v>
      </c>
      <c r="J9" t="s">
        <v>25</v>
      </c>
      <c r="M9" t="s">
        <v>26</v>
      </c>
    </row>
    <row r="10" spans="1:14" x14ac:dyDescent="0.35">
      <c r="A10" s="16">
        <v>4</v>
      </c>
      <c r="B10" s="16">
        <v>73</v>
      </c>
    </row>
    <row r="11" spans="1:14" x14ac:dyDescent="0.35">
      <c r="A11" s="16">
        <v>26</v>
      </c>
      <c r="B11" s="16">
        <v>79</v>
      </c>
      <c r="D11" t="s">
        <v>19</v>
      </c>
      <c r="E11" s="28">
        <v>0.05</v>
      </c>
      <c r="G11" t="s">
        <v>27</v>
      </c>
      <c r="H11" s="28">
        <v>0</v>
      </c>
      <c r="J11" t="s">
        <v>19</v>
      </c>
      <c r="K11" s="28">
        <v>0.05</v>
      </c>
      <c r="M11" t="s">
        <v>27</v>
      </c>
      <c r="N11" s="28">
        <v>0</v>
      </c>
    </row>
    <row r="12" spans="1:14" x14ac:dyDescent="0.35">
      <c r="A12" s="16">
        <v>11</v>
      </c>
      <c r="B12" s="16">
        <v>81</v>
      </c>
      <c r="D12" t="s">
        <v>21</v>
      </c>
      <c r="E12" s="21">
        <v>1</v>
      </c>
      <c r="G12" t="s">
        <v>19</v>
      </c>
      <c r="H12" s="20">
        <v>0.05</v>
      </c>
      <c r="J12" t="s">
        <v>21</v>
      </c>
      <c r="K12" s="21">
        <v>2</v>
      </c>
      <c r="M12" t="s">
        <v>19</v>
      </c>
      <c r="N12" s="20">
        <v>0.05</v>
      </c>
    </row>
    <row r="13" spans="1:14" x14ac:dyDescent="0.35">
      <c r="A13" s="16">
        <v>19</v>
      </c>
      <c r="B13" s="16">
        <v>75</v>
      </c>
      <c r="G13" t="s">
        <v>21</v>
      </c>
      <c r="H13" s="21">
        <v>1</v>
      </c>
      <c r="M13" t="s">
        <v>21</v>
      </c>
      <c r="N13" s="21">
        <v>2</v>
      </c>
    </row>
    <row r="14" spans="1:14" x14ac:dyDescent="0.35">
      <c r="A14" s="16">
        <v>14</v>
      </c>
      <c r="B14" s="16">
        <v>68</v>
      </c>
      <c r="D14" t="s">
        <v>28</v>
      </c>
      <c r="E14" s="28">
        <f>E5</f>
        <v>-0.71343017438658085</v>
      </c>
      <c r="J14" t="s">
        <v>28</v>
      </c>
      <c r="K14" s="28">
        <f>K5</f>
        <v>-0.71343017438658085</v>
      </c>
    </row>
    <row r="15" spans="1:14" x14ac:dyDescent="0.35">
      <c r="A15" s="16">
        <v>35</v>
      </c>
      <c r="B15" s="16">
        <v>72</v>
      </c>
      <c r="D15" t="s">
        <v>29</v>
      </c>
      <c r="E15" s="20">
        <f>E14/E16</f>
        <v>0.1943465157263681</v>
      </c>
      <c r="G15" t="s">
        <v>28</v>
      </c>
      <c r="H15" s="28">
        <f>E5</f>
        <v>-0.71343017438658085</v>
      </c>
      <c r="J15" t="s">
        <v>29</v>
      </c>
      <c r="K15" s="20">
        <f>K14/K16</f>
        <v>0.1943465157263681</v>
      </c>
      <c r="M15" t="s">
        <v>28</v>
      </c>
      <c r="N15" s="28">
        <f>K5</f>
        <v>-0.71343017438658085</v>
      </c>
    </row>
    <row r="16" spans="1:14" x14ac:dyDescent="0.35">
      <c r="A16" s="16">
        <v>29</v>
      </c>
      <c r="B16" s="16">
        <v>58</v>
      </c>
      <c r="D16" t="str">
        <f t="array" ref="D16:E19">[2]!CorrelTTest(A4:A18,B4:B18,E11,TRUE,E12)</f>
        <v>t</v>
      </c>
      <c r="E16" s="20">
        <v>-3.6709182653475567</v>
      </c>
      <c r="G16" t="s">
        <v>29</v>
      </c>
      <c r="H16" s="20">
        <f>1/SQRT([2]!CountPairs(A4:A18,B4:B18,FALSE)-1)</f>
        <v>0.2672612419124244</v>
      </c>
      <c r="J16" t="str">
        <f t="array" ref="J16:K19">[2]!CorrelTTest(A4:A18,B4:B18,K11,TRUE,K12)</f>
        <v>t</v>
      </c>
      <c r="K16" s="20">
        <v>-3.6709182653475567</v>
      </c>
      <c r="M16" t="s">
        <v>29</v>
      </c>
      <c r="N16" s="20">
        <f>1/SQRT([2]!CountPairs(A4:A18,B4:B18,FALSE)-1)</f>
        <v>0.2672612419124244</v>
      </c>
    </row>
    <row r="17" spans="1:14" x14ac:dyDescent="0.35">
      <c r="A17" s="16">
        <v>4</v>
      </c>
      <c r="B17" s="16">
        <v>92</v>
      </c>
      <c r="D17" t="str">
        <v>p-value</v>
      </c>
      <c r="E17" s="20">
        <v>1.4111714950356125E-3</v>
      </c>
      <c r="G17" t="str">
        <f t="array" ref="G17:H20">[2]!CorrelTest(A4:A18,B4:B18,H11,H12,TRUE,E12)</f>
        <v>z</v>
      </c>
      <c r="H17" s="20">
        <v>-3.0973751286731566</v>
      </c>
      <c r="J17" t="str">
        <v>p-value</v>
      </c>
      <c r="K17" s="20">
        <v>2.8223429900712249E-3</v>
      </c>
      <c r="M17" t="str">
        <f t="array" ref="M17:N20">[2]!CorrelTest(A4:A18,B4:B18,N11,N12,TRUE,K12)</f>
        <v>z</v>
      </c>
      <c r="N17" s="20">
        <v>-3.0973751286731566</v>
      </c>
    </row>
    <row r="18" spans="1:14" x14ac:dyDescent="0.35">
      <c r="A18" s="26">
        <v>23</v>
      </c>
      <c r="B18" s="26">
        <v>65</v>
      </c>
      <c r="D18" t="str">
        <v>lower</v>
      </c>
      <c r="E18" s="20" t="e">
        <v>#N/A</v>
      </c>
      <c r="G18" t="str">
        <v>p-value</v>
      </c>
      <c r="H18" s="20">
        <v>9.7621316554129538E-4</v>
      </c>
      <c r="J18" t="str">
        <v>lower</v>
      </c>
      <c r="K18" s="20">
        <v>-1.1332902954545796</v>
      </c>
      <c r="M18" t="str">
        <v>p-value</v>
      </c>
      <c r="N18" s="20">
        <v>1.9524263310825908E-3</v>
      </c>
    </row>
    <row r="19" spans="1:14" x14ac:dyDescent="0.35">
      <c r="D19" t="str">
        <v>upper</v>
      </c>
      <c r="E19" s="21" t="e">
        <v>#N/A</v>
      </c>
      <c r="G19" t="str">
        <v>lower</v>
      </c>
      <c r="H19" s="20" t="e">
        <v>#N/A</v>
      </c>
      <c r="J19" t="str">
        <v>upper</v>
      </c>
      <c r="K19" s="21">
        <v>-0.2935700533185821</v>
      </c>
      <c r="M19" t="str">
        <v>lower</v>
      </c>
      <c r="N19" s="20">
        <v>-0.89763862299200325</v>
      </c>
    </row>
    <row r="20" spans="1:14" x14ac:dyDescent="0.35">
      <c r="G20" t="str">
        <v>upper</v>
      </c>
      <c r="H20" s="21" t="e">
        <v>#N/A</v>
      </c>
      <c r="M20" t="str">
        <v>upper</v>
      </c>
      <c r="N20" s="21">
        <v>-0.3170304877306484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FA1A-8DB3-4F8E-A753-809077095A7E}">
  <dimension ref="A1:S19"/>
  <sheetViews>
    <sheetView workbookViewId="0"/>
  </sheetViews>
  <sheetFormatPr defaultRowHeight="14.5" x14ac:dyDescent="0.35"/>
  <cols>
    <col min="1" max="2" width="10.7265625" customWidth="1"/>
    <col min="3" max="6" width="10" customWidth="1"/>
    <col min="7" max="12" width="9.1796875" customWidth="1"/>
    <col min="13" max="13" width="9.54296875" customWidth="1"/>
    <col min="17" max="17" width="9.81640625" customWidth="1"/>
  </cols>
  <sheetData>
    <row r="1" spans="1:19" x14ac:dyDescent="0.35">
      <c r="A1" s="1" t="s">
        <v>0</v>
      </c>
    </row>
    <row r="3" spans="1:19" x14ac:dyDescent="0.35">
      <c r="A3" s="2" t="s">
        <v>1</v>
      </c>
      <c r="B3" s="2"/>
      <c r="C3" s="2" t="s">
        <v>2</v>
      </c>
      <c r="D3" s="2"/>
      <c r="F3" t="s">
        <v>3</v>
      </c>
      <c r="J3" t="s">
        <v>4</v>
      </c>
      <c r="M3" t="s">
        <v>5</v>
      </c>
      <c r="Q3" t="s">
        <v>5</v>
      </c>
    </row>
    <row r="4" spans="1:19" s="5" customFormat="1" x14ac:dyDescent="0.35">
      <c r="A4" s="3" t="s">
        <v>6</v>
      </c>
      <c r="B4" s="3" t="s">
        <v>7</v>
      </c>
      <c r="C4" s="3" t="s">
        <v>6</v>
      </c>
      <c r="D4" s="4" t="s">
        <v>7</v>
      </c>
      <c r="E4"/>
      <c r="F4"/>
      <c r="G4" t="s">
        <v>8</v>
      </c>
      <c r="H4" t="s">
        <v>9</v>
      </c>
      <c r="J4"/>
      <c r="K4"/>
      <c r="P4"/>
      <c r="Q4"/>
      <c r="R4"/>
      <c r="S4"/>
    </row>
    <row r="5" spans="1:19" x14ac:dyDescent="0.35">
      <c r="A5" s="6">
        <v>80</v>
      </c>
      <c r="B5" s="7">
        <v>5</v>
      </c>
      <c r="C5" s="6">
        <f>[2]!RANK_AVG(A5,A$5:A$19,1)</f>
        <v>11</v>
      </c>
      <c r="D5" s="8">
        <f>[2]!RANK_AVG(B5,B$5:B$19,1)</f>
        <v>3</v>
      </c>
      <c r="F5" s="9" t="s">
        <v>10</v>
      </c>
      <c r="G5" s="9">
        <f>CORREL(A5:A19,B5:B19)</f>
        <v>-0.71343017438658085</v>
      </c>
      <c r="H5" s="10">
        <f>CORREL(C5:C19,D5:D19)</f>
        <v>-0.67441968378913153</v>
      </c>
      <c r="J5" t="str">
        <f t="array" ref="J5:K9">[2]!SCORREL(A5:A19,B5:B19,TRUE)</f>
        <v>rho</v>
      </c>
      <c r="K5" s="11">
        <v>-0.67441968378913153</v>
      </c>
      <c r="M5" t="s">
        <v>8</v>
      </c>
      <c r="N5" s="14">
        <f>CORREL(A5:A19,B5:B19)</f>
        <v>-0.71343017438658085</v>
      </c>
      <c r="Q5" t="s">
        <v>8</v>
      </c>
      <c r="R5" s="14">
        <f>CORREL(A5:A19,B5:B19)</f>
        <v>-0.71343017438658085</v>
      </c>
    </row>
    <row r="6" spans="1:19" x14ac:dyDescent="0.35">
      <c r="A6" s="15">
        <v>78</v>
      </c>
      <c r="B6" s="16">
        <v>23</v>
      </c>
      <c r="C6" s="15">
        <f>[2]!RANK_AVG(A6,A$5:A$19,1)</f>
        <v>9</v>
      </c>
      <c r="D6" s="17">
        <f>[2]!RANK_AVG(B6,B$5:B$19,1)</f>
        <v>9.5</v>
      </c>
      <c r="F6" s="18" t="s">
        <v>11</v>
      </c>
      <c r="G6" s="18">
        <f>COUNT(A5:A19)</f>
        <v>15</v>
      </c>
      <c r="H6" s="19">
        <f>G6</f>
        <v>15</v>
      </c>
      <c r="J6" t="str">
        <v>t-stat</v>
      </c>
      <c r="K6" s="12">
        <v>-3.2933711950863382</v>
      </c>
      <c r="M6" t="s">
        <v>9</v>
      </c>
      <c r="N6" s="20">
        <f>[2]!SCORREL(A5:A19,B5:B19)</f>
        <v>-0.67441968378913153</v>
      </c>
      <c r="Q6" t="s">
        <v>9</v>
      </c>
      <c r="R6" s="20">
        <f>[2]!SCORREL(A5:A19,B5:B19)</f>
        <v>-0.67441968378913153</v>
      </c>
    </row>
    <row r="7" spans="1:19" x14ac:dyDescent="0.35">
      <c r="A7" s="15">
        <v>60</v>
      </c>
      <c r="B7" s="16">
        <v>25</v>
      </c>
      <c r="C7" s="15">
        <f>[2]!RANK_AVG(A7,A$5:A$19,1)</f>
        <v>3</v>
      </c>
      <c r="D7" s="17">
        <f>[2]!RANK_AVG(B7,B$5:B$19,1)</f>
        <v>11</v>
      </c>
      <c r="F7" s="18" t="s">
        <v>12</v>
      </c>
      <c r="G7" s="18">
        <f>G6-2</f>
        <v>13</v>
      </c>
      <c r="H7" s="19">
        <f>H6-2</f>
        <v>13</v>
      </c>
      <c r="J7" t="str">
        <v>p-value</v>
      </c>
      <c r="K7" s="12">
        <v>5.8214943223130478E-3</v>
      </c>
      <c r="M7" t="s">
        <v>13</v>
      </c>
      <c r="N7" s="21">
        <f>[2]!KCORREL(A5:A19,B5:B19)</f>
        <v>-0.5096389446525954</v>
      </c>
      <c r="Q7" t="s">
        <v>13</v>
      </c>
      <c r="R7" s="21">
        <f>[2]!KCORREL(A5:A19,B5:B19)</f>
        <v>-0.5096389446525954</v>
      </c>
    </row>
    <row r="8" spans="1:19" ht="16.5" x14ac:dyDescent="0.45">
      <c r="A8" s="15">
        <v>53</v>
      </c>
      <c r="B8" s="16">
        <v>48</v>
      </c>
      <c r="C8" s="15">
        <f>[2]!RANK_AVG(A8,A$5:A$19,1)</f>
        <v>1</v>
      </c>
      <c r="D8" s="17">
        <f>[2]!RANK_AVG(B8,B$5:B$19,1)</f>
        <v>15</v>
      </c>
      <c r="F8" s="18" t="s">
        <v>14</v>
      </c>
      <c r="G8" s="18">
        <f>SQRT((1-G5^2)/G7)</f>
        <v>0.1943465157263681</v>
      </c>
      <c r="H8" s="19">
        <f>SQRT((1-H5^2)/H7)</f>
        <v>0.20478095053340961</v>
      </c>
      <c r="J8" t="str">
        <v>lower</v>
      </c>
      <c r="K8" s="12">
        <v>-0.89482793854157472</v>
      </c>
    </row>
    <row r="9" spans="1:19" x14ac:dyDescent="0.35">
      <c r="A9" s="15">
        <v>85</v>
      </c>
      <c r="B9" s="16">
        <v>17</v>
      </c>
      <c r="C9" s="15">
        <f>[2]!RANK_AVG(A9,A$5:A$19,1)</f>
        <v>14</v>
      </c>
      <c r="D9" s="17">
        <f>[2]!RANK_AVG(B9,B$5:B$19,1)</f>
        <v>7</v>
      </c>
      <c r="F9" s="18" t="s">
        <v>15</v>
      </c>
      <c r="G9" s="18">
        <f>G5/G8</f>
        <v>-3.6709182653475567</v>
      </c>
      <c r="H9" s="19">
        <f>H5/H8</f>
        <v>-3.2933711950863382</v>
      </c>
      <c r="J9" t="str">
        <v>upper</v>
      </c>
      <c r="K9" s="13">
        <v>-0.18964599850399957</v>
      </c>
      <c r="M9" t="s">
        <v>16</v>
      </c>
      <c r="Q9" t="s">
        <v>16</v>
      </c>
    </row>
    <row r="10" spans="1:19" x14ac:dyDescent="0.35">
      <c r="A10" s="15">
        <v>84</v>
      </c>
      <c r="B10" s="16">
        <v>8</v>
      </c>
      <c r="C10" s="15">
        <f>[2]!RANK_AVG(A10,A$5:A$19,1)</f>
        <v>13</v>
      </c>
      <c r="D10" s="17">
        <f>[2]!RANK_AVG(B10,B$5:B$19,1)</f>
        <v>4</v>
      </c>
      <c r="F10" s="18" t="s">
        <v>17</v>
      </c>
      <c r="G10" s="18">
        <v>0.05</v>
      </c>
      <c r="H10" s="19">
        <v>0.05</v>
      </c>
    </row>
    <row r="11" spans="1:19" x14ac:dyDescent="0.35">
      <c r="A11" s="15">
        <v>73</v>
      </c>
      <c r="B11" s="16">
        <v>4</v>
      </c>
      <c r="C11" s="15">
        <f>[2]!RANK_AVG(A11,A$5:A$19,1)</f>
        <v>7</v>
      </c>
      <c r="D11" s="17">
        <f>[2]!RANK_AVG(B11,B$5:B$19,1)</f>
        <v>1.5</v>
      </c>
      <c r="F11" s="18" t="s">
        <v>18</v>
      </c>
      <c r="G11" s="18">
        <f>TINV(G10,G7)</f>
        <v>2.1603686564627926</v>
      </c>
      <c r="H11" s="19">
        <f>TINV(H10,H7)</f>
        <v>2.1603686564627926</v>
      </c>
      <c r="M11" t="s">
        <v>19</v>
      </c>
      <c r="N11" s="14">
        <v>0.05</v>
      </c>
      <c r="Q11" t="s">
        <v>19</v>
      </c>
      <c r="R11" s="14">
        <v>0.05</v>
      </c>
    </row>
    <row r="12" spans="1:19" x14ac:dyDescent="0.35">
      <c r="A12" s="15">
        <v>79</v>
      </c>
      <c r="B12" s="16">
        <v>26</v>
      </c>
      <c r="C12" s="15">
        <f>[2]!RANK_AVG(A12,A$5:A$19,1)</f>
        <v>10</v>
      </c>
      <c r="D12" s="17">
        <f>[2]!RANK_AVG(B12,B$5:B$19,1)</f>
        <v>12</v>
      </c>
      <c r="F12" s="18" t="s">
        <v>20</v>
      </c>
      <c r="G12" s="18">
        <f>TDIST(ABS(G9),G7,1)</f>
        <v>1.4111714950356155E-3</v>
      </c>
      <c r="H12" s="19">
        <f>TDIST(ABS(H9),H7,1)</f>
        <v>2.9107471611565156E-3</v>
      </c>
      <c r="M12" t="s">
        <v>21</v>
      </c>
      <c r="N12" s="21">
        <v>2</v>
      </c>
      <c r="Q12" t="s">
        <v>21</v>
      </c>
      <c r="R12" s="21">
        <v>1</v>
      </c>
    </row>
    <row r="13" spans="1:19" x14ac:dyDescent="0.35">
      <c r="A13" s="15">
        <v>81</v>
      </c>
      <c r="B13" s="16">
        <v>11</v>
      </c>
      <c r="C13" s="15">
        <f>[2]!RANK_AVG(A13,A$5:A$19,1)</f>
        <v>12</v>
      </c>
      <c r="D13" s="17">
        <f>[2]!RANK_AVG(B13,B$5:B$19,1)</f>
        <v>5</v>
      </c>
      <c r="F13" s="22" t="s">
        <v>22</v>
      </c>
      <c r="G13" s="23" t="str">
        <f>IF(G12&lt;G10,"yes","no")</f>
        <v>yes</v>
      </c>
      <c r="H13" s="24" t="str">
        <f>IF(H12&lt;H10,"yes","no")</f>
        <v>yes</v>
      </c>
    </row>
    <row r="14" spans="1:19" x14ac:dyDescent="0.35">
      <c r="A14" s="15">
        <v>75</v>
      </c>
      <c r="B14" s="16">
        <v>19</v>
      </c>
      <c r="C14" s="15">
        <f>[2]!RANK_AVG(A14,A$5:A$19,1)</f>
        <v>8</v>
      </c>
      <c r="D14" s="17">
        <f>[2]!RANK_AVG(B14,B$5:B$19,1)</f>
        <v>8</v>
      </c>
      <c r="M14" t="str">
        <f t="array" ref="M14:N18">[2]!SCORREL(A5:A19,B5:B19,TRUE,N12,N11)</f>
        <v>rho</v>
      </c>
      <c r="N14" s="11">
        <v>-0.67441968378913153</v>
      </c>
      <c r="Q14" t="str">
        <f t="array" ref="Q14:R18">[2]!SCORREL(A5:A19,B5:B19,TRUE,R12,R11)</f>
        <v>rho</v>
      </c>
      <c r="R14" s="11">
        <v>-0.67441968378913153</v>
      </c>
    </row>
    <row r="15" spans="1:19" x14ac:dyDescent="0.35">
      <c r="A15" s="15">
        <v>68</v>
      </c>
      <c r="B15" s="16">
        <v>14</v>
      </c>
      <c r="C15" s="15">
        <f>[2]!RANK_AVG(A15,A$5:A$19,1)</f>
        <v>5</v>
      </c>
      <c r="D15" s="17">
        <f>[2]!RANK_AVG(B15,B$5:B$19,1)</f>
        <v>6</v>
      </c>
      <c r="M15" t="str">
        <v>t-stat</v>
      </c>
      <c r="N15" s="12">
        <v>-3.2933711950863382</v>
      </c>
      <c r="Q15" t="str">
        <v>t-stat</v>
      </c>
      <c r="R15" s="12">
        <v>-3.2933711950863382</v>
      </c>
    </row>
    <row r="16" spans="1:19" x14ac:dyDescent="0.35">
      <c r="A16" s="15">
        <v>72</v>
      </c>
      <c r="B16" s="16">
        <v>35</v>
      </c>
      <c r="C16" s="15">
        <f>[2]!RANK_AVG(A16,A$5:A$19,1)</f>
        <v>6</v>
      </c>
      <c r="D16" s="17">
        <f>[2]!RANK_AVG(B16,B$5:B$19,1)</f>
        <v>14</v>
      </c>
      <c r="M16" t="str">
        <v>p-value</v>
      </c>
      <c r="N16" s="12">
        <v>5.8214943223130478E-3</v>
      </c>
      <c r="Q16" t="str">
        <v>p-value</v>
      </c>
      <c r="R16" s="12">
        <v>2.9107471611565239E-3</v>
      </c>
    </row>
    <row r="17" spans="1:18" x14ac:dyDescent="0.35">
      <c r="A17" s="15">
        <v>58</v>
      </c>
      <c r="B17" s="16">
        <v>29</v>
      </c>
      <c r="C17" s="15">
        <f>[2]!RANK_AVG(A17,A$5:A$19,1)</f>
        <v>2</v>
      </c>
      <c r="D17" s="17">
        <f>[2]!RANK_AVG(B17,B$5:B$19,1)</f>
        <v>13</v>
      </c>
      <c r="M17" t="str">
        <v>lower</v>
      </c>
      <c r="N17" s="12">
        <v>-0.89482793854157472</v>
      </c>
      <c r="Q17" t="str">
        <v>lower</v>
      </c>
      <c r="R17" s="12">
        <v>-0.87283560073067634</v>
      </c>
    </row>
    <row r="18" spans="1:18" x14ac:dyDescent="0.35">
      <c r="A18" s="15">
        <v>92</v>
      </c>
      <c r="B18" s="16">
        <v>4</v>
      </c>
      <c r="C18" s="15">
        <f>[2]!RANK_AVG(A18,A$5:A$19,1)</f>
        <v>15</v>
      </c>
      <c r="D18" s="17">
        <f>[2]!RANK_AVG(B18,B$5:B$19,1)</f>
        <v>1.5</v>
      </c>
      <c r="M18" t="str">
        <v>upper</v>
      </c>
      <c r="N18" s="13">
        <v>-0.18964599850399957</v>
      </c>
      <c r="Q18" t="str">
        <v>upper</v>
      </c>
      <c r="R18" s="13">
        <v>-0.28466270473155431</v>
      </c>
    </row>
    <row r="19" spans="1:18" x14ac:dyDescent="0.35">
      <c r="A19" s="25">
        <v>65</v>
      </c>
      <c r="B19" s="26">
        <v>23</v>
      </c>
      <c r="C19" s="25">
        <f>[2]!RANK_AVG(A19,A$5:A$19,1)</f>
        <v>4</v>
      </c>
      <c r="D19" s="27">
        <f>[2]!RANK_AVG(B19,B$5:B$19,1)</f>
        <v>9.5</v>
      </c>
    </row>
  </sheetData>
  <mergeCells count="2">
    <mergeCell ref="A3:B3"/>
    <mergeCell ref="C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88FC-7AD9-4D4F-B167-52E0A976A6A4}">
  <dimension ref="A1:W19"/>
  <sheetViews>
    <sheetView workbookViewId="0"/>
  </sheetViews>
  <sheetFormatPr defaultRowHeight="14.5" x14ac:dyDescent="0.35"/>
  <cols>
    <col min="1" max="2" width="9.7265625" customWidth="1"/>
    <col min="3" max="3" width="4.453125" customWidth="1"/>
    <col min="4" max="5" width="10.7265625" customWidth="1"/>
    <col min="6" max="6" width="10" customWidth="1"/>
    <col min="7" max="7" width="4.1796875" customWidth="1"/>
    <col min="8" max="8" width="11.7265625" customWidth="1"/>
    <col min="10" max="10" width="2.1796875" customWidth="1"/>
    <col min="11" max="11" width="30" customWidth="1"/>
    <col min="18" max="19" width="9.81640625" customWidth="1"/>
    <col min="20" max="21" width="10.1796875" customWidth="1"/>
    <col min="22" max="22" width="9.54296875" customWidth="1"/>
  </cols>
  <sheetData>
    <row r="1" spans="1:23" x14ac:dyDescent="0.35">
      <c r="A1" s="1" t="s">
        <v>30</v>
      </c>
    </row>
    <row r="2" spans="1:23" x14ac:dyDescent="0.35">
      <c r="M2" t="s">
        <v>31</v>
      </c>
      <c r="N2" t="s">
        <v>32</v>
      </c>
      <c r="P2" t="s">
        <v>31</v>
      </c>
      <c r="Q2" t="s">
        <v>33</v>
      </c>
      <c r="S2" t="s">
        <v>5</v>
      </c>
      <c r="V2" t="s">
        <v>5</v>
      </c>
    </row>
    <row r="3" spans="1:23" x14ac:dyDescent="0.35">
      <c r="A3" s="29" t="s">
        <v>6</v>
      </c>
      <c r="B3" s="30" t="s">
        <v>7</v>
      </c>
      <c r="D3" s="29" t="s">
        <v>6</v>
      </c>
      <c r="E3" s="30" t="s">
        <v>7</v>
      </c>
      <c r="F3" s="31" t="s">
        <v>34</v>
      </c>
    </row>
    <row r="4" spans="1:23" x14ac:dyDescent="0.35">
      <c r="A4" s="32">
        <v>80</v>
      </c>
      <c r="B4" s="33">
        <v>5</v>
      </c>
      <c r="D4" s="32">
        <f t="array" ref="D4:E18">[2]!QSORTRows(A4:B18)</f>
        <v>53</v>
      </c>
      <c r="E4" s="34">
        <v>48</v>
      </c>
      <c r="F4" s="35">
        <f>COUNTIF(E5:E$19,"&lt;"&amp;E4)</f>
        <v>14</v>
      </c>
      <c r="H4" t="s">
        <v>11</v>
      </c>
      <c r="I4" s="36">
        <f>COUNT(D4:D18)</f>
        <v>15</v>
      </c>
      <c r="K4" s="37" t="str">
        <f>[2]!FTEXT(I4)</f>
        <v>=COUNT(D4:D18)</v>
      </c>
      <c r="M4" t="str">
        <f t="array" ref="M4:N10">[2]!KCORREL(A4:A18,B4:B18,TRUE,,,FALSE)</f>
        <v>tau</v>
      </c>
      <c r="N4" s="36">
        <v>-0.52380952380952384</v>
      </c>
      <c r="P4" t="str">
        <f t="array" ref="P4:Q10">[2]!KCORREL(A4:A18,B4:B18,TRUE,1,,FALSE)</f>
        <v>tau</v>
      </c>
      <c r="Q4" s="36">
        <v>-0.52380952380952384</v>
      </c>
      <c r="S4" t="s">
        <v>8</v>
      </c>
      <c r="T4" s="38">
        <f>CORREL(A4:A18,B4:B18)</f>
        <v>-0.72094083207588544</v>
      </c>
      <c r="V4" t="s">
        <v>8</v>
      </c>
      <c r="W4" s="38">
        <f>CORREL(A4:A18,B4:B18)</f>
        <v>-0.72094083207588544</v>
      </c>
    </row>
    <row r="5" spans="1:23" x14ac:dyDescent="0.35">
      <c r="A5" s="39">
        <v>78</v>
      </c>
      <c r="B5" s="17">
        <v>23</v>
      </c>
      <c r="D5" s="15">
        <v>58</v>
      </c>
      <c r="E5" s="16">
        <v>29</v>
      </c>
      <c r="F5" s="35">
        <f>COUNTIF(E6:E$19,"&lt;"&amp;E5)</f>
        <v>12</v>
      </c>
      <c r="H5" t="s">
        <v>35</v>
      </c>
      <c r="I5" s="12">
        <f>COMBIN(I4,2)</f>
        <v>105</v>
      </c>
      <c r="K5" s="37" t="str">
        <f>[2]!FTEXT(I5)</f>
        <v>=COMBIN(I4,2)</v>
      </c>
      <c r="M5" t="str">
        <v>s.e.</v>
      </c>
      <c r="N5" s="12">
        <v>0.19245008972987523</v>
      </c>
      <c r="P5" t="str">
        <v>s.e.</v>
      </c>
      <c r="Q5" s="12">
        <v>0.19245008972987523</v>
      </c>
      <c r="S5" t="s">
        <v>9</v>
      </c>
      <c r="T5" s="20">
        <f>[2]!SCORREL(A4:A18,B4:B18)</f>
        <v>-0.69642857142857129</v>
      </c>
      <c r="V5" t="s">
        <v>9</v>
      </c>
      <c r="W5" s="20">
        <f>[2]!SCORREL(A4:A18,B4:B18)</f>
        <v>-0.69642857142857129</v>
      </c>
    </row>
    <row r="6" spans="1:23" x14ac:dyDescent="0.35">
      <c r="A6" s="39">
        <v>60</v>
      </c>
      <c r="B6" s="17">
        <v>25</v>
      </c>
      <c r="D6" s="39">
        <v>60</v>
      </c>
      <c r="E6" s="16">
        <v>25</v>
      </c>
      <c r="F6" s="35">
        <f>COUNTIF(E7:E$19,"&lt;"&amp;E6)</f>
        <v>10</v>
      </c>
      <c r="H6" t="s">
        <v>36</v>
      </c>
      <c r="I6" s="12">
        <f>F19</f>
        <v>80</v>
      </c>
      <c r="K6" s="37" t="str">
        <f>[2]!FTEXT(I6)</f>
        <v>=F19</v>
      </c>
      <c r="M6" t="str">
        <v>z</v>
      </c>
      <c r="N6" s="12">
        <v>-2.7217941261796645</v>
      </c>
      <c r="P6" t="str">
        <v>z</v>
      </c>
      <c r="Q6" s="12">
        <v>-2.7217941261796645</v>
      </c>
      <c r="S6" t="s">
        <v>13</v>
      </c>
      <c r="T6" s="21">
        <f t="array" ref="T6">[2]!KCORREL(A4:A18,B4:B18,,,,FALSE)</f>
        <v>-0.52380952380952384</v>
      </c>
      <c r="V6" t="s">
        <v>13</v>
      </c>
      <c r="W6" s="21">
        <f>[2]!KCORREL(A4:A18,B4:B18,,,,FALSE)</f>
        <v>-0.52380952380952384</v>
      </c>
    </row>
    <row r="7" spans="1:23" x14ac:dyDescent="0.35">
      <c r="A7" s="39">
        <v>53</v>
      </c>
      <c r="B7" s="17">
        <v>48</v>
      </c>
      <c r="D7" s="39">
        <v>65</v>
      </c>
      <c r="E7" s="16">
        <v>24</v>
      </c>
      <c r="F7" s="35">
        <f>COUNTIF(E8:E$19,"&lt;"&amp;E7)</f>
        <v>9</v>
      </c>
      <c r="H7" t="s">
        <v>37</v>
      </c>
      <c r="I7" s="12">
        <f>I5-I6</f>
        <v>25</v>
      </c>
      <c r="K7" s="37" t="str">
        <f>[2]!FTEXT(I7)</f>
        <v>=I5-I6</v>
      </c>
      <c r="M7" t="str">
        <v>z-crit</v>
      </c>
      <c r="N7" s="12">
        <v>1.9599639845400536</v>
      </c>
      <c r="P7" t="str">
        <v>z-crit</v>
      </c>
      <c r="Q7" s="12">
        <v>1.6448536269514715</v>
      </c>
    </row>
    <row r="8" spans="1:23" x14ac:dyDescent="0.35">
      <c r="A8" s="39">
        <v>85</v>
      </c>
      <c r="B8" s="17">
        <v>17</v>
      </c>
      <c r="D8" s="39">
        <v>68</v>
      </c>
      <c r="E8" s="16">
        <v>14</v>
      </c>
      <c r="F8" s="35">
        <f>COUNTIF(E9:E$19,"&lt;"&amp;E8)</f>
        <v>5</v>
      </c>
      <c r="H8" t="s">
        <v>38</v>
      </c>
      <c r="I8" s="12">
        <f>(I7-I6)/I5</f>
        <v>-0.52380952380952384</v>
      </c>
      <c r="K8" s="37" t="str">
        <f>[2]!FTEXT(I8)</f>
        <v>=(I7-I6)/I5</v>
      </c>
      <c r="M8" t="str">
        <v>p-value</v>
      </c>
      <c r="N8" s="12">
        <v>6.492857745083791E-3</v>
      </c>
      <c r="P8" t="str">
        <v>p-value</v>
      </c>
      <c r="Q8" s="12">
        <v>3.2464288725418955E-3</v>
      </c>
      <c r="S8" t="s">
        <v>39</v>
      </c>
      <c r="V8" t="s">
        <v>39</v>
      </c>
    </row>
    <row r="9" spans="1:23" x14ac:dyDescent="0.35">
      <c r="A9" s="39">
        <v>84</v>
      </c>
      <c r="B9" s="17">
        <v>8</v>
      </c>
      <c r="D9" s="39">
        <v>72</v>
      </c>
      <c r="E9" s="16">
        <v>35</v>
      </c>
      <c r="F9" s="35">
        <f>COUNTIF(E10:E$19,"&lt;"&amp;E9)</f>
        <v>9</v>
      </c>
      <c r="H9" t="s">
        <v>40</v>
      </c>
      <c r="I9" s="13">
        <f>SQRT((2*I4+5)/I5)/3</f>
        <v>0.19245008972987523</v>
      </c>
      <c r="K9" s="37" t="str">
        <f>[2]!FTEXT(I9)</f>
        <v>=SQRT((2*I4+5)/I5)/3</v>
      </c>
      <c r="M9" t="str">
        <v>lower</v>
      </c>
      <c r="N9" s="12">
        <v>-0.90100476850158095</v>
      </c>
      <c r="P9" t="str">
        <v>lower</v>
      </c>
      <c r="Q9" s="12">
        <v>-0.84036175190884532</v>
      </c>
    </row>
    <row r="10" spans="1:23" x14ac:dyDescent="0.35">
      <c r="A10" s="39">
        <v>73</v>
      </c>
      <c r="B10" s="17">
        <v>4</v>
      </c>
      <c r="D10" s="39">
        <v>73</v>
      </c>
      <c r="E10" s="16">
        <v>4</v>
      </c>
      <c r="F10" s="35">
        <f>COUNTIF(E11:E$19,"&lt;"&amp;E10)</f>
        <v>1</v>
      </c>
      <c r="K10" s="37"/>
      <c r="M10" t="str">
        <v>upper</v>
      </c>
      <c r="N10" s="13">
        <v>-0.14661427911746672</v>
      </c>
      <c r="P10" t="str">
        <v>upper</v>
      </c>
      <c r="Q10" s="13">
        <v>-0.2072572957102024</v>
      </c>
      <c r="S10" t="s">
        <v>19</v>
      </c>
      <c r="T10" s="38">
        <v>0.05</v>
      </c>
      <c r="V10" t="s">
        <v>19</v>
      </c>
      <c r="W10" s="38">
        <v>0.05</v>
      </c>
    </row>
    <row r="11" spans="1:23" x14ac:dyDescent="0.35">
      <c r="A11" s="39">
        <v>79</v>
      </c>
      <c r="B11" s="17">
        <v>26</v>
      </c>
      <c r="D11" s="39">
        <v>75</v>
      </c>
      <c r="E11" s="16">
        <v>19</v>
      </c>
      <c r="F11" s="35">
        <f>COUNTIF(E12:E$19,"&lt;"&amp;E11)</f>
        <v>5</v>
      </c>
      <c r="H11" s="40" t="s">
        <v>17</v>
      </c>
      <c r="I11" s="36">
        <v>0.05</v>
      </c>
      <c r="S11" t="s">
        <v>21</v>
      </c>
      <c r="T11" s="21">
        <v>1</v>
      </c>
      <c r="V11" t="s">
        <v>21</v>
      </c>
      <c r="W11" s="21">
        <v>2</v>
      </c>
    </row>
    <row r="12" spans="1:23" x14ac:dyDescent="0.35">
      <c r="A12" s="39">
        <v>81</v>
      </c>
      <c r="B12" s="17">
        <v>11</v>
      </c>
      <c r="D12" s="39">
        <v>78</v>
      </c>
      <c r="E12" s="16">
        <v>23</v>
      </c>
      <c r="F12" s="35">
        <f>COUNTIF(E13:E$19,"&lt;"&amp;E12)</f>
        <v>5</v>
      </c>
      <c r="H12" t="s">
        <v>41</v>
      </c>
      <c r="I12" s="12">
        <f>I8/I9</f>
        <v>-2.7217941261796645</v>
      </c>
      <c r="K12" s="37" t="str">
        <f>[2]!FTEXT(I12)</f>
        <v>=I8/I9</v>
      </c>
    </row>
    <row r="13" spans="1:23" x14ac:dyDescent="0.35">
      <c r="A13" s="39">
        <v>75</v>
      </c>
      <c r="B13" s="17">
        <v>19</v>
      </c>
      <c r="D13" s="39">
        <v>79</v>
      </c>
      <c r="E13" s="16">
        <v>26</v>
      </c>
      <c r="F13" s="35">
        <f>COUNTIF(E14:E$19,"&lt;"&amp;E13)</f>
        <v>5</v>
      </c>
      <c r="H13" t="s">
        <v>42</v>
      </c>
      <c r="I13" s="12">
        <f>NORMSINV(1-I11/2)</f>
        <v>1.9599639845400536</v>
      </c>
      <c r="K13" s="37" t="s">
        <v>43</v>
      </c>
      <c r="S13" t="str">
        <f t="array" ref="S13:T19">[2]!KCORREL(A4:A18,B4:B18,TRUE,T11,T10,FALSE)</f>
        <v>tau</v>
      </c>
      <c r="T13" s="38">
        <v>-0.52380952380952384</v>
      </c>
      <c r="V13" t="str">
        <f t="array" ref="V13:W19">[2]!KCORREL(A4:A18,B4:B18,TRUE,W11,W10,FALSE)</f>
        <v>tau</v>
      </c>
      <c r="W13" s="38">
        <v>-0.52380952380952384</v>
      </c>
    </row>
    <row r="14" spans="1:23" x14ac:dyDescent="0.35">
      <c r="A14" s="39">
        <v>68</v>
      </c>
      <c r="B14" s="17">
        <v>14</v>
      </c>
      <c r="D14" s="39">
        <v>80</v>
      </c>
      <c r="E14" s="16">
        <v>5</v>
      </c>
      <c r="F14" s="35">
        <f>COUNTIF(E15:E$19,"&lt;"&amp;E14)</f>
        <v>1</v>
      </c>
      <c r="H14" t="s">
        <v>20</v>
      </c>
      <c r="I14" s="12">
        <f>2*NORMSDIST(-ABS(I12))</f>
        <v>6.4928577450838743E-3</v>
      </c>
      <c r="K14" s="37" t="s">
        <v>44</v>
      </c>
      <c r="S14" t="str">
        <v>s.e.</v>
      </c>
      <c r="T14" s="20">
        <v>0.19245008972987523</v>
      </c>
      <c r="V14" t="str">
        <v>s.e.</v>
      </c>
      <c r="W14" s="20">
        <v>0.19245008972987523</v>
      </c>
    </row>
    <row r="15" spans="1:23" x14ac:dyDescent="0.35">
      <c r="A15" s="39">
        <v>72</v>
      </c>
      <c r="B15" s="17">
        <v>35</v>
      </c>
      <c r="D15" s="39">
        <v>81</v>
      </c>
      <c r="E15" s="16">
        <v>11</v>
      </c>
      <c r="F15" s="35">
        <f>COUNTIF(E16:E$19,"&lt;"&amp;E15)</f>
        <v>2</v>
      </c>
      <c r="H15" t="s">
        <v>45</v>
      </c>
      <c r="I15" s="41" t="str">
        <f>IF(I14&lt;I11,"yes","no")</f>
        <v>yes</v>
      </c>
      <c r="K15" s="37" t="str">
        <f>[2]!FTEXT(I15)</f>
        <v>=IF(I14&lt;I11,"yes","no")</v>
      </c>
      <c r="S15" t="str">
        <v>z</v>
      </c>
      <c r="T15" s="20">
        <v>-2.7217941261796645</v>
      </c>
      <c r="V15" t="str">
        <v>z</v>
      </c>
      <c r="W15" s="20">
        <v>-2.7217941261796645</v>
      </c>
    </row>
    <row r="16" spans="1:23" x14ac:dyDescent="0.35">
      <c r="A16" s="39">
        <v>58</v>
      </c>
      <c r="B16" s="17">
        <v>29</v>
      </c>
      <c r="D16" s="39">
        <v>84</v>
      </c>
      <c r="E16" s="16">
        <v>8</v>
      </c>
      <c r="F16" s="35">
        <f>COUNTIF(E17:E$19,"&lt;"&amp;E16)</f>
        <v>1</v>
      </c>
      <c r="K16" s="37"/>
      <c r="S16" t="str">
        <v>z-crit</v>
      </c>
      <c r="T16" s="20">
        <v>1.6448536269514715</v>
      </c>
      <c r="V16" t="str">
        <v>z-crit</v>
      </c>
      <c r="W16" s="20">
        <v>1.9599639845400536</v>
      </c>
    </row>
    <row r="17" spans="1:23" x14ac:dyDescent="0.35">
      <c r="A17" s="39">
        <v>92</v>
      </c>
      <c r="B17" s="17">
        <v>3</v>
      </c>
      <c r="D17" s="39">
        <v>85</v>
      </c>
      <c r="E17" s="16">
        <v>17</v>
      </c>
      <c r="F17" s="35">
        <f>COUNTIF(E18:E$19,"&lt;"&amp;E17)</f>
        <v>1</v>
      </c>
      <c r="H17" t="s">
        <v>46</v>
      </c>
      <c r="I17" s="36">
        <f>I8-I9*I13</f>
        <v>-0.90100476850158095</v>
      </c>
      <c r="K17" s="37" t="str">
        <f>[2]!FTEXT(I17)</f>
        <v>=I8-I9*I13</v>
      </c>
      <c r="S17" t="str">
        <v>p-value</v>
      </c>
      <c r="T17" s="20">
        <v>3.2464288725418955E-3</v>
      </c>
      <c r="V17" t="str">
        <v>p-value</v>
      </c>
      <c r="W17" s="20">
        <v>6.492857745083791E-3</v>
      </c>
    </row>
    <row r="18" spans="1:23" x14ac:dyDescent="0.35">
      <c r="A18" s="42">
        <v>65</v>
      </c>
      <c r="B18" s="43">
        <v>24</v>
      </c>
      <c r="D18" s="42">
        <v>92</v>
      </c>
      <c r="E18" s="44">
        <v>3</v>
      </c>
      <c r="F18" s="45">
        <f>COUNTIF(E19:E$19,"&lt;"&amp;E18)</f>
        <v>0</v>
      </c>
      <c r="H18" t="s">
        <v>47</v>
      </c>
      <c r="I18" s="13">
        <f>I8+I9*I13</f>
        <v>-0.14661427911746672</v>
      </c>
      <c r="K18" s="37" t="str">
        <f>[2]!FTEXT(I18)</f>
        <v>=I8+I9*I13</v>
      </c>
      <c r="S18" t="str">
        <v>lower</v>
      </c>
      <c r="T18" s="20">
        <v>-0.84036175190884532</v>
      </c>
      <c r="V18" t="str">
        <v>lower</v>
      </c>
      <c r="W18" s="20">
        <v>-0.90100476850158095</v>
      </c>
    </row>
    <row r="19" spans="1:23" x14ac:dyDescent="0.35">
      <c r="F19" s="16">
        <f>SUM(F4:F18)</f>
        <v>80</v>
      </c>
      <c r="S19" t="str">
        <v>upper</v>
      </c>
      <c r="T19" s="21">
        <v>-0.2072572957102024</v>
      </c>
      <c r="V19" t="str">
        <v>upper</v>
      </c>
      <c r="W19" s="21">
        <v>-0.14661427911746672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Pearson</vt:lpstr>
      <vt:lpstr>Spearman</vt:lpstr>
      <vt:lpstr>Kendall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2024-07-29T08:49:03Z</dcterms:created>
  <dcterms:modified xsi:type="dcterms:W3CDTF">2024-07-29T08:53:16Z</dcterms:modified>
</cp:coreProperties>
</file>