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233F7E71-B448-48ED-83F6-9943413F9E76}" xr6:coauthVersionLast="47" xr6:coauthVersionMax="47" xr10:uidLastSave="{00000000-0000-0000-0000-000000000000}"/>
  <bookViews>
    <workbookView xWindow="-110" yWindow="-110" windowWidth="19420" windowHeight="10300" xr2:uid="{CC9FD39B-24A2-474C-8B84-1A77D8E69ECC}"/>
  </bookViews>
  <sheets>
    <sheet name="Title" sheetId="2" r:id="rId1"/>
    <sheet name="Wei" sheetId="1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1" i="1" l="1" a="1"/>
  <c r="V13" i="1" s="1"/>
  <c r="Q10" i="1"/>
  <c r="N10" i="1" a="1"/>
  <c r="O14" i="1" s="1"/>
  <c r="AA7" i="1" a="1"/>
  <c r="AA14" i="1" s="1"/>
  <c r="X7" i="1" a="1"/>
  <c r="Y9" i="1" s="1"/>
  <c r="U7" i="1" a="1"/>
  <c r="U7" i="1" s="1"/>
  <c r="K14" i="1"/>
  <c r="D14" i="1"/>
  <c r="D13" i="1"/>
  <c r="K12" i="1"/>
  <c r="D12" i="1"/>
  <c r="D16" i="1" s="1"/>
  <c r="D7" i="1"/>
  <c r="D15" i="1" s="1"/>
  <c r="D6" i="1"/>
  <c r="X11" i="1" l="1"/>
  <c r="AB8" i="1"/>
  <c r="AA9" i="1"/>
  <c r="V7" i="1"/>
  <c r="AB9" i="1"/>
  <c r="U8" i="1"/>
  <c r="AA10" i="1"/>
  <c r="V8" i="1"/>
  <c r="AB10" i="1"/>
  <c r="U9" i="1"/>
  <c r="AA11" i="1"/>
  <c r="V9" i="1"/>
  <c r="AB14" i="1"/>
  <c r="X10" i="1"/>
  <c r="Y10" i="1"/>
  <c r="X7" i="1"/>
  <c r="X13" i="1"/>
  <c r="AB11" i="1"/>
  <c r="N12" i="1"/>
  <c r="U11" i="1"/>
  <c r="Y7" i="1"/>
  <c r="Y13" i="1"/>
  <c r="AA12" i="1"/>
  <c r="O12" i="1"/>
  <c r="V11" i="1"/>
  <c r="X8" i="1"/>
  <c r="AA7" i="1"/>
  <c r="O13" i="1"/>
  <c r="V12" i="1"/>
  <c r="N15" i="1"/>
  <c r="N10" i="1"/>
  <c r="N16" i="1"/>
  <c r="Y11" i="1"/>
  <c r="O10" i="1"/>
  <c r="O16" i="1"/>
  <c r="X12" i="1"/>
  <c r="N11" i="1"/>
  <c r="Y12" i="1"/>
  <c r="AB12" i="1"/>
  <c r="N13" i="1"/>
  <c r="U12" i="1"/>
  <c r="Y8" i="1"/>
  <c r="AA13" i="1"/>
  <c r="U13" i="1"/>
  <c r="O15" i="1"/>
  <c r="O11" i="1"/>
  <c r="X9" i="1"/>
  <c r="AB7" i="1"/>
  <c r="AB13" i="1"/>
  <c r="N14" i="1"/>
  <c r="AA8" i="1"/>
  <c r="E11" i="1"/>
  <c r="E13" i="1" l="1"/>
  <c r="E14" i="1"/>
  <c r="E12" i="1"/>
  <c r="E16" i="1" s="1"/>
  <c r="E15" i="1" l="1"/>
  <c r="F11" i="1" s="1"/>
  <c r="F14" i="1" l="1"/>
  <c r="F12" i="1"/>
  <c r="F13" i="1"/>
  <c r="F16" i="1" s="1"/>
  <c r="F15" i="1" l="1"/>
  <c r="G11" i="1" s="1"/>
  <c r="G14" i="1" l="1"/>
  <c r="G12" i="1"/>
  <c r="G13" i="1"/>
  <c r="G16" i="1" s="1"/>
  <c r="G15" i="1" l="1"/>
  <c r="H11" i="1" s="1"/>
  <c r="H14" i="1" l="1"/>
  <c r="H12" i="1"/>
  <c r="D5" i="1" s="1"/>
  <c r="D3" i="1" s="1"/>
  <c r="K10" i="1" s="1"/>
  <c r="D4" i="1"/>
  <c r="H13" i="1"/>
  <c r="K11" i="1" l="1"/>
  <c r="D8" i="1"/>
  <c r="K16" i="1" s="1"/>
  <c r="H16" i="1"/>
  <c r="H15" i="1"/>
  <c r="K13" i="1" l="1"/>
  <c r="L13" i="1" s="1"/>
  <c r="K15" i="1" l="1"/>
  <c r="L15" i="1" s="1"/>
</calcChain>
</file>

<file path=xl/sharedStrings.xml><?xml version="1.0" encoding="utf-8"?>
<sst xmlns="http://schemas.openxmlformats.org/spreadsheetml/2006/main" count="30" uniqueCount="28">
  <si>
    <t>Weibull Estimation using MLE and Newton's Method</t>
  </si>
  <si>
    <t>x</t>
  </si>
  <si>
    <t>α</t>
  </si>
  <si>
    <t>Weibull Distribution</t>
  </si>
  <si>
    <t>iterations</t>
  </si>
  <si>
    <t>β</t>
  </si>
  <si>
    <t>γ</t>
  </si>
  <si>
    <t>Moments</t>
  </si>
  <si>
    <t>MLE</t>
  </si>
  <si>
    <t>Regression</t>
  </si>
  <si>
    <t>n</t>
  </si>
  <si>
    <t>u</t>
  </si>
  <si>
    <t>alpha</t>
  </si>
  <si>
    <t>beta</t>
  </si>
  <si>
    <t>v</t>
  </si>
  <si>
    <t>mean act</t>
  </si>
  <si>
    <t>w</t>
  </si>
  <si>
    <t>mean est</t>
  </si>
  <si>
    <t>s</t>
  </si>
  <si>
    <t>var act</t>
  </si>
  <si>
    <t>h(β)</t>
  </si>
  <si>
    <t>var est</t>
  </si>
  <si>
    <t>h'(β)</t>
  </si>
  <si>
    <t>mle</t>
  </si>
  <si>
    <t>Real Statistics Using Excel</t>
  </si>
  <si>
    <t>Updated</t>
  </si>
  <si>
    <t>Copyright © 2013 - 2024 Charles Zaiontz</t>
  </si>
  <si>
    <t>Distribution Fitting Tool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</si>
</sst>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1.5"/>
      <color theme="1"/>
      <name val="Cambria"/>
      <family val="1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2" fillId="0" borderId="0" xfId="0" applyFont="1"/>
    <xf numFmtId="0" fontId="0" fillId="0" borderId="1" xfId="0" applyBorder="1" applyAlignment="1">
      <alignment horizontal="center"/>
    </xf>
    <xf numFmtId="0" fontId="3" fillId="0" borderId="0" xfId="0" applyFont="1"/>
    <xf numFmtId="0" fontId="0" fillId="0" borderId="2" xfId="0" applyBorder="1"/>
    <xf numFmtId="0" fontId="4" fillId="0" borderId="0" xfId="0" applyFont="1" applyAlignment="1">
      <alignment horizontal="justify" vertical="center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10" fontId="0" fillId="0" borderId="0" xfId="1" applyNumberFormat="1" applyFont="1"/>
    <xf numFmtId="0" fontId="0" fillId="0" borderId="13" xfId="0" applyBorder="1" applyAlignment="1">
      <alignment horizontal="center"/>
    </xf>
    <xf numFmtId="0" fontId="0" fillId="0" borderId="14" xfId="0" applyBorder="1"/>
    <xf numFmtId="0" fontId="0" fillId="0" borderId="13" xfId="0" applyBorder="1"/>
    <xf numFmtId="0" fontId="0" fillId="0" borderId="15" xfId="0" applyBorder="1"/>
    <xf numFmtId="15" fontId="0" fillId="0" borderId="0" xfId="0" applyNumberFormat="1"/>
    <xf numFmtId="0" fontId="5" fillId="0" borderId="0" xfId="0" applyFont="1"/>
    <xf numFmtId="0" fontId="6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62B54-A201-4FD8-9E42-6FA5732F6B9C}"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24</v>
      </c>
    </row>
    <row r="2" spans="1:13" x14ac:dyDescent="0.35">
      <c r="A2" t="s">
        <v>27</v>
      </c>
    </row>
    <row r="4" spans="1:13" x14ac:dyDescent="0.35">
      <c r="A4" t="s">
        <v>25</v>
      </c>
      <c r="B4" s="22">
        <v>45476</v>
      </c>
    </row>
    <row r="6" spans="1:13" x14ac:dyDescent="0.35">
      <c r="A6" s="23" t="s">
        <v>26</v>
      </c>
    </row>
    <row r="10" spans="1:13" ht="18.5" x14ac:dyDescent="0.45">
      <c r="M10" s="2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2A7582-73A8-4427-A386-6304FF063556}">
  <dimension ref="A1:AB16"/>
  <sheetViews>
    <sheetView workbookViewId="0">
      <selection activeCell="D19" sqref="D19"/>
    </sheetView>
  </sheetViews>
  <sheetFormatPr defaultRowHeight="14.5" x14ac:dyDescent="0.35"/>
  <cols>
    <col min="2" max="2" width="3.1796875" customWidth="1"/>
    <col min="3" max="3" width="6.7265625" customWidth="1"/>
    <col min="4" max="4" width="9.1796875" customWidth="1"/>
    <col min="6" max="6" width="9.1796875" customWidth="1"/>
    <col min="9" max="9" width="4.7265625" customWidth="1"/>
    <col min="13" max="13" width="9.1796875" customWidth="1"/>
    <col min="16" max="16" width="3.26953125" customWidth="1"/>
    <col min="17" max="17" width="9.1796875" customWidth="1"/>
  </cols>
  <sheetData>
    <row r="1" spans="1:28" x14ac:dyDescent="0.35">
      <c r="A1" s="1" t="s">
        <v>0</v>
      </c>
    </row>
    <row r="3" spans="1:28" x14ac:dyDescent="0.35">
      <c r="A3" s="2" t="s">
        <v>1</v>
      </c>
      <c r="C3" s="3" t="s">
        <v>2</v>
      </c>
      <c r="D3" s="4">
        <f>D5^(1/D4)</f>
        <v>689.80707224236005</v>
      </c>
      <c r="H3" s="5"/>
      <c r="I3" s="5"/>
      <c r="U3" t="s">
        <v>3</v>
      </c>
      <c r="X3" t="s">
        <v>4</v>
      </c>
      <c r="Y3">
        <v>20</v>
      </c>
    </row>
    <row r="4" spans="1:28" x14ac:dyDescent="0.35">
      <c r="A4" s="6">
        <v>509</v>
      </c>
      <c r="C4" s="3" t="s">
        <v>5</v>
      </c>
      <c r="D4" s="7">
        <f>H11</f>
        <v>4.1419376277501021</v>
      </c>
    </row>
    <row r="5" spans="1:28" x14ac:dyDescent="0.35">
      <c r="A5" s="6">
        <v>660</v>
      </c>
      <c r="C5" s="3" t="s">
        <v>6</v>
      </c>
      <c r="D5" s="7">
        <f>H12/D6</f>
        <v>572575601573.98792</v>
      </c>
      <c r="U5" t="s">
        <v>7</v>
      </c>
      <c r="X5" t="s">
        <v>8</v>
      </c>
      <c r="AA5" t="s">
        <v>9</v>
      </c>
    </row>
    <row r="6" spans="1:28" x14ac:dyDescent="0.35">
      <c r="A6" s="6">
        <v>386</v>
      </c>
      <c r="C6" t="s">
        <v>10</v>
      </c>
      <c r="D6" s="7">
        <f>COUNT(A4:A15)</f>
        <v>12</v>
      </c>
    </row>
    <row r="7" spans="1:28" x14ac:dyDescent="0.35">
      <c r="A7" s="6">
        <v>753</v>
      </c>
      <c r="C7" t="s">
        <v>11</v>
      </c>
      <c r="D7" s="7">
        <f>SUMPRODUCT(LN(A4:A15))</f>
        <v>76.700226540390631</v>
      </c>
      <c r="U7" t="e">
        <f t="array" aca="1" ref="U7:V9" ca="1">WEIBULL_FITM(A4:A15,TRUE,,Y3)</f>
        <v>#NAME?</v>
      </c>
      <c r="V7" s="8" t="e">
        <f ca="1"/>
        <v>#NAME?</v>
      </c>
      <c r="X7" t="e">
        <f t="array" aca="1" ref="X7:Y13" ca="1">WEIBULL_FIT(A4:A15,TRUE,Y3)</f>
        <v>#NAME?</v>
      </c>
      <c r="Y7" s="8" t="e">
        <f ca="1"/>
        <v>#NAME?</v>
      </c>
      <c r="AA7" t="e">
        <f t="array" aca="1" ref="AA7:AB14" ca="1">WEIBULL_FITR(A4:A15,TRUE)</f>
        <v>#NAME?</v>
      </c>
      <c r="AB7" s="8" t="e">
        <f ca="1"/>
        <v>#NAME?</v>
      </c>
    </row>
    <row r="8" spans="1:28" x14ac:dyDescent="0.35">
      <c r="A8" s="6">
        <v>811</v>
      </c>
      <c r="C8" t="s">
        <v>8</v>
      </c>
      <c r="D8" s="11">
        <f>D6*(LN(D4)-LN(D5))+(D4-1)*D7-D6</f>
        <v>-78.839635148992386</v>
      </c>
      <c r="U8" t="e">
        <f ca="1"/>
        <v>#NAME?</v>
      </c>
      <c r="V8" s="9" t="e">
        <f ca="1"/>
        <v>#NAME?</v>
      </c>
      <c r="X8" t="e">
        <f ca="1"/>
        <v>#NAME?</v>
      </c>
      <c r="Y8" s="9" t="e">
        <f ca="1"/>
        <v>#NAME?</v>
      </c>
      <c r="AA8" t="e">
        <f ca="1"/>
        <v>#NAME?</v>
      </c>
      <c r="AB8" s="9" t="e">
        <f ca="1"/>
        <v>#NAME?</v>
      </c>
    </row>
    <row r="9" spans="1:28" x14ac:dyDescent="0.35">
      <c r="A9" s="6">
        <v>613</v>
      </c>
      <c r="U9" t="e">
        <f ca="1"/>
        <v>#NAME?</v>
      </c>
      <c r="V9" s="10" t="e">
        <f ca="1"/>
        <v>#NAME?</v>
      </c>
      <c r="X9" t="e">
        <f ca="1"/>
        <v>#NAME?</v>
      </c>
      <c r="Y9" s="9" t="e">
        <f ca="1"/>
        <v>#NAME?</v>
      </c>
      <c r="AA9" t="e">
        <f ca="1"/>
        <v>#NAME?</v>
      </c>
      <c r="AB9" s="9" t="e">
        <f ca="1"/>
        <v>#NAME?</v>
      </c>
    </row>
    <row r="10" spans="1:28" x14ac:dyDescent="0.35">
      <c r="A10" s="6">
        <v>848</v>
      </c>
      <c r="D10">
        <v>0</v>
      </c>
      <c r="E10">
        <v>1</v>
      </c>
      <c r="F10">
        <v>2</v>
      </c>
      <c r="G10">
        <v>3</v>
      </c>
      <c r="H10">
        <v>4</v>
      </c>
      <c r="J10" t="s">
        <v>12</v>
      </c>
      <c r="K10" s="4">
        <f>D3</f>
        <v>689.80707224236005</v>
      </c>
      <c r="N10" t="e">
        <f t="array" aca="1" ref="N10:O16" ca="1">WEIBULL_FIT(A4:A15,TRUE,20,4)</f>
        <v>#NAME?</v>
      </c>
      <c r="O10" s="4" t="e">
        <f ca="1"/>
        <v>#NAME?</v>
      </c>
      <c r="Q10" t="e">
        <f ca="1">FTEXT(O10)</f>
        <v>#NAME?</v>
      </c>
      <c r="X10" t="e">
        <f ca="1"/>
        <v>#NAME?</v>
      </c>
      <c r="Y10" s="9" t="e">
        <f ca="1"/>
        <v>#NAME?</v>
      </c>
      <c r="AA10" t="e">
        <f ca="1"/>
        <v>#NAME?</v>
      </c>
      <c r="AB10" s="9" t="e">
        <f ca="1"/>
        <v>#NAME?</v>
      </c>
    </row>
    <row r="11" spans="1:28" x14ac:dyDescent="0.35">
      <c r="A11" s="6">
        <v>725</v>
      </c>
      <c r="C11" s="3" t="s">
        <v>5</v>
      </c>
      <c r="D11" s="12">
        <v>4</v>
      </c>
      <c r="E11" s="13">
        <f>D11-D15/D16</f>
        <v>4.1376205344931289</v>
      </c>
      <c r="F11" s="13">
        <f>E11-E15/E16</f>
        <v>4.1419336314314315</v>
      </c>
      <c r="G11" s="13">
        <f>F11-F15/F16</f>
        <v>4.1419376277466586</v>
      </c>
      <c r="H11" s="14">
        <f>G11-G15/G16</f>
        <v>4.1419376277501021</v>
      </c>
      <c r="J11" t="s">
        <v>13</v>
      </c>
      <c r="K11" s="7">
        <f>D4</f>
        <v>4.1419376277501021</v>
      </c>
      <c r="N11" t="e">
        <f ca="1"/>
        <v>#NAME?</v>
      </c>
      <c r="O11" s="7" t="e">
        <f ca="1"/>
        <v>#NAME?</v>
      </c>
      <c r="U11" t="e">
        <f t="array" aca="1" ref="U11:V13" ca="1">WEIBULL_FITM(A4:A15,TRUE,TRUE,Y3)</f>
        <v>#NAME?</v>
      </c>
      <c r="V11" s="8" t="e">
        <f ca="1"/>
        <v>#NAME?</v>
      </c>
      <c r="X11" t="e">
        <f ca="1"/>
        <v>#NAME?</v>
      </c>
      <c r="Y11" s="9" t="e">
        <f ca="1"/>
        <v>#NAME?</v>
      </c>
      <c r="AA11" t="e">
        <f ca="1"/>
        <v>#NAME?</v>
      </c>
      <c r="AB11" s="9" t="e">
        <f ca="1"/>
        <v>#NAME?</v>
      </c>
    </row>
    <row r="12" spans="1:28" x14ac:dyDescent="0.35">
      <c r="A12" s="6">
        <v>315</v>
      </c>
      <c r="C12" t="s">
        <v>14</v>
      </c>
      <c r="D12" s="15">
        <f>SUMPRODUCT($A$4:$A$15^D11)</f>
        <v>2680758836679</v>
      </c>
      <c r="E12">
        <f>SUMPRODUCT($A$4:$A$15^E11)</f>
        <v>6676945541598.6807</v>
      </c>
      <c r="F12">
        <f>SUMPRODUCT($A$4:$A$15^F11)</f>
        <v>6870725086916.4531</v>
      </c>
      <c r="G12">
        <f>SUMPRODUCT($A$4:$A$15^G11)</f>
        <v>6870907218730.918</v>
      </c>
      <c r="H12" s="16">
        <f>SUMPRODUCT($A$4:$A$15^H11)</f>
        <v>6870907218887.8545</v>
      </c>
      <c r="J12" t="s">
        <v>15</v>
      </c>
      <c r="K12" s="7">
        <f>AVERAGE(A4:A15)</f>
        <v>624.25</v>
      </c>
      <c r="N12" t="e">
        <f ca="1"/>
        <v>#NAME?</v>
      </c>
      <c r="O12" s="7" t="e">
        <f ca="1"/>
        <v>#NAME?</v>
      </c>
      <c r="U12" t="e">
        <f ca="1"/>
        <v>#NAME?</v>
      </c>
      <c r="V12" s="9" t="e">
        <f ca="1"/>
        <v>#NAME?</v>
      </c>
      <c r="X12" t="e">
        <f ca="1"/>
        <v>#NAME?</v>
      </c>
      <c r="Y12" s="9" t="e">
        <f ca="1"/>
        <v>#NAME?</v>
      </c>
      <c r="AA12" t="e">
        <f ca="1"/>
        <v>#NAME?</v>
      </c>
      <c r="AB12" s="9" t="e">
        <f ca="1"/>
        <v>#NAME?</v>
      </c>
    </row>
    <row r="13" spans="1:28" x14ac:dyDescent="0.35">
      <c r="A13" s="6">
        <v>872</v>
      </c>
      <c r="C13" t="s">
        <v>16</v>
      </c>
      <c r="D13" s="15">
        <f>SUMPRODUCT($A$4:$A$15^D11,LN($A$4:$A$15))</f>
        <v>17770644652321.211</v>
      </c>
      <c r="E13">
        <f>SUMPRODUCT($A$4:$A$15^E11,LN($A$4:$A$15))</f>
        <v>44288144654917.383</v>
      </c>
      <c r="F13">
        <f>SUMPRODUCT($A$4:$A$15^F11,LN($A$4:$A$15))</f>
        <v>45574332496834.57</v>
      </c>
      <c r="G13">
        <f>SUMPRODUCT($A$4:$A$15^G11,LN($A$4:$A$15))</f>
        <v>45575541384961.438</v>
      </c>
      <c r="H13" s="16">
        <f>SUMPRODUCT($A$4:$A$15^H11,LN($A$4:$A$15))</f>
        <v>45575541386003.102</v>
      </c>
      <c r="J13" t="s">
        <v>17</v>
      </c>
      <c r="K13" s="7">
        <f>K10*EXP(GAMMALN(1+1/K11))</f>
        <v>626.4900005676617</v>
      </c>
      <c r="L13" s="17">
        <f>ABS(1-K13/K12)</f>
        <v>3.5883068765105719E-3</v>
      </c>
      <c r="N13" t="e">
        <f ca="1"/>
        <v>#NAME?</v>
      </c>
      <c r="O13" s="7" t="e">
        <f ca="1"/>
        <v>#NAME?</v>
      </c>
      <c r="U13" t="e">
        <f ca="1"/>
        <v>#NAME?</v>
      </c>
      <c r="V13" s="10" t="e">
        <f ca="1"/>
        <v>#NAME?</v>
      </c>
      <c r="X13" t="e">
        <f ca="1"/>
        <v>#NAME?</v>
      </c>
      <c r="Y13" s="10" t="e">
        <f ca="1"/>
        <v>#NAME?</v>
      </c>
      <c r="AA13" t="e">
        <f ca="1"/>
        <v>#NAME?</v>
      </c>
      <c r="AB13" s="9" t="e">
        <f ca="1"/>
        <v>#NAME?</v>
      </c>
    </row>
    <row r="14" spans="1:28" x14ac:dyDescent="0.35">
      <c r="A14" s="6">
        <v>487</v>
      </c>
      <c r="C14" t="s">
        <v>18</v>
      </c>
      <c r="D14" s="15">
        <f>SUMPRODUCT($A$4:$A$15^D11,LN($A$4:$A$15)^2)</f>
        <v>117881229527779.25</v>
      </c>
      <c r="E14">
        <f>SUMPRODUCT($A$4:$A$15^E11,LN($A$4:$A$15)^2)</f>
        <v>293954483711186.94</v>
      </c>
      <c r="F14">
        <f>SUMPRODUCT($A$4:$A$15^F11,LN($A$4:$A$15)^2)</f>
        <v>302496678879990.38</v>
      </c>
      <c r="G14">
        <f>SUMPRODUCT($A$4:$A$15^G11,LN($A$4:$A$15)^2)</f>
        <v>302504707757740.75</v>
      </c>
      <c r="H14" s="16">
        <f>SUMPRODUCT($A$4:$A$15^H11,LN($A$4:$A$15)^2)</f>
        <v>302504707764659.06</v>
      </c>
      <c r="J14" t="s">
        <v>19</v>
      </c>
      <c r="K14" s="7">
        <f>VAR(A4:A15)</f>
        <v>33779.11363636364</v>
      </c>
      <c r="N14" t="e">
        <f ca="1"/>
        <v>#NAME?</v>
      </c>
      <c r="O14" s="7" t="e">
        <f ca="1"/>
        <v>#NAME?</v>
      </c>
      <c r="AA14" t="e">
        <f ca="1"/>
        <v>#NAME?</v>
      </c>
      <c r="AB14" s="10" t="e">
        <f ca="1"/>
        <v>#NAME?</v>
      </c>
    </row>
    <row r="15" spans="1:28" x14ac:dyDescent="0.35">
      <c r="A15" s="18">
        <v>512</v>
      </c>
      <c r="C15" t="s">
        <v>20</v>
      </c>
      <c r="D15" s="15">
        <f>1/D11+$D$7/$D$6-D13/D12</f>
        <v>1.272496522299793E-2</v>
      </c>
      <c r="E15">
        <f>1/E11+$D$7/$D$6-E13/E12</f>
        <v>3.7560738750830325E-4</v>
      </c>
      <c r="F15">
        <f>1/F11+$D$7/$D$6-F13/F12</f>
        <v>3.4737692100605955E-7</v>
      </c>
      <c r="G15">
        <f>1/G11+$D$7/$D$6-G13/G12</f>
        <v>2.993161274389422E-13</v>
      </c>
      <c r="H15" s="16">
        <f>1/H11+$D$7/$D$6-H13/H12</f>
        <v>0</v>
      </c>
      <c r="J15" t="s">
        <v>21</v>
      </c>
      <c r="K15" s="7">
        <f>K10^2*EXP(GAMMALN(1+2/K11))-K13^2</f>
        <v>29001.556479600433</v>
      </c>
      <c r="L15" s="17">
        <f>ABS(1-K15/K14)</f>
        <v>0.14143524333391944</v>
      </c>
      <c r="N15" t="e">
        <f ca="1"/>
        <v>#NAME?</v>
      </c>
      <c r="O15" s="7" t="e">
        <f ca="1"/>
        <v>#NAME?</v>
      </c>
    </row>
    <row r="16" spans="1:28" x14ac:dyDescent="0.35">
      <c r="C16" t="s">
        <v>22</v>
      </c>
      <c r="D16" s="19">
        <f>-1/D11^2+(D13/D12)^2-D14/D12</f>
        <v>-9.2464146210922138E-2</v>
      </c>
      <c r="E16" s="20">
        <f>-1/E11^2+(E13/E12)^2-E14/E12</f>
        <v>-8.7085310829145612E-2</v>
      </c>
      <c r="F16" s="20">
        <f>-1/F11^2+(F13/F12)^2-F14/F12</f>
        <v>-8.6924304331674307E-2</v>
      </c>
      <c r="G16" s="20">
        <f>-1/G11^2+(G13/G12)^2-G14/G12</f>
        <v>-8.6924155355049493E-2</v>
      </c>
      <c r="H16" s="21">
        <f>-1/H11^2+(H13/H12)^2-H14/H12</f>
        <v>-8.6924155354921595E-2</v>
      </c>
      <c r="J16" t="s">
        <v>23</v>
      </c>
      <c r="K16" s="11">
        <f>D8</f>
        <v>-78.839635148992386</v>
      </c>
      <c r="N16" t="e">
        <f ca="1"/>
        <v>#NAME?</v>
      </c>
      <c r="O16" s="11" t="e">
        <f ca="1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Wei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2024-07-03T08:30:20Z</dcterms:created>
  <dcterms:modified xsi:type="dcterms:W3CDTF">2024-07-03T08:33:19Z</dcterms:modified>
</cp:coreProperties>
</file>