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4CB82A44-F26F-4FAE-924A-B1F1944EA847}" xr6:coauthVersionLast="47" xr6:coauthVersionMax="47" xr10:uidLastSave="{96EEEE51-70A3-429D-9C3B-E2104B0DC7F6}"/>
  <bookViews>
    <workbookView xWindow="-110" yWindow="-110" windowWidth="19420" windowHeight="10300" xr2:uid="{0A41A618-0BFC-4C2C-8E6B-7C76C73D6033}"/>
  </bookViews>
  <sheets>
    <sheet name="Title" sheetId="8" r:id="rId1"/>
    <sheet name="Krip cat" sheetId="1" r:id="rId2"/>
    <sheet name="Krip ser" sheetId="2" r:id="rId3"/>
    <sheet name="Krip ord" sheetId="3" r:id="rId4"/>
    <sheet name="Krip int" sheetId="4" r:id="rId5"/>
    <sheet name="Krip ratio" sheetId="5" r:id="rId6"/>
    <sheet name="K rating" sheetId="6" r:id="rId7"/>
    <sheet name="K summary" sheetId="7" r:id="rId8"/>
  </sheets>
  <externalReferences>
    <externalReference r:id="rId9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6" l="1" a="1"/>
  <c r="X22" i="6"/>
  <c r="Z25" i="6"/>
  <c r="AA24" i="6"/>
  <c r="Z24" i="6"/>
  <c r="AA23" i="6"/>
  <c r="Z23" i="6"/>
  <c r="AA22" i="6"/>
  <c r="Z22" i="6"/>
  <c r="Z21" i="6" a="1"/>
  <c r="Z26" i="6" s="1"/>
  <c r="U21" i="6"/>
  <c r="AB12" i="6"/>
  <c r="AC11" i="6"/>
  <c r="AB11" i="6"/>
  <c r="AC10" i="6"/>
  <c r="AB10" i="6"/>
  <c r="AB7" i="6" a="1"/>
  <c r="AB8" i="6" s="1"/>
  <c r="AF9" i="6"/>
  <c r="AE9" i="6"/>
  <c r="AF8" i="6"/>
  <c r="AE8" i="6"/>
  <c r="AF7" i="6"/>
  <c r="AF6" i="6"/>
  <c r="AE6" i="6"/>
  <c r="AE6" i="6" a="1"/>
  <c r="AE7" i="6" s="1"/>
  <c r="X27" i="5"/>
  <c r="W27" i="5"/>
  <c r="X26" i="5"/>
  <c r="W26" i="5"/>
  <c r="X25" i="5"/>
  <c r="W25" i="5"/>
  <c r="X24" i="5"/>
  <c r="W24" i="5"/>
  <c r="W24" i="5" a="1"/>
  <c r="X22" i="5"/>
  <c r="AA27" i="5"/>
  <c r="Z26" i="5"/>
  <c r="AA25" i="5"/>
  <c r="Z25" i="5"/>
  <c r="AA24" i="5"/>
  <c r="Z24" i="5"/>
  <c r="AA23" i="5"/>
  <c r="Z23" i="5"/>
  <c r="Z22" i="5"/>
  <c r="AA21" i="5"/>
  <c r="Z21" i="5"/>
  <c r="Z21" i="5" a="1"/>
  <c r="Z27" i="5" s="1"/>
  <c r="U21" i="5"/>
  <c r="X27" i="4"/>
  <c r="W27" i="4"/>
  <c r="X26" i="4"/>
  <c r="W26" i="4"/>
  <c r="X25" i="4"/>
  <c r="W25" i="4"/>
  <c r="W24" i="4" a="1"/>
  <c r="X24" i="4" s="1"/>
  <c r="X22" i="4"/>
  <c r="Z26" i="4"/>
  <c r="AA25" i="4"/>
  <c r="Z25" i="4"/>
  <c r="AA24" i="4"/>
  <c r="Z24" i="4"/>
  <c r="Z21" i="4" a="1"/>
  <c r="AA22" i="4" s="1"/>
  <c r="U21" i="4"/>
  <c r="AC7" i="4" a="1"/>
  <c r="AG9" i="4"/>
  <c r="AF6" i="4" a="1"/>
  <c r="AG7" i="4" s="1"/>
  <c r="X27" i="3"/>
  <c r="W27" i="3"/>
  <c r="X26" i="3"/>
  <c r="W26" i="3"/>
  <c r="W25" i="3"/>
  <c r="X24" i="3"/>
  <c r="W24" i="3" a="1"/>
  <c r="W24" i="3" s="1"/>
  <c r="X22" i="3"/>
  <c r="Z26" i="3"/>
  <c r="AA25" i="3"/>
  <c r="Z25" i="3"/>
  <c r="Z21" i="3" a="1"/>
  <c r="Z23" i="3" s="1"/>
  <c r="U21" i="3"/>
  <c r="AJ15" i="2"/>
  <c r="AE15" i="2"/>
  <c r="Z15" i="2"/>
  <c r="U15" i="2"/>
  <c r="P15" i="2"/>
  <c r="AQ12" i="2"/>
  <c r="AQ11" i="2"/>
  <c r="AQ8" i="2"/>
  <c r="J8" i="2"/>
  <c r="AQ7" i="2"/>
  <c r="J7" i="2"/>
  <c r="AQ6" i="2"/>
  <c r="J6" i="2"/>
  <c r="J5" i="2"/>
  <c r="AQ4" i="2"/>
  <c r="AO4" i="2"/>
  <c r="AI12" i="2"/>
  <c r="AL11" i="2"/>
  <c r="AK11" i="2"/>
  <c r="AI9" i="2"/>
  <c r="AL8" i="2"/>
  <c r="AK8" i="2"/>
  <c r="AI6" i="2"/>
  <c r="AL5" i="2"/>
  <c r="AK5" i="2"/>
  <c r="AI4" i="2" a="1"/>
  <c r="AK13" i="2" s="1"/>
  <c r="AG12" i="2"/>
  <c r="AE10" i="2"/>
  <c r="AD10" i="2"/>
  <c r="AG9" i="2"/>
  <c r="AF7" i="2"/>
  <c r="AE7" i="2"/>
  <c r="AD7" i="2"/>
  <c r="AG6" i="2"/>
  <c r="AF4" i="2"/>
  <c r="AE4" i="2"/>
  <c r="AD4" i="2" a="1"/>
  <c r="Z13" i="2"/>
  <c r="AA12" i="2"/>
  <c r="Z12" i="2"/>
  <c r="Y12" i="2"/>
  <c r="AB11" i="2"/>
  <c r="AA11" i="2"/>
  <c r="Z11" i="2"/>
  <c r="Y11" i="2"/>
  <c r="Z10" i="2"/>
  <c r="AA9" i="2"/>
  <c r="Z9" i="2"/>
  <c r="Y9" i="2"/>
  <c r="AB8" i="2"/>
  <c r="AA8" i="2"/>
  <c r="Z8" i="2"/>
  <c r="Y8" i="2"/>
  <c r="Z7" i="2"/>
  <c r="AA6" i="2"/>
  <c r="Z6" i="2"/>
  <c r="Y6" i="2"/>
  <c r="AB5" i="2"/>
  <c r="AA5" i="2"/>
  <c r="Z5" i="2"/>
  <c r="Y5" i="2"/>
  <c r="Z4" i="2"/>
  <c r="Y4" i="2" a="1"/>
  <c r="Y13" i="2" s="1"/>
  <c r="V12" i="2"/>
  <c r="U12" i="2"/>
  <c r="T10" i="2"/>
  <c r="W9" i="2"/>
  <c r="V9" i="2"/>
  <c r="U9" i="2"/>
  <c r="T4" i="2" a="1"/>
  <c r="R13" i="2"/>
  <c r="Q13" i="2"/>
  <c r="P11" i="2"/>
  <c r="O11" i="2"/>
  <c r="R10" i="2"/>
  <c r="Q10" i="2"/>
  <c r="P8" i="2"/>
  <c r="O8" i="2"/>
  <c r="R7" i="2"/>
  <c r="Q7" i="2"/>
  <c r="P5" i="2"/>
  <c r="O5" i="2"/>
  <c r="R4" i="2"/>
  <c r="Q4" i="2"/>
  <c r="O4" i="2" a="1"/>
  <c r="Q12" i="2" s="1"/>
  <c r="J4" i="2"/>
  <c r="X27" i="1"/>
  <c r="W27" i="1"/>
  <c r="X26" i="1"/>
  <c r="W26" i="1"/>
  <c r="X25" i="1"/>
  <c r="W25" i="1"/>
  <c r="X24" i="1"/>
  <c r="W24" i="1"/>
  <c r="W24" i="1" a="1"/>
  <c r="X22" i="1"/>
  <c r="AA27" i="1"/>
  <c r="Z26" i="1"/>
  <c r="AA25" i="1"/>
  <c r="Z25" i="1"/>
  <c r="AA24" i="1"/>
  <c r="Z24" i="1"/>
  <c r="AA23" i="1"/>
  <c r="Z23" i="1"/>
  <c r="AA21" i="1"/>
  <c r="Z21" i="1" a="1"/>
  <c r="Z27" i="1" s="1"/>
  <c r="U21" i="1"/>
  <c r="AC7" i="1" a="1"/>
  <c r="AD12" i="1" s="1"/>
  <c r="AG9" i="1"/>
  <c r="AF9" i="1"/>
  <c r="AG8" i="1"/>
  <c r="AF7" i="1"/>
  <c r="AF6" i="1" a="1"/>
  <c r="AG6" i="1" s="1"/>
  <c r="AD11" i="1" l="1"/>
  <c r="AC12" i="1"/>
  <c r="AC10" i="4"/>
  <c r="AD8" i="4"/>
  <c r="AC8" i="4"/>
  <c r="AD9" i="4"/>
  <c r="AC9" i="4"/>
  <c r="AD13" i="4"/>
  <c r="AD7" i="4"/>
  <c r="AD11" i="4"/>
  <c r="AC11" i="4"/>
  <c r="AD10" i="4"/>
  <c r="U11" i="2"/>
  <c r="U8" i="2"/>
  <c r="U5" i="2"/>
  <c r="T11" i="2"/>
  <c r="T8" i="2"/>
  <c r="T5" i="2"/>
  <c r="W13" i="2"/>
  <c r="W7" i="2"/>
  <c r="V13" i="2"/>
  <c r="V10" i="2"/>
  <c r="V7" i="2"/>
  <c r="V4" i="2"/>
  <c r="W10" i="2"/>
  <c r="W4" i="2"/>
  <c r="U13" i="2"/>
  <c r="U10" i="2"/>
  <c r="U7" i="2"/>
  <c r="U4" i="2"/>
  <c r="T12" i="2"/>
  <c r="T9" i="2"/>
  <c r="T6" i="2"/>
  <c r="W11" i="2"/>
  <c r="W8" i="2"/>
  <c r="W5" i="2"/>
  <c r="V11" i="2"/>
  <c r="V8" i="2"/>
  <c r="V5" i="2"/>
  <c r="W12" i="2"/>
  <c r="AC7" i="4"/>
  <c r="T4" i="2"/>
  <c r="T13" i="2"/>
  <c r="AC12" i="4"/>
  <c r="U6" i="2"/>
  <c r="AD12" i="4"/>
  <c r="V6" i="2"/>
  <c r="AC13" i="4"/>
  <c r="W6" i="2"/>
  <c r="AG11" i="2"/>
  <c r="AG8" i="2"/>
  <c r="AG5" i="2"/>
  <c r="AE11" i="2"/>
  <c r="AE8" i="2"/>
  <c r="AE5" i="2"/>
  <c r="AD11" i="2"/>
  <c r="AD8" i="2"/>
  <c r="AD5" i="2"/>
  <c r="AG13" i="2"/>
  <c r="AF13" i="2"/>
  <c r="AF10" i="2"/>
  <c r="AF11" i="2"/>
  <c r="AF8" i="2"/>
  <c r="AF5" i="2"/>
  <c r="AG10" i="2"/>
  <c r="AG7" i="2"/>
  <c r="AG4" i="2"/>
  <c r="AF12" i="2"/>
  <c r="AF9" i="2"/>
  <c r="AF6" i="2"/>
  <c r="AE12" i="2"/>
  <c r="AE9" i="2"/>
  <c r="AE6" i="2"/>
  <c r="AD12" i="2"/>
  <c r="AD9" i="2"/>
  <c r="AD6" i="2"/>
  <c r="AD13" i="2"/>
  <c r="T7" i="2"/>
  <c r="AD4" i="2"/>
  <c r="AE13" i="2"/>
  <c r="AD9" i="1"/>
  <c r="AC9" i="1"/>
  <c r="AD8" i="1"/>
  <c r="AC8" i="1"/>
  <c r="AD13" i="1"/>
  <c r="AD7" i="1"/>
  <c r="AC13" i="1"/>
  <c r="AC7" i="1"/>
  <c r="AD10" i="1"/>
  <c r="AC10" i="1"/>
  <c r="W27" i="6"/>
  <c r="W26" i="6"/>
  <c r="X25" i="6"/>
  <c r="X24" i="6"/>
  <c r="X26" i="6"/>
  <c r="W25" i="6"/>
  <c r="X27" i="6"/>
  <c r="AC11" i="1"/>
  <c r="W24" i="6"/>
  <c r="R6" i="2"/>
  <c r="R9" i="2"/>
  <c r="R12" i="2"/>
  <c r="AL4" i="2"/>
  <c r="AL7" i="2"/>
  <c r="AL10" i="2"/>
  <c r="AL13" i="2"/>
  <c r="AA23" i="3"/>
  <c r="AF8" i="4"/>
  <c r="AC8" i="6"/>
  <c r="AA26" i="6"/>
  <c r="AG7" i="1"/>
  <c r="Z22" i="1"/>
  <c r="O4" i="2"/>
  <c r="O7" i="2"/>
  <c r="O10" i="2"/>
  <c r="O13" i="2"/>
  <c r="AA4" i="2"/>
  <c r="AA7" i="2"/>
  <c r="AA10" i="2"/>
  <c r="AA13" i="2"/>
  <c r="AI5" i="2"/>
  <c r="AI8" i="2"/>
  <c r="AI11" i="2"/>
  <c r="Z24" i="3"/>
  <c r="AG8" i="4"/>
  <c r="Z23" i="4"/>
  <c r="W24" i="4"/>
  <c r="AB9" i="6"/>
  <c r="Z21" i="6"/>
  <c r="Z27" i="6"/>
  <c r="AF8" i="1"/>
  <c r="AA22" i="1"/>
  <c r="P4" i="2"/>
  <c r="P7" i="2"/>
  <c r="P10" i="2"/>
  <c r="P13" i="2"/>
  <c r="AB4" i="2"/>
  <c r="AB7" i="2"/>
  <c r="AB10" i="2"/>
  <c r="AB13" i="2"/>
  <c r="AJ5" i="2"/>
  <c r="AJ8" i="2"/>
  <c r="AJ11" i="2"/>
  <c r="AA24" i="3"/>
  <c r="X25" i="3"/>
  <c r="AF9" i="4"/>
  <c r="AA23" i="4"/>
  <c r="AA22" i="5"/>
  <c r="AC9" i="6"/>
  <c r="AA21" i="6"/>
  <c r="AA27" i="6"/>
  <c r="Q5" i="2"/>
  <c r="Q8" i="2"/>
  <c r="AK6" i="2"/>
  <c r="AK9" i="2"/>
  <c r="AK12" i="2"/>
  <c r="Z21" i="3"/>
  <c r="Z27" i="3"/>
  <c r="R5" i="2"/>
  <c r="AL9" i="2"/>
  <c r="O9" i="2"/>
  <c r="AI13" i="2"/>
  <c r="Z27" i="4"/>
  <c r="AF6" i="1"/>
  <c r="AB6" i="2"/>
  <c r="AB9" i="2"/>
  <c r="AB12" i="2"/>
  <c r="AJ4" i="2"/>
  <c r="AJ7" i="2"/>
  <c r="AJ10" i="2"/>
  <c r="AJ13" i="2"/>
  <c r="AA22" i="3"/>
  <c r="AF7" i="4"/>
  <c r="AA21" i="4"/>
  <c r="AA27" i="4"/>
  <c r="AA26" i="5"/>
  <c r="AC7" i="6"/>
  <c r="AC13" i="6"/>
  <c r="AA25" i="6"/>
  <c r="AJ6" i="2"/>
  <c r="AJ9" i="2"/>
  <c r="AJ12" i="2"/>
  <c r="AA26" i="3"/>
  <c r="Q11" i="2"/>
  <c r="R8" i="2"/>
  <c r="R11" i="2"/>
  <c r="AL6" i="2"/>
  <c r="AL12" i="2"/>
  <c r="AA21" i="3"/>
  <c r="AA27" i="3"/>
  <c r="AF6" i="4"/>
  <c r="AA26" i="4"/>
  <c r="AC12" i="6"/>
  <c r="O6" i="2"/>
  <c r="O12" i="2"/>
  <c r="AI4" i="2"/>
  <c r="AI7" i="2"/>
  <c r="AI10" i="2"/>
  <c r="Z22" i="3"/>
  <c r="AG6" i="4"/>
  <c r="Z21" i="4"/>
  <c r="AB7" i="6"/>
  <c r="AB13" i="6"/>
  <c r="AA26" i="1"/>
  <c r="P6" i="2"/>
  <c r="P9" i="2"/>
  <c r="P12" i="2"/>
  <c r="Z21" i="1"/>
  <c r="Q6" i="2"/>
  <c r="Q9" i="2"/>
  <c r="Y4" i="2"/>
  <c r="Y7" i="2"/>
  <c r="Y10" i="2"/>
  <c r="AK4" i="2"/>
  <c r="AK7" i="2"/>
  <c r="AK10" i="2"/>
  <c r="Z22" i="4"/>
  <c r="I17" i="7" l="1"/>
  <c r="R10" i="7"/>
  <c r="I10" i="7"/>
  <c r="R4" i="7"/>
  <c r="I4" i="7"/>
  <c r="Q17" i="6"/>
  <c r="R16" i="6"/>
  <c r="N18" i="6"/>
  <c r="R18" i="6" s="1"/>
  <c r="N17" i="6"/>
  <c r="R17" i="6" s="1"/>
  <c r="N16" i="6"/>
  <c r="O16" i="6" s="1"/>
  <c r="N15" i="6" a="1"/>
  <c r="N15" i="6" s="1"/>
  <c r="U14" i="6"/>
  <c r="U13" i="6"/>
  <c r="L11" i="6"/>
  <c r="K11" i="6"/>
  <c r="J11" i="6"/>
  <c r="I11" i="6"/>
  <c r="L10" i="6"/>
  <c r="K10" i="6"/>
  <c r="J10" i="6"/>
  <c r="I10" i="6"/>
  <c r="L9" i="6"/>
  <c r="K9" i="6"/>
  <c r="J9" i="6"/>
  <c r="I9" i="6"/>
  <c r="L8" i="6"/>
  <c r="K8" i="6"/>
  <c r="J8" i="6"/>
  <c r="I8" i="6"/>
  <c r="L7" i="6"/>
  <c r="T7" i="6" s="1"/>
  <c r="K7" i="6"/>
  <c r="J7" i="6"/>
  <c r="I7" i="6"/>
  <c r="L6" i="6"/>
  <c r="K6" i="6"/>
  <c r="J6" i="6"/>
  <c r="I6" i="6"/>
  <c r="L5" i="6"/>
  <c r="K5" i="6"/>
  <c r="J5" i="6"/>
  <c r="I5" i="6"/>
  <c r="L4" i="6"/>
  <c r="K4" i="6"/>
  <c r="J4" i="6"/>
  <c r="I4" i="6"/>
  <c r="R18" i="5"/>
  <c r="Q18" i="5"/>
  <c r="P18" i="5"/>
  <c r="O18" i="5"/>
  <c r="R17" i="5"/>
  <c r="Q17" i="5"/>
  <c r="P17" i="5"/>
  <c r="O17" i="5"/>
  <c r="R16" i="5"/>
  <c r="Q16" i="5"/>
  <c r="P16" i="5"/>
  <c r="O16" i="5"/>
  <c r="R15" i="5"/>
  <c r="Q15" i="5"/>
  <c r="P15" i="5"/>
  <c r="O15" i="5"/>
  <c r="U14" i="5"/>
  <c r="U13" i="5"/>
  <c r="L11" i="5"/>
  <c r="K11" i="5"/>
  <c r="J11" i="5"/>
  <c r="I11" i="5"/>
  <c r="T11" i="5" s="1"/>
  <c r="L10" i="5"/>
  <c r="K10" i="5"/>
  <c r="T10" i="5" s="1"/>
  <c r="J10" i="5"/>
  <c r="I10" i="5"/>
  <c r="L9" i="5"/>
  <c r="K9" i="5"/>
  <c r="J9" i="5"/>
  <c r="I9" i="5"/>
  <c r="L8" i="5"/>
  <c r="K8" i="5"/>
  <c r="J8" i="5"/>
  <c r="I8" i="5"/>
  <c r="T8" i="5" s="1"/>
  <c r="L7" i="5"/>
  <c r="K7" i="5"/>
  <c r="J7" i="5"/>
  <c r="I7" i="5"/>
  <c r="T6" i="5"/>
  <c r="L6" i="5"/>
  <c r="K6" i="5"/>
  <c r="J6" i="5"/>
  <c r="I6" i="5"/>
  <c r="L5" i="5"/>
  <c r="K5" i="5"/>
  <c r="T5" i="5" s="1"/>
  <c r="J5" i="5"/>
  <c r="I5" i="5"/>
  <c r="L4" i="5"/>
  <c r="K4" i="5"/>
  <c r="J4" i="5"/>
  <c r="I4" i="5"/>
  <c r="R18" i="4"/>
  <c r="P18" i="4"/>
  <c r="O18" i="4"/>
  <c r="U14" i="4"/>
  <c r="U13" i="4"/>
  <c r="L11" i="4"/>
  <c r="K11" i="4"/>
  <c r="J11" i="4"/>
  <c r="I11" i="4"/>
  <c r="T11" i="4" s="1"/>
  <c r="L10" i="4"/>
  <c r="K10" i="4"/>
  <c r="J10" i="4"/>
  <c r="T10" i="4" s="1"/>
  <c r="I10" i="4"/>
  <c r="L9" i="4"/>
  <c r="K9" i="4"/>
  <c r="J9" i="4"/>
  <c r="I9" i="4"/>
  <c r="L8" i="4"/>
  <c r="K8" i="4"/>
  <c r="J8" i="4"/>
  <c r="I8" i="4"/>
  <c r="T8" i="4" s="1"/>
  <c r="L7" i="4"/>
  <c r="K7" i="4"/>
  <c r="J7" i="4"/>
  <c r="I7" i="4"/>
  <c r="T7" i="4" s="1"/>
  <c r="L6" i="4"/>
  <c r="K6" i="4"/>
  <c r="J6" i="4"/>
  <c r="I6" i="4"/>
  <c r="T6" i="4" s="1"/>
  <c r="L5" i="4"/>
  <c r="K5" i="4"/>
  <c r="J5" i="4"/>
  <c r="I5" i="4"/>
  <c r="T4" i="4"/>
  <c r="L4" i="4"/>
  <c r="K4" i="4"/>
  <c r="J4" i="4"/>
  <c r="I4" i="4"/>
  <c r="R18" i="3"/>
  <c r="Q18" i="3"/>
  <c r="O18" i="3"/>
  <c r="R17" i="3"/>
  <c r="Q17" i="3"/>
  <c r="P17" i="3"/>
  <c r="Q16" i="3"/>
  <c r="P16" i="3"/>
  <c r="O16" i="3"/>
  <c r="Q15" i="3"/>
  <c r="P15" i="3"/>
  <c r="O15" i="3"/>
  <c r="U14" i="3"/>
  <c r="O17" i="3" s="1"/>
  <c r="U13" i="3"/>
  <c r="L11" i="3"/>
  <c r="K11" i="3"/>
  <c r="J11" i="3"/>
  <c r="I11" i="3"/>
  <c r="L10" i="3"/>
  <c r="T10" i="3" s="1"/>
  <c r="K10" i="3"/>
  <c r="J10" i="3"/>
  <c r="I10" i="3"/>
  <c r="L9" i="3"/>
  <c r="K9" i="3"/>
  <c r="J9" i="3"/>
  <c r="I9" i="3"/>
  <c r="T9" i="3" s="1"/>
  <c r="T8" i="3"/>
  <c r="L8" i="3"/>
  <c r="K8" i="3"/>
  <c r="J8" i="3"/>
  <c r="I8" i="3"/>
  <c r="L7" i="3"/>
  <c r="K7" i="3"/>
  <c r="J7" i="3"/>
  <c r="I7" i="3"/>
  <c r="L6" i="3"/>
  <c r="K6" i="3"/>
  <c r="T6" i="3" s="1"/>
  <c r="J6" i="3"/>
  <c r="I6" i="3"/>
  <c r="T5" i="3"/>
  <c r="L5" i="3"/>
  <c r="K5" i="3"/>
  <c r="J5" i="3"/>
  <c r="I5" i="3"/>
  <c r="L4" i="3"/>
  <c r="K4" i="3"/>
  <c r="J4" i="3"/>
  <c r="I4" i="3"/>
  <c r="AO9" i="2"/>
  <c r="M4" i="2"/>
  <c r="M5" i="2" s="1"/>
  <c r="AO6" i="2" s="1"/>
  <c r="U14" i="1"/>
  <c r="U13" i="1"/>
  <c r="L11" i="1"/>
  <c r="K11" i="1"/>
  <c r="J11" i="1"/>
  <c r="I11" i="1"/>
  <c r="T11" i="1" s="1"/>
  <c r="T10" i="1"/>
  <c r="L10" i="1"/>
  <c r="K10" i="1"/>
  <c r="J10" i="1"/>
  <c r="I10" i="1"/>
  <c r="L9" i="1"/>
  <c r="K9" i="1"/>
  <c r="J9" i="1"/>
  <c r="T9" i="1" s="1"/>
  <c r="I9" i="1"/>
  <c r="L8" i="1"/>
  <c r="K8" i="1"/>
  <c r="J8" i="1"/>
  <c r="I8" i="1"/>
  <c r="L7" i="1"/>
  <c r="K7" i="1"/>
  <c r="J7" i="1"/>
  <c r="I7" i="1"/>
  <c r="L6" i="1"/>
  <c r="K6" i="1"/>
  <c r="J6" i="1"/>
  <c r="I6" i="1"/>
  <c r="T6" i="1" s="1"/>
  <c r="L5" i="1"/>
  <c r="K5" i="1"/>
  <c r="J5" i="1"/>
  <c r="T5" i="1" s="1"/>
  <c r="I5" i="1"/>
  <c r="L4" i="1"/>
  <c r="K4" i="1"/>
  <c r="J4" i="1"/>
  <c r="I4" i="1"/>
  <c r="T7" i="1" l="1"/>
  <c r="T7" i="5"/>
  <c r="O16" i="4"/>
  <c r="P17" i="4"/>
  <c r="Q15" i="4"/>
  <c r="Q18" i="4"/>
  <c r="O15" i="4"/>
  <c r="Q17" i="4"/>
  <c r="O17" i="4"/>
  <c r="P16" i="4"/>
  <c r="R16" i="4"/>
  <c r="R17" i="4"/>
  <c r="Q16" i="4"/>
  <c r="O4" i="5" a="1"/>
  <c r="T4" i="5"/>
  <c r="T4" i="6"/>
  <c r="P15" i="4"/>
  <c r="T4" i="1"/>
  <c r="U15" i="1" s="1"/>
  <c r="U16" i="1" s="1"/>
  <c r="O4" i="1" a="1"/>
  <c r="T9" i="5"/>
  <c r="T7" i="3"/>
  <c r="R15" i="4"/>
  <c r="T11" i="3"/>
  <c r="T4" i="3"/>
  <c r="T8" i="1"/>
  <c r="T5" i="6"/>
  <c r="T5" i="4"/>
  <c r="U15" i="4" s="1"/>
  <c r="U16" i="4" s="1"/>
  <c r="R15" i="6"/>
  <c r="O4" i="6" s="1" a="1"/>
  <c r="Q15" i="6"/>
  <c r="P15" i="6"/>
  <c r="O15" i="6"/>
  <c r="T9" i="4"/>
  <c r="T6" i="6"/>
  <c r="R16" i="3"/>
  <c r="P18" i="3"/>
  <c r="P16" i="6"/>
  <c r="Q16" i="6"/>
  <c r="O18" i="6"/>
  <c r="T11" i="6"/>
  <c r="P18" i="6"/>
  <c r="Q18" i="6"/>
  <c r="R15" i="3"/>
  <c r="O4" i="3" s="1" a="1"/>
  <c r="T10" i="6"/>
  <c r="T9" i="6"/>
  <c r="O17" i="6"/>
  <c r="P17" i="6"/>
  <c r="T8" i="6"/>
  <c r="R20" i="1" l="1"/>
  <c r="P20" i="1"/>
  <c r="O20" i="1"/>
  <c r="Q20" i="1"/>
  <c r="R20" i="4"/>
  <c r="Q20" i="4"/>
  <c r="P20" i="4"/>
  <c r="O20" i="4"/>
  <c r="O10" i="6"/>
  <c r="O7" i="6"/>
  <c r="U7" i="6" s="1"/>
  <c r="O4" i="6"/>
  <c r="O9" i="6"/>
  <c r="O6" i="6"/>
  <c r="R11" i="6"/>
  <c r="R8" i="6"/>
  <c r="R5" i="6"/>
  <c r="Q11" i="6"/>
  <c r="Q8" i="6"/>
  <c r="Q5" i="6"/>
  <c r="O11" i="6"/>
  <c r="U11" i="6" s="1"/>
  <c r="O8" i="6"/>
  <c r="U8" i="6" s="1"/>
  <c r="O5" i="6"/>
  <c r="U5" i="6" s="1"/>
  <c r="R6" i="6"/>
  <c r="Q10" i="6"/>
  <c r="P5" i="6"/>
  <c r="P11" i="6"/>
  <c r="Q6" i="6"/>
  <c r="R10" i="6"/>
  <c r="P6" i="6"/>
  <c r="R4" i="6"/>
  <c r="R9" i="6"/>
  <c r="Q4" i="6"/>
  <c r="P10" i="6"/>
  <c r="P4" i="6"/>
  <c r="Q9" i="6"/>
  <c r="Q7" i="6"/>
  <c r="P7" i="6"/>
  <c r="P9" i="6"/>
  <c r="P8" i="6"/>
  <c r="R7" i="6"/>
  <c r="P9" i="3"/>
  <c r="P6" i="3"/>
  <c r="P11" i="3"/>
  <c r="P8" i="3"/>
  <c r="P5" i="3"/>
  <c r="P10" i="3"/>
  <c r="P7" i="3"/>
  <c r="P4" i="3"/>
  <c r="Q8" i="3"/>
  <c r="Q4" i="3"/>
  <c r="O8" i="3"/>
  <c r="O4" i="3"/>
  <c r="R11" i="3"/>
  <c r="R7" i="3"/>
  <c r="O9" i="3"/>
  <c r="R6" i="3"/>
  <c r="Q6" i="3"/>
  <c r="O11" i="3"/>
  <c r="U11" i="3" s="1"/>
  <c r="R8" i="3"/>
  <c r="Q11" i="3"/>
  <c r="Q7" i="3"/>
  <c r="O7" i="3"/>
  <c r="O6" i="3"/>
  <c r="R10" i="3"/>
  <c r="Q9" i="3"/>
  <c r="Q10" i="3"/>
  <c r="O10" i="3"/>
  <c r="R9" i="3"/>
  <c r="R5" i="3"/>
  <c r="Q5" i="3"/>
  <c r="O5" i="3"/>
  <c r="R4" i="3"/>
  <c r="U15" i="6"/>
  <c r="U16" i="6" s="1"/>
  <c r="R9" i="5"/>
  <c r="R6" i="5"/>
  <c r="R11" i="5"/>
  <c r="R8" i="5"/>
  <c r="R5" i="5"/>
  <c r="P11" i="5"/>
  <c r="P8" i="5"/>
  <c r="P5" i="5"/>
  <c r="R10" i="5"/>
  <c r="R7" i="5"/>
  <c r="R4" i="5"/>
  <c r="Q8" i="5"/>
  <c r="O4" i="5"/>
  <c r="O8" i="5"/>
  <c r="Q7" i="5"/>
  <c r="O7" i="5"/>
  <c r="Q6" i="5"/>
  <c r="Q10" i="5"/>
  <c r="O5" i="5"/>
  <c r="P6" i="5"/>
  <c r="Q11" i="5"/>
  <c r="O6" i="5"/>
  <c r="O11" i="5"/>
  <c r="Q5" i="5"/>
  <c r="P10" i="5"/>
  <c r="Q4" i="5"/>
  <c r="P4" i="5"/>
  <c r="O10" i="5"/>
  <c r="Q9" i="5"/>
  <c r="P9" i="5"/>
  <c r="O9" i="5"/>
  <c r="U9" i="5" s="1"/>
  <c r="P7" i="5"/>
  <c r="Q11" i="1"/>
  <c r="Q8" i="1"/>
  <c r="Q5" i="1"/>
  <c r="Q10" i="1"/>
  <c r="Q7" i="1"/>
  <c r="Q4" i="1"/>
  <c r="P8" i="1"/>
  <c r="R4" i="1"/>
  <c r="P11" i="1"/>
  <c r="R7" i="1"/>
  <c r="O4" i="1"/>
  <c r="U4" i="1" s="1"/>
  <c r="R11" i="1"/>
  <c r="O8" i="1"/>
  <c r="U8" i="1" s="1"/>
  <c r="P4" i="1"/>
  <c r="P10" i="1"/>
  <c r="O6" i="1"/>
  <c r="R5" i="1"/>
  <c r="R9" i="1"/>
  <c r="O10" i="1"/>
  <c r="U10" i="1" s="1"/>
  <c r="P5" i="1"/>
  <c r="Q9" i="1"/>
  <c r="O5" i="1"/>
  <c r="U5" i="1" s="1"/>
  <c r="P9" i="1"/>
  <c r="O9" i="1"/>
  <c r="U9" i="1" s="1"/>
  <c r="R6" i="1"/>
  <c r="O11" i="1"/>
  <c r="P7" i="1"/>
  <c r="Q6" i="1"/>
  <c r="P6" i="1"/>
  <c r="O7" i="1"/>
  <c r="R10" i="1"/>
  <c r="R8" i="1"/>
  <c r="O4" i="4" a="1"/>
  <c r="U15" i="5"/>
  <c r="U16" i="5" s="1"/>
  <c r="U15" i="3"/>
  <c r="U16" i="3" s="1"/>
  <c r="Q20" i="3" l="1"/>
  <c r="R20" i="3"/>
  <c r="P20" i="3"/>
  <c r="O20" i="3"/>
  <c r="U5" i="5"/>
  <c r="U18" i="4" a="1"/>
  <c r="U18" i="4" s="1"/>
  <c r="O22" i="4" a="1"/>
  <c r="O20" i="5"/>
  <c r="R20" i="5"/>
  <c r="Q20" i="5"/>
  <c r="P20" i="5"/>
  <c r="U10" i="3"/>
  <c r="U9" i="3"/>
  <c r="U10" i="5"/>
  <c r="U7" i="5"/>
  <c r="U4" i="3"/>
  <c r="U17" i="3" s="1"/>
  <c r="U7" i="1"/>
  <c r="U8" i="3"/>
  <c r="U7" i="3"/>
  <c r="U6" i="1"/>
  <c r="U11" i="5"/>
  <c r="U9" i="6"/>
  <c r="U10" i="6"/>
  <c r="Q9" i="4"/>
  <c r="Q6" i="4"/>
  <c r="Q11" i="4"/>
  <c r="Q8" i="4"/>
  <c r="Q5" i="4"/>
  <c r="O11" i="4"/>
  <c r="U11" i="4" s="1"/>
  <c r="O8" i="4"/>
  <c r="O5" i="4"/>
  <c r="U5" i="4" s="1"/>
  <c r="Q10" i="4"/>
  <c r="Q7" i="4"/>
  <c r="Q4" i="4"/>
  <c r="O10" i="4"/>
  <c r="U10" i="4" s="1"/>
  <c r="R5" i="4"/>
  <c r="R9" i="4"/>
  <c r="P5" i="4"/>
  <c r="R4" i="4"/>
  <c r="P9" i="4"/>
  <c r="P10" i="4"/>
  <c r="R7" i="4"/>
  <c r="P7" i="4"/>
  <c r="O7" i="4"/>
  <c r="O9" i="4"/>
  <c r="U9" i="4" s="1"/>
  <c r="P8" i="4"/>
  <c r="R8" i="4"/>
  <c r="O6" i="4"/>
  <c r="R11" i="4"/>
  <c r="P4" i="4"/>
  <c r="P11" i="4"/>
  <c r="R6" i="4"/>
  <c r="P6" i="4"/>
  <c r="O4" i="4"/>
  <c r="R10" i="4"/>
  <c r="U8" i="5"/>
  <c r="U6" i="3"/>
  <c r="U4" i="5"/>
  <c r="U18" i="1" a="1"/>
  <c r="U18" i="1" s="1"/>
  <c r="O22" i="1" a="1"/>
  <c r="R20" i="6"/>
  <c r="Q20" i="6"/>
  <c r="P20" i="6"/>
  <c r="O20" i="6"/>
  <c r="U6" i="6"/>
  <c r="U11" i="1"/>
  <c r="U17" i="1" s="1"/>
  <c r="U6" i="5"/>
  <c r="U5" i="3"/>
  <c r="U4" i="6"/>
  <c r="U19" i="1" l="1"/>
  <c r="W8" i="1"/>
  <c r="Y8" i="1" s="1"/>
  <c r="W10" i="1"/>
  <c r="Y10" i="1" s="1"/>
  <c r="W4" i="1"/>
  <c r="Y4" i="1" s="1"/>
  <c r="W9" i="1"/>
  <c r="Y9" i="1" s="1"/>
  <c r="W5" i="1"/>
  <c r="Y5" i="1" s="1"/>
  <c r="W11" i="3"/>
  <c r="Y11" i="3" s="1"/>
  <c r="W5" i="3"/>
  <c r="Y5" i="3" s="1"/>
  <c r="U7" i="4"/>
  <c r="W9" i="3"/>
  <c r="O22" i="3" a="1"/>
  <c r="U18" i="3" a="1"/>
  <c r="U18" i="3" s="1"/>
  <c r="U19" i="3" s="1"/>
  <c r="W10" i="3"/>
  <c r="Y10" i="3" s="1"/>
  <c r="U4" i="4"/>
  <c r="U8" i="4"/>
  <c r="U17" i="5"/>
  <c r="W7" i="3"/>
  <c r="Q22" i="1"/>
  <c r="P22" i="1"/>
  <c r="R22" i="1"/>
  <c r="O22" i="1"/>
  <c r="W8" i="3"/>
  <c r="Q22" i="4"/>
  <c r="O22" i="4"/>
  <c r="R22" i="4"/>
  <c r="P22" i="4"/>
  <c r="W4" i="3"/>
  <c r="Y4" i="3" s="1"/>
  <c r="W6" i="3"/>
  <c r="W8" i="5"/>
  <c r="Y8" i="5" s="1"/>
  <c r="W11" i="1"/>
  <c r="Y11" i="1" s="1"/>
  <c r="U18" i="6" a="1"/>
  <c r="U18" i="6" s="1"/>
  <c r="O22" i="6" a="1"/>
  <c r="U17" i="6"/>
  <c r="W6" i="1"/>
  <c r="Y6" i="1" s="1"/>
  <c r="O22" i="5" a="1"/>
  <c r="U18" i="5" a="1"/>
  <c r="U18" i="5" s="1"/>
  <c r="U6" i="4"/>
  <c r="W7" i="1"/>
  <c r="Y7" i="1" s="1"/>
  <c r="U19" i="6" l="1"/>
  <c r="W8" i="6"/>
  <c r="Y8" i="6" s="1"/>
  <c r="W7" i="6"/>
  <c r="Y7" i="6" s="1"/>
  <c r="W5" i="6"/>
  <c r="Y5" i="6" s="1"/>
  <c r="W11" i="6"/>
  <c r="Y11" i="6" s="1"/>
  <c r="U19" i="5"/>
  <c r="W9" i="5"/>
  <c r="Y9" i="5" s="1"/>
  <c r="W11" i="5"/>
  <c r="Y11" i="5" s="1"/>
  <c r="W5" i="5"/>
  <c r="Y5" i="5" s="1"/>
  <c r="W9" i="6"/>
  <c r="Y9" i="6" s="1"/>
  <c r="R22" i="6"/>
  <c r="Q22" i="6"/>
  <c r="P22" i="6"/>
  <c r="O22" i="6"/>
  <c r="X7" i="4"/>
  <c r="X6" i="4"/>
  <c r="X11" i="4"/>
  <c r="X9" i="4"/>
  <c r="X4" i="4"/>
  <c r="X5" i="4"/>
  <c r="X8" i="4"/>
  <c r="X10" i="4"/>
  <c r="P22" i="3"/>
  <c r="R22" i="3"/>
  <c r="O22" i="3"/>
  <c r="Q22" i="3"/>
  <c r="X11" i="1"/>
  <c r="Z11" i="1" s="1"/>
  <c r="X5" i="1"/>
  <c r="X6" i="1"/>
  <c r="Z6" i="1" s="1"/>
  <c r="X9" i="1"/>
  <c r="Z9" i="1" s="1"/>
  <c r="X4" i="1"/>
  <c r="Z4" i="1" s="1"/>
  <c r="X10" i="1"/>
  <c r="Z10" i="1" s="1"/>
  <c r="X7" i="1"/>
  <c r="Z7" i="1" s="1"/>
  <c r="X8" i="1"/>
  <c r="Y9" i="3"/>
  <c r="W4" i="5"/>
  <c r="Y4" i="5" s="1"/>
  <c r="U17" i="4"/>
  <c r="W4" i="6"/>
  <c r="Y4" i="6" s="1"/>
  <c r="W6" i="6"/>
  <c r="Y6" i="6" s="1"/>
  <c r="Y8" i="3"/>
  <c r="Z5" i="1"/>
  <c r="W10" i="6"/>
  <c r="Y10" i="6" s="1"/>
  <c r="R22" i="5"/>
  <c r="P22" i="5"/>
  <c r="O22" i="5"/>
  <c r="Q22" i="5"/>
  <c r="W7" i="5"/>
  <c r="Y7" i="5" s="1"/>
  <c r="Z8" i="1"/>
  <c r="W10" i="5"/>
  <c r="Y10" i="5" s="1"/>
  <c r="Y6" i="3"/>
  <c r="Y7" i="3"/>
  <c r="W6" i="5"/>
  <c r="Y6" i="5" s="1"/>
  <c r="X15" i="1" l="1" a="1"/>
  <c r="X15" i="1" s="1"/>
  <c r="Z9" i="3"/>
  <c r="Z7" i="5"/>
  <c r="Z8" i="3"/>
  <c r="X8" i="5"/>
  <c r="X11" i="5"/>
  <c r="Z11" i="5" s="1"/>
  <c r="X5" i="5"/>
  <c r="X9" i="5"/>
  <c r="X7" i="5"/>
  <c r="X10" i="5"/>
  <c r="X6" i="5"/>
  <c r="Z6" i="5" s="1"/>
  <c r="X4" i="5"/>
  <c r="Z4" i="5" s="1"/>
  <c r="X15" i="5" s="1" a="1"/>
  <c r="X15" i="5" s="1"/>
  <c r="Z5" i="5"/>
  <c r="Z4" i="6"/>
  <c r="U19" i="4"/>
  <c r="W9" i="4"/>
  <c r="Y9" i="4" s="1"/>
  <c r="Z9" i="4" s="1"/>
  <c r="W5" i="4"/>
  <c r="Y5" i="4" s="1"/>
  <c r="Z5" i="4" s="1"/>
  <c r="W11" i="4"/>
  <c r="Y11" i="4" s="1"/>
  <c r="Z11" i="4" s="1"/>
  <c r="W10" i="4"/>
  <c r="Y10" i="4" s="1"/>
  <c r="Z10" i="4" s="1"/>
  <c r="Z9" i="5"/>
  <c r="W4" i="4"/>
  <c r="Y4" i="4" s="1"/>
  <c r="Z4" i="4" s="1"/>
  <c r="W7" i="4"/>
  <c r="Y7" i="4" s="1"/>
  <c r="Z7" i="4" s="1"/>
  <c r="Z11" i="6"/>
  <c r="Z10" i="6"/>
  <c r="W8" i="4"/>
  <c r="Y8" i="4" s="1"/>
  <c r="Z8" i="4" s="1"/>
  <c r="Z5" i="6"/>
  <c r="W6" i="4"/>
  <c r="Y6" i="4" s="1"/>
  <c r="Z6" i="4" s="1"/>
  <c r="Z10" i="5"/>
  <c r="X9" i="3"/>
  <c r="X8" i="3"/>
  <c r="X6" i="3"/>
  <c r="Z6" i="3" s="1"/>
  <c r="X4" i="3"/>
  <c r="Z4" i="3" s="1"/>
  <c r="X10" i="3"/>
  <c r="Z10" i="3" s="1"/>
  <c r="X5" i="3"/>
  <c r="Z5" i="3" s="1"/>
  <c r="X11" i="3"/>
  <c r="Z11" i="3" s="1"/>
  <c r="X7" i="3"/>
  <c r="Z7" i="3" s="1"/>
  <c r="X6" i="6"/>
  <c r="Z6" i="6" s="1"/>
  <c r="X8" i="6"/>
  <c r="Z8" i="6" s="1"/>
  <c r="X4" i="6"/>
  <c r="X7" i="6"/>
  <c r="Z7" i="6" s="1"/>
  <c r="X5" i="6"/>
  <c r="X10" i="6"/>
  <c r="X9" i="6"/>
  <c r="Z9" i="6" s="1"/>
  <c r="X11" i="6"/>
  <c r="Z8" i="5"/>
  <c r="Y15" i="5" l="1"/>
  <c r="X17" i="5"/>
  <c r="X16" i="5"/>
  <c r="X15" i="3" a="1"/>
  <c r="X15" i="3" s="1"/>
  <c r="X15" i="4" a="1"/>
  <c r="X15" i="4" s="1"/>
  <c r="Y15" i="4" s="1"/>
  <c r="Y16" i="4" s="1"/>
  <c r="X15" i="6" a="1"/>
  <c r="X15" i="6" s="1"/>
  <c r="AO5" i="2"/>
  <c r="AO7" i="2" s="1"/>
  <c r="Y15" i="1"/>
  <c r="X17" i="1"/>
  <c r="X16" i="1"/>
  <c r="Y15" i="3" l="1"/>
  <c r="X16" i="3"/>
  <c r="X17" i="3"/>
  <c r="Y16" i="5"/>
  <c r="Y17" i="5"/>
  <c r="Y17" i="1"/>
  <c r="Y16" i="1"/>
  <c r="AO11" i="2"/>
  <c r="AO12" i="2"/>
  <c r="Y15" i="6"/>
  <c r="X16" i="6"/>
  <c r="X17" i="6"/>
  <c r="Y17" i="4"/>
  <c r="X16" i="4"/>
  <c r="X17" i="4"/>
  <c r="Y17" i="6" l="1"/>
  <c r="Y16" i="6"/>
  <c r="Y16" i="3"/>
  <c r="Y17" i="3"/>
</calcChain>
</file>

<file path=xl/sharedStrings.xml><?xml version="1.0" encoding="utf-8"?>
<sst xmlns="http://schemas.openxmlformats.org/spreadsheetml/2006/main" count="249" uniqueCount="51">
  <si>
    <t>Rating Table</t>
  </si>
  <si>
    <t>Agreement Table</t>
  </si>
  <si>
    <t>Weighted Agreement Table</t>
  </si>
  <si>
    <t>Krippendorff's Alpha</t>
  </si>
  <si>
    <t>A</t>
  </si>
  <si>
    <t>B</t>
  </si>
  <si>
    <t>C</t>
  </si>
  <si>
    <t>D</t>
  </si>
  <si>
    <t>E</t>
  </si>
  <si>
    <t>r</t>
  </si>
  <si>
    <t>p</t>
  </si>
  <si>
    <t>p*</t>
  </si>
  <si>
    <t>e</t>
  </si>
  <si>
    <t>α</t>
  </si>
  <si>
    <t>α*</t>
  </si>
  <si>
    <t>Alpha</t>
  </si>
  <si>
    <t>Subj Factor</t>
  </si>
  <si>
    <t>Rater Factor</t>
  </si>
  <si>
    <t>Weights</t>
  </si>
  <si>
    <t>n</t>
  </si>
  <si>
    <t>subject</t>
  </si>
  <si>
    <t>subj+raters</t>
  </si>
  <si>
    <t>q</t>
  </si>
  <si>
    <t>r-mean</t>
  </si>
  <si>
    <t>s.e.</t>
  </si>
  <si>
    <t>epsilon</t>
  </si>
  <si>
    <t>lower</t>
  </si>
  <si>
    <t>pa</t>
  </si>
  <si>
    <t>upper</t>
  </si>
  <si>
    <t>pe</t>
  </si>
  <si>
    <t>kalpha</t>
  </si>
  <si>
    <t>π</t>
  </si>
  <si>
    <t>raters</t>
  </si>
  <si>
    <t>π*</t>
  </si>
  <si>
    <t>var</t>
  </si>
  <si>
    <t>kappa</t>
  </si>
  <si>
    <t>s.e. subj</t>
  </si>
  <si>
    <t>=X15 (Figure 5)</t>
  </si>
  <si>
    <t>s.e. raters</t>
  </si>
  <si>
    <t>s.e. tot</t>
  </si>
  <si>
    <t>=U13 (Figure 5)</t>
  </si>
  <si>
    <t>Real Stat</t>
  </si>
  <si>
    <t>Categorical</t>
  </si>
  <si>
    <t>subj+rater</t>
  </si>
  <si>
    <t>Interval</t>
  </si>
  <si>
    <t>Ordinal</t>
  </si>
  <si>
    <t>Ratio</t>
  </si>
  <si>
    <t>Real Statistics Using Excel</t>
  </si>
  <si>
    <t>Updated</t>
  </si>
  <si>
    <t>Copyright © 2013 - 2024 Charles Zaiontz</t>
  </si>
  <si>
    <t>Krippendorff’s 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</si>
</sst>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0" fillId="0" borderId="14" xfId="0" applyBorder="1"/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quotePrefix="1"/>
    <xf numFmtId="0" fontId="0" fillId="0" borderId="0" xfId="0" applyAlignment="1">
      <alignment horizontal="center"/>
    </xf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B55F-B219-4462-9925-9328470E5A82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47</v>
      </c>
    </row>
    <row r="2" spans="1:13" x14ac:dyDescent="0.35">
      <c r="A2" t="s">
        <v>50</v>
      </c>
    </row>
    <row r="4" spans="1:13" x14ac:dyDescent="0.35">
      <c r="A4" t="s">
        <v>48</v>
      </c>
      <c r="B4" s="35">
        <v>45497</v>
      </c>
    </row>
    <row r="6" spans="1:13" x14ac:dyDescent="0.35">
      <c r="A6" s="36" t="s">
        <v>49</v>
      </c>
    </row>
    <row r="10" spans="1:13" ht="18.5" x14ac:dyDescent="0.45">
      <c r="M10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17F5-FE24-405F-86D9-DC1BD07DA85F}">
  <sheetPr codeName="Sheet20"/>
  <dimension ref="A1:AG27"/>
  <sheetViews>
    <sheetView workbookViewId="0"/>
  </sheetViews>
  <sheetFormatPr defaultRowHeight="14.5" x14ac:dyDescent="0.35"/>
  <cols>
    <col min="1" max="1" width="6" customWidth="1"/>
    <col min="7" max="7" width="4.1796875" customWidth="1"/>
    <col min="8" max="8" width="5.26953125" customWidth="1"/>
    <col min="14" max="14" width="4.1796875" customWidth="1"/>
    <col min="15" max="18" width="9.1796875" customWidth="1"/>
    <col min="19" max="19" width="3.7265625" customWidth="1"/>
    <col min="22" max="22" width="4.1796875" customWidth="1"/>
    <col min="23" max="25" width="9.1796875" customWidth="1"/>
    <col min="29" max="29" width="11.54296875" customWidth="1"/>
    <col min="32" max="32" width="10.81640625" customWidth="1"/>
  </cols>
  <sheetData>
    <row r="1" spans="1:33" x14ac:dyDescent="0.35">
      <c r="A1" t="s">
        <v>0</v>
      </c>
      <c r="H1" t="s">
        <v>1</v>
      </c>
      <c r="N1" t="s">
        <v>2</v>
      </c>
      <c r="AC1" t="s">
        <v>3</v>
      </c>
      <c r="AF1" t="s">
        <v>3</v>
      </c>
    </row>
    <row r="3" spans="1:33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  <c r="Z3" s="3" t="s">
        <v>14</v>
      </c>
      <c r="AC3" t="s">
        <v>15</v>
      </c>
      <c r="AD3" s="4">
        <v>0.05</v>
      </c>
      <c r="AF3" t="s">
        <v>15</v>
      </c>
      <c r="AG3" s="4">
        <v>0.05</v>
      </c>
    </row>
    <row r="4" spans="1:33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1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1">MMULT(I4:L11,O15:R18)</f>
        <v>1</v>
      </c>
      <c r="P4" s="9">
        <v>1</v>
      </c>
      <c r="Q4" s="9">
        <v>1</v>
      </c>
      <c r="R4" s="10">
        <v>1</v>
      </c>
      <c r="T4" s="8">
        <f>SUM(I4:L4)</f>
        <v>4</v>
      </c>
      <c r="U4" s="10">
        <f t="shared" ref="U4:U11" si="1">SUMPRODUCT(I4:L4,O4:R4-1)/($U$15*(T4-1))</f>
        <v>0</v>
      </c>
      <c r="V4">
        <v>1</v>
      </c>
      <c r="W4" s="8">
        <f>(U4-$U$17*(T4/$U$15-1))</f>
        <v>2.2720333808263795E-2</v>
      </c>
      <c r="X4" s="9">
        <f>SUMPRODUCT(I4:L4,$O$22:$R$22)/$U$15-$U$18*(T4/$U$15-1)</f>
        <v>0.25066151027885203</v>
      </c>
      <c r="Y4" s="9">
        <f>(W4-$U$18)/(1-$U$18)</f>
        <v>-0.32287505166000824</v>
      </c>
      <c r="Z4" s="10">
        <f>Y4-2*(1-$U$19)*(X4-$U$18)/(1-$U$18)</f>
        <v>-0.29906934555601328</v>
      </c>
      <c r="AC4" t="s">
        <v>16</v>
      </c>
      <c r="AD4" s="16">
        <v>0</v>
      </c>
      <c r="AF4" t="s">
        <v>16</v>
      </c>
      <c r="AG4" s="17">
        <v>0</v>
      </c>
    </row>
    <row r="5" spans="1:33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I11" si="2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0</v>
      </c>
      <c r="P5">
        <v>3</v>
      </c>
      <c r="Q5">
        <v>1</v>
      </c>
      <c r="R5" s="12">
        <v>0</v>
      </c>
      <c r="T5" s="11">
        <f t="shared" ref="T5:T11" si="3">SUM(I5:L5)</f>
        <v>4</v>
      </c>
      <c r="U5" s="12">
        <f t="shared" si="1"/>
        <v>0.47058823529411764</v>
      </c>
      <c r="V5">
        <v>2</v>
      </c>
      <c r="W5" s="11">
        <f t="shared" ref="W5:W11" si="4">(U5-$U$17*(T5/$U$15-1))</f>
        <v>0.49330856910238141</v>
      </c>
      <c r="X5">
        <f t="shared" ref="X5:X11" si="5">SUMPRODUCT(I5:L5,$O$22:$R$22)/$U$15-$U$18*(T5/$U$15-1)</f>
        <v>0.25758192550376546</v>
      </c>
      <c r="Y5">
        <f t="shared" ref="Y5:Y11" si="6">(W5-$U$18)/(1-$U$18)</f>
        <v>0.3141272902603664</v>
      </c>
      <c r="Z5" s="12">
        <f t="shared" ref="Z5:Z11" si="7">Y5-2*(1-$U$19)*(X5-$U$18)/(1-$U$18)</f>
        <v>0.3223677269886725</v>
      </c>
      <c r="AC5" t="s">
        <v>17</v>
      </c>
      <c r="AD5" s="17">
        <v>0</v>
      </c>
    </row>
    <row r="6" spans="1:33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2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3</v>
      </c>
      <c r="P6">
        <v>2</v>
      </c>
      <c r="Q6">
        <v>0</v>
      </c>
      <c r="R6" s="12">
        <v>0</v>
      </c>
      <c r="T6" s="11">
        <f t="shared" si="3"/>
        <v>5</v>
      </c>
      <c r="U6" s="12">
        <f t="shared" si="1"/>
        <v>0.47058823529411764</v>
      </c>
      <c r="V6">
        <v>3</v>
      </c>
      <c r="W6" s="11">
        <f t="shared" si="4"/>
        <v>0.40242723386932627</v>
      </c>
      <c r="X6">
        <f t="shared" si="5"/>
        <v>0.18919193975167917</v>
      </c>
      <c r="Y6">
        <f t="shared" si="6"/>
        <v>0.19110759057721449</v>
      </c>
      <c r="Z6" s="12">
        <f t="shared" si="7"/>
        <v>0.35316951290056481</v>
      </c>
      <c r="AF6" t="e">
        <f t="array" aca="1" ref="AF6:AG9" ca="1">KRIP_SES(I4:L11,TRUE,0,,AG3,AG4)</f>
        <v>#NAME?</v>
      </c>
      <c r="AG6" s="4" t="e">
        <f ca="1"/>
        <v>#NAME?</v>
      </c>
    </row>
    <row r="7" spans="1:33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2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0</v>
      </c>
      <c r="P7">
        <v>1</v>
      </c>
      <c r="Q7">
        <v>1</v>
      </c>
      <c r="R7" s="12">
        <v>3</v>
      </c>
      <c r="T7" s="11">
        <f t="shared" si="3"/>
        <v>5</v>
      </c>
      <c r="U7" s="12">
        <f t="shared" si="1"/>
        <v>0.35294117647058826</v>
      </c>
      <c r="V7">
        <v>4</v>
      </c>
      <c r="W7" s="11">
        <f t="shared" si="4"/>
        <v>0.28478017504579689</v>
      </c>
      <c r="X7">
        <f t="shared" si="5"/>
        <v>0.27223692245064113</v>
      </c>
      <c r="Y7">
        <f t="shared" si="6"/>
        <v>3.185700509712084E-2</v>
      </c>
      <c r="Z7" s="12">
        <f t="shared" si="7"/>
        <v>7.1356949122030923E-3</v>
      </c>
      <c r="AC7" t="e">
        <f t="array" aca="1" ref="AC7:AD13" ca="1">KRIP(B4:F13,TRUE,0,,AD3,AD4,AD5)</f>
        <v>#NAME?</v>
      </c>
      <c r="AD7" s="4" t="e">
        <f ca="1"/>
        <v>#NAME?</v>
      </c>
      <c r="AF7" t="e">
        <f ca="1"/>
        <v>#NAME?</v>
      </c>
      <c r="AG7" s="16" t="e">
        <f ca="1"/>
        <v>#NAME?</v>
      </c>
    </row>
    <row r="8" spans="1:33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2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0</v>
      </c>
      <c r="P8">
        <v>0</v>
      </c>
      <c r="Q8">
        <v>3</v>
      </c>
      <c r="R8" s="12">
        <v>1</v>
      </c>
      <c r="T8" s="11">
        <f t="shared" si="3"/>
        <v>4</v>
      </c>
      <c r="U8" s="12">
        <f t="shared" si="1"/>
        <v>0.47058823529411764</v>
      </c>
      <c r="V8">
        <v>5</v>
      </c>
      <c r="W8" s="11">
        <f t="shared" si="4"/>
        <v>0.49330856910238141</v>
      </c>
      <c r="X8">
        <f t="shared" si="5"/>
        <v>0.30602483207816</v>
      </c>
      <c r="Y8">
        <f t="shared" si="6"/>
        <v>0.3141272902603664</v>
      </c>
      <c r="Z8" s="12">
        <f t="shared" si="7"/>
        <v>0.2134108413588493</v>
      </c>
      <c r="AC8" t="e">
        <f ca="1"/>
        <v>#NAME?</v>
      </c>
      <c r="AD8" s="16" t="e">
        <f ca="1"/>
        <v>#NAME?</v>
      </c>
      <c r="AF8" t="e">
        <f ca="1"/>
        <v>#NAME?</v>
      </c>
      <c r="AG8" s="16" t="e">
        <f ca="1"/>
        <v>#NAME?</v>
      </c>
    </row>
    <row r="9" spans="1:33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2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</v>
      </c>
      <c r="P9">
        <v>1</v>
      </c>
      <c r="Q9">
        <v>0</v>
      </c>
      <c r="R9" s="12">
        <v>0</v>
      </c>
      <c r="T9" s="11">
        <f t="shared" si="3"/>
        <v>3</v>
      </c>
      <c r="U9" s="12">
        <f t="shared" si="1"/>
        <v>0.23529411764705882</v>
      </c>
      <c r="V9">
        <v>6</v>
      </c>
      <c r="W9" s="11">
        <f t="shared" si="4"/>
        <v>0.34889578668837773</v>
      </c>
      <c r="X9">
        <f t="shared" si="5"/>
        <v>0.21524526765723589</v>
      </c>
      <c r="Y9">
        <f t="shared" si="6"/>
        <v>0.11864581898333097</v>
      </c>
      <c r="Z9" s="12">
        <f t="shared" si="7"/>
        <v>0.22210908012761671</v>
      </c>
      <c r="AC9" t="e">
        <f ca="1"/>
        <v>#NAME?</v>
      </c>
      <c r="AD9" s="16" t="e">
        <f ca="1"/>
        <v>#NAME?</v>
      </c>
      <c r="AF9" t="e">
        <f ca="1"/>
        <v>#NAME?</v>
      </c>
      <c r="AG9" s="17" t="e">
        <f ca="1"/>
        <v>#NAME?</v>
      </c>
    </row>
    <row r="10" spans="1:33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2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0</v>
      </c>
      <c r="P10">
        <v>0</v>
      </c>
      <c r="Q10">
        <v>3</v>
      </c>
      <c r="R10" s="12">
        <v>1</v>
      </c>
      <c r="T10" s="11">
        <f t="shared" si="3"/>
        <v>4</v>
      </c>
      <c r="U10" s="12">
        <f t="shared" si="1"/>
        <v>0.47058823529411764</v>
      </c>
      <c r="V10">
        <v>7</v>
      </c>
      <c r="W10" s="11">
        <f t="shared" si="4"/>
        <v>0.49330856910238141</v>
      </c>
      <c r="X10">
        <f t="shared" si="5"/>
        <v>0.30602483207816</v>
      </c>
      <c r="Y10">
        <f t="shared" si="6"/>
        <v>0.3141272902603664</v>
      </c>
      <c r="Z10" s="12">
        <f t="shared" si="7"/>
        <v>0.2134108413588493</v>
      </c>
      <c r="AC10" t="e">
        <f ca="1"/>
        <v>#NAME?</v>
      </c>
      <c r="AD10" s="16" t="e">
        <f ca="1"/>
        <v>#NAME?</v>
      </c>
    </row>
    <row r="11" spans="1:33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3">
        <f t="shared" si="2"/>
        <v>0</v>
      </c>
      <c r="J11" s="14">
        <f t="shared" si="0"/>
        <v>0</v>
      </c>
      <c r="K11" s="14">
        <f t="shared" si="0"/>
        <v>2</v>
      </c>
      <c r="L11" s="15">
        <f t="shared" si="0"/>
        <v>3</v>
      </c>
      <c r="N11" s="1">
        <v>8</v>
      </c>
      <c r="O11" s="13">
        <v>0</v>
      </c>
      <c r="P11" s="14">
        <v>0</v>
      </c>
      <c r="Q11" s="14">
        <v>2</v>
      </c>
      <c r="R11" s="15">
        <v>3</v>
      </c>
      <c r="T11" s="13">
        <f t="shared" si="3"/>
        <v>5</v>
      </c>
      <c r="U11" s="15">
        <f t="shared" si="1"/>
        <v>0.47058823529411764</v>
      </c>
      <c r="V11">
        <v>8</v>
      </c>
      <c r="W11" s="13">
        <f t="shared" si="4"/>
        <v>0.40242723386932627</v>
      </c>
      <c r="X11" s="14">
        <f t="shared" si="5"/>
        <v>0.29299816812538165</v>
      </c>
      <c r="Y11" s="14">
        <f t="shared" si="6"/>
        <v>0.19110759057721449</v>
      </c>
      <c r="Z11" s="15">
        <f t="shared" si="7"/>
        <v>0.11969047226522965</v>
      </c>
      <c r="AC11" t="e">
        <f ca="1"/>
        <v>#NAME?</v>
      </c>
      <c r="AD11" s="16" t="e">
        <f ca="1"/>
        <v>#NAME?</v>
      </c>
    </row>
    <row r="12" spans="1:33" x14ac:dyDescent="0.35">
      <c r="A12" s="1">
        <v>9</v>
      </c>
      <c r="B12" s="18"/>
      <c r="C12" s="1"/>
      <c r="D12" s="1"/>
      <c r="E12" s="1"/>
      <c r="F12" s="19"/>
      <c r="G12" s="1"/>
      <c r="H12" s="1"/>
      <c r="AC12" t="e">
        <f ca="1"/>
        <v>#NAME?</v>
      </c>
      <c r="AD12" s="16" t="e">
        <f ca="1"/>
        <v>#NAME?</v>
      </c>
    </row>
    <row r="13" spans="1:33" x14ac:dyDescent="0.35">
      <c r="A13" s="1">
        <v>10</v>
      </c>
      <c r="B13" s="20"/>
      <c r="C13" s="21">
        <v>3</v>
      </c>
      <c r="D13" s="21"/>
      <c r="E13" s="21"/>
      <c r="F13" s="22"/>
      <c r="G13" s="1"/>
      <c r="N13" s="23" t="s">
        <v>18</v>
      </c>
      <c r="T13" s="23" t="s">
        <v>19</v>
      </c>
      <c r="U13" s="24">
        <f>COUNT(H4:H11)</f>
        <v>8</v>
      </c>
      <c r="X13" t="s">
        <v>20</v>
      </c>
      <c r="Y13" t="s">
        <v>21</v>
      </c>
      <c r="AC13" t="e">
        <f ca="1"/>
        <v>#NAME?</v>
      </c>
      <c r="AD13" s="17" t="e">
        <f ca="1"/>
        <v>#NAME?</v>
      </c>
    </row>
    <row r="14" spans="1:33" x14ac:dyDescent="0.35">
      <c r="A14" s="1"/>
      <c r="B14" s="1"/>
      <c r="C14" s="1"/>
      <c r="D14" s="1"/>
      <c r="E14" s="1"/>
      <c r="F14" s="1"/>
      <c r="G14" s="1"/>
      <c r="O14">
        <v>1</v>
      </c>
      <c r="P14">
        <v>2</v>
      </c>
      <c r="Q14">
        <v>3</v>
      </c>
      <c r="R14">
        <v>4</v>
      </c>
      <c r="T14" s="23" t="s">
        <v>22</v>
      </c>
      <c r="U14" s="25">
        <f>COUNT(I3:L3)</f>
        <v>4</v>
      </c>
      <c r="W14" s="26" t="s">
        <v>13</v>
      </c>
      <c r="X14" s="24">
        <v>0.05</v>
      </c>
      <c r="Y14" s="24">
        <v>0.05</v>
      </c>
    </row>
    <row r="15" spans="1:33" x14ac:dyDescent="0.35">
      <c r="N15" s="1">
        <v>1</v>
      </c>
      <c r="O15" s="8">
        <v>1</v>
      </c>
      <c r="P15" s="9">
        <v>0</v>
      </c>
      <c r="Q15" s="9">
        <v>0</v>
      </c>
      <c r="R15" s="10">
        <v>0</v>
      </c>
      <c r="T15" t="s">
        <v>23</v>
      </c>
      <c r="U15" s="25">
        <f>AVERAGE(T4:T11)</f>
        <v>4.25</v>
      </c>
      <c r="W15" t="s">
        <v>24</v>
      </c>
      <c r="X15" s="25">
        <f t="array" ref="X15">SQRT(SUMSQ(Z4:Z11-U19)/(U13*(U13-1)))</f>
        <v>7.464289072090792E-2</v>
      </c>
      <c r="Y15" s="25" t="e">
        <f ca="1">SQRT(X15^2+X22^2)</f>
        <v>#NAME?</v>
      </c>
    </row>
    <row r="16" spans="1:33" x14ac:dyDescent="0.35">
      <c r="N16" s="1">
        <v>2</v>
      </c>
      <c r="O16" s="11">
        <v>0</v>
      </c>
      <c r="P16">
        <v>1</v>
      </c>
      <c r="Q16">
        <v>0</v>
      </c>
      <c r="R16" s="12">
        <v>0</v>
      </c>
      <c r="T16" t="s">
        <v>25</v>
      </c>
      <c r="U16" s="25">
        <f>1/(U13*U15)</f>
        <v>2.9411764705882353E-2</v>
      </c>
      <c r="W16" t="s">
        <v>26</v>
      </c>
      <c r="X16" s="25">
        <f>U19-X15*TINV(X14,U13-1)</f>
        <v>-7.2986425350493878E-3</v>
      </c>
      <c r="Y16" s="25" t="e">
        <f ca="1">U19-Y15*TINV(X14,U13-1)</f>
        <v>#NAME?</v>
      </c>
    </row>
    <row r="17" spans="14:27" x14ac:dyDescent="0.35">
      <c r="N17" s="1">
        <v>3</v>
      </c>
      <c r="O17" s="11">
        <v>0</v>
      </c>
      <c r="P17">
        <v>0</v>
      </c>
      <c r="Q17">
        <v>1</v>
      </c>
      <c r="R17" s="12">
        <v>0</v>
      </c>
      <c r="T17" s="23" t="s">
        <v>27</v>
      </c>
      <c r="U17" s="25">
        <f>AVERAGE(U4:U11)*(1-U16)+U16</f>
        <v>0.38624567474048443</v>
      </c>
      <c r="W17" t="s">
        <v>28</v>
      </c>
      <c r="X17" s="27">
        <f>MIN(U19+X15*TINV(X14,U13-1),1)</f>
        <v>0.34570613668024841</v>
      </c>
      <c r="Y17" s="27" t="e">
        <f ca="1">MIN(U19+Y15*TINV(X14,U13-1),1)</f>
        <v>#NAME?</v>
      </c>
    </row>
    <row r="18" spans="14:27" x14ac:dyDescent="0.35">
      <c r="N18" s="1">
        <v>4</v>
      </c>
      <c r="O18" s="13">
        <v>0</v>
      </c>
      <c r="P18" s="14">
        <v>0</v>
      </c>
      <c r="Q18" s="14">
        <v>0</v>
      </c>
      <c r="R18" s="15">
        <v>1</v>
      </c>
      <c r="T18" s="23" t="s">
        <v>29</v>
      </c>
      <c r="U18" s="25">
        <f t="array" ref="U18">SUMPRODUCT(MMULT(TRANSPOSE(O20:R20),O20:R20),O15:R18)</f>
        <v>0.26124567474048443</v>
      </c>
    </row>
    <row r="19" spans="14:27" x14ac:dyDescent="0.35">
      <c r="T19" s="23" t="s">
        <v>30</v>
      </c>
      <c r="U19" s="27">
        <f>(U17-U18)/(1-U18)</f>
        <v>0.16920374707259953</v>
      </c>
    </row>
    <row r="20" spans="14:27" x14ac:dyDescent="0.35">
      <c r="N20" s="28" t="s">
        <v>31</v>
      </c>
      <c r="O20" s="29">
        <f>SUM(I4:I11)*$U$16</f>
        <v>0.1764705882352941</v>
      </c>
      <c r="P20" s="30">
        <f>SUM(J4:J11)*$U$16</f>
        <v>0.23529411764705882</v>
      </c>
      <c r="Q20" s="30">
        <f>SUM(K4:K11)*$U$16</f>
        <v>0.3235294117647059</v>
      </c>
      <c r="R20" s="31">
        <f>SUM(L4:L11)*$U$16</f>
        <v>0.26470588235294118</v>
      </c>
    </row>
    <row r="21" spans="14:27" x14ac:dyDescent="0.35">
      <c r="N21" s="1"/>
      <c r="T21" s="23" t="s">
        <v>30</v>
      </c>
      <c r="U21" s="32" t="e">
        <f ca="1">KALPHA(I4:L11)</f>
        <v>#NAME?</v>
      </c>
      <c r="W21" t="s">
        <v>32</v>
      </c>
      <c r="Z21" t="e">
        <f t="array" aca="1" ref="Z21:AA27" ca="1">KRIP(B4:F13,TRUE)</f>
        <v>#NAME?</v>
      </c>
      <c r="AA21" s="24" t="e">
        <f ca="1"/>
        <v>#NAME?</v>
      </c>
    </row>
    <row r="22" spans="14:27" x14ac:dyDescent="0.35">
      <c r="N22" s="1" t="s">
        <v>33</v>
      </c>
      <c r="O22" s="29">
        <f t="array" ref="O22:R22">MMULT(O20:R20,O15:R18)</f>
        <v>0.1764705882352941</v>
      </c>
      <c r="P22" s="30">
        <v>0.23529411764705882</v>
      </c>
      <c r="Q22" s="30">
        <v>0.3235294117647059</v>
      </c>
      <c r="R22" s="31">
        <v>0.26470588235294118</v>
      </c>
      <c r="W22" t="s">
        <v>24</v>
      </c>
      <c r="X22" s="32" t="e">
        <f ca="1">KRIP_SER(B4:F13)</f>
        <v>#NAME?</v>
      </c>
      <c r="Z22" t="e">
        <f ca="1"/>
        <v>#NAME?</v>
      </c>
      <c r="AA22" s="25" t="e">
        <f ca="1"/>
        <v>#NAME?</v>
      </c>
    </row>
    <row r="23" spans="14:27" x14ac:dyDescent="0.35">
      <c r="Z23" t="e">
        <f ca="1"/>
        <v>#NAME?</v>
      </c>
      <c r="AA23" s="25" t="e">
        <f ca="1"/>
        <v>#NAME?</v>
      </c>
    </row>
    <row r="24" spans="14:27" x14ac:dyDescent="0.35">
      <c r="W24" t="e">
        <f t="array" aca="1" ref="W24:X27" ca="1">KRIP_SES(I4:L11,TRUE)</f>
        <v>#NAME?</v>
      </c>
      <c r="X24" s="24" t="e">
        <f ca="1"/>
        <v>#NAME?</v>
      </c>
      <c r="Z24" t="e">
        <f ca="1"/>
        <v>#NAME?</v>
      </c>
      <c r="AA24" s="25" t="e">
        <f ca="1"/>
        <v>#NAME?</v>
      </c>
    </row>
    <row r="25" spans="14:27" x14ac:dyDescent="0.35">
      <c r="W25" t="e">
        <f ca="1"/>
        <v>#NAME?</v>
      </c>
      <c r="X25" s="25" t="e">
        <f ca="1"/>
        <v>#NAME?</v>
      </c>
      <c r="Z25" t="e">
        <f ca="1"/>
        <v>#NAME?</v>
      </c>
      <c r="AA25" s="25" t="e">
        <f ca="1"/>
        <v>#NAME?</v>
      </c>
    </row>
    <row r="26" spans="14:27" x14ac:dyDescent="0.35">
      <c r="W26" t="e">
        <f ca="1"/>
        <v>#NAME?</v>
      </c>
      <c r="X26" s="25" t="e">
        <f ca="1"/>
        <v>#NAME?</v>
      </c>
      <c r="Z26" t="e">
        <f ca="1"/>
        <v>#NAME?</v>
      </c>
      <c r="AA26" s="25" t="e">
        <f ca="1"/>
        <v>#NAME?</v>
      </c>
    </row>
    <row r="27" spans="14:27" x14ac:dyDescent="0.35">
      <c r="W27" t="e">
        <f ca="1"/>
        <v>#NAME?</v>
      </c>
      <c r="X27" s="27" t="e">
        <f ca="1"/>
        <v>#NAME?</v>
      </c>
      <c r="Z27" t="e">
        <f ca="1"/>
        <v>#NAME?</v>
      </c>
      <c r="AA27" s="27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E2C2-8130-482E-BEF3-DCB4A013F5D6}">
  <sheetPr codeName="Sheet32"/>
  <dimension ref="A1:AQ15"/>
  <sheetViews>
    <sheetView workbookViewId="0"/>
  </sheetViews>
  <sheetFormatPr defaultRowHeight="14.5" x14ac:dyDescent="0.35"/>
  <cols>
    <col min="1" max="1" width="4.54296875" customWidth="1"/>
    <col min="2" max="6" width="5.26953125" customWidth="1"/>
    <col min="7" max="9" width="4.7265625" customWidth="1"/>
    <col min="10" max="10" width="9.1796875" customWidth="1"/>
    <col min="11" max="12" width="4.7265625" customWidth="1"/>
    <col min="13" max="13" width="9.1796875" customWidth="1"/>
    <col min="14" max="14" width="4.7265625" customWidth="1"/>
    <col min="15" max="38" width="5.54296875" customWidth="1"/>
    <col min="40" max="40" width="10.54296875" customWidth="1"/>
    <col min="42" max="42" width="3" customWidth="1"/>
    <col min="43" max="43" width="28.7265625" customWidth="1"/>
  </cols>
  <sheetData>
    <row r="1" spans="1:43" x14ac:dyDescent="0.35">
      <c r="A1" t="s">
        <v>0</v>
      </c>
    </row>
    <row r="3" spans="1:43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J3" s="1" t="s">
        <v>30</v>
      </c>
      <c r="O3" s="1">
        <v>1</v>
      </c>
      <c r="P3" s="1">
        <v>2</v>
      </c>
      <c r="Q3" s="1">
        <v>3</v>
      </c>
      <c r="R3" s="1">
        <v>4</v>
      </c>
      <c r="T3" s="1">
        <v>1</v>
      </c>
      <c r="U3" s="1">
        <v>2</v>
      </c>
      <c r="V3" s="1">
        <v>3</v>
      </c>
      <c r="W3" s="1">
        <v>4</v>
      </c>
      <c r="Y3" s="1">
        <v>1</v>
      </c>
      <c r="Z3" s="1">
        <v>2</v>
      </c>
      <c r="AA3" s="1">
        <v>3</v>
      </c>
      <c r="AB3" s="1">
        <v>4</v>
      </c>
      <c r="AD3" s="1">
        <v>1</v>
      </c>
      <c r="AE3" s="1">
        <v>2</v>
      </c>
      <c r="AF3" s="1">
        <v>3</v>
      </c>
      <c r="AG3" s="1">
        <v>4</v>
      </c>
      <c r="AI3" s="1">
        <v>1</v>
      </c>
      <c r="AJ3" s="1">
        <v>2</v>
      </c>
      <c r="AK3" s="1">
        <v>3</v>
      </c>
      <c r="AL3" s="1">
        <v>4</v>
      </c>
    </row>
    <row r="4" spans="1:43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H4" s="1" t="s">
        <v>4</v>
      </c>
      <c r="I4" s="1">
        <v>1</v>
      </c>
      <c r="J4" s="24" t="e">
        <f ca="1">KALPHA(KTRANS($B$4:$F$13,I4))</f>
        <v>#NAME?</v>
      </c>
      <c r="L4" t="s">
        <v>34</v>
      </c>
      <c r="M4" s="24" t="e">
        <f ca="1">(COUNTA(B3:F3)-1)*VARP(J4:J8)</f>
        <v>#NAME?</v>
      </c>
      <c r="O4" s="5" t="e">
        <f t="array" aca="1" ref="O4:R13" ca="1">KTRANS($B$4:$F$13,1)</f>
        <v>#NAME?</v>
      </c>
      <c r="P4" s="6" t="e">
        <f ca="1"/>
        <v>#NAME?</v>
      </c>
      <c r="Q4" s="6" t="e">
        <f ca="1"/>
        <v>#NAME?</v>
      </c>
      <c r="R4" s="7" t="e">
        <f ca="1"/>
        <v>#NAME?</v>
      </c>
      <c r="T4" s="5" t="e">
        <f t="array" aca="1" ref="T4:W13" ca="1">KTRANS($B$4:$F$13,2)</f>
        <v>#NAME?</v>
      </c>
      <c r="U4" s="6" t="e">
        <f ca="1"/>
        <v>#NAME?</v>
      </c>
      <c r="V4" s="6" t="e">
        <f ca="1"/>
        <v>#NAME?</v>
      </c>
      <c r="W4" s="7" t="e">
        <f ca="1"/>
        <v>#NAME?</v>
      </c>
      <c r="Y4" s="5" t="e">
        <f t="array" aca="1" ref="Y4:AB13" ca="1">KTRANS($B$4:$F$13,3)</f>
        <v>#NAME?</v>
      </c>
      <c r="Z4" s="6" t="e">
        <f ca="1"/>
        <v>#NAME?</v>
      </c>
      <c r="AA4" s="6" t="e">
        <f ca="1"/>
        <v>#NAME?</v>
      </c>
      <c r="AB4" s="7" t="e">
        <f ca="1"/>
        <v>#NAME?</v>
      </c>
      <c r="AD4" s="5" t="e">
        <f t="array" aca="1" ref="AD4:AG13" ca="1">KTRANS($B$4:$F$13,4)</f>
        <v>#NAME?</v>
      </c>
      <c r="AE4" s="6" t="e">
        <f ca="1"/>
        <v>#NAME?</v>
      </c>
      <c r="AF4" s="6" t="e">
        <f ca="1"/>
        <v>#NAME?</v>
      </c>
      <c r="AG4" s="7" t="e">
        <f ca="1"/>
        <v>#NAME?</v>
      </c>
      <c r="AI4" s="5" t="e">
        <f t="array" aca="1" ref="AI4:AL13" ca="1">KTRANS($B$4:$F$13,5)</f>
        <v>#NAME?</v>
      </c>
      <c r="AJ4" s="6" t="e">
        <f ca="1"/>
        <v>#NAME?</v>
      </c>
      <c r="AK4" s="6" t="e">
        <f ca="1"/>
        <v>#NAME?</v>
      </c>
      <c r="AL4" s="7" t="e">
        <f ca="1"/>
        <v>#NAME?</v>
      </c>
      <c r="AN4" t="s">
        <v>35</v>
      </c>
      <c r="AO4" s="24" t="e">
        <f ca="1">KALPHA(KTRANS(B4:F13))</f>
        <v>#NAME?</v>
      </c>
      <c r="AQ4" t="e">
        <f ca="1">FTEXT(AO4)</f>
        <v>#NAME?</v>
      </c>
    </row>
    <row r="5" spans="1:43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H5" s="1" t="s">
        <v>5</v>
      </c>
      <c r="I5" s="1">
        <v>2</v>
      </c>
      <c r="J5" s="25" t="e">
        <f ca="1">KALPHA(KTRANS($B$4:$F$13,I5))</f>
        <v>#NAME?</v>
      </c>
      <c r="L5" t="s">
        <v>24</v>
      </c>
      <c r="M5" s="27" t="e">
        <f ca="1">SQRT(M4)</f>
        <v>#NAME?</v>
      </c>
      <c r="O5" s="18" t="e">
        <f ca="1"/>
        <v>#NAME?</v>
      </c>
      <c r="P5" s="1" t="e">
        <f ca="1"/>
        <v>#NAME?</v>
      </c>
      <c r="Q5" s="1" t="e">
        <f ca="1"/>
        <v>#NAME?</v>
      </c>
      <c r="R5" s="19" t="e">
        <f ca="1"/>
        <v>#NAME?</v>
      </c>
      <c r="T5" s="18" t="e">
        <f ca="1"/>
        <v>#NAME?</v>
      </c>
      <c r="U5" s="1" t="e">
        <f ca="1"/>
        <v>#NAME?</v>
      </c>
      <c r="V5" s="1" t="e">
        <f ca="1"/>
        <v>#NAME?</v>
      </c>
      <c r="W5" s="19" t="e">
        <f ca="1"/>
        <v>#NAME?</v>
      </c>
      <c r="Y5" s="18" t="e">
        <f ca="1"/>
        <v>#NAME?</v>
      </c>
      <c r="Z5" s="1" t="e">
        <f ca="1"/>
        <v>#NAME?</v>
      </c>
      <c r="AA5" s="1" t="e">
        <f ca="1"/>
        <v>#NAME?</v>
      </c>
      <c r="AB5" s="19" t="e">
        <f ca="1"/>
        <v>#NAME?</v>
      </c>
      <c r="AD5" s="18" t="e">
        <f ca="1"/>
        <v>#NAME?</v>
      </c>
      <c r="AE5" s="1" t="e">
        <f ca="1"/>
        <v>#NAME?</v>
      </c>
      <c r="AF5" s="1" t="e">
        <f ca="1"/>
        <v>#NAME?</v>
      </c>
      <c r="AG5" s="19" t="e">
        <f ca="1"/>
        <v>#NAME?</v>
      </c>
      <c r="AI5" s="18" t="e">
        <f ca="1"/>
        <v>#NAME?</v>
      </c>
      <c r="AJ5" s="1" t="e">
        <f ca="1"/>
        <v>#NAME?</v>
      </c>
      <c r="AK5" s="1" t="e">
        <f ca="1"/>
        <v>#NAME?</v>
      </c>
      <c r="AL5" s="19" t="e">
        <f ca="1"/>
        <v>#NAME?</v>
      </c>
      <c r="AN5" t="s">
        <v>36</v>
      </c>
      <c r="AO5" s="25">
        <f>'Krip cat'!X15</f>
        <v>7.464289072090792E-2</v>
      </c>
      <c r="AQ5" s="33" t="s">
        <v>37</v>
      </c>
    </row>
    <row r="6" spans="1:43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H6" s="1" t="s">
        <v>6</v>
      </c>
      <c r="I6" s="1">
        <v>3</v>
      </c>
      <c r="J6" s="25" t="e">
        <f ca="1">KALPHA(KTRANS($B$4:$F$13,I6))</f>
        <v>#NAME?</v>
      </c>
      <c r="O6" s="18" t="e">
        <f ca="1"/>
        <v>#NAME?</v>
      </c>
      <c r="P6" s="1" t="e">
        <f ca="1"/>
        <v>#NAME?</v>
      </c>
      <c r="Q6" s="1" t="e">
        <f ca="1"/>
        <v>#NAME?</v>
      </c>
      <c r="R6" s="19" t="e">
        <f ca="1"/>
        <v>#NAME?</v>
      </c>
      <c r="T6" s="18" t="e">
        <f ca="1"/>
        <v>#NAME?</v>
      </c>
      <c r="U6" s="1" t="e">
        <f ca="1"/>
        <v>#NAME?</v>
      </c>
      <c r="V6" s="1" t="e">
        <f ca="1"/>
        <v>#NAME?</v>
      </c>
      <c r="W6" s="19" t="e">
        <f ca="1"/>
        <v>#NAME?</v>
      </c>
      <c r="Y6" s="18" t="e">
        <f ca="1"/>
        <v>#NAME?</v>
      </c>
      <c r="Z6" s="1" t="e">
        <f ca="1"/>
        <v>#NAME?</v>
      </c>
      <c r="AA6" s="1" t="e">
        <f ca="1"/>
        <v>#NAME?</v>
      </c>
      <c r="AB6" s="19" t="e">
        <f ca="1"/>
        <v>#NAME?</v>
      </c>
      <c r="AD6" s="18" t="e">
        <f ca="1"/>
        <v>#NAME?</v>
      </c>
      <c r="AE6" s="1" t="e">
        <f ca="1"/>
        <v>#NAME?</v>
      </c>
      <c r="AF6" s="1" t="e">
        <f ca="1"/>
        <v>#NAME?</v>
      </c>
      <c r="AG6" s="19" t="e">
        <f ca="1"/>
        <v>#NAME?</v>
      </c>
      <c r="AI6" s="18" t="e">
        <f ca="1"/>
        <v>#NAME?</v>
      </c>
      <c r="AJ6" s="1" t="e">
        <f ca="1"/>
        <v>#NAME?</v>
      </c>
      <c r="AK6" s="1" t="e">
        <f ca="1"/>
        <v>#NAME?</v>
      </c>
      <c r="AL6" s="19" t="e">
        <f ca="1"/>
        <v>#NAME?</v>
      </c>
      <c r="AN6" t="s">
        <v>38</v>
      </c>
      <c r="AO6" s="25" t="e">
        <f ca="1">M5</f>
        <v>#NAME?</v>
      </c>
      <c r="AQ6" t="e">
        <f ca="1">FTEXT(AO6)</f>
        <v>#NAME?</v>
      </c>
    </row>
    <row r="7" spans="1:43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H7" s="1" t="s">
        <v>7</v>
      </c>
      <c r="I7" s="1">
        <v>4</v>
      </c>
      <c r="J7" s="25" t="e">
        <f ca="1">KALPHA(KTRANS($B$4:$F$13,I7))</f>
        <v>#NAME?</v>
      </c>
      <c r="O7" s="18" t="e">
        <f ca="1"/>
        <v>#NAME?</v>
      </c>
      <c r="P7" s="1" t="e">
        <f ca="1"/>
        <v>#NAME?</v>
      </c>
      <c r="Q7" s="1" t="e">
        <f ca="1"/>
        <v>#NAME?</v>
      </c>
      <c r="R7" s="19" t="e">
        <f ca="1"/>
        <v>#NAME?</v>
      </c>
      <c r="T7" s="18" t="e">
        <f ca="1"/>
        <v>#NAME?</v>
      </c>
      <c r="U7" s="1" t="e">
        <f ca="1"/>
        <v>#NAME?</v>
      </c>
      <c r="V7" s="1" t="e">
        <f ca="1"/>
        <v>#NAME?</v>
      </c>
      <c r="W7" s="19" t="e">
        <f ca="1"/>
        <v>#NAME?</v>
      </c>
      <c r="Y7" s="18" t="e">
        <f ca="1"/>
        <v>#NAME?</v>
      </c>
      <c r="Z7" s="1" t="e">
        <f ca="1"/>
        <v>#NAME?</v>
      </c>
      <c r="AA7" s="1" t="e">
        <f ca="1"/>
        <v>#NAME?</v>
      </c>
      <c r="AB7" s="19" t="e">
        <f ca="1"/>
        <v>#NAME?</v>
      </c>
      <c r="AD7" s="18" t="e">
        <f ca="1"/>
        <v>#NAME?</v>
      </c>
      <c r="AE7" s="1" t="e">
        <f ca="1"/>
        <v>#NAME?</v>
      </c>
      <c r="AF7" s="1" t="e">
        <f ca="1"/>
        <v>#NAME?</v>
      </c>
      <c r="AG7" s="19" t="e">
        <f ca="1"/>
        <v>#NAME?</v>
      </c>
      <c r="AI7" s="18" t="e">
        <f ca="1"/>
        <v>#NAME?</v>
      </c>
      <c r="AJ7" s="1" t="e">
        <f ca="1"/>
        <v>#NAME?</v>
      </c>
      <c r="AK7" s="1" t="e">
        <f ca="1"/>
        <v>#NAME?</v>
      </c>
      <c r="AL7" s="19" t="e">
        <f ca="1"/>
        <v>#NAME?</v>
      </c>
      <c r="AN7" t="s">
        <v>39</v>
      </c>
      <c r="AO7" s="27" t="e">
        <f ca="1">SQRT(AO5^2+AO6^2)</f>
        <v>#NAME?</v>
      </c>
      <c r="AQ7" t="e">
        <f ca="1">FTEXT(AO7)</f>
        <v>#NAME?</v>
      </c>
    </row>
    <row r="8" spans="1:43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H8" s="1" t="s">
        <v>8</v>
      </c>
      <c r="I8" s="1">
        <v>5</v>
      </c>
      <c r="J8" s="27" t="e">
        <f ca="1">KALPHA(KTRANS($B$4:$F$13,I8))</f>
        <v>#NAME?</v>
      </c>
      <c r="O8" s="18" t="e">
        <f ca="1"/>
        <v>#NAME?</v>
      </c>
      <c r="P8" s="1" t="e">
        <f ca="1"/>
        <v>#NAME?</v>
      </c>
      <c r="Q8" s="1" t="e">
        <f ca="1"/>
        <v>#NAME?</v>
      </c>
      <c r="R8" s="19" t="e">
        <f ca="1"/>
        <v>#NAME?</v>
      </c>
      <c r="T8" s="18" t="e">
        <f ca="1"/>
        <v>#NAME?</v>
      </c>
      <c r="U8" s="1" t="e">
        <f ca="1"/>
        <v>#NAME?</v>
      </c>
      <c r="V8" s="1" t="e">
        <f ca="1"/>
        <v>#NAME?</v>
      </c>
      <c r="W8" s="19" t="e">
        <f ca="1"/>
        <v>#NAME?</v>
      </c>
      <c r="Y8" s="18" t="e">
        <f ca="1"/>
        <v>#NAME?</v>
      </c>
      <c r="Z8" s="1" t="e">
        <f ca="1"/>
        <v>#NAME?</v>
      </c>
      <c r="AA8" s="1" t="e">
        <f ca="1"/>
        <v>#NAME?</v>
      </c>
      <c r="AB8" s="19" t="e">
        <f ca="1"/>
        <v>#NAME?</v>
      </c>
      <c r="AD8" s="18" t="e">
        <f ca="1"/>
        <v>#NAME?</v>
      </c>
      <c r="AE8" s="1" t="e">
        <f ca="1"/>
        <v>#NAME?</v>
      </c>
      <c r="AF8" s="1" t="e">
        <f ca="1"/>
        <v>#NAME?</v>
      </c>
      <c r="AG8" s="19" t="e">
        <f ca="1"/>
        <v>#NAME?</v>
      </c>
      <c r="AI8" s="18" t="e">
        <f ca="1"/>
        <v>#NAME?</v>
      </c>
      <c r="AJ8" s="1" t="e">
        <f ca="1"/>
        <v>#NAME?</v>
      </c>
      <c r="AK8" s="1" t="e">
        <f ca="1"/>
        <v>#NAME?</v>
      </c>
      <c r="AL8" s="19" t="e">
        <f ca="1"/>
        <v>#NAME?</v>
      </c>
      <c r="AQ8" t="e">
        <f ca="1">FTEXT(AO8)</f>
        <v>#NAME?</v>
      </c>
    </row>
    <row r="9" spans="1:43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O9" s="18" t="e">
        <f ca="1"/>
        <v>#NAME?</v>
      </c>
      <c r="P9" s="1" t="e">
        <f ca="1"/>
        <v>#NAME?</v>
      </c>
      <c r="Q9" s="1" t="e">
        <f ca="1"/>
        <v>#NAME?</v>
      </c>
      <c r="R9" s="19" t="e">
        <f ca="1"/>
        <v>#NAME?</v>
      </c>
      <c r="T9" s="18" t="e">
        <f ca="1"/>
        <v>#NAME?</v>
      </c>
      <c r="U9" s="1" t="e">
        <f ca="1"/>
        <v>#NAME?</v>
      </c>
      <c r="V9" s="1" t="e">
        <f ca="1"/>
        <v>#NAME?</v>
      </c>
      <c r="W9" s="19" t="e">
        <f ca="1"/>
        <v>#NAME?</v>
      </c>
      <c r="Y9" s="18" t="e">
        <f ca="1"/>
        <v>#NAME?</v>
      </c>
      <c r="Z9" s="1" t="e">
        <f ca="1"/>
        <v>#NAME?</v>
      </c>
      <c r="AA9" s="1" t="e">
        <f ca="1"/>
        <v>#NAME?</v>
      </c>
      <c r="AB9" s="19" t="e">
        <f ca="1"/>
        <v>#NAME?</v>
      </c>
      <c r="AD9" s="18" t="e">
        <f ca="1"/>
        <v>#NAME?</v>
      </c>
      <c r="AE9" s="1" t="e">
        <f ca="1"/>
        <v>#NAME?</v>
      </c>
      <c r="AF9" s="1" t="e">
        <f ca="1"/>
        <v>#NAME?</v>
      </c>
      <c r="AG9" s="19" t="e">
        <f ca="1"/>
        <v>#NAME?</v>
      </c>
      <c r="AI9" s="18" t="e">
        <f ca="1"/>
        <v>#NAME?</v>
      </c>
      <c r="AJ9" s="1" t="e">
        <f ca="1"/>
        <v>#NAME?</v>
      </c>
      <c r="AK9" s="1" t="e">
        <f ca="1"/>
        <v>#NAME?</v>
      </c>
      <c r="AL9" s="19" t="e">
        <f ca="1"/>
        <v>#NAME?</v>
      </c>
      <c r="AN9" t="s">
        <v>19</v>
      </c>
      <c r="AO9" s="24">
        <f>A11</f>
        <v>8</v>
      </c>
      <c r="AQ9" s="33" t="s">
        <v>40</v>
      </c>
    </row>
    <row r="10" spans="1:43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O10" s="18" t="e">
        <f ca="1"/>
        <v>#NAME?</v>
      </c>
      <c r="P10" s="1" t="e">
        <f ca="1"/>
        <v>#NAME?</v>
      </c>
      <c r="Q10" s="1" t="e">
        <f ca="1"/>
        <v>#NAME?</v>
      </c>
      <c r="R10" s="19" t="e">
        <f ca="1"/>
        <v>#NAME?</v>
      </c>
      <c r="T10" s="18" t="e">
        <f ca="1"/>
        <v>#NAME?</v>
      </c>
      <c r="U10" s="1" t="e">
        <f ca="1"/>
        <v>#NAME?</v>
      </c>
      <c r="V10" s="1" t="e">
        <f ca="1"/>
        <v>#NAME?</v>
      </c>
      <c r="W10" s="19" t="e">
        <f ca="1"/>
        <v>#NAME?</v>
      </c>
      <c r="Y10" s="18" t="e">
        <f ca="1"/>
        <v>#NAME?</v>
      </c>
      <c r="Z10" s="1" t="e">
        <f ca="1"/>
        <v>#NAME?</v>
      </c>
      <c r="AA10" s="1" t="e">
        <f ca="1"/>
        <v>#NAME?</v>
      </c>
      <c r="AB10" s="19" t="e">
        <f ca="1"/>
        <v>#NAME?</v>
      </c>
      <c r="AD10" s="18" t="e">
        <f ca="1"/>
        <v>#NAME?</v>
      </c>
      <c r="AE10" s="1" t="e">
        <f ca="1"/>
        <v>#NAME?</v>
      </c>
      <c r="AF10" s="1" t="e">
        <f ca="1"/>
        <v>#NAME?</v>
      </c>
      <c r="AG10" s="19" t="e">
        <f ca="1"/>
        <v>#NAME?</v>
      </c>
      <c r="AI10" s="18" t="e">
        <f ca="1"/>
        <v>#NAME?</v>
      </c>
      <c r="AJ10" s="1" t="e">
        <f ca="1"/>
        <v>#NAME?</v>
      </c>
      <c r="AK10" s="1" t="e">
        <f ca="1"/>
        <v>#NAME?</v>
      </c>
      <c r="AL10" s="19" t="e">
        <f ca="1"/>
        <v>#NAME?</v>
      </c>
      <c r="AN10" s="26" t="s">
        <v>13</v>
      </c>
      <c r="AO10" s="25">
        <v>0.05</v>
      </c>
    </row>
    <row r="11" spans="1:43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O11" s="20" t="e">
        <f ca="1"/>
        <v>#NAME?</v>
      </c>
      <c r="P11" s="21" t="e">
        <f ca="1"/>
        <v>#NAME?</v>
      </c>
      <c r="Q11" s="21" t="e">
        <f ca="1"/>
        <v>#NAME?</v>
      </c>
      <c r="R11" s="22" t="e">
        <f ca="1"/>
        <v>#NAME?</v>
      </c>
      <c r="T11" s="20" t="e">
        <f ca="1"/>
        <v>#NAME?</v>
      </c>
      <c r="U11" s="21" t="e">
        <f ca="1"/>
        <v>#NAME?</v>
      </c>
      <c r="V11" s="21" t="e">
        <f ca="1"/>
        <v>#NAME?</v>
      </c>
      <c r="W11" s="22" t="e">
        <f ca="1"/>
        <v>#NAME?</v>
      </c>
      <c r="Y11" s="20" t="e">
        <f ca="1"/>
        <v>#NAME?</v>
      </c>
      <c r="Z11" s="21" t="e">
        <f ca="1"/>
        <v>#NAME?</v>
      </c>
      <c r="AA11" s="21" t="e">
        <f ca="1"/>
        <v>#NAME?</v>
      </c>
      <c r="AB11" s="22" t="e">
        <f ca="1"/>
        <v>#NAME?</v>
      </c>
      <c r="AD11" s="20" t="e">
        <f ca="1"/>
        <v>#NAME?</v>
      </c>
      <c r="AE11" s="21" t="e">
        <f ca="1"/>
        <v>#NAME?</v>
      </c>
      <c r="AF11" s="21" t="e">
        <f ca="1"/>
        <v>#NAME?</v>
      </c>
      <c r="AG11" s="22" t="e">
        <f ca="1"/>
        <v>#NAME?</v>
      </c>
      <c r="AI11" s="20" t="e">
        <f ca="1"/>
        <v>#NAME?</v>
      </c>
      <c r="AJ11" s="21" t="e">
        <f ca="1"/>
        <v>#NAME?</v>
      </c>
      <c r="AK11" s="21" t="e">
        <f ca="1"/>
        <v>#NAME?</v>
      </c>
      <c r="AL11" s="22" t="e">
        <f ca="1"/>
        <v>#NAME?</v>
      </c>
      <c r="AN11" s="26" t="s">
        <v>26</v>
      </c>
      <c r="AO11" s="25" t="e">
        <f ca="1">AO4-AO7*TINV(AO10,AO9-1)</f>
        <v>#NAME?</v>
      </c>
      <c r="AQ11" t="e">
        <f ca="1">FTEXT(AO11)</f>
        <v>#NAME?</v>
      </c>
    </row>
    <row r="12" spans="1:43" x14ac:dyDescent="0.35">
      <c r="A12" s="1">
        <v>9</v>
      </c>
      <c r="B12" s="18"/>
      <c r="C12" s="1"/>
      <c r="D12" s="1"/>
      <c r="E12" s="1"/>
      <c r="F12" s="19"/>
      <c r="O12" s="1" t="e">
        <f ca="1"/>
        <v>#NAME?</v>
      </c>
      <c r="P12" s="1" t="e">
        <f ca="1"/>
        <v>#NAME?</v>
      </c>
      <c r="Q12" s="1" t="e">
        <f ca="1"/>
        <v>#NAME?</v>
      </c>
      <c r="R12" s="1" t="e">
        <f ca="1"/>
        <v>#NAME?</v>
      </c>
      <c r="T12" s="1" t="e">
        <f ca="1"/>
        <v>#NAME?</v>
      </c>
      <c r="U12" s="1" t="e">
        <f ca="1"/>
        <v>#NAME?</v>
      </c>
      <c r="V12" s="1" t="e">
        <f ca="1"/>
        <v>#NAME?</v>
      </c>
      <c r="W12" s="1" t="e">
        <f ca="1"/>
        <v>#NAME?</v>
      </c>
      <c r="Y12" s="1" t="e">
        <f ca="1"/>
        <v>#NAME?</v>
      </c>
      <c r="Z12" s="1" t="e">
        <f ca="1"/>
        <v>#NAME?</v>
      </c>
      <c r="AA12" s="1" t="e">
        <f ca="1"/>
        <v>#NAME?</v>
      </c>
      <c r="AB12" s="1" t="e">
        <f ca="1"/>
        <v>#NAME?</v>
      </c>
      <c r="AD12" s="1" t="e">
        <f ca="1"/>
        <v>#NAME?</v>
      </c>
      <c r="AE12" s="1" t="e">
        <f ca="1"/>
        <v>#NAME?</v>
      </c>
      <c r="AF12" s="1" t="e">
        <f ca="1"/>
        <v>#NAME?</v>
      </c>
      <c r="AG12" s="1" t="e">
        <f ca="1"/>
        <v>#NAME?</v>
      </c>
      <c r="AI12" s="1" t="e">
        <f ca="1"/>
        <v>#NAME?</v>
      </c>
      <c r="AJ12" s="1" t="e">
        <f ca="1"/>
        <v>#NAME?</v>
      </c>
      <c r="AK12" s="1" t="e">
        <f ca="1"/>
        <v>#NAME?</v>
      </c>
      <c r="AL12" s="1" t="e">
        <f ca="1"/>
        <v>#NAME?</v>
      </c>
      <c r="AN12" s="26" t="s">
        <v>28</v>
      </c>
      <c r="AO12" s="27" t="e">
        <f ca="1">AO4+AO7*TINV(AO10,AO9-1)</f>
        <v>#NAME?</v>
      </c>
      <c r="AQ12" t="e">
        <f ca="1">FTEXT(AO12)</f>
        <v>#NAME?</v>
      </c>
    </row>
    <row r="13" spans="1:43" x14ac:dyDescent="0.35">
      <c r="A13" s="1">
        <v>10</v>
      </c>
      <c r="B13" s="20"/>
      <c r="C13" s="21">
        <v>3</v>
      </c>
      <c r="D13" s="21"/>
      <c r="E13" s="21"/>
      <c r="F13" s="22"/>
      <c r="O13" s="1" t="e">
        <f ca="1"/>
        <v>#NAME?</v>
      </c>
      <c r="P13" s="1" t="e">
        <f ca="1"/>
        <v>#NAME?</v>
      </c>
      <c r="Q13" s="1" t="e">
        <f ca="1"/>
        <v>#NAME?</v>
      </c>
      <c r="R13" s="1" t="e">
        <f ca="1"/>
        <v>#NAME?</v>
      </c>
      <c r="T13" s="1" t="e">
        <f ca="1"/>
        <v>#NAME?</v>
      </c>
      <c r="U13" s="1" t="e">
        <f ca="1"/>
        <v>#NAME?</v>
      </c>
      <c r="V13" s="1" t="e">
        <f ca="1"/>
        <v>#NAME?</v>
      </c>
      <c r="W13" s="1" t="e">
        <f ca="1"/>
        <v>#NAME?</v>
      </c>
      <c r="Y13" s="1" t="e">
        <f ca="1"/>
        <v>#NAME?</v>
      </c>
      <c r="Z13" s="1" t="e">
        <f ca="1"/>
        <v>#NAME?</v>
      </c>
      <c r="AA13" s="1" t="e">
        <f ca="1"/>
        <v>#NAME?</v>
      </c>
      <c r="AB13" s="1" t="e">
        <f ca="1"/>
        <v>#NAME?</v>
      </c>
      <c r="AD13" s="1" t="e">
        <f ca="1"/>
        <v>#NAME?</v>
      </c>
      <c r="AE13" s="1" t="e">
        <f ca="1"/>
        <v>#NAME?</v>
      </c>
      <c r="AF13" s="1" t="e">
        <f ca="1"/>
        <v>#NAME?</v>
      </c>
      <c r="AG13" s="1" t="e">
        <f ca="1"/>
        <v>#NAME?</v>
      </c>
      <c r="AI13" s="1" t="e">
        <f ca="1"/>
        <v>#NAME?</v>
      </c>
      <c r="AJ13" s="1" t="e">
        <f ca="1"/>
        <v>#NAME?</v>
      </c>
      <c r="AK13" s="1" t="e">
        <f ca="1"/>
        <v>#NAME?</v>
      </c>
      <c r="AL13" s="1" t="e">
        <f ca="1"/>
        <v>#NAME?</v>
      </c>
    </row>
    <row r="14" spans="1:43" x14ac:dyDescent="0.35">
      <c r="A14" s="1"/>
      <c r="B14" s="1"/>
      <c r="C14" s="1"/>
      <c r="D14" s="1"/>
      <c r="E14" s="1"/>
      <c r="F14" s="1"/>
    </row>
    <row r="15" spans="1:43" x14ac:dyDescent="0.35">
      <c r="P15" s="34" t="e">
        <f ca="1">KALPHA(O4:R11)</f>
        <v>#NAME?</v>
      </c>
      <c r="Q15" s="34"/>
      <c r="U15" s="34" t="e">
        <f ca="1">KALPHA(T4:W11)</f>
        <v>#NAME?</v>
      </c>
      <c r="V15" s="34"/>
      <c r="Z15" s="34" t="e">
        <f ca="1">KALPHA(Y4:AB11)</f>
        <v>#NAME?</v>
      </c>
      <c r="AA15" s="34"/>
      <c r="AE15" s="34" t="e">
        <f ca="1">KALPHA(AD4:AG11)</f>
        <v>#NAME?</v>
      </c>
      <c r="AF15" s="34"/>
      <c r="AJ15" s="34" t="e">
        <f ca="1">KALPHA(AI4:AL11)</f>
        <v>#NAME?</v>
      </c>
      <c r="AK15" s="34"/>
    </row>
  </sheetData>
  <mergeCells count="5">
    <mergeCell ref="P15:Q15"/>
    <mergeCell ref="U15:V15"/>
    <mergeCell ref="Z15:AA15"/>
    <mergeCell ref="AE15:AF15"/>
    <mergeCell ref="AJ15:AK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2B6D-3E72-4E4A-A30E-7ACFA050CE3E}">
  <sheetPr codeName="Sheet21"/>
  <dimension ref="A1:AA27"/>
  <sheetViews>
    <sheetView workbookViewId="0"/>
  </sheetViews>
  <sheetFormatPr defaultRowHeight="14.5" x14ac:dyDescent="0.35"/>
  <cols>
    <col min="1" max="1" width="6" customWidth="1"/>
    <col min="7" max="7" width="4.1796875" customWidth="1"/>
    <col min="8" max="8" width="5.26953125" customWidth="1"/>
    <col min="14" max="14" width="4.1796875" customWidth="1"/>
    <col min="15" max="18" width="9.1796875" customWidth="1"/>
    <col min="19" max="19" width="3.7265625" customWidth="1"/>
    <col min="22" max="22" width="4.1796875" customWidth="1"/>
    <col min="23" max="25" width="9.1796875" customWidth="1"/>
  </cols>
  <sheetData>
    <row r="1" spans="1:26" x14ac:dyDescent="0.35">
      <c r="A1" t="s">
        <v>0</v>
      </c>
      <c r="H1" t="s">
        <v>1</v>
      </c>
      <c r="N1" t="s">
        <v>2</v>
      </c>
    </row>
    <row r="3" spans="1:26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  <c r="Z3" s="3" t="s">
        <v>14</v>
      </c>
    </row>
    <row r="4" spans="1:26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1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1">MMULT(I4:L11,O15:R18)</f>
        <v>2.3333333333333335</v>
      </c>
      <c r="P4" s="9">
        <v>3.166666666666667</v>
      </c>
      <c r="Q4" s="9">
        <v>3.166666666666667</v>
      </c>
      <c r="R4" s="10">
        <v>2.3333333333333335</v>
      </c>
      <c r="T4" s="8">
        <f>SUM(I4:L4)</f>
        <v>4</v>
      </c>
      <c r="U4" s="10">
        <f t="shared" ref="U4:U11" si="1">SUMPRODUCT(I4:L4,O4:R4-1)/($U$15*(T4-1))</f>
        <v>0.54901960784313741</v>
      </c>
      <c r="V4" s="2"/>
      <c r="W4" s="8">
        <f>(U4-$U$17*(T4/$U$15-1))</f>
        <v>0.59930711038740769</v>
      </c>
      <c r="X4" s="9">
        <f>SUMPRODUCT(I4:L4,$O$22:$R$22)/$U$15-$U$18*(T4/$U$15-1)</f>
        <v>0.70091254494877531</v>
      </c>
      <c r="Y4" s="9">
        <f t="shared" ref="Y4:Y11" si="2">(W4-$U$18)/(1-$U$18)</f>
        <v>-0.42816335167160369</v>
      </c>
      <c r="Z4" s="10">
        <f>Y4-2*(1-$U$19)*(X4-$U$18)/(1-$U$18)</f>
        <v>-0.35987261215753774</v>
      </c>
    </row>
    <row r="5" spans="1:26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I11" si="3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3</v>
      </c>
      <c r="P5">
        <v>3.8333333333333335</v>
      </c>
      <c r="Q5">
        <v>3.5</v>
      </c>
      <c r="R5" s="12">
        <v>2.3333333333333335</v>
      </c>
      <c r="T5" s="11">
        <f t="shared" ref="T5:T11" si="4">SUM(I5:L5)</f>
        <v>4</v>
      </c>
      <c r="U5" s="12">
        <f t="shared" si="1"/>
        <v>0.86274509803921573</v>
      </c>
      <c r="V5" s="2"/>
      <c r="W5" s="11">
        <f t="shared" ref="W5:W11" si="5">(U5-$U$17*(T5/$U$15-1))</f>
        <v>0.91303260058348601</v>
      </c>
      <c r="X5">
        <f t="shared" ref="X5:X11" si="6">SUMPRODUCT(I5:L5,$O$22:$R$22)/$U$15-$U$18*(T5/$U$15-1)</f>
        <v>0.7908779428726509</v>
      </c>
      <c r="Y5">
        <f t="shared" si="2"/>
        <v>0.69002780968502508</v>
      </c>
      <c r="Z5" s="12">
        <f t="shared" ref="Z5:Z11" si="7">Y5-2*(1-$U$19)*(X5-$U$18)/(1-$U$18)</f>
        <v>0.42662067155934347</v>
      </c>
    </row>
    <row r="6" spans="1:26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3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4.666666666666667</v>
      </c>
      <c r="P6">
        <v>4.5</v>
      </c>
      <c r="Q6">
        <v>3.166666666666667</v>
      </c>
      <c r="R6" s="12">
        <v>1</v>
      </c>
      <c r="T6" s="11">
        <f t="shared" si="4"/>
        <v>5</v>
      </c>
      <c r="U6" s="12">
        <f t="shared" si="1"/>
        <v>1.0588235294117647</v>
      </c>
      <c r="V6" s="2"/>
      <c r="W6" s="11">
        <f t="shared" si="5"/>
        <v>0.90796102177895377</v>
      </c>
      <c r="X6">
        <f t="shared" si="6"/>
        <v>0.61929235361964863</v>
      </c>
      <c r="Y6">
        <f t="shared" si="2"/>
        <v>0.67195151441871692</v>
      </c>
      <c r="Z6" s="12">
        <f t="shared" si="7"/>
        <v>1.0411717764068515</v>
      </c>
    </row>
    <row r="7" spans="1:26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3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1.3333333333333335</v>
      </c>
      <c r="P7">
        <v>3.3333333333333335</v>
      </c>
      <c r="Q7">
        <v>4.3333333333333339</v>
      </c>
      <c r="R7" s="12">
        <v>4.3333333333333339</v>
      </c>
      <c r="T7" s="11">
        <f t="shared" si="4"/>
        <v>5</v>
      </c>
      <c r="U7" s="12">
        <f t="shared" si="1"/>
        <v>0.92156862745098056</v>
      </c>
      <c r="V7" s="2"/>
      <c r="W7" s="11">
        <f t="shared" si="5"/>
        <v>0.77070611981816961</v>
      </c>
      <c r="X7">
        <f t="shared" si="6"/>
        <v>0.71271795915598091</v>
      </c>
      <c r="Y7">
        <f t="shared" si="2"/>
        <v>0.18274288132519226</v>
      </c>
      <c r="Z7" s="12">
        <f t="shared" si="7"/>
        <v>0.20750765499512766</v>
      </c>
    </row>
    <row r="8" spans="1:26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3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1.5</v>
      </c>
      <c r="P8">
        <v>3</v>
      </c>
      <c r="Q8">
        <v>3.8333333333333335</v>
      </c>
      <c r="R8" s="12">
        <v>3.5</v>
      </c>
      <c r="T8" s="11">
        <f t="shared" si="4"/>
        <v>4</v>
      </c>
      <c r="U8" s="12">
        <f t="shared" si="1"/>
        <v>0.86274509803921573</v>
      </c>
      <c r="V8" s="2"/>
      <c r="W8" s="11">
        <f t="shared" si="5"/>
        <v>0.91303260058348601</v>
      </c>
      <c r="X8">
        <f t="shared" si="6"/>
        <v>0.78049732003528072</v>
      </c>
      <c r="Y8">
        <f t="shared" si="2"/>
        <v>0.69002780968502508</v>
      </c>
      <c r="Z8" s="12">
        <f t="shared" si="7"/>
        <v>0.46489350359469861</v>
      </c>
    </row>
    <row r="9" spans="1:26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3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2.8333333333333335</v>
      </c>
      <c r="P9">
        <v>2.666666666666667</v>
      </c>
      <c r="Q9">
        <v>1.8333333333333335</v>
      </c>
      <c r="R9" s="12">
        <v>0.5</v>
      </c>
      <c r="T9" s="11">
        <f t="shared" si="4"/>
        <v>3</v>
      </c>
      <c r="U9" s="12">
        <f t="shared" si="1"/>
        <v>0.62745098039215697</v>
      </c>
      <c r="V9" s="2"/>
      <c r="W9" s="11">
        <f t="shared" si="5"/>
        <v>0.87888849311350847</v>
      </c>
      <c r="X9">
        <f t="shared" si="6"/>
        <v>0.64758463939208899</v>
      </c>
      <c r="Y9">
        <f t="shared" si="2"/>
        <v>0.56833020978175464</v>
      </c>
      <c r="Z9" s="12">
        <f t="shared" si="7"/>
        <v>0.83323824328137186</v>
      </c>
    </row>
    <row r="10" spans="1:26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3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1.5</v>
      </c>
      <c r="P10">
        <v>3</v>
      </c>
      <c r="Q10">
        <v>3.8333333333333335</v>
      </c>
      <c r="R10" s="12">
        <v>3.5</v>
      </c>
      <c r="T10" s="11">
        <f t="shared" si="4"/>
        <v>4</v>
      </c>
      <c r="U10" s="12">
        <f t="shared" si="1"/>
        <v>0.86274509803921573</v>
      </c>
      <c r="V10" s="2"/>
      <c r="W10" s="11">
        <f t="shared" si="5"/>
        <v>0.91303260058348601</v>
      </c>
      <c r="X10">
        <f t="shared" si="6"/>
        <v>0.78049732003528072</v>
      </c>
      <c r="Y10">
        <f t="shared" si="2"/>
        <v>0.69002780968502508</v>
      </c>
      <c r="Z10" s="12">
        <f t="shared" si="7"/>
        <v>0.46489350359469861</v>
      </c>
    </row>
    <row r="11" spans="1:26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3">
        <f t="shared" si="3"/>
        <v>0</v>
      </c>
      <c r="J11" s="14">
        <f t="shared" si="0"/>
        <v>0</v>
      </c>
      <c r="K11" s="14">
        <f t="shared" si="0"/>
        <v>2</v>
      </c>
      <c r="L11" s="15">
        <f t="shared" si="0"/>
        <v>3</v>
      </c>
      <c r="N11" s="1">
        <v>8</v>
      </c>
      <c r="O11" s="13">
        <v>1</v>
      </c>
      <c r="P11" s="14">
        <v>3.166666666666667</v>
      </c>
      <c r="Q11" s="14">
        <v>4.5</v>
      </c>
      <c r="R11" s="15">
        <v>4.666666666666667</v>
      </c>
      <c r="T11" s="13">
        <f t="shared" si="4"/>
        <v>5</v>
      </c>
      <c r="U11" s="15">
        <f t="shared" si="1"/>
        <v>1.0588235294117647</v>
      </c>
      <c r="V11" s="2"/>
      <c r="W11" s="13">
        <f t="shared" si="5"/>
        <v>0.90796102177895377</v>
      </c>
      <c r="X11" s="14">
        <f t="shared" si="6"/>
        <v>0.72309858199335109</v>
      </c>
      <c r="Y11" s="14">
        <f t="shared" si="2"/>
        <v>0.67195151441871692</v>
      </c>
      <c r="Z11" s="15">
        <f t="shared" si="7"/>
        <v>0.65844345605329713</v>
      </c>
    </row>
    <row r="12" spans="1:26" x14ac:dyDescent="0.35">
      <c r="A12" s="1">
        <v>9</v>
      </c>
      <c r="B12" s="18"/>
      <c r="C12" s="1"/>
      <c r="D12" s="1"/>
      <c r="E12" s="1"/>
      <c r="F12" s="19"/>
      <c r="G12" s="1"/>
      <c r="H12" s="1"/>
    </row>
    <row r="13" spans="1:26" x14ac:dyDescent="0.35">
      <c r="A13" s="1">
        <v>10</v>
      </c>
      <c r="B13" s="20"/>
      <c r="C13" s="21">
        <v>3</v>
      </c>
      <c r="D13" s="21"/>
      <c r="E13" s="21"/>
      <c r="F13" s="22"/>
      <c r="G13" s="1"/>
      <c r="N13" s="23" t="s">
        <v>18</v>
      </c>
      <c r="T13" s="23" t="s">
        <v>19</v>
      </c>
      <c r="U13" s="24">
        <f>COUNT(H4:H11)</f>
        <v>8</v>
      </c>
      <c r="X13" t="s">
        <v>20</v>
      </c>
      <c r="Y13" t="s">
        <v>21</v>
      </c>
    </row>
    <row r="14" spans="1:26" x14ac:dyDescent="0.35">
      <c r="A14" s="1"/>
      <c r="B14" s="1"/>
      <c r="C14" s="1"/>
      <c r="D14" s="1"/>
      <c r="E14" s="1"/>
      <c r="F14" s="1"/>
      <c r="G14" s="1"/>
      <c r="O14">
        <v>1</v>
      </c>
      <c r="P14">
        <v>2</v>
      </c>
      <c r="Q14">
        <v>3</v>
      </c>
      <c r="R14">
        <v>4</v>
      </c>
      <c r="T14" s="23" t="s">
        <v>22</v>
      </c>
      <c r="U14" s="25">
        <f>COUNT(I3:L3)</f>
        <v>4</v>
      </c>
      <c r="W14" s="26" t="s">
        <v>13</v>
      </c>
      <c r="X14" s="24">
        <v>0.05</v>
      </c>
      <c r="Y14" s="24">
        <v>0.05</v>
      </c>
    </row>
    <row r="15" spans="1:26" x14ac:dyDescent="0.35">
      <c r="N15" s="1">
        <v>1</v>
      </c>
      <c r="O15" s="8">
        <f>IF(O$14=$N15,1,1-COMBIN(ABS(O$14-$N15)+1,2)/COMBIN($U$14,2))</f>
        <v>1</v>
      </c>
      <c r="P15" s="9">
        <f t="shared" ref="P15:R18" si="8">IF(P$14=$N15,1,1-COMBIN(ABS(P$14-$N15)+1,2)/COMBIN($U$14,2))</f>
        <v>0.83333333333333337</v>
      </c>
      <c r="Q15" s="9">
        <f t="shared" si="8"/>
        <v>0.5</v>
      </c>
      <c r="R15" s="10">
        <f t="shared" si="8"/>
        <v>0</v>
      </c>
      <c r="T15" t="s">
        <v>23</v>
      </c>
      <c r="U15" s="25">
        <f>AVERAGE(T4:T11)</f>
        <v>4.25</v>
      </c>
      <c r="W15" t="s">
        <v>24</v>
      </c>
      <c r="X15" s="25">
        <f t="array" ref="X15">SQRT(SUMSQ(Z4:Z11-U19)/(U13*(U13-1)))</f>
        <v>0.14970884375470961</v>
      </c>
      <c r="Y15" s="25" t="e">
        <f ca="1">SQRT(X15^2+X22^2)</f>
        <v>#NAME?</v>
      </c>
    </row>
    <row r="16" spans="1:26" x14ac:dyDescent="0.35">
      <c r="N16" s="1">
        <v>2</v>
      </c>
      <c r="O16" s="11">
        <f t="shared" ref="O16:O18" si="9">IF(O$14=$N16,1,1-COMBIN(ABS(O$14-$N16)+1,2)/COMBIN($U$14,2))</f>
        <v>0.83333333333333337</v>
      </c>
      <c r="P16">
        <f t="shared" si="8"/>
        <v>1</v>
      </c>
      <c r="Q16">
        <f t="shared" si="8"/>
        <v>0.83333333333333337</v>
      </c>
      <c r="R16" s="12">
        <f t="shared" si="8"/>
        <v>0.5</v>
      </c>
      <c r="T16" t="s">
        <v>25</v>
      </c>
      <c r="U16" s="25">
        <f>1/(U13*U15)</f>
        <v>2.9411764705882353E-2</v>
      </c>
      <c r="W16" t="s">
        <v>26</v>
      </c>
      <c r="X16" s="25">
        <f>U19-X15*TINV(X14,U13-1)</f>
        <v>0.12878003779079839</v>
      </c>
      <c r="Y16" s="25" t="e">
        <f ca="1">U19-Y15*TINV(X14,U13-1)</f>
        <v>#NAME?</v>
      </c>
    </row>
    <row r="17" spans="14:27" x14ac:dyDescent="0.35">
      <c r="N17" s="1">
        <v>3</v>
      </c>
      <c r="O17" s="11">
        <f t="shared" si="9"/>
        <v>0.5</v>
      </c>
      <c r="P17">
        <f t="shared" si="8"/>
        <v>0.83333333333333337</v>
      </c>
      <c r="Q17">
        <f t="shared" si="8"/>
        <v>1</v>
      </c>
      <c r="R17" s="12">
        <f t="shared" si="8"/>
        <v>0.83333333333333337</v>
      </c>
      <c r="T17" s="23" t="s">
        <v>27</v>
      </c>
      <c r="U17" s="25">
        <f>AVERAGE(U4:U11)*(1-U16)+U16</f>
        <v>0.85488754325259519</v>
      </c>
      <c r="W17" t="s">
        <v>28</v>
      </c>
      <c r="X17" s="27">
        <f>MIN(U19+X15*TINV(X14,U13-1),1)</f>
        <v>0.83679036303140109</v>
      </c>
      <c r="Y17" s="27" t="e">
        <f ca="1">MIN(U19+Y15*TINV(X14,U13-1),1)</f>
        <v>#NAME?</v>
      </c>
    </row>
    <row r="18" spans="14:27" x14ac:dyDescent="0.35">
      <c r="N18" s="1">
        <v>4</v>
      </c>
      <c r="O18" s="13">
        <f t="shared" si="9"/>
        <v>0</v>
      </c>
      <c r="P18" s="14">
        <f t="shared" si="8"/>
        <v>0.5</v>
      </c>
      <c r="Q18" s="14">
        <f t="shared" si="8"/>
        <v>0.83333333333333337</v>
      </c>
      <c r="R18" s="15">
        <f t="shared" si="8"/>
        <v>1</v>
      </c>
      <c r="T18" s="23" t="s">
        <v>29</v>
      </c>
      <c r="U18" s="25">
        <f t="array" ref="U18">SUMPRODUCT(MMULT(TRANSPOSE(O20:R20),O20:R20),O15:R18)</f>
        <v>0.71943483275663211</v>
      </c>
    </row>
    <row r="19" spans="14:27" x14ac:dyDescent="0.35">
      <c r="T19" s="23" t="s">
        <v>30</v>
      </c>
      <c r="U19" s="27">
        <f>(U17-U18)/(1-U18)</f>
        <v>0.48278520041109974</v>
      </c>
    </row>
    <row r="20" spans="14:27" x14ac:dyDescent="0.35">
      <c r="N20" s="28" t="s">
        <v>31</v>
      </c>
      <c r="O20" s="29">
        <f>SUM(I4:I11)*$U$16</f>
        <v>0.1764705882352941</v>
      </c>
      <c r="P20" s="30">
        <f>SUM(J4:J11)*$U$16</f>
        <v>0.23529411764705882</v>
      </c>
      <c r="Q20" s="30">
        <f>SUM(K4:K11)*$U$16</f>
        <v>0.3235294117647059</v>
      </c>
      <c r="R20" s="31">
        <f>SUM(L4:L11)*$U$16</f>
        <v>0.26470588235294118</v>
      </c>
    </row>
    <row r="21" spans="14:27" x14ac:dyDescent="0.35">
      <c r="N21" s="1"/>
      <c r="T21" s="23" t="s">
        <v>30</v>
      </c>
      <c r="U21" s="32" t="e">
        <f ca="1">KALPHA(I4:L11,1)</f>
        <v>#NAME?</v>
      </c>
      <c r="W21" t="s">
        <v>32</v>
      </c>
      <c r="Z21" t="e">
        <f t="array" aca="1" ref="Z21:AA27" ca="1">KRIP(B4:F13,TRUE,1)</f>
        <v>#NAME?</v>
      </c>
      <c r="AA21" s="24" t="e">
        <f ca="1"/>
        <v>#NAME?</v>
      </c>
    </row>
    <row r="22" spans="14:27" x14ac:dyDescent="0.35">
      <c r="N22" s="1" t="s">
        <v>33</v>
      </c>
      <c r="O22" s="29">
        <f t="array" ref="O22:R22">MMULT(O20:R20,O15:R18)</f>
        <v>0.53431372549019607</v>
      </c>
      <c r="P22" s="30">
        <v>0.78431372549019607</v>
      </c>
      <c r="Q22" s="30">
        <v>0.82843137254901966</v>
      </c>
      <c r="R22" s="31">
        <v>0.65196078431372562</v>
      </c>
      <c r="W22" t="s">
        <v>24</v>
      </c>
      <c r="X22" s="32" t="e">
        <f ca="1">KRIP_SER(B4:F13,1)</f>
        <v>#NAME?</v>
      </c>
      <c r="Z22" t="e">
        <f ca="1"/>
        <v>#NAME?</v>
      </c>
      <c r="AA22" s="25" t="e">
        <f ca="1"/>
        <v>#NAME?</v>
      </c>
    </row>
    <row r="23" spans="14:27" x14ac:dyDescent="0.35">
      <c r="Z23" t="e">
        <f ca="1"/>
        <v>#NAME?</v>
      </c>
      <c r="AA23" s="25" t="e">
        <f ca="1"/>
        <v>#NAME?</v>
      </c>
    </row>
    <row r="24" spans="14:27" x14ac:dyDescent="0.35">
      <c r="W24" t="e">
        <f t="array" aca="1" ref="W24:X27" ca="1">KRIP_SES(I4:L11,TRUE,1)</f>
        <v>#NAME?</v>
      </c>
      <c r="X24" s="24" t="e">
        <f ca="1"/>
        <v>#NAME?</v>
      </c>
      <c r="Z24" t="e">
        <f ca="1"/>
        <v>#NAME?</v>
      </c>
      <c r="AA24" s="25" t="e">
        <f ca="1"/>
        <v>#NAME?</v>
      </c>
    </row>
    <row r="25" spans="14:27" x14ac:dyDescent="0.35">
      <c r="W25" t="e">
        <f ca="1"/>
        <v>#NAME?</v>
      </c>
      <c r="X25" s="25" t="e">
        <f ca="1"/>
        <v>#NAME?</v>
      </c>
      <c r="Z25" t="e">
        <f ca="1"/>
        <v>#NAME?</v>
      </c>
      <c r="AA25" s="25" t="e">
        <f ca="1"/>
        <v>#NAME?</v>
      </c>
    </row>
    <row r="26" spans="14:27" x14ac:dyDescent="0.35">
      <c r="W26" t="e">
        <f ca="1"/>
        <v>#NAME?</v>
      </c>
      <c r="X26" s="25" t="e">
        <f ca="1"/>
        <v>#NAME?</v>
      </c>
      <c r="Z26" t="e">
        <f ca="1"/>
        <v>#NAME?</v>
      </c>
      <c r="AA26" s="25" t="e">
        <f ca="1"/>
        <v>#NAME?</v>
      </c>
    </row>
    <row r="27" spans="14:27" x14ac:dyDescent="0.35">
      <c r="W27" t="e">
        <f ca="1"/>
        <v>#NAME?</v>
      </c>
      <c r="X27" s="27" t="e">
        <f ca="1"/>
        <v>#NAME?</v>
      </c>
      <c r="Z27" t="e">
        <f ca="1"/>
        <v>#NAME?</v>
      </c>
      <c r="AA27" s="27" t="e">
        <f ca="1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448B-5726-4173-AE10-C17D807AC636}">
  <sheetPr codeName="Sheet22"/>
  <dimension ref="A1:AG27"/>
  <sheetViews>
    <sheetView workbookViewId="0"/>
  </sheetViews>
  <sheetFormatPr defaultRowHeight="14.5" x14ac:dyDescent="0.35"/>
  <cols>
    <col min="1" max="1" width="6" customWidth="1"/>
    <col min="7" max="7" width="4.1796875" customWidth="1"/>
    <col min="8" max="8" width="5.26953125" customWidth="1"/>
    <col min="14" max="14" width="4.1796875" customWidth="1"/>
    <col min="15" max="18" width="9.1796875" customWidth="1"/>
    <col min="19" max="19" width="3.7265625" customWidth="1"/>
    <col min="22" max="22" width="4.1796875" customWidth="1"/>
    <col min="23" max="25" width="9.1796875" customWidth="1"/>
    <col min="29" max="29" width="11.54296875" customWidth="1"/>
    <col min="32" max="32" width="11.1796875" customWidth="1"/>
  </cols>
  <sheetData>
    <row r="1" spans="1:33" x14ac:dyDescent="0.35">
      <c r="A1" t="s">
        <v>0</v>
      </c>
      <c r="H1" t="s">
        <v>1</v>
      </c>
      <c r="N1" t="s">
        <v>2</v>
      </c>
      <c r="AC1" t="s">
        <v>3</v>
      </c>
      <c r="AF1" t="s">
        <v>3</v>
      </c>
    </row>
    <row r="3" spans="1:33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  <c r="Z3" s="3" t="s">
        <v>14</v>
      </c>
      <c r="AC3" t="s">
        <v>15</v>
      </c>
      <c r="AD3" s="4">
        <v>0.05</v>
      </c>
      <c r="AF3" t="s">
        <v>15</v>
      </c>
      <c r="AG3" s="4">
        <v>0.05</v>
      </c>
    </row>
    <row r="4" spans="1:33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1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1">MMULT(I4:L11,O15:R18)</f>
        <v>2.4444444444444446</v>
      </c>
      <c r="P4" s="9">
        <v>3.333333333333333</v>
      </c>
      <c r="Q4" s="9">
        <v>3.3333333333333335</v>
      </c>
      <c r="R4" s="10">
        <v>2.4444444444444446</v>
      </c>
      <c r="T4" s="8">
        <f>SUM(I4:L4)</f>
        <v>4</v>
      </c>
      <c r="U4" s="10">
        <f t="shared" ref="U4:U11" si="1">SUMPRODUCT(I4:L4,O4:R4-1)/($U$15*(T4-1))</f>
        <v>0.59259259259259256</v>
      </c>
      <c r="V4" s="2"/>
      <c r="W4" s="8">
        <f>(U4-$U$17*(T4/$U$15-1))</f>
        <v>0.64482363495186612</v>
      </c>
      <c r="X4" s="9">
        <f>SUMPRODUCT(I4:L4,$O$22:$R$22)/$U$15-$U$18*(T4/$U$15-1)</f>
        <v>0.73647013592057364</v>
      </c>
      <c r="Y4" s="9">
        <f t="shared" ref="Y4:Y11" si="2">(W4-$U$18)/(1-$U$18)</f>
        <v>-0.45139626942685973</v>
      </c>
      <c r="Z4" s="10">
        <f>Y4-2*(1-$U$19)*(X4-$U$18)/(1-$U$18)</f>
        <v>-0.38096814161834086</v>
      </c>
      <c r="AC4" t="s">
        <v>16</v>
      </c>
      <c r="AD4" s="16">
        <v>0</v>
      </c>
      <c r="AF4" t="s">
        <v>16</v>
      </c>
      <c r="AG4" s="17">
        <v>0</v>
      </c>
    </row>
    <row r="5" spans="1:33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I11" si="3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3.2222222222222223</v>
      </c>
      <c r="P5">
        <v>3.8888888888888888</v>
      </c>
      <c r="Q5">
        <v>3.6666666666666665</v>
      </c>
      <c r="R5" s="12">
        <v>2.5555555555555554</v>
      </c>
      <c r="T5" s="11">
        <f t="shared" ref="T5:T11" si="4">SUM(I5:L5)</f>
        <v>4</v>
      </c>
      <c r="U5" s="12">
        <f t="shared" si="1"/>
        <v>0.88888888888888884</v>
      </c>
      <c r="V5" s="2"/>
      <c r="W5" s="11">
        <f t="shared" ref="W5:W11" si="5">(U5-$U$17*(T5/$U$15-1))</f>
        <v>0.9411199312481624</v>
      </c>
      <c r="X5">
        <f t="shared" ref="X5:X11" si="6">SUMPRODUCT(I5:L5,$O$22:$R$22)/$U$15-$U$18*(T5/$U$15-1)</f>
        <v>0.83181807901938176</v>
      </c>
      <c r="Y5">
        <f t="shared" si="2"/>
        <v>0.75939189501409332</v>
      </c>
      <c r="Z5" s="12">
        <f t="shared" ref="Z5:Z11" si="7">Y5-2*(1-$U$19)*(X5-$U$18)/(1-$U$18)</f>
        <v>0.4729390290236733</v>
      </c>
      <c r="AC5" t="s">
        <v>17</v>
      </c>
      <c r="AD5" s="17">
        <v>0</v>
      </c>
    </row>
    <row r="6" spans="1:33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3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4.7777777777777777</v>
      </c>
      <c r="P6">
        <v>4.6666666666666661</v>
      </c>
      <c r="Q6">
        <v>3.4444444444444446</v>
      </c>
      <c r="R6" s="12">
        <v>1.1111111111111112</v>
      </c>
      <c r="T6" s="11">
        <f t="shared" si="4"/>
        <v>5</v>
      </c>
      <c r="U6" s="12">
        <f t="shared" si="1"/>
        <v>1.0980392156862744</v>
      </c>
      <c r="V6" s="2"/>
      <c r="W6" s="11">
        <f t="shared" si="5"/>
        <v>0.94134608860845359</v>
      </c>
      <c r="X6">
        <f t="shared" si="6"/>
        <v>0.65487256032747576</v>
      </c>
      <c r="Y6">
        <f t="shared" si="2"/>
        <v>0.7603160667251968</v>
      </c>
      <c r="Z6" s="12">
        <f t="shared" si="7"/>
        <v>1.1361584795495068</v>
      </c>
      <c r="AF6" t="e">
        <f t="array" aca="1" ref="AF6:AG9" ca="1">KRIP_SES(I4:L11,TRUE,2,,AG3,AG4)</f>
        <v>#NAME?</v>
      </c>
      <c r="AG6" s="4" t="e">
        <f ca="1"/>
        <v>#NAME?</v>
      </c>
    </row>
    <row r="7" spans="1:33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3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1.4444444444444444</v>
      </c>
      <c r="P7">
        <v>3.5555555555555554</v>
      </c>
      <c r="Q7">
        <v>4.5555555555555554</v>
      </c>
      <c r="R7" s="12">
        <v>4.4444444444444446</v>
      </c>
      <c r="T7" s="11">
        <f t="shared" si="4"/>
        <v>5</v>
      </c>
      <c r="U7" s="12">
        <f t="shared" si="1"/>
        <v>0.96732026143790839</v>
      </c>
      <c r="V7" s="2"/>
      <c r="W7" s="11">
        <f t="shared" si="5"/>
        <v>0.8106271343600876</v>
      </c>
      <c r="X7">
        <f t="shared" si="6"/>
        <v>0.7471447633263224</v>
      </c>
      <c r="Y7">
        <f t="shared" si="2"/>
        <v>0.22614481770712935</v>
      </c>
      <c r="Z7" s="12">
        <f t="shared" si="7"/>
        <v>0.25661852685504655</v>
      </c>
      <c r="AC7" t="e">
        <f t="array" aca="1" ref="AC7:AD13" ca="1">KRIP(B4:F13,TRUE,2,,AD3,AD4,AD5)</f>
        <v>#NAME?</v>
      </c>
      <c r="AD7" s="4" t="e">
        <f ca="1"/>
        <v>#NAME?</v>
      </c>
      <c r="AF7" t="e">
        <f ca="1"/>
        <v>#NAME?</v>
      </c>
      <c r="AG7" s="16" t="e">
        <f ca="1"/>
        <v>#NAME?</v>
      </c>
    </row>
    <row r="8" spans="1:33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3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1.6666666666666667</v>
      </c>
      <c r="P8">
        <v>3.2222222222222223</v>
      </c>
      <c r="Q8">
        <v>3.8888888888888888</v>
      </c>
      <c r="R8" s="12">
        <v>3.6666666666666665</v>
      </c>
      <c r="T8" s="11">
        <f t="shared" si="4"/>
        <v>4</v>
      </c>
      <c r="U8" s="12">
        <f t="shared" si="1"/>
        <v>0.88888888888888884</v>
      </c>
      <c r="V8" s="2"/>
      <c r="W8" s="11">
        <f t="shared" si="5"/>
        <v>0.9411199312481624</v>
      </c>
      <c r="X8">
        <f t="shared" si="6"/>
        <v>0.81643937851957393</v>
      </c>
      <c r="Y8">
        <f t="shared" si="2"/>
        <v>0.75939189501409332</v>
      </c>
      <c r="Z8" s="12">
        <f t="shared" si="7"/>
        <v>0.53050047963640568</v>
      </c>
      <c r="AC8" t="e">
        <f ca="1"/>
        <v>#NAME?</v>
      </c>
      <c r="AD8" s="16" t="e">
        <f ca="1"/>
        <v>#NAME?</v>
      </c>
      <c r="AF8" t="e">
        <f ca="1"/>
        <v>#NAME?</v>
      </c>
      <c r="AG8" s="16" t="e">
        <f ca="1"/>
        <v>#NAME?</v>
      </c>
    </row>
    <row r="9" spans="1:33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3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2.8888888888888888</v>
      </c>
      <c r="P9">
        <v>2.7777777777777777</v>
      </c>
      <c r="Q9">
        <v>2</v>
      </c>
      <c r="R9" s="12">
        <v>0.55555555555555558</v>
      </c>
      <c r="T9" s="11">
        <f t="shared" si="4"/>
        <v>3</v>
      </c>
      <c r="U9" s="12">
        <f t="shared" si="1"/>
        <v>0.65359477124183007</v>
      </c>
      <c r="V9" s="2"/>
      <c r="W9" s="11">
        <f t="shared" si="5"/>
        <v>0.91474998303819788</v>
      </c>
      <c r="X9">
        <f t="shared" si="6"/>
        <v>0.68273514711536276</v>
      </c>
      <c r="Y9">
        <f t="shared" si="2"/>
        <v>0.65163347349937573</v>
      </c>
      <c r="Z9" s="12">
        <f t="shared" si="7"/>
        <v>0.92318808168414757</v>
      </c>
      <c r="AC9" t="e">
        <f ca="1"/>
        <v>#NAME?</v>
      </c>
      <c r="AD9" s="16" t="e">
        <f ca="1"/>
        <v>#NAME?</v>
      </c>
      <c r="AF9" t="e">
        <f ca="1"/>
        <v>#NAME?</v>
      </c>
      <c r="AG9" s="17" t="e">
        <f ca="1"/>
        <v>#NAME?</v>
      </c>
    </row>
    <row r="10" spans="1:33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3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1.6666666666666667</v>
      </c>
      <c r="P10">
        <v>3.2222222222222223</v>
      </c>
      <c r="Q10">
        <v>3.8888888888888888</v>
      </c>
      <c r="R10" s="12">
        <v>3.6666666666666665</v>
      </c>
      <c r="T10" s="11">
        <f t="shared" si="4"/>
        <v>4</v>
      </c>
      <c r="U10" s="12">
        <f t="shared" si="1"/>
        <v>0.88888888888888884</v>
      </c>
      <c r="V10" s="2"/>
      <c r="W10" s="11">
        <f t="shared" si="5"/>
        <v>0.9411199312481624</v>
      </c>
      <c r="X10">
        <f t="shared" si="6"/>
        <v>0.81643937851957393</v>
      </c>
      <c r="Y10">
        <f t="shared" si="2"/>
        <v>0.75939189501409332</v>
      </c>
      <c r="Z10" s="12">
        <f t="shared" si="7"/>
        <v>0.53050047963640568</v>
      </c>
      <c r="AC10" t="e">
        <f ca="1"/>
        <v>#NAME?</v>
      </c>
      <c r="AD10" s="16" t="e">
        <f ca="1"/>
        <v>#NAME?</v>
      </c>
    </row>
    <row r="11" spans="1:33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3">
        <f t="shared" si="3"/>
        <v>0</v>
      </c>
      <c r="J11" s="14">
        <f t="shared" si="0"/>
        <v>0</v>
      </c>
      <c r="K11" s="14">
        <f t="shared" si="0"/>
        <v>2</v>
      </c>
      <c r="L11" s="15">
        <f t="shared" si="0"/>
        <v>3</v>
      </c>
      <c r="N11" s="1">
        <v>8</v>
      </c>
      <c r="O11" s="13">
        <v>1.1111111111111112</v>
      </c>
      <c r="P11" s="14">
        <v>3.4444444444444446</v>
      </c>
      <c r="Q11" s="14">
        <v>4.6666666666666661</v>
      </c>
      <c r="R11" s="15">
        <v>4.7777777777777777</v>
      </c>
      <c r="T11" s="13">
        <f t="shared" si="4"/>
        <v>5</v>
      </c>
      <c r="U11" s="15">
        <f t="shared" si="1"/>
        <v>1.0980392156862744</v>
      </c>
      <c r="V11" s="2"/>
      <c r="W11" s="13">
        <f t="shared" si="5"/>
        <v>0.94134608860845359</v>
      </c>
      <c r="X11" s="14">
        <f t="shared" si="6"/>
        <v>0.75637198362620706</v>
      </c>
      <c r="Y11" s="14">
        <f t="shared" si="2"/>
        <v>0.7603160667251968</v>
      </c>
      <c r="Z11" s="15">
        <f t="shared" si="7"/>
        <v>0.75625290550547475</v>
      </c>
      <c r="AC11" t="e">
        <f ca="1"/>
        <v>#NAME?</v>
      </c>
      <c r="AD11" s="16" t="e">
        <f ca="1"/>
        <v>#NAME?</v>
      </c>
    </row>
    <row r="12" spans="1:33" x14ac:dyDescent="0.35">
      <c r="A12" s="1">
        <v>9</v>
      </c>
      <c r="B12" s="18"/>
      <c r="C12" s="1"/>
      <c r="D12" s="1"/>
      <c r="E12" s="1"/>
      <c r="F12" s="19"/>
      <c r="G12" s="1"/>
      <c r="H12" s="1"/>
      <c r="AC12" t="e">
        <f ca="1"/>
        <v>#NAME?</v>
      </c>
      <c r="AD12" s="16" t="e">
        <f ca="1"/>
        <v>#NAME?</v>
      </c>
    </row>
    <row r="13" spans="1:33" x14ac:dyDescent="0.35">
      <c r="A13" s="1">
        <v>10</v>
      </c>
      <c r="B13" s="20"/>
      <c r="C13" s="21">
        <v>3</v>
      </c>
      <c r="D13" s="21"/>
      <c r="E13" s="21"/>
      <c r="F13" s="22"/>
      <c r="G13" s="1"/>
      <c r="N13" s="23" t="s">
        <v>18</v>
      </c>
      <c r="T13" s="23" t="s">
        <v>19</v>
      </c>
      <c r="U13" s="24">
        <f>COUNT(H4:H11)</f>
        <v>8</v>
      </c>
      <c r="X13" t="s">
        <v>20</v>
      </c>
      <c r="Y13" t="s">
        <v>21</v>
      </c>
      <c r="AC13" t="e">
        <f ca="1"/>
        <v>#NAME?</v>
      </c>
      <c r="AD13" s="17" t="e">
        <f ca="1"/>
        <v>#NAME?</v>
      </c>
    </row>
    <row r="14" spans="1:33" x14ac:dyDescent="0.35">
      <c r="A14" s="1"/>
      <c r="B14" s="1"/>
      <c r="C14" s="1"/>
      <c r="D14" s="1"/>
      <c r="E14" s="1"/>
      <c r="F14" s="1"/>
      <c r="G14" s="1"/>
      <c r="O14">
        <v>1</v>
      </c>
      <c r="P14">
        <v>2</v>
      </c>
      <c r="Q14">
        <v>3</v>
      </c>
      <c r="R14">
        <v>4</v>
      </c>
      <c r="T14" s="23" t="s">
        <v>22</v>
      </c>
      <c r="U14" s="25">
        <f>COUNT(I3:L3)</f>
        <v>4</v>
      </c>
      <c r="W14" s="26" t="s">
        <v>13</v>
      </c>
      <c r="X14" s="24">
        <v>0.05</v>
      </c>
      <c r="Y14" s="24">
        <v>0.05</v>
      </c>
    </row>
    <row r="15" spans="1:33" x14ac:dyDescent="0.35">
      <c r="N15" s="1">
        <v>1</v>
      </c>
      <c r="O15" s="8">
        <f>1-(O$14-$N15)^2/($U$14-1)^2</f>
        <v>1</v>
      </c>
      <c r="P15" s="9">
        <f t="shared" ref="P15:R18" si="8">1-(P$14-$N15)^2/($U$14-1)^2</f>
        <v>0.88888888888888884</v>
      </c>
      <c r="Q15" s="9">
        <f t="shared" si="8"/>
        <v>0.55555555555555558</v>
      </c>
      <c r="R15" s="10">
        <f t="shared" si="8"/>
        <v>0</v>
      </c>
      <c r="T15" t="s">
        <v>23</v>
      </c>
      <c r="U15" s="25">
        <f>AVERAGE(T4:T11)</f>
        <v>4.25</v>
      </c>
      <c r="W15" t="s">
        <v>24</v>
      </c>
      <c r="X15" s="25">
        <f t="array" ref="X15">SQRT(SUMSQ(Z4:Z11-U19)/(U13*(U13-1)))</f>
        <v>0.16271060836262871</v>
      </c>
      <c r="Y15" s="25" t="e">
        <f ca="1">SQRT(X15^2+X22^2)</f>
        <v>#NAME?</v>
      </c>
    </row>
    <row r="16" spans="1:33" x14ac:dyDescent="0.35">
      <c r="N16" s="1">
        <v>2</v>
      </c>
      <c r="O16" s="11">
        <f t="shared" ref="O16:O18" si="9">1-(O$14-$N16)^2/($U$14-1)^2</f>
        <v>0.88888888888888884</v>
      </c>
      <c r="P16">
        <f t="shared" si="8"/>
        <v>1</v>
      </c>
      <c r="Q16">
        <f t="shared" si="8"/>
        <v>0.88888888888888884</v>
      </c>
      <c r="R16" s="12">
        <f t="shared" si="8"/>
        <v>0.55555555555555558</v>
      </c>
      <c r="T16" t="s">
        <v>25</v>
      </c>
      <c r="U16" s="25">
        <f>1/(U13*U15)</f>
        <v>2.9411764705882353E-2</v>
      </c>
      <c r="W16" t="s">
        <v>26</v>
      </c>
      <c r="X16" s="25">
        <f>U19-X15*TINV(X14,U13-1)</f>
        <v>0.15727725803676262</v>
      </c>
      <c r="Y16" s="25" t="e">
        <f ca="1">U19-Y15*TINV(X14,U13-1)</f>
        <v>#NAME?</v>
      </c>
    </row>
    <row r="17" spans="14:27" x14ac:dyDescent="0.35">
      <c r="N17" s="1">
        <v>3</v>
      </c>
      <c r="O17" s="11">
        <f t="shared" si="9"/>
        <v>0.55555555555555558</v>
      </c>
      <c r="P17">
        <f t="shared" si="8"/>
        <v>0.88888888888888884</v>
      </c>
      <c r="Q17">
        <f t="shared" si="8"/>
        <v>1</v>
      </c>
      <c r="R17" s="12">
        <f t="shared" si="8"/>
        <v>0.88888888888888884</v>
      </c>
      <c r="T17" s="23" t="s">
        <v>27</v>
      </c>
      <c r="U17" s="25">
        <f>AVERAGE(U4:U11)*(1-U16)+U16</f>
        <v>0.88792772010765075</v>
      </c>
      <c r="W17" t="s">
        <v>28</v>
      </c>
      <c r="X17" s="27">
        <f>MIN(U19+X15*TINV(X14,U13-1),1)</f>
        <v>0.92677615908813793</v>
      </c>
      <c r="Y17" s="27" t="e">
        <f ca="1">MIN(U19+Y15*TINV(X14,U13-1),1)</f>
        <v>#NAME?</v>
      </c>
    </row>
    <row r="18" spans="14:27" x14ac:dyDescent="0.35">
      <c r="N18" s="1">
        <v>4</v>
      </c>
      <c r="O18" s="13">
        <f t="shared" si="9"/>
        <v>0</v>
      </c>
      <c r="P18" s="14">
        <f t="shared" si="8"/>
        <v>0.55555555555555558</v>
      </c>
      <c r="Q18" s="14">
        <f t="shared" si="8"/>
        <v>0.88888888888888884</v>
      </c>
      <c r="R18" s="15">
        <f t="shared" si="8"/>
        <v>1</v>
      </c>
      <c r="T18" s="23" t="s">
        <v>29</v>
      </c>
      <c r="U18" s="25">
        <f t="array" ref="U18">SUMPRODUCT(MMULT(TRANSPOSE(O20:R20),O20:R20),O15:R18)</f>
        <v>0.75528642829680892</v>
      </c>
    </row>
    <row r="19" spans="14:27" x14ac:dyDescent="0.35">
      <c r="T19" s="23" t="s">
        <v>30</v>
      </c>
      <c r="U19" s="27">
        <f>(U17-U18)/(1-U18)</f>
        <v>0.54202670856245028</v>
      </c>
    </row>
    <row r="20" spans="14:27" x14ac:dyDescent="0.35">
      <c r="N20" s="28" t="s">
        <v>31</v>
      </c>
      <c r="O20" s="29">
        <f>SUM(I4:I11)*$U$16</f>
        <v>0.1764705882352941</v>
      </c>
      <c r="P20" s="30">
        <f>SUM(J4:J11)*$U$16</f>
        <v>0.23529411764705882</v>
      </c>
      <c r="Q20" s="30">
        <f>SUM(K4:K11)*$U$16</f>
        <v>0.3235294117647059</v>
      </c>
      <c r="R20" s="31">
        <f>SUM(L4:L11)*$U$16</f>
        <v>0.26470588235294118</v>
      </c>
    </row>
    <row r="21" spans="14:27" x14ac:dyDescent="0.35">
      <c r="N21" s="1"/>
      <c r="T21" s="23" t="s">
        <v>30</v>
      </c>
      <c r="U21" s="32" t="e">
        <f ca="1">KALPHA(I4:L11,2)</f>
        <v>#NAME?</v>
      </c>
      <c r="W21" t="s">
        <v>32</v>
      </c>
      <c r="Z21" t="e">
        <f t="array" aca="1" ref="Z21:AA27" ca="1">KRIP(B4:F13,TRUE,2)</f>
        <v>#NAME?</v>
      </c>
      <c r="AA21" s="24" t="e">
        <f ca="1"/>
        <v>#NAME?</v>
      </c>
    </row>
    <row r="22" spans="14:27" x14ac:dyDescent="0.35">
      <c r="N22" s="1" t="s">
        <v>33</v>
      </c>
      <c r="O22" s="29">
        <f t="array" ref="O22:R22">MMULT(O20:R20,O15:R18)</f>
        <v>0.565359477124183</v>
      </c>
      <c r="P22" s="30">
        <v>0.82679738562091498</v>
      </c>
      <c r="Q22" s="30">
        <v>0.86601307189542487</v>
      </c>
      <c r="R22" s="31">
        <v>0.68300653594771243</v>
      </c>
      <c r="W22" t="s">
        <v>24</v>
      </c>
      <c r="X22" s="32" t="e">
        <f ca="1">KRIP_SER(B4:F13,2)</f>
        <v>#NAME?</v>
      </c>
      <c r="Z22" t="e">
        <f ca="1"/>
        <v>#NAME?</v>
      </c>
      <c r="AA22" s="25" t="e">
        <f ca="1"/>
        <v>#NAME?</v>
      </c>
    </row>
    <row r="23" spans="14:27" x14ac:dyDescent="0.35">
      <c r="Z23" t="e">
        <f ca="1"/>
        <v>#NAME?</v>
      </c>
      <c r="AA23" s="25" t="e">
        <f ca="1"/>
        <v>#NAME?</v>
      </c>
    </row>
    <row r="24" spans="14:27" x14ac:dyDescent="0.35">
      <c r="W24" t="e">
        <f t="array" aca="1" ref="W24:X27" ca="1">KRIP_SES(I4:L11,TRUE,2)</f>
        <v>#NAME?</v>
      </c>
      <c r="X24" s="24" t="e">
        <f ca="1"/>
        <v>#NAME?</v>
      </c>
      <c r="Z24" t="e">
        <f ca="1"/>
        <v>#NAME?</v>
      </c>
      <c r="AA24" s="25" t="e">
        <f ca="1"/>
        <v>#NAME?</v>
      </c>
    </row>
    <row r="25" spans="14:27" x14ac:dyDescent="0.35">
      <c r="W25" t="e">
        <f ca="1"/>
        <v>#NAME?</v>
      </c>
      <c r="X25" s="25" t="e">
        <f ca="1"/>
        <v>#NAME?</v>
      </c>
      <c r="Z25" t="e">
        <f ca="1"/>
        <v>#NAME?</v>
      </c>
      <c r="AA25" s="25" t="e">
        <f ca="1"/>
        <v>#NAME?</v>
      </c>
    </row>
    <row r="26" spans="14:27" x14ac:dyDescent="0.35">
      <c r="W26" t="e">
        <f ca="1"/>
        <v>#NAME?</v>
      </c>
      <c r="X26" s="25" t="e">
        <f ca="1"/>
        <v>#NAME?</v>
      </c>
      <c r="Z26" t="e">
        <f ca="1"/>
        <v>#NAME?</v>
      </c>
      <c r="AA26" s="25" t="e">
        <f ca="1"/>
        <v>#NAME?</v>
      </c>
    </row>
    <row r="27" spans="14:27" x14ac:dyDescent="0.35">
      <c r="W27" t="e">
        <f ca="1"/>
        <v>#NAME?</v>
      </c>
      <c r="X27" s="27" t="e">
        <f ca="1"/>
        <v>#NAME?</v>
      </c>
      <c r="Z27" t="e">
        <f ca="1"/>
        <v>#NAME?</v>
      </c>
      <c r="AA27" s="27" t="e">
        <f ca="1"/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109C-8471-4452-9807-BC3D43D88E92}">
  <sheetPr codeName="Sheet23"/>
  <dimension ref="A1:AA27"/>
  <sheetViews>
    <sheetView workbookViewId="0"/>
  </sheetViews>
  <sheetFormatPr defaultRowHeight="14.5" x14ac:dyDescent="0.35"/>
  <cols>
    <col min="1" max="1" width="6" customWidth="1"/>
    <col min="7" max="7" width="4.1796875" customWidth="1"/>
    <col min="8" max="8" width="5.26953125" customWidth="1"/>
    <col min="14" max="14" width="4.1796875" customWidth="1"/>
    <col min="15" max="18" width="9.1796875" customWidth="1"/>
    <col min="19" max="19" width="3.7265625" customWidth="1"/>
    <col min="22" max="22" width="4.1796875" customWidth="1"/>
    <col min="23" max="25" width="9.1796875" customWidth="1"/>
  </cols>
  <sheetData>
    <row r="1" spans="1:26" x14ac:dyDescent="0.35">
      <c r="A1" t="s">
        <v>0</v>
      </c>
      <c r="H1" t="s">
        <v>1</v>
      </c>
      <c r="N1" t="s">
        <v>2</v>
      </c>
    </row>
    <row r="3" spans="1:26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  <c r="Z3" s="3" t="s">
        <v>14</v>
      </c>
    </row>
    <row r="4" spans="1:26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1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1">MMULT(I4:L11,O15:R18)</f>
        <v>3.278888888888889</v>
      </c>
      <c r="P4" s="9">
        <v>3.7377777777777776</v>
      </c>
      <c r="Q4" s="9">
        <v>3.689591836734694</v>
      </c>
      <c r="R4" s="10">
        <v>3.508480725623583</v>
      </c>
      <c r="T4" s="8">
        <f>SUM(I4:L4)</f>
        <v>4</v>
      </c>
      <c r="U4" s="10">
        <f t="shared" ref="U4:U11" si="1">SUMPRODUCT(I4:L4,O4:R4-1)/($U$15*(T4-1))</f>
        <v>0.80115601796274061</v>
      </c>
      <c r="V4" s="2"/>
      <c r="W4" s="8">
        <f>(U4-$U$17*(T4/$U$15-1))</f>
        <v>0.85730828279024029</v>
      </c>
      <c r="X4" s="9">
        <f>SUMPRODUCT(I4:L4,$O$22:$R$22)/$U$15-$U$18*(T4/$U$15-1)</f>
        <v>0.89571839347042137</v>
      </c>
      <c r="Y4" s="9">
        <f t="shared" ref="Y4:Y11" si="2">(W4-$U$18)/(1-$U$18)</f>
        <v>-0.50465577235516779</v>
      </c>
      <c r="Z4" s="10">
        <f>Y4-2*(1-$U$19)*(X4-$U$18)/(1-$U$18)</f>
        <v>-0.40924023575628937</v>
      </c>
    </row>
    <row r="5" spans="1:26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I11" si="3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3.4166666666666665</v>
      </c>
      <c r="P5">
        <v>3.96</v>
      </c>
      <c r="Q5">
        <v>3.88</v>
      </c>
      <c r="R5" s="12">
        <v>3.6462585034013602</v>
      </c>
      <c r="T5" s="11">
        <f t="shared" ref="T5:T11" si="4">SUM(I5:L5)</f>
        <v>4</v>
      </c>
      <c r="U5" s="12">
        <f t="shared" si="1"/>
        <v>0.92235294117647049</v>
      </c>
      <c r="V5" s="2"/>
      <c r="W5" s="11">
        <f t="shared" ref="W5:W11" si="5">(U5-$U$17*(T5/$U$15-1))</f>
        <v>0.97850520600397017</v>
      </c>
      <c r="X5">
        <f t="shared" ref="X5:X11" si="6">SUMPRODUCT(I5:L5,$O$22:$R$22)/$U$15-$U$18*(T5/$U$15-1)</f>
        <v>0.9368182844071884</v>
      </c>
      <c r="Y5">
        <f t="shared" si="2"/>
        <v>0.77334167326497516</v>
      </c>
      <c r="Z5" s="12">
        <f t="shared" ref="Z5:Z11" si="7">Y5-2*(1-$U$19)*(X5-$U$18)/(1-$U$18)</f>
        <v>0.45369492262149724</v>
      </c>
    </row>
    <row r="6" spans="1:26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3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4.7777777777777777</v>
      </c>
      <c r="P6">
        <v>4.6666666666666661</v>
      </c>
      <c r="Q6">
        <v>4.17</v>
      </c>
      <c r="R6" s="12">
        <v>3.6977777777777776</v>
      </c>
      <c r="T6" s="11">
        <f t="shared" si="4"/>
        <v>5</v>
      </c>
      <c r="U6" s="12">
        <f t="shared" si="1"/>
        <v>1.0980392156862744</v>
      </c>
      <c r="V6" s="2"/>
      <c r="W6" s="11">
        <f t="shared" si="5"/>
        <v>0.92958242120377543</v>
      </c>
      <c r="X6">
        <f t="shared" si="6"/>
        <v>0.84476299862505566</v>
      </c>
      <c r="Y6">
        <f t="shared" si="2"/>
        <v>0.25746063974225408</v>
      </c>
      <c r="Z6" s="12">
        <f t="shared" si="7"/>
        <v>0.86746787597347541</v>
      </c>
    </row>
    <row r="7" spans="1:26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3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3.5588888888888888</v>
      </c>
      <c r="P7">
        <v>4.6266666666666669</v>
      </c>
      <c r="Q7">
        <v>4.8987755102040813</v>
      </c>
      <c r="R7" s="12">
        <v>4.8684807256235825</v>
      </c>
      <c r="T7" s="11">
        <f t="shared" si="4"/>
        <v>5</v>
      </c>
      <c r="U7" s="12">
        <f t="shared" si="1"/>
        <v>1.1253461384553822</v>
      </c>
      <c r="V7" s="2"/>
      <c r="W7" s="11">
        <f t="shared" si="5"/>
        <v>0.95688934397288328</v>
      </c>
      <c r="X7">
        <f t="shared" si="6"/>
        <v>0.92033063744528942</v>
      </c>
      <c r="Y7">
        <f t="shared" si="2"/>
        <v>0.54540670818430248</v>
      </c>
      <c r="Z7" s="12">
        <f t="shared" si="7"/>
        <v>0.39226649328270713</v>
      </c>
    </row>
    <row r="8" spans="1:26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3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2.89</v>
      </c>
      <c r="P8">
        <v>3.7688888888888887</v>
      </c>
      <c r="Q8">
        <v>3.9795918367346941</v>
      </c>
      <c r="R8" s="12">
        <v>3.9387755102040813</v>
      </c>
      <c r="T8" s="11">
        <f t="shared" si="4"/>
        <v>4</v>
      </c>
      <c r="U8" s="12">
        <f t="shared" si="1"/>
        <v>0.93157262905162064</v>
      </c>
      <c r="V8" s="2"/>
      <c r="W8" s="11">
        <f t="shared" si="5"/>
        <v>0.98772489387912032</v>
      </c>
      <c r="X8">
        <f t="shared" si="6"/>
        <v>0.93016966417478164</v>
      </c>
      <c r="Y8">
        <f t="shared" si="2"/>
        <v>0.87056144783860956</v>
      </c>
      <c r="Z8" s="12">
        <f t="shared" si="7"/>
        <v>0.61805822136930133</v>
      </c>
    </row>
    <row r="9" spans="1:26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3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2.8888888888888888</v>
      </c>
      <c r="P9">
        <v>2.7777777777777777</v>
      </c>
      <c r="Q9">
        <v>2.46</v>
      </c>
      <c r="R9" s="12">
        <v>2.1688888888888886</v>
      </c>
      <c r="T9" s="11">
        <f t="shared" si="4"/>
        <v>3</v>
      </c>
      <c r="U9" s="12">
        <f t="shared" si="1"/>
        <v>0.65359477124183007</v>
      </c>
      <c r="V9" s="2"/>
      <c r="W9" s="11">
        <f t="shared" si="5"/>
        <v>0.93435609537932818</v>
      </c>
      <c r="X9">
        <f t="shared" si="6"/>
        <v>0.86231926219161248</v>
      </c>
      <c r="Y9">
        <f t="shared" si="2"/>
        <v>0.30779808429784428</v>
      </c>
      <c r="Z9" s="12">
        <f t="shared" si="7"/>
        <v>0.74050696899387958</v>
      </c>
    </row>
    <row r="10" spans="1:26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3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2.89</v>
      </c>
      <c r="P10">
        <v>3.7688888888888887</v>
      </c>
      <c r="Q10">
        <v>3.9795918367346941</v>
      </c>
      <c r="R10" s="12">
        <v>3.9387755102040813</v>
      </c>
      <c r="T10" s="11">
        <f t="shared" si="4"/>
        <v>4</v>
      </c>
      <c r="U10" s="12">
        <f t="shared" si="1"/>
        <v>0.93157262905162064</v>
      </c>
      <c r="V10" s="2"/>
      <c r="W10" s="11">
        <f t="shared" si="5"/>
        <v>0.98772489387912032</v>
      </c>
      <c r="X10">
        <f t="shared" si="6"/>
        <v>0.93016966417478164</v>
      </c>
      <c r="Y10">
        <f t="shared" si="2"/>
        <v>0.87056144783860956</v>
      </c>
      <c r="Z10" s="12">
        <f t="shared" si="7"/>
        <v>0.61805822136930133</v>
      </c>
    </row>
    <row r="11" spans="1:26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3">
        <f t="shared" si="3"/>
        <v>0</v>
      </c>
      <c r="J11" s="14">
        <f t="shared" si="0"/>
        <v>0</v>
      </c>
      <c r="K11" s="14">
        <f t="shared" si="0"/>
        <v>2</v>
      </c>
      <c r="L11" s="15">
        <f t="shared" si="0"/>
        <v>3</v>
      </c>
      <c r="N11" s="1">
        <v>8</v>
      </c>
      <c r="O11" s="13">
        <v>3.42</v>
      </c>
      <c r="P11" s="14">
        <v>4.586666666666666</v>
      </c>
      <c r="Q11" s="14">
        <v>4.9387755102040813</v>
      </c>
      <c r="R11" s="15">
        <v>4.9591836734693882</v>
      </c>
      <c r="T11" s="13">
        <f t="shared" si="4"/>
        <v>5</v>
      </c>
      <c r="U11" s="15">
        <f t="shared" si="1"/>
        <v>1.1620648259303721</v>
      </c>
      <c r="V11" s="2"/>
      <c r="W11" s="13">
        <f t="shared" si="5"/>
        <v>0.99360803144787313</v>
      </c>
      <c r="X11" s="14">
        <f t="shared" si="6"/>
        <v>0.92104339313580075</v>
      </c>
      <c r="Y11" s="14">
        <f t="shared" si="2"/>
        <v>0.93259796317026467</v>
      </c>
      <c r="Z11" s="15">
        <f t="shared" si="7"/>
        <v>0.77225972412783184</v>
      </c>
    </row>
    <row r="12" spans="1:26" x14ac:dyDescent="0.35">
      <c r="A12" s="1">
        <v>9</v>
      </c>
      <c r="B12" s="18"/>
      <c r="C12" s="1"/>
      <c r="D12" s="1"/>
      <c r="E12" s="1"/>
      <c r="F12" s="19"/>
      <c r="G12" s="1"/>
      <c r="H12" s="1"/>
    </row>
    <row r="13" spans="1:26" x14ac:dyDescent="0.35">
      <c r="A13" s="1">
        <v>10</v>
      </c>
      <c r="B13" s="20"/>
      <c r="C13" s="21">
        <v>3</v>
      </c>
      <c r="D13" s="21"/>
      <c r="E13" s="21"/>
      <c r="F13" s="22"/>
      <c r="G13" s="1"/>
      <c r="N13" s="23" t="s">
        <v>18</v>
      </c>
      <c r="T13" s="23" t="s">
        <v>19</v>
      </c>
      <c r="U13" s="24">
        <f>COUNT(H4:H11)</f>
        <v>8</v>
      </c>
      <c r="X13" t="s">
        <v>20</v>
      </c>
      <c r="Y13" t="s">
        <v>21</v>
      </c>
    </row>
    <row r="14" spans="1:26" x14ac:dyDescent="0.35">
      <c r="A14" s="1"/>
      <c r="B14" s="1"/>
      <c r="C14" s="1"/>
      <c r="D14" s="1"/>
      <c r="E14" s="1"/>
      <c r="F14" s="1"/>
      <c r="G14" s="1"/>
      <c r="O14">
        <v>1</v>
      </c>
      <c r="P14">
        <v>2</v>
      </c>
      <c r="Q14">
        <v>3</v>
      </c>
      <c r="R14">
        <v>4</v>
      </c>
      <c r="T14" s="23" t="s">
        <v>22</v>
      </c>
      <c r="U14" s="25">
        <f>COUNT(I3:L3)</f>
        <v>4</v>
      </c>
      <c r="W14" s="26" t="s">
        <v>13</v>
      </c>
      <c r="X14" s="24">
        <v>0.05</v>
      </c>
      <c r="Y14" s="24">
        <v>0.05</v>
      </c>
    </row>
    <row r="15" spans="1:26" x14ac:dyDescent="0.35">
      <c r="N15" s="1">
        <v>1</v>
      </c>
      <c r="O15" s="8">
        <f>1-((O$14-$N15)/(O$14+$N15))^2</f>
        <v>1</v>
      </c>
      <c r="P15" s="9">
        <f t="shared" ref="P15:R18" si="8">1-((P$14-$N15)/(P$14+$N15))^2</f>
        <v>0.88888888888888884</v>
      </c>
      <c r="Q15" s="9">
        <f t="shared" si="8"/>
        <v>0.75</v>
      </c>
      <c r="R15" s="10">
        <f t="shared" si="8"/>
        <v>0.64</v>
      </c>
      <c r="T15" t="s">
        <v>23</v>
      </c>
      <c r="U15" s="25">
        <f>AVERAGE(T4:T11)</f>
        <v>4.25</v>
      </c>
      <c r="W15" t="s">
        <v>24</v>
      </c>
      <c r="X15" s="25">
        <f t="array" ref="X15">SQRT(SUMSQ(Z4:Z11-U19)/(U13*(U13-1)))</f>
        <v>0.14247042159273818</v>
      </c>
      <c r="Y15" s="25" t="e">
        <f ca="1">SQRT(X15^2+X22^2)</f>
        <v>#NAME?</v>
      </c>
    </row>
    <row r="16" spans="1:26" x14ac:dyDescent="0.35">
      <c r="N16" s="1">
        <v>2</v>
      </c>
      <c r="O16" s="11">
        <f t="shared" ref="O16:O18" si="9">1-((O$14-$N16)/(O$14+$N16))^2</f>
        <v>0.88888888888888884</v>
      </c>
      <c r="P16">
        <f t="shared" si="8"/>
        <v>1</v>
      </c>
      <c r="Q16">
        <f t="shared" si="8"/>
        <v>0.96</v>
      </c>
      <c r="R16" s="12">
        <f t="shared" si="8"/>
        <v>0.88888888888888884</v>
      </c>
      <c r="T16" t="s">
        <v>25</v>
      </c>
      <c r="U16" s="25">
        <f>1/(U13*U15)</f>
        <v>2.9411764705882353E-2</v>
      </c>
      <c r="W16" t="s">
        <v>26</v>
      </c>
      <c r="X16" s="25">
        <f>U19-X15*TINV(X14,U13-1)</f>
        <v>0.18425577396494347</v>
      </c>
      <c r="Y16" s="25" t="e">
        <f ca="1">U19-Y15*TINV(X14,U13-1)</f>
        <v>#NAME?</v>
      </c>
    </row>
    <row r="17" spans="14:27" x14ac:dyDescent="0.35">
      <c r="N17" s="1">
        <v>3</v>
      </c>
      <c r="O17" s="11">
        <f t="shared" si="9"/>
        <v>0.75</v>
      </c>
      <c r="P17">
        <f t="shared" si="8"/>
        <v>0.96</v>
      </c>
      <c r="Q17">
        <f t="shared" si="8"/>
        <v>1</v>
      </c>
      <c r="R17" s="12">
        <f t="shared" si="8"/>
        <v>0.97959183673469385</v>
      </c>
      <c r="T17" s="23" t="s">
        <v>27</v>
      </c>
      <c r="U17" s="25">
        <f>AVERAGE(U4:U11)*(1-U16)+U16</f>
        <v>0.95458850206749379</v>
      </c>
      <c r="W17" t="s">
        <v>28</v>
      </c>
      <c r="X17" s="27">
        <f>MIN(U19+X15*TINV(X14,U13-1),1)</f>
        <v>0.85803380203061752</v>
      </c>
      <c r="Y17" s="27" t="e">
        <f ca="1">MIN(U19+Y15*TINV(X14,U13-1),1)</f>
        <v>#NAME?</v>
      </c>
    </row>
    <row r="18" spans="14:27" x14ac:dyDescent="0.35">
      <c r="N18" s="1">
        <v>4</v>
      </c>
      <c r="O18" s="13">
        <f t="shared" si="9"/>
        <v>0.64</v>
      </c>
      <c r="P18" s="14">
        <f t="shared" si="8"/>
        <v>0.88888888888888884</v>
      </c>
      <c r="Q18" s="14">
        <f t="shared" si="8"/>
        <v>0.97959183673469385</v>
      </c>
      <c r="R18" s="15">
        <f t="shared" si="8"/>
        <v>1</v>
      </c>
      <c r="T18" s="23" t="s">
        <v>29</v>
      </c>
      <c r="U18" s="25">
        <f t="array" ref="U18">SUMPRODUCT(MMULT(TRANSPOSE(O20:R20),O20:R20),O15:R18)</f>
        <v>0.90516653720311657</v>
      </c>
    </row>
    <row r="19" spans="14:27" x14ac:dyDescent="0.35">
      <c r="T19" s="23" t="s">
        <v>30</v>
      </c>
      <c r="U19" s="27">
        <f>(U17-U18)/(1-U18)</f>
        <v>0.52114478799778052</v>
      </c>
    </row>
    <row r="20" spans="14:27" x14ac:dyDescent="0.35">
      <c r="N20" s="28" t="s">
        <v>31</v>
      </c>
      <c r="O20" s="29">
        <f>SUM(I4:I11)*$U$16</f>
        <v>0.1764705882352941</v>
      </c>
      <c r="P20" s="30">
        <f>SUM(J4:J11)*$U$16</f>
        <v>0.23529411764705882</v>
      </c>
      <c r="Q20" s="30">
        <f>SUM(K4:K11)*$U$16</f>
        <v>0.3235294117647059</v>
      </c>
      <c r="R20" s="31">
        <f>SUM(L4:L11)*$U$16</f>
        <v>0.26470588235294118</v>
      </c>
    </row>
    <row r="21" spans="14:27" x14ac:dyDescent="0.35">
      <c r="N21" s="1"/>
      <c r="T21" s="23" t="s">
        <v>41</v>
      </c>
      <c r="U21" s="32" t="e">
        <f ca="1">KALPHA(I4:L11,3)</f>
        <v>#NAME?</v>
      </c>
      <c r="W21" t="s">
        <v>32</v>
      </c>
      <c r="Z21" t="e">
        <f t="array" aca="1" ref="Z21:AA27" ca="1">KRIP(B4:F13,TRUE,3)</f>
        <v>#NAME?</v>
      </c>
      <c r="AA21" s="24" t="e">
        <f ca="1"/>
        <v>#NAME?</v>
      </c>
    </row>
    <row r="22" spans="14:27" x14ac:dyDescent="0.35">
      <c r="N22" s="1" t="s">
        <v>33</v>
      </c>
      <c r="O22" s="29">
        <f t="array" ref="O22:R22">MMULT(O20:R20,O15:R18)</f>
        <v>0.79767973856209151</v>
      </c>
      <c r="P22" s="30">
        <v>0.93803921568627446</v>
      </c>
      <c r="Q22" s="30">
        <v>0.9410684273709482</v>
      </c>
      <c r="R22" s="31">
        <v>0.90372415632919822</v>
      </c>
      <c r="W22" t="s">
        <v>24</v>
      </c>
      <c r="X22" s="32" t="e">
        <f ca="1">KRIP_SER(B4:F13,3)</f>
        <v>#NAME?</v>
      </c>
      <c r="Z22" t="e">
        <f ca="1"/>
        <v>#NAME?</v>
      </c>
      <c r="AA22" s="25" t="e">
        <f ca="1"/>
        <v>#NAME?</v>
      </c>
    </row>
    <row r="23" spans="14:27" x14ac:dyDescent="0.35">
      <c r="Z23" t="e">
        <f ca="1"/>
        <v>#NAME?</v>
      </c>
      <c r="AA23" s="25" t="e">
        <f ca="1"/>
        <v>#NAME?</v>
      </c>
    </row>
    <row r="24" spans="14:27" x14ac:dyDescent="0.35">
      <c r="W24" t="e">
        <f t="array" aca="1" ref="W24:X27" ca="1">KRIP_SES(I4:L11,TRUE,3)</f>
        <v>#NAME?</v>
      </c>
      <c r="X24" s="24" t="e">
        <f ca="1"/>
        <v>#NAME?</v>
      </c>
      <c r="Z24" t="e">
        <f ca="1"/>
        <v>#NAME?</v>
      </c>
      <c r="AA24" s="25" t="e">
        <f ca="1"/>
        <v>#NAME?</v>
      </c>
    </row>
    <row r="25" spans="14:27" x14ac:dyDescent="0.35">
      <c r="W25" t="e">
        <f ca="1"/>
        <v>#NAME?</v>
      </c>
      <c r="X25" s="25" t="e">
        <f ca="1"/>
        <v>#NAME?</v>
      </c>
      <c r="Z25" t="e">
        <f ca="1"/>
        <v>#NAME?</v>
      </c>
      <c r="AA25" s="25" t="e">
        <f ca="1"/>
        <v>#NAME?</v>
      </c>
    </row>
    <row r="26" spans="14:27" x14ac:dyDescent="0.35">
      <c r="W26" t="e">
        <f ca="1"/>
        <v>#NAME?</v>
      </c>
      <c r="X26" s="25" t="e">
        <f ca="1"/>
        <v>#NAME?</v>
      </c>
      <c r="Z26" t="e">
        <f ca="1"/>
        <v>#NAME?</v>
      </c>
      <c r="AA26" s="25" t="e">
        <f ca="1"/>
        <v>#NAME?</v>
      </c>
    </row>
    <row r="27" spans="14:27" x14ac:dyDescent="0.35">
      <c r="W27" t="e">
        <f ca="1"/>
        <v>#NAME?</v>
      </c>
      <c r="X27" s="27" t="e">
        <f ca="1"/>
        <v>#NAME?</v>
      </c>
      <c r="Z27" t="e">
        <f ca="1"/>
        <v>#NAME?</v>
      </c>
      <c r="AA27" s="27" t="e">
        <f ca="1"/>
        <v>#NAME?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D503-0FD9-40E7-B205-5DAA63A48B50}">
  <sheetPr codeName="Sheet24"/>
  <dimension ref="A1:AF27"/>
  <sheetViews>
    <sheetView workbookViewId="0"/>
  </sheetViews>
  <sheetFormatPr defaultRowHeight="14.5" x14ac:dyDescent="0.35"/>
  <cols>
    <col min="1" max="1" width="6" customWidth="1"/>
    <col min="2" max="2" width="9.1796875" customWidth="1"/>
    <col min="7" max="7" width="4.1796875" customWidth="1"/>
    <col min="8" max="8" width="5.26953125" customWidth="1"/>
    <col min="10" max="10" width="9.1796875" customWidth="1"/>
    <col min="14" max="14" width="7.1796875" customWidth="1"/>
    <col min="15" max="18" width="9.1796875" customWidth="1"/>
    <col min="19" max="19" width="3.7265625" customWidth="1"/>
    <col min="22" max="22" width="4.1796875" customWidth="1"/>
    <col min="23" max="25" width="9.1796875" customWidth="1"/>
    <col min="28" max="28" width="12.54296875" customWidth="1"/>
  </cols>
  <sheetData>
    <row r="1" spans="1:32" x14ac:dyDescent="0.35">
      <c r="A1" t="s">
        <v>0</v>
      </c>
      <c r="H1" t="s">
        <v>1</v>
      </c>
      <c r="N1" t="s">
        <v>2</v>
      </c>
      <c r="AB1" t="s">
        <v>3</v>
      </c>
      <c r="AE1" t="s">
        <v>3</v>
      </c>
    </row>
    <row r="3" spans="1:32" x14ac:dyDescent="0.35">
      <c r="A3" s="1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/>
      <c r="I3">
        <v>1</v>
      </c>
      <c r="J3">
        <v>2</v>
      </c>
      <c r="K3">
        <v>3</v>
      </c>
      <c r="L3">
        <v>4</v>
      </c>
      <c r="O3">
        <v>1</v>
      </c>
      <c r="P3">
        <v>2</v>
      </c>
      <c r="Q3">
        <v>3</v>
      </c>
      <c r="R3">
        <v>4</v>
      </c>
      <c r="T3" s="2" t="s">
        <v>9</v>
      </c>
      <c r="U3" s="2" t="s">
        <v>10</v>
      </c>
      <c r="V3" s="2"/>
      <c r="W3" s="3" t="s">
        <v>11</v>
      </c>
      <c r="X3" s="3" t="s">
        <v>12</v>
      </c>
      <c r="Y3" s="3" t="s">
        <v>13</v>
      </c>
      <c r="Z3" s="3" t="s">
        <v>14</v>
      </c>
      <c r="AB3" t="s">
        <v>15</v>
      </c>
      <c r="AC3" s="4">
        <v>0.05</v>
      </c>
      <c r="AE3" t="s">
        <v>15</v>
      </c>
      <c r="AF3" s="4">
        <v>0.05</v>
      </c>
    </row>
    <row r="4" spans="1:32" x14ac:dyDescent="0.35">
      <c r="A4" s="1">
        <v>1</v>
      </c>
      <c r="B4" s="5">
        <v>1</v>
      </c>
      <c r="C4" s="6">
        <v>2</v>
      </c>
      <c r="D4" s="6"/>
      <c r="E4" s="6">
        <v>3</v>
      </c>
      <c r="F4" s="7">
        <v>4</v>
      </c>
      <c r="G4" s="1"/>
      <c r="H4" s="1">
        <v>1</v>
      </c>
      <c r="I4" s="8">
        <f>COUNTIF($B4:$F4,I$3)</f>
        <v>1</v>
      </c>
      <c r="J4" s="9">
        <f t="shared" ref="J4:L11" si="0">COUNTIF($B4:$F4,J$3)</f>
        <v>1</v>
      </c>
      <c r="K4" s="9">
        <f t="shared" si="0"/>
        <v>1</v>
      </c>
      <c r="L4" s="10">
        <f t="shared" si="0"/>
        <v>1</v>
      </c>
      <c r="N4" s="1">
        <v>1</v>
      </c>
      <c r="O4" s="8">
        <f t="array" ref="O4:R11">MMULT(I4:L11,O15:R18)</f>
        <v>2.2700488836041748</v>
      </c>
      <c r="P4" s="9">
        <v>3.0606420927467295</v>
      </c>
      <c r="Q4" s="9">
        <v>2.9829567974633369</v>
      </c>
      <c r="R4" s="10">
        <v>2.4079799180869337</v>
      </c>
      <c r="T4" s="8">
        <f>SUM(I4:L4)</f>
        <v>4</v>
      </c>
      <c r="U4" s="10">
        <f t="shared" ref="U4:U11" si="1">SUMPRODUCT(I4:L4,O4:R4-1)/($U$15*(T4-1))</f>
        <v>0.52718648563930781</v>
      </c>
      <c r="V4" s="2"/>
      <c r="W4" s="8">
        <f>(U4-$U$17*(T4/$U$15-1))</f>
        <v>0.5792981701574812</v>
      </c>
      <c r="X4" s="9">
        <f>SUMPRODUCT(I4:L4,$O$22:$R$22)/$U$15-$U$18*(T4/$U$15-1)</f>
        <v>0.68202985078158884</v>
      </c>
      <c r="Y4" s="9">
        <f t="shared" ref="Y4:Y11" si="2">(W4-$U$18)/(1-$U$18)</f>
        <v>-0.40982497284181446</v>
      </c>
      <c r="Z4" s="10">
        <f>Y4-2*(1-$U$19)*(X4-$U$18)/(1-$U$18)</f>
        <v>-0.35969029670634317</v>
      </c>
      <c r="AB4" t="s">
        <v>16</v>
      </c>
      <c r="AC4" s="16">
        <v>0</v>
      </c>
      <c r="AE4" t="s">
        <v>16</v>
      </c>
      <c r="AF4" s="17">
        <v>0</v>
      </c>
    </row>
    <row r="5" spans="1:32" x14ac:dyDescent="0.35">
      <c r="A5" s="1">
        <v>2</v>
      </c>
      <c r="B5" s="18">
        <v>2</v>
      </c>
      <c r="C5" s="1">
        <v>2</v>
      </c>
      <c r="D5" s="1">
        <v>3</v>
      </c>
      <c r="E5" s="1">
        <v>2</v>
      </c>
      <c r="F5" s="19"/>
      <c r="G5" s="1"/>
      <c r="H5" s="1">
        <v>2</v>
      </c>
      <c r="I5" s="11">
        <f t="shared" ref="I5:I11" si="3">COUNTIF($B5:$F5,I$3)</f>
        <v>0</v>
      </c>
      <c r="J5">
        <f t="shared" si="0"/>
        <v>3</v>
      </c>
      <c r="K5">
        <f t="shared" si="0"/>
        <v>1</v>
      </c>
      <c r="L5" s="12">
        <f t="shared" si="0"/>
        <v>0</v>
      </c>
      <c r="N5" s="1">
        <v>2</v>
      </c>
      <c r="O5" s="11">
        <v>3.1421588056546437</v>
      </c>
      <c r="P5">
        <v>3.6827850442594796</v>
      </c>
      <c r="Q5">
        <v>3.0483551327784379</v>
      </c>
      <c r="R5" s="12">
        <v>2.2915840930109654</v>
      </c>
      <c r="T5" s="11">
        <f t="shared" ref="T5:T11" si="4">SUM(I5:L5)</f>
        <v>4</v>
      </c>
      <c r="U5" s="12">
        <f t="shared" si="1"/>
        <v>0.79189884435740221</v>
      </c>
      <c r="V5" s="2"/>
      <c r="W5" s="11">
        <f t="shared" ref="W5:W11" si="5">(U5-$U$17*(T5/$U$15-1))</f>
        <v>0.84401052887557559</v>
      </c>
      <c r="X5">
        <f t="shared" ref="X5:X11" si="6">SUMPRODUCT(I5:L5,$O$22:$R$22)/$U$15-$U$18*(T5/$U$15-1)</f>
        <v>0.75041478093513359</v>
      </c>
      <c r="Y5">
        <f t="shared" si="2"/>
        <v>0.4772595784194178</v>
      </c>
      <c r="Z5" s="12">
        <f t="shared" ref="Z5:Z11" si="7">Y5-2*(1-$U$19)*(X5-$U$18)/(1-$U$18)</f>
        <v>0.35214231515614247</v>
      </c>
      <c r="AB5" t="s">
        <v>17</v>
      </c>
      <c r="AC5" s="17">
        <v>0</v>
      </c>
    </row>
    <row r="6" spans="1:32" x14ac:dyDescent="0.35">
      <c r="A6" s="1">
        <v>3</v>
      </c>
      <c r="B6" s="18">
        <v>1</v>
      </c>
      <c r="C6" s="1">
        <v>1</v>
      </c>
      <c r="D6" s="1">
        <v>1</v>
      </c>
      <c r="E6" s="1">
        <v>2</v>
      </c>
      <c r="F6" s="19">
        <v>2</v>
      </c>
      <c r="G6" s="1"/>
      <c r="H6" s="1">
        <v>3</v>
      </c>
      <c r="I6" s="11">
        <f t="shared" si="3"/>
        <v>3</v>
      </c>
      <c r="J6">
        <f t="shared" si="0"/>
        <v>2</v>
      </c>
      <c r="K6">
        <f t="shared" si="0"/>
        <v>0</v>
      </c>
      <c r="L6" s="12">
        <f t="shared" si="0"/>
        <v>0</v>
      </c>
      <c r="N6" s="1">
        <v>3</v>
      </c>
      <c r="O6" s="11">
        <v>4.8721099220504689</v>
      </c>
      <c r="P6">
        <v>4.8081648830757029</v>
      </c>
      <c r="Q6">
        <v>2.3675518562557789</v>
      </c>
      <c r="R6" s="12">
        <v>0.88360417492403198</v>
      </c>
      <c r="T6" s="11">
        <f t="shared" si="4"/>
        <v>5</v>
      </c>
      <c r="U6" s="12">
        <f t="shared" si="1"/>
        <v>1.1313329136648713</v>
      </c>
      <c r="V6" s="2"/>
      <c r="W6" s="11">
        <f t="shared" si="5"/>
        <v>0.97499786011035117</v>
      </c>
      <c r="X6">
        <f t="shared" si="6"/>
        <v>0.57995064713947087</v>
      </c>
      <c r="Y6">
        <f t="shared" si="2"/>
        <v>0.91621467107926291</v>
      </c>
      <c r="Z6" s="12">
        <f t="shared" si="7"/>
        <v>1.2279505270418289</v>
      </c>
      <c r="AE6" t="e">
        <f t="array" aca="1" ref="AE6:AF9" ca="1">KRIP_SES(I4:L11,TRUE,2,O14:R14,AF3,AF4)</f>
        <v>#NAME?</v>
      </c>
      <c r="AF6" s="4" t="e">
        <f ca="1"/>
        <v>#NAME?</v>
      </c>
    </row>
    <row r="7" spans="1:32" x14ac:dyDescent="0.35">
      <c r="A7" s="1">
        <v>4</v>
      </c>
      <c r="B7" s="18">
        <v>4</v>
      </c>
      <c r="C7" s="1">
        <v>4</v>
      </c>
      <c r="D7" s="1">
        <v>3</v>
      </c>
      <c r="E7" s="1">
        <v>4</v>
      </c>
      <c r="F7" s="19">
        <v>2</v>
      </c>
      <c r="G7" s="1"/>
      <c r="H7" s="1">
        <v>4</v>
      </c>
      <c r="I7" s="11">
        <f t="shared" si="3"/>
        <v>0</v>
      </c>
      <c r="J7">
        <f t="shared" si="0"/>
        <v>1</v>
      </c>
      <c r="K7">
        <f t="shared" si="0"/>
        <v>1</v>
      </c>
      <c r="L7" s="12">
        <f t="shared" si="0"/>
        <v>3</v>
      </c>
      <c r="N7" s="1">
        <v>4</v>
      </c>
      <c r="O7" s="11">
        <v>1.2700488836041746</v>
      </c>
      <c r="P7">
        <v>3.0081913066455277</v>
      </c>
      <c r="Q7">
        <v>4.5813185361342317</v>
      </c>
      <c r="R7" s="12">
        <v>4.4079799180869337</v>
      </c>
      <c r="T7" s="11">
        <f t="shared" si="4"/>
        <v>5</v>
      </c>
      <c r="U7" s="12">
        <f t="shared" si="1"/>
        <v>0.93020291747297412</v>
      </c>
      <c r="V7" s="2"/>
      <c r="W7" s="11">
        <f t="shared" si="5"/>
        <v>0.77386786391845397</v>
      </c>
      <c r="X7">
        <f t="shared" si="6"/>
        <v>0.71876490544403793</v>
      </c>
      <c r="Y7">
        <f t="shared" si="2"/>
        <v>0.24220264806272424</v>
      </c>
      <c r="Z7" s="12">
        <f t="shared" si="7"/>
        <v>0.19819539030927918</v>
      </c>
      <c r="AB7" t="e">
        <f t="array" aca="1" ref="AB7:AC13" ca="1">KRIP(B4:F13,TRUE,O15:R18,O14:R14,AC3,AC4,AC5)</f>
        <v>#NAME?</v>
      </c>
      <c r="AC7" s="4" t="e">
        <f ca="1"/>
        <v>#NAME?</v>
      </c>
      <c r="AE7" t="e">
        <f ca="1"/>
        <v>#NAME?</v>
      </c>
      <c r="AF7" s="16" t="e">
        <f ca="1"/>
        <v>#NAME?</v>
      </c>
    </row>
    <row r="8" spans="1:32" x14ac:dyDescent="0.35">
      <c r="A8" s="1">
        <v>5</v>
      </c>
      <c r="B8" s="18">
        <v>3</v>
      </c>
      <c r="C8" s="1">
        <v>3</v>
      </c>
      <c r="D8" s="1">
        <v>4</v>
      </c>
      <c r="E8" s="1"/>
      <c r="F8" s="19">
        <v>3</v>
      </c>
      <c r="G8" s="1"/>
      <c r="H8" s="1">
        <v>5</v>
      </c>
      <c r="I8" s="11">
        <f t="shared" si="3"/>
        <v>0</v>
      </c>
      <c r="J8">
        <f t="shared" si="0"/>
        <v>0</v>
      </c>
      <c r="K8">
        <f t="shared" si="0"/>
        <v>3</v>
      </c>
      <c r="L8" s="12">
        <f t="shared" si="0"/>
        <v>1</v>
      </c>
      <c r="N8" s="1">
        <v>5</v>
      </c>
      <c r="O8" s="11">
        <v>1.0019817677368204</v>
      </c>
      <c r="P8">
        <v>2.4901572202404538</v>
      </c>
      <c r="Q8">
        <v>3.9661778306249174</v>
      </c>
      <c r="R8" s="12">
        <v>3.8985334918747525</v>
      </c>
      <c r="T8" s="11">
        <f t="shared" si="4"/>
        <v>4</v>
      </c>
      <c r="U8" s="12">
        <f t="shared" si="1"/>
        <v>0.92526015558819641</v>
      </c>
      <c r="V8" s="2"/>
      <c r="W8" s="11">
        <f t="shared" si="5"/>
        <v>0.97737184010636979</v>
      </c>
      <c r="X8">
        <f t="shared" si="6"/>
        <v>0.76547713004534956</v>
      </c>
      <c r="Y8">
        <f t="shared" si="2"/>
        <v>0.92417017791570055</v>
      </c>
      <c r="Z8" s="12">
        <f t="shared" si="7"/>
        <v>0.76045221874560198</v>
      </c>
      <c r="AB8" t="e">
        <f ca="1"/>
        <v>#NAME?</v>
      </c>
      <c r="AC8" s="16" t="e">
        <f ca="1"/>
        <v>#NAME?</v>
      </c>
      <c r="AE8" t="e">
        <f ca="1"/>
        <v>#NAME?</v>
      </c>
      <c r="AF8" s="16" t="e">
        <f ca="1"/>
        <v>#NAME?</v>
      </c>
    </row>
    <row r="9" spans="1:32" x14ac:dyDescent="0.35">
      <c r="A9" s="1">
        <v>6</v>
      </c>
      <c r="B9" s="18">
        <v>2</v>
      </c>
      <c r="C9" s="1"/>
      <c r="D9" s="1">
        <v>1</v>
      </c>
      <c r="E9" s="1">
        <v>1</v>
      </c>
      <c r="F9" s="19"/>
      <c r="G9" s="1"/>
      <c r="H9" s="1">
        <v>6</v>
      </c>
      <c r="I9" s="11">
        <f t="shared" si="3"/>
        <v>2</v>
      </c>
      <c r="J9">
        <f t="shared" si="0"/>
        <v>1</v>
      </c>
      <c r="K9">
        <f t="shared" si="0"/>
        <v>0</v>
      </c>
      <c r="L9" s="12">
        <f t="shared" si="0"/>
        <v>0</v>
      </c>
      <c r="N9" s="1">
        <v>6</v>
      </c>
      <c r="O9" s="11">
        <v>2.9360549610252344</v>
      </c>
      <c r="P9">
        <v>2.8721099220504689</v>
      </c>
      <c r="Q9">
        <v>1.3507728894173596</v>
      </c>
      <c r="R9" s="12">
        <v>0.44180208746201599</v>
      </c>
      <c r="T9" s="11">
        <f t="shared" si="4"/>
        <v>3</v>
      </c>
      <c r="U9" s="12">
        <f t="shared" si="1"/>
        <v>0.67579056989422792</v>
      </c>
      <c r="V9" s="2"/>
      <c r="W9" s="11">
        <f t="shared" si="5"/>
        <v>0.93634899248509473</v>
      </c>
      <c r="X9">
        <f t="shared" si="6"/>
        <v>0.61761679246098367</v>
      </c>
      <c r="Y9">
        <f t="shared" si="2"/>
        <v>0.78669743372723955</v>
      </c>
      <c r="Z9" s="12">
        <f t="shared" si="7"/>
        <v>1.0019052241869415</v>
      </c>
      <c r="AB9" t="e">
        <f ca="1"/>
        <v>#NAME?</v>
      </c>
      <c r="AC9" s="16" t="e">
        <f ca="1"/>
        <v>#NAME?</v>
      </c>
      <c r="AE9" t="e">
        <f ca="1"/>
        <v>#NAME?</v>
      </c>
      <c r="AF9" s="17" t="e">
        <f ca="1"/>
        <v>#NAME?</v>
      </c>
    </row>
    <row r="10" spans="1:32" x14ac:dyDescent="0.35">
      <c r="A10" s="1">
        <v>7</v>
      </c>
      <c r="B10" s="18">
        <v>3</v>
      </c>
      <c r="C10" s="1">
        <v>3</v>
      </c>
      <c r="D10" s="1">
        <v>3</v>
      </c>
      <c r="E10" s="1">
        <v>4</v>
      </c>
      <c r="F10" s="19"/>
      <c r="G10" s="1"/>
      <c r="H10" s="1">
        <v>7</v>
      </c>
      <c r="I10" s="11">
        <f t="shared" si="3"/>
        <v>0</v>
      </c>
      <c r="J10">
        <f t="shared" si="0"/>
        <v>0</v>
      </c>
      <c r="K10">
        <f t="shared" si="0"/>
        <v>3</v>
      </c>
      <c r="L10" s="12">
        <f t="shared" si="0"/>
        <v>1</v>
      </c>
      <c r="N10" s="1">
        <v>7</v>
      </c>
      <c r="O10" s="11">
        <v>1.0019817677368204</v>
      </c>
      <c r="P10">
        <v>2.4901572202404538</v>
      </c>
      <c r="Q10">
        <v>3.9661778306249174</v>
      </c>
      <c r="R10" s="12">
        <v>3.8985334918747525</v>
      </c>
      <c r="T10" s="11">
        <f t="shared" si="4"/>
        <v>4</v>
      </c>
      <c r="U10" s="12">
        <f t="shared" si="1"/>
        <v>0.92526015558819641</v>
      </c>
      <c r="V10" s="2"/>
      <c r="W10" s="11">
        <f t="shared" si="5"/>
        <v>0.97737184010636979</v>
      </c>
      <c r="X10">
        <f t="shared" si="6"/>
        <v>0.76547713004534956</v>
      </c>
      <c r="Y10">
        <f t="shared" si="2"/>
        <v>0.92417017791570055</v>
      </c>
      <c r="Z10" s="12">
        <f t="shared" si="7"/>
        <v>0.76045221874560198</v>
      </c>
      <c r="AB10" t="e">
        <f ca="1"/>
        <v>#NAME?</v>
      </c>
      <c r="AC10" s="16" t="e">
        <f ca="1"/>
        <v>#NAME?</v>
      </c>
    </row>
    <row r="11" spans="1:32" x14ac:dyDescent="0.35">
      <c r="A11" s="1">
        <v>8</v>
      </c>
      <c r="B11" s="18">
        <v>4</v>
      </c>
      <c r="C11" s="1">
        <v>3</v>
      </c>
      <c r="D11" s="1">
        <v>4</v>
      </c>
      <c r="E11" s="1">
        <v>3</v>
      </c>
      <c r="F11" s="19">
        <v>4</v>
      </c>
      <c r="G11" s="1"/>
      <c r="H11" s="1">
        <v>8</v>
      </c>
      <c r="I11" s="13">
        <f t="shared" si="3"/>
        <v>0</v>
      </c>
      <c r="J11" s="14">
        <f t="shared" si="0"/>
        <v>0</v>
      </c>
      <c r="K11" s="14">
        <f t="shared" si="0"/>
        <v>2</v>
      </c>
      <c r="L11" s="15">
        <f t="shared" si="0"/>
        <v>3</v>
      </c>
      <c r="N11" s="1">
        <v>8</v>
      </c>
      <c r="O11" s="13">
        <v>0.66798784515788023</v>
      </c>
      <c r="P11" s="14">
        <v>2.6909763509050069</v>
      </c>
      <c r="Q11" s="14">
        <v>4.898533491874753</v>
      </c>
      <c r="R11" s="15">
        <v>4.9323556612498347</v>
      </c>
      <c r="T11" s="13">
        <f t="shared" si="4"/>
        <v>5</v>
      </c>
      <c r="U11" s="15">
        <f t="shared" si="1"/>
        <v>1.152596115735236</v>
      </c>
      <c r="V11" s="2"/>
      <c r="W11" s="13">
        <f t="shared" si="5"/>
        <v>0.99626106218071586</v>
      </c>
      <c r="X11" s="14">
        <f t="shared" si="6"/>
        <v>0.73301168970016195</v>
      </c>
      <c r="Y11" s="14">
        <f t="shared" si="2"/>
        <v>0.98747034708286707</v>
      </c>
      <c r="Z11" s="15">
        <f t="shared" si="7"/>
        <v>0.90695246388204276</v>
      </c>
      <c r="AB11" t="e">
        <f ca="1"/>
        <v>#NAME?</v>
      </c>
      <c r="AC11" s="16" t="e">
        <f ca="1"/>
        <v>#NAME?</v>
      </c>
    </row>
    <row r="12" spans="1:32" x14ac:dyDescent="0.35">
      <c r="A12" s="1">
        <v>9</v>
      </c>
      <c r="B12" s="18"/>
      <c r="C12" s="1"/>
      <c r="D12" s="1"/>
      <c r="E12" s="1"/>
      <c r="F12" s="19"/>
      <c r="G12" s="1"/>
      <c r="H12" s="1"/>
      <c r="AB12" t="e">
        <f ca="1"/>
        <v>#NAME?</v>
      </c>
      <c r="AC12" s="16" t="e">
        <f ca="1"/>
        <v>#NAME?</v>
      </c>
    </row>
    <row r="13" spans="1:32" x14ac:dyDescent="0.35">
      <c r="A13" s="1">
        <v>10</v>
      </c>
      <c r="B13" s="20"/>
      <c r="C13" s="21">
        <v>3</v>
      </c>
      <c r="D13" s="21"/>
      <c r="E13" s="21"/>
      <c r="F13" s="22"/>
      <c r="G13" s="1"/>
      <c r="N13" s="23" t="s">
        <v>18</v>
      </c>
      <c r="T13" s="23" t="s">
        <v>19</v>
      </c>
      <c r="U13" s="24">
        <f>COUNT(H4:H11)</f>
        <v>8</v>
      </c>
      <c r="X13" t="s">
        <v>20</v>
      </c>
      <c r="Y13" t="s">
        <v>21</v>
      </c>
      <c r="AB13" t="e">
        <f ca="1"/>
        <v>#NAME?</v>
      </c>
      <c r="AC13" s="17" t="e">
        <f ca="1"/>
        <v>#NAME?</v>
      </c>
    </row>
    <row r="14" spans="1:32" x14ac:dyDescent="0.35">
      <c r="A14" s="1"/>
      <c r="B14" s="1"/>
      <c r="C14" s="1"/>
      <c r="D14" s="1"/>
      <c r="E14" s="1"/>
      <c r="F14" s="1"/>
      <c r="G14" s="1"/>
      <c r="O14">
        <v>5.2</v>
      </c>
      <c r="P14">
        <v>7.4</v>
      </c>
      <c r="Q14">
        <v>12.3</v>
      </c>
      <c r="R14">
        <v>13.9</v>
      </c>
      <c r="T14" s="23" t="s">
        <v>22</v>
      </c>
      <c r="U14" s="25">
        <f>COUNT(I3:L3)</f>
        <v>4</v>
      </c>
      <c r="W14" s="26" t="s">
        <v>13</v>
      </c>
      <c r="X14" s="24">
        <v>0.05</v>
      </c>
      <c r="Y14" s="24">
        <v>0.05</v>
      </c>
    </row>
    <row r="15" spans="1:32" x14ac:dyDescent="0.35">
      <c r="N15" s="1">
        <f t="array" ref="N15:N18">TRANSPOSE(O14:R14)</f>
        <v>5.2</v>
      </c>
      <c r="O15" s="8">
        <f>1-(O$14-$N15)^2/(MAX($O$14:$R$14)-MIN($O$14:$R$14))^2</f>
        <v>1</v>
      </c>
      <c r="P15" s="9">
        <f t="shared" ref="P15:R18" si="8">1-(P$14-$N15)^2/(MAX($O$14:$R$14)-MIN($O$14:$R$14))^2</f>
        <v>0.93605496102523444</v>
      </c>
      <c r="Q15" s="9">
        <f t="shared" si="8"/>
        <v>0.33399392257894012</v>
      </c>
      <c r="R15" s="10">
        <f t="shared" si="8"/>
        <v>0</v>
      </c>
      <c r="T15" t="s">
        <v>23</v>
      </c>
      <c r="U15" s="25">
        <f>AVERAGE(T4:T11)</f>
        <v>4.25</v>
      </c>
      <c r="W15" t="s">
        <v>24</v>
      </c>
      <c r="X15" s="25">
        <f t="array" ref="X15">SQRT(SUMSQ(Z4:Z11-U19)/(U13*(U13-1)))</f>
        <v>0.18157185093118786</v>
      </c>
      <c r="Y15" s="25" t="e">
        <f ca="1">SQRT(X15^2+X22^2)</f>
        <v>#NAME?</v>
      </c>
    </row>
    <row r="16" spans="1:32" x14ac:dyDescent="0.35">
      <c r="N16" s="1">
        <v>7.4</v>
      </c>
      <c r="O16" s="11">
        <f t="shared" ref="O16:O18" si="9">1-(O$14-$N16)^2/(MAX($O$14:$R$14)-MIN($O$14:$R$14))^2</f>
        <v>0.93605496102523444</v>
      </c>
      <c r="P16">
        <f t="shared" si="8"/>
        <v>1</v>
      </c>
      <c r="Q16">
        <f t="shared" si="8"/>
        <v>0.68278504425947939</v>
      </c>
      <c r="R16" s="12">
        <f t="shared" si="8"/>
        <v>0.44180208746201599</v>
      </c>
      <c r="T16" t="s">
        <v>25</v>
      </c>
      <c r="U16" s="25">
        <f>1/(U13*U15)</f>
        <v>2.9411764705882353E-2</v>
      </c>
      <c r="W16" t="s">
        <v>26</v>
      </c>
      <c r="X16" s="25">
        <f>U19-X15*TINV(X14,U13-1)</f>
        <v>0.18828271709077454</v>
      </c>
      <c r="Y16" s="25" t="e">
        <f ca="1">U19-Y15*TINV(X14,U13-1)</f>
        <v>#NAME?</v>
      </c>
    </row>
    <row r="17" spans="14:27" x14ac:dyDescent="0.35">
      <c r="N17" s="1">
        <v>12.3</v>
      </c>
      <c r="O17" s="11">
        <f t="shared" si="9"/>
        <v>0.33399392257894012</v>
      </c>
      <c r="P17">
        <f t="shared" si="8"/>
        <v>0.68278504425947939</v>
      </c>
      <c r="Q17">
        <f t="shared" si="8"/>
        <v>1</v>
      </c>
      <c r="R17" s="12">
        <f t="shared" si="8"/>
        <v>0.96617783062491747</v>
      </c>
      <c r="T17" s="23" t="s">
        <v>27</v>
      </c>
      <c r="U17" s="25">
        <f>AVERAGE(U4:U11)*(1-U16)+U16</f>
        <v>0.8858986368089472</v>
      </c>
      <c r="W17" t="s">
        <v>28</v>
      </c>
      <c r="X17" s="27">
        <f>MIN(U19+X15*TINV(X14,U13-1),1)</f>
        <v>1</v>
      </c>
      <c r="Y17" s="27" t="e">
        <f ca="1">MIN(U19+Y15*TINV(X14,U13-1),1)</f>
        <v>#NAME?</v>
      </c>
    </row>
    <row r="18" spans="14:27" x14ac:dyDescent="0.35">
      <c r="N18" s="1">
        <v>13.9</v>
      </c>
      <c r="O18" s="13">
        <f t="shared" si="9"/>
        <v>0</v>
      </c>
      <c r="P18" s="14">
        <f t="shared" si="8"/>
        <v>0.44180208746201599</v>
      </c>
      <c r="Q18" s="14">
        <f t="shared" si="8"/>
        <v>0.96617783062491747</v>
      </c>
      <c r="R18" s="15">
        <f t="shared" si="8"/>
        <v>1</v>
      </c>
      <c r="T18" s="23" t="s">
        <v>29</v>
      </c>
      <c r="U18" s="25">
        <f t="array" ref="U18">SUMPRODUCT(MMULT(TRANSPOSE(O20:R20),O20:R20),O15:R18)</f>
        <v>0.70159286581900937</v>
      </c>
    </row>
    <row r="19" spans="14:27" x14ac:dyDescent="0.35">
      <c r="T19" s="23" t="s">
        <v>30</v>
      </c>
      <c r="U19" s="27">
        <f>(U17-U18)/(1-U18)</f>
        <v>0.61763191920925131</v>
      </c>
    </row>
    <row r="20" spans="14:27" x14ac:dyDescent="0.35">
      <c r="N20" s="28" t="s">
        <v>31</v>
      </c>
      <c r="O20" s="29">
        <f>SUM(I4:I11)*$U$16</f>
        <v>0.1764705882352941</v>
      </c>
      <c r="P20" s="30">
        <f>SUM(J4:J11)*$U$16</f>
        <v>0.23529411764705882</v>
      </c>
      <c r="Q20" s="30">
        <f>SUM(K4:K11)*$U$16</f>
        <v>0.3235294117647059</v>
      </c>
      <c r="R20" s="31">
        <f>SUM(L4:L11)*$U$16</f>
        <v>0.26470588235294118</v>
      </c>
    </row>
    <row r="21" spans="14:27" x14ac:dyDescent="0.35">
      <c r="N21" s="1"/>
      <c r="T21" s="23" t="s">
        <v>30</v>
      </c>
      <c r="U21" s="32" t="e">
        <f ca="1">KALPHA(I4:L11,2,O14:R14)</f>
        <v>#NAME?</v>
      </c>
      <c r="W21" t="s">
        <v>32</v>
      </c>
      <c r="Z21" t="e">
        <f t="array" aca="1" ref="Z21:AA27" ca="1">KRIP(B4:F13,TRUE,2,O14:R14)</f>
        <v>#NAME?</v>
      </c>
      <c r="AA21" s="24" t="e">
        <f ca="1"/>
        <v>#NAME?</v>
      </c>
    </row>
    <row r="22" spans="14:27" x14ac:dyDescent="0.35">
      <c r="N22" s="1" t="s">
        <v>33</v>
      </c>
      <c r="O22" s="29">
        <f t="array" ref="O22:R22">MMULT(O20:R20,O15:R18)</f>
        <v>0.50477567166382986</v>
      </c>
      <c r="P22" s="30">
        <v>0.73832894235775959</v>
      </c>
      <c r="Q22" s="30">
        <v>0.79887777544628635</v>
      </c>
      <c r="R22" s="31">
        <v>0.68124625989912424</v>
      </c>
      <c r="W22" t="s">
        <v>24</v>
      </c>
      <c r="X22" s="32" t="e">
        <f ca="1">KRIP_SER(B4:F13,2,O14:R14)</f>
        <v>#NAME?</v>
      </c>
      <c r="Z22" t="e">
        <f ca="1"/>
        <v>#NAME?</v>
      </c>
      <c r="AA22" s="25" t="e">
        <f ca="1"/>
        <v>#NAME?</v>
      </c>
    </row>
    <row r="23" spans="14:27" x14ac:dyDescent="0.35">
      <c r="Z23" t="e">
        <f ca="1"/>
        <v>#NAME?</v>
      </c>
      <c r="AA23" s="25" t="e">
        <f ca="1"/>
        <v>#NAME?</v>
      </c>
    </row>
    <row r="24" spans="14:27" x14ac:dyDescent="0.35">
      <c r="W24" t="e">
        <f t="array" aca="1" ref="W24:X27" ca="1">KRIP_SES(I4:L11,TRUE,2,O14:R14)</f>
        <v>#NAME?</v>
      </c>
      <c r="X24" s="24" t="e">
        <f ca="1"/>
        <v>#NAME?</v>
      </c>
      <c r="Z24" t="e">
        <f ca="1"/>
        <v>#NAME?</v>
      </c>
      <c r="AA24" s="25" t="e">
        <f ca="1"/>
        <v>#NAME?</v>
      </c>
    </row>
    <row r="25" spans="14:27" x14ac:dyDescent="0.35">
      <c r="W25" t="e">
        <f ca="1"/>
        <v>#NAME?</v>
      </c>
      <c r="X25" s="25" t="e">
        <f ca="1"/>
        <v>#NAME?</v>
      </c>
      <c r="Z25" t="e">
        <f ca="1"/>
        <v>#NAME?</v>
      </c>
      <c r="AA25" s="25" t="e">
        <f ca="1"/>
        <v>#NAME?</v>
      </c>
    </row>
    <row r="26" spans="14:27" x14ac:dyDescent="0.35">
      <c r="W26" t="e">
        <f ca="1"/>
        <v>#NAME?</v>
      </c>
      <c r="X26" s="25" t="e">
        <f ca="1"/>
        <v>#NAME?</v>
      </c>
      <c r="Z26" t="e">
        <f ca="1"/>
        <v>#NAME?</v>
      </c>
      <c r="AA26" s="25" t="e">
        <f ca="1"/>
        <v>#NAME?</v>
      </c>
    </row>
    <row r="27" spans="14:27" x14ac:dyDescent="0.35">
      <c r="W27" t="e">
        <f ca="1"/>
        <v>#NAME?</v>
      </c>
      <c r="X27" s="27" t="e">
        <f ca="1"/>
        <v>#NAME?</v>
      </c>
      <c r="Z27" t="e">
        <f ca="1"/>
        <v>#NAME?</v>
      </c>
      <c r="AA27" s="27" t="e">
        <f ca="1"/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338B-EA66-424F-B90A-221B9DBA43DE}">
  <sheetPr codeName="Sheet25"/>
  <dimension ref="A1:R20"/>
  <sheetViews>
    <sheetView workbookViewId="0"/>
  </sheetViews>
  <sheetFormatPr defaultRowHeight="14.5" x14ac:dyDescent="0.35"/>
  <cols>
    <col min="1" max="1" width="5" customWidth="1"/>
    <col min="2" max="5" width="7.26953125" customWidth="1"/>
    <col min="6" max="6" width="2.7265625" customWidth="1"/>
    <col min="7" max="7" width="7.7265625" customWidth="1"/>
    <col min="8" max="9" width="10" customWidth="1"/>
    <col min="10" max="10" width="6.1796875" customWidth="1"/>
    <col min="11" max="14" width="7.26953125" customWidth="1"/>
    <col min="15" max="15" width="2.7265625" customWidth="1"/>
    <col min="16" max="16" width="7.26953125" customWidth="1"/>
    <col min="17" max="18" width="10" customWidth="1"/>
  </cols>
  <sheetData>
    <row r="1" spans="1:18" x14ac:dyDescent="0.35">
      <c r="A1" t="s">
        <v>3</v>
      </c>
    </row>
    <row r="3" spans="1:18" x14ac:dyDescent="0.35">
      <c r="B3" t="s">
        <v>42</v>
      </c>
      <c r="H3" s="1" t="s">
        <v>20</v>
      </c>
      <c r="I3" s="1" t="s">
        <v>43</v>
      </c>
      <c r="K3" t="s">
        <v>44</v>
      </c>
      <c r="Q3" s="1" t="s">
        <v>20</v>
      </c>
      <c r="R3" s="1" t="s">
        <v>43</v>
      </c>
    </row>
    <row r="4" spans="1:18" x14ac:dyDescent="0.35">
      <c r="B4" s="8">
        <v>1</v>
      </c>
      <c r="C4" s="9">
        <v>0</v>
      </c>
      <c r="D4" s="9">
        <v>0</v>
      </c>
      <c r="E4" s="10">
        <v>0</v>
      </c>
      <c r="G4" t="s">
        <v>30</v>
      </c>
      <c r="H4" s="24">
        <v>0.16920374707259953</v>
      </c>
      <c r="I4" s="10">
        <f>H4</f>
        <v>0.16920374707259953</v>
      </c>
      <c r="K4" s="8">
        <v>1</v>
      </c>
      <c r="L4" s="9">
        <v>0.88888888888888884</v>
      </c>
      <c r="M4" s="9">
        <v>0.55555555555555558</v>
      </c>
      <c r="N4" s="10">
        <v>0</v>
      </c>
      <c r="P4" t="s">
        <v>30</v>
      </c>
      <c r="Q4" s="8">
        <v>0.54202670856245028</v>
      </c>
      <c r="R4" s="10">
        <f>Q4</f>
        <v>0.54202670856245028</v>
      </c>
    </row>
    <row r="5" spans="1:18" x14ac:dyDescent="0.35">
      <c r="B5" s="11">
        <v>0</v>
      </c>
      <c r="C5">
        <v>1</v>
      </c>
      <c r="D5">
        <v>0</v>
      </c>
      <c r="E5" s="12">
        <v>0</v>
      </c>
      <c r="G5" t="s">
        <v>24</v>
      </c>
      <c r="H5" s="25">
        <v>7.4642890720907934E-2</v>
      </c>
      <c r="I5" s="12">
        <v>0.15062982642323033</v>
      </c>
      <c r="K5" s="11">
        <v>0.88888888888888884</v>
      </c>
      <c r="L5">
        <v>1</v>
      </c>
      <c r="M5">
        <v>0.88888888888888884</v>
      </c>
      <c r="N5" s="12">
        <v>0.55555555555555558</v>
      </c>
      <c r="P5" t="s">
        <v>24</v>
      </c>
      <c r="Q5" s="11">
        <v>0.16271060836262871</v>
      </c>
      <c r="R5" s="12">
        <v>0.23260186389961843</v>
      </c>
    </row>
    <row r="6" spans="1:18" x14ac:dyDescent="0.35">
      <c r="B6" s="11">
        <v>0</v>
      </c>
      <c r="C6">
        <v>0</v>
      </c>
      <c r="D6">
        <v>1</v>
      </c>
      <c r="E6" s="12">
        <v>0</v>
      </c>
      <c r="G6" t="s">
        <v>26</v>
      </c>
      <c r="H6" s="25">
        <v>-7.2986425350494155E-3</v>
      </c>
      <c r="I6" s="12">
        <v>-0.1869791935009826</v>
      </c>
      <c r="K6" s="11">
        <v>0.55555555555555558</v>
      </c>
      <c r="L6">
        <v>0.88888888888888884</v>
      </c>
      <c r="M6">
        <v>1</v>
      </c>
      <c r="N6" s="12">
        <v>0.88888888888888884</v>
      </c>
      <c r="P6" t="s">
        <v>26</v>
      </c>
      <c r="Q6" s="11">
        <v>0.15727725803676262</v>
      </c>
      <c r="R6" s="12">
        <v>-7.9892997802717414E-3</v>
      </c>
    </row>
    <row r="7" spans="1:18" x14ac:dyDescent="0.35">
      <c r="B7" s="13">
        <v>0</v>
      </c>
      <c r="C7" s="14">
        <v>0</v>
      </c>
      <c r="D7" s="14">
        <v>0</v>
      </c>
      <c r="E7" s="15">
        <v>1</v>
      </c>
      <c r="G7" t="s">
        <v>28</v>
      </c>
      <c r="H7" s="27">
        <v>0.34570613668024847</v>
      </c>
      <c r="I7" s="15">
        <v>0.52538668764618168</v>
      </c>
      <c r="K7" s="13">
        <v>0</v>
      </c>
      <c r="L7" s="14">
        <v>0.55555555555555558</v>
      </c>
      <c r="M7" s="14">
        <v>0.88888888888888884</v>
      </c>
      <c r="N7" s="15">
        <v>1</v>
      </c>
      <c r="P7" t="s">
        <v>28</v>
      </c>
      <c r="Q7" s="13">
        <v>0.92677615908813793</v>
      </c>
      <c r="R7" s="15">
        <v>1</v>
      </c>
    </row>
    <row r="9" spans="1:18" x14ac:dyDescent="0.35">
      <c r="B9" t="s">
        <v>45</v>
      </c>
      <c r="H9" s="1" t="s">
        <v>20</v>
      </c>
      <c r="I9" s="1" t="s">
        <v>43</v>
      </c>
      <c r="K9" t="s">
        <v>46</v>
      </c>
      <c r="Q9" s="1" t="s">
        <v>20</v>
      </c>
      <c r="R9" s="1" t="s">
        <v>43</v>
      </c>
    </row>
    <row r="10" spans="1:18" x14ac:dyDescent="0.35">
      <c r="B10" s="8">
        <v>1</v>
      </c>
      <c r="C10" s="9">
        <v>0.83333333333333337</v>
      </c>
      <c r="D10" s="9">
        <v>0.5</v>
      </c>
      <c r="E10" s="10">
        <v>0</v>
      </c>
      <c r="G10" t="s">
        <v>30</v>
      </c>
      <c r="H10" s="8">
        <v>0.48278520041109974</v>
      </c>
      <c r="I10" s="10">
        <f>H10</f>
        <v>0.48278520041109974</v>
      </c>
      <c r="K10" s="8">
        <v>1</v>
      </c>
      <c r="L10" s="9">
        <v>0.88888888888888884</v>
      </c>
      <c r="M10" s="9">
        <v>0.75</v>
      </c>
      <c r="N10" s="10">
        <v>0.64</v>
      </c>
      <c r="P10" t="s">
        <v>30</v>
      </c>
      <c r="Q10" s="8">
        <v>0.52114478799778052</v>
      </c>
      <c r="R10" s="10">
        <f>Q10</f>
        <v>0.52114478799778052</v>
      </c>
    </row>
    <row r="11" spans="1:18" x14ac:dyDescent="0.35">
      <c r="B11" s="11">
        <v>0.83333333333333337</v>
      </c>
      <c r="C11">
        <v>1</v>
      </c>
      <c r="D11">
        <v>0.83333333333333337</v>
      </c>
      <c r="E11" s="12">
        <v>0.5</v>
      </c>
      <c r="G11" t="s">
        <v>24</v>
      </c>
      <c r="H11" s="11">
        <v>0.14970884375470961</v>
      </c>
      <c r="I11" s="12">
        <v>0.20667780595925189</v>
      </c>
      <c r="K11" s="11">
        <v>0.88888888888888884</v>
      </c>
      <c r="L11">
        <v>1</v>
      </c>
      <c r="M11">
        <v>0.96</v>
      </c>
      <c r="N11" s="12">
        <v>0.88888888888888884</v>
      </c>
      <c r="P11" t="s">
        <v>24</v>
      </c>
      <c r="Q11" s="25">
        <v>0.14247042159273818</v>
      </c>
      <c r="R11" s="25">
        <v>0.2366474416082919</v>
      </c>
    </row>
    <row r="12" spans="1:18" x14ac:dyDescent="0.35">
      <c r="B12" s="11">
        <v>0.5</v>
      </c>
      <c r="C12">
        <v>0.83333333333333337</v>
      </c>
      <c r="D12">
        <v>1</v>
      </c>
      <c r="E12" s="12">
        <v>0.83333333333333337</v>
      </c>
      <c r="G12" t="s">
        <v>26</v>
      </c>
      <c r="H12" s="11">
        <v>0.12878003779079839</v>
      </c>
      <c r="I12" s="12">
        <v>-5.9301518261350994E-3</v>
      </c>
      <c r="K12" s="11">
        <v>0.75</v>
      </c>
      <c r="L12">
        <v>0.96</v>
      </c>
      <c r="M12">
        <v>1</v>
      </c>
      <c r="N12" s="12">
        <v>0.97959183673469385</v>
      </c>
      <c r="P12" t="s">
        <v>26</v>
      </c>
      <c r="Q12" s="25">
        <v>0.18425577396494347</v>
      </c>
      <c r="R12" s="25">
        <v>-3.843749150657394E-2</v>
      </c>
    </row>
    <row r="13" spans="1:18" x14ac:dyDescent="0.35">
      <c r="B13" s="13">
        <v>0</v>
      </c>
      <c r="C13" s="14">
        <v>0.5</v>
      </c>
      <c r="D13" s="14">
        <v>0.83333333333333337</v>
      </c>
      <c r="E13" s="15">
        <v>1</v>
      </c>
      <c r="G13" t="s">
        <v>28</v>
      </c>
      <c r="H13" s="13">
        <v>0.83679036303140109</v>
      </c>
      <c r="I13" s="15">
        <v>0.97150055264833457</v>
      </c>
      <c r="K13" s="13">
        <v>0.64</v>
      </c>
      <c r="L13" s="14">
        <v>0.88888888888888884</v>
      </c>
      <c r="M13" s="14">
        <v>0.97959183673469385</v>
      </c>
      <c r="N13" s="15">
        <v>1</v>
      </c>
      <c r="P13" t="s">
        <v>28</v>
      </c>
      <c r="Q13" s="27">
        <v>0.85803380203061752</v>
      </c>
      <c r="R13" s="27">
        <v>1</v>
      </c>
    </row>
    <row r="16" spans="1:18" x14ac:dyDescent="0.35">
      <c r="B16" s="2">
        <v>5.2</v>
      </c>
      <c r="C16" s="2">
        <v>7.4</v>
      </c>
      <c r="D16" s="2">
        <v>12.3</v>
      </c>
      <c r="E16" s="2">
        <v>13.9</v>
      </c>
      <c r="H16" s="1" t="s">
        <v>20</v>
      </c>
      <c r="I16" s="1" t="s">
        <v>43</v>
      </c>
    </row>
    <row r="17" spans="1:9" x14ac:dyDescent="0.35">
      <c r="A17" s="2">
        <v>5.2</v>
      </c>
      <c r="B17" s="8">
        <v>1</v>
      </c>
      <c r="C17" s="9">
        <v>0.93605496102523444</v>
      </c>
      <c r="D17" s="9">
        <v>0.33399392257894012</v>
      </c>
      <c r="E17" s="10">
        <v>0</v>
      </c>
      <c r="G17" t="s">
        <v>30</v>
      </c>
      <c r="H17" s="8">
        <v>0.61763191920925131</v>
      </c>
      <c r="I17" s="10">
        <f>H17</f>
        <v>0.61763191920925131</v>
      </c>
    </row>
    <row r="18" spans="1:9" x14ac:dyDescent="0.35">
      <c r="A18" s="2">
        <v>7.4</v>
      </c>
      <c r="B18" s="11">
        <v>0.93605496102523444</v>
      </c>
      <c r="C18">
        <v>1</v>
      </c>
      <c r="D18">
        <v>0.68278504425947939</v>
      </c>
      <c r="E18" s="12">
        <v>0.44180208746201599</v>
      </c>
      <c r="G18" t="s">
        <v>24</v>
      </c>
      <c r="H18" s="11">
        <v>0.18157185093118786</v>
      </c>
      <c r="I18" s="12">
        <v>0.23331962596125147</v>
      </c>
    </row>
    <row r="19" spans="1:9" x14ac:dyDescent="0.35">
      <c r="A19" s="2">
        <v>12.3</v>
      </c>
      <c r="B19" s="11">
        <v>0.33399392257894012</v>
      </c>
      <c r="C19">
        <v>0.68278504425947939</v>
      </c>
      <c r="D19">
        <v>1</v>
      </c>
      <c r="E19" s="12">
        <v>0.96617783062491747</v>
      </c>
      <c r="G19" t="s">
        <v>26</v>
      </c>
      <c r="H19" s="11">
        <v>0.18828271709077454</v>
      </c>
      <c r="I19" s="12">
        <v>6.5918673288718588E-2</v>
      </c>
    </row>
    <row r="20" spans="1:9" x14ac:dyDescent="0.35">
      <c r="A20" s="2">
        <v>13.9</v>
      </c>
      <c r="B20" s="13">
        <v>0</v>
      </c>
      <c r="C20" s="14">
        <v>0.44180208746201599</v>
      </c>
      <c r="D20" s="14">
        <v>0.96617783062491747</v>
      </c>
      <c r="E20" s="15">
        <v>1</v>
      </c>
      <c r="G20" t="s">
        <v>28</v>
      </c>
      <c r="H20" s="13">
        <v>1</v>
      </c>
      <c r="I20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Krip cat</vt:lpstr>
      <vt:lpstr>Krip ser</vt:lpstr>
      <vt:lpstr>Krip ord</vt:lpstr>
      <vt:lpstr>Krip int</vt:lpstr>
      <vt:lpstr>Krip ratio</vt:lpstr>
      <vt:lpstr>K rating</vt:lpstr>
      <vt:lpstr>K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2024-07-24T09:41:58Z</dcterms:created>
  <dcterms:modified xsi:type="dcterms:W3CDTF">2024-07-24T15:48:54Z</dcterms:modified>
</cp:coreProperties>
</file>