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8969BBF4-A654-410C-8F10-868C29087E4F}" xr6:coauthVersionLast="47" xr6:coauthVersionMax="47" xr10:uidLastSave="{00000000-0000-0000-0000-000000000000}"/>
  <bookViews>
    <workbookView xWindow="-110" yWindow="-110" windowWidth="19420" windowHeight="10300" xr2:uid="{A632DF22-86C1-43B3-B6DA-A8125C53051D}"/>
  </bookViews>
  <sheets>
    <sheet name="Title" sheetId="4" r:id="rId1"/>
    <sheet name="Example" sheetId="1" r:id="rId2"/>
    <sheet name="Tool" sheetId="2" r:id="rId3"/>
    <sheet name="Contrasts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2" l="1" a="1"/>
  <c r="P24" i="2" s="1"/>
  <c r="M24" i="2"/>
  <c r="J24" i="2"/>
  <c r="AA23" i="2" a="1"/>
  <c r="AA23" i="2" s="1"/>
  <c r="P23" i="2" a="1"/>
  <c r="P23" i="2" s="1"/>
  <c r="M23" i="2"/>
  <c r="J23" i="2"/>
  <c r="R11" i="2"/>
  <c r="AJ42" i="1" a="1"/>
  <c r="AM42" i="1" s="1"/>
  <c r="AJ26" i="1" a="1"/>
  <c r="AN30" i="1" s="1"/>
  <c r="BA21" i="1"/>
  <c r="AZ21" i="1"/>
  <c r="BA20" i="1"/>
  <c r="AZ20" i="1"/>
  <c r="BA15" i="1"/>
  <c r="AZ15" i="1"/>
  <c r="BA14" i="1"/>
  <c r="AZ14" i="1"/>
  <c r="BA13" i="1"/>
  <c r="AZ13" i="1"/>
  <c r="BA12" i="1"/>
  <c r="AZ12" i="1"/>
  <c r="BA7" i="1"/>
  <c r="AZ7" i="1"/>
  <c r="BA6" i="1"/>
  <c r="AZ6" i="1"/>
  <c r="BA5" i="1"/>
  <c r="AZ5" i="1"/>
  <c r="AM5" i="1" a="1"/>
  <c r="AO7" i="1" s="1"/>
  <c r="AF5" i="1"/>
  <c r="AF5" i="1" a="1"/>
  <c r="AG5" i="1" s="1"/>
  <c r="BA4" i="1"/>
  <c r="AZ4" i="1"/>
  <c r="B51" i="3"/>
  <c r="B50" i="3"/>
  <c r="B45" i="3"/>
  <c r="B46" i="3" s="1"/>
  <c r="B44" i="3"/>
  <c r="C29" i="3"/>
  <c r="B29" i="3"/>
  <c r="S16" i="3"/>
  <c r="AA16" i="3" s="1"/>
  <c r="R16" i="3"/>
  <c r="T16" i="3" s="1"/>
  <c r="K16" i="3"/>
  <c r="Z16" i="3" s="1"/>
  <c r="AB16" i="3" s="1"/>
  <c r="J16" i="3"/>
  <c r="D16" i="3"/>
  <c r="C16" i="3"/>
  <c r="B16" i="3"/>
  <c r="Z15" i="3"/>
  <c r="S15" i="3"/>
  <c r="AA15" i="3" s="1"/>
  <c r="R15" i="3"/>
  <c r="L15" i="3"/>
  <c r="K15" i="3"/>
  <c r="J15" i="3"/>
  <c r="C15" i="3"/>
  <c r="B15" i="3"/>
  <c r="D15" i="3" s="1"/>
  <c r="AA14" i="3"/>
  <c r="T14" i="3"/>
  <c r="S14" i="3"/>
  <c r="R14" i="3"/>
  <c r="K14" i="3"/>
  <c r="J14" i="3"/>
  <c r="C14" i="3"/>
  <c r="D14" i="3" s="1"/>
  <c r="D18" i="3" s="1"/>
  <c r="D19" i="3" s="1"/>
  <c r="B23" i="3" s="1"/>
  <c r="B14" i="3"/>
  <c r="AB13" i="3"/>
  <c r="S13" i="3"/>
  <c r="AA13" i="3" s="1"/>
  <c r="R13" i="3"/>
  <c r="T13" i="3" s="1"/>
  <c r="K13" i="3"/>
  <c r="Z13" i="3" s="1"/>
  <c r="J13" i="3"/>
  <c r="D13" i="3"/>
  <c r="C13" i="3"/>
  <c r="B13" i="3"/>
  <c r="Z12" i="3"/>
  <c r="Y12" i="3"/>
  <c r="Y13" i="3" s="1"/>
  <c r="Y14" i="3" s="1"/>
  <c r="Y15" i="3" s="1"/>
  <c r="Y16" i="3" s="1"/>
  <c r="AB23" i="3" s="1"/>
  <c r="S12" i="3"/>
  <c r="AA12" i="3" s="1"/>
  <c r="R12" i="3"/>
  <c r="L12" i="3"/>
  <c r="K12" i="3"/>
  <c r="J12" i="3"/>
  <c r="C12" i="3"/>
  <c r="B12" i="3"/>
  <c r="D12" i="3" s="1"/>
  <c r="AA11" i="3"/>
  <c r="T11" i="3"/>
  <c r="S11" i="3"/>
  <c r="R11" i="3"/>
  <c r="K11" i="3"/>
  <c r="J11" i="3"/>
  <c r="D11" i="3"/>
  <c r="C11" i="3"/>
  <c r="B11" i="3"/>
  <c r="S10" i="3"/>
  <c r="R10" i="3"/>
  <c r="T10" i="3" s="1"/>
  <c r="Q10" i="3"/>
  <c r="Q11" i="3" s="1"/>
  <c r="Q12" i="3" s="1"/>
  <c r="Q13" i="3" s="1"/>
  <c r="Q14" i="3" s="1"/>
  <c r="Q15" i="3" s="1"/>
  <c r="Q16" i="3" s="1"/>
  <c r="T23" i="3" s="1"/>
  <c r="K10" i="3"/>
  <c r="Z10" i="3" s="1"/>
  <c r="J10" i="3"/>
  <c r="D10" i="3"/>
  <c r="C10" i="3"/>
  <c r="B10" i="3"/>
  <c r="Z9" i="3"/>
  <c r="Y9" i="3"/>
  <c r="Y10" i="3" s="1"/>
  <c r="Y11" i="3" s="1"/>
  <c r="S9" i="3"/>
  <c r="AA9" i="3" s="1"/>
  <c r="R9" i="3"/>
  <c r="Q9" i="3"/>
  <c r="L9" i="3"/>
  <c r="K9" i="3"/>
  <c r="J9" i="3"/>
  <c r="C9" i="3"/>
  <c r="B9" i="3"/>
  <c r="D9" i="3" s="1"/>
  <c r="A9" i="3"/>
  <c r="A10" i="3" s="1"/>
  <c r="A11" i="3" s="1"/>
  <c r="A12" i="3" s="1"/>
  <c r="A13" i="3" s="1"/>
  <c r="A14" i="3" s="1"/>
  <c r="A15" i="3" s="1"/>
  <c r="A16" i="3" s="1"/>
  <c r="D23" i="3" s="1"/>
  <c r="AA8" i="3"/>
  <c r="Y8" i="3"/>
  <c r="T8" i="3"/>
  <c r="S8" i="3"/>
  <c r="R8" i="3"/>
  <c r="Q8" i="3"/>
  <c r="K8" i="3"/>
  <c r="J8" i="3"/>
  <c r="I8" i="3"/>
  <c r="I9" i="3" s="1"/>
  <c r="I10" i="3" s="1"/>
  <c r="I11" i="3" s="1"/>
  <c r="I12" i="3" s="1"/>
  <c r="I13" i="3" s="1"/>
  <c r="I14" i="3" s="1"/>
  <c r="I15" i="3" s="1"/>
  <c r="I16" i="3" s="1"/>
  <c r="L23" i="3" s="1"/>
  <c r="C8" i="3"/>
  <c r="D8" i="3" s="1"/>
  <c r="B8" i="3"/>
  <c r="A8" i="3"/>
  <c r="S7" i="3"/>
  <c r="R7" i="3"/>
  <c r="AA7" i="3" s="1"/>
  <c r="L7" i="3"/>
  <c r="K7" i="3"/>
  <c r="J7" i="3"/>
  <c r="D7" i="3"/>
  <c r="C7" i="3"/>
  <c r="B7" i="3"/>
  <c r="AA32" i="2"/>
  <c r="AB31" i="2"/>
  <c r="Z30" i="2"/>
  <c r="P25" i="2"/>
  <c r="M25" i="2"/>
  <c r="J25" i="2"/>
  <c r="N20" i="2"/>
  <c r="M20" i="2"/>
  <c r="L20" i="2"/>
  <c r="O20" i="2" s="1"/>
  <c r="J20" i="2"/>
  <c r="I20" i="2"/>
  <c r="L19" i="2"/>
  <c r="J19" i="2"/>
  <c r="I19" i="2"/>
  <c r="N18" i="2"/>
  <c r="M18" i="2"/>
  <c r="L18" i="2"/>
  <c r="O18" i="2" s="1"/>
  <c r="J18" i="2"/>
  <c r="I18" i="2"/>
  <c r="N17" i="2"/>
  <c r="M17" i="2"/>
  <c r="L17" i="2"/>
  <c r="O17" i="2" s="1"/>
  <c r="J17" i="2"/>
  <c r="I17" i="2"/>
  <c r="Z16" i="2"/>
  <c r="Z20" i="2" s="1"/>
  <c r="Z24" i="2" s="1"/>
  <c r="Z28" i="2" s="1"/>
  <c r="L16" i="2"/>
  <c r="J16" i="2"/>
  <c r="I16" i="2"/>
  <c r="AB15" i="2"/>
  <c r="N15" i="2"/>
  <c r="M15" i="2"/>
  <c r="L15" i="2"/>
  <c r="O15" i="2" s="1"/>
  <c r="J15" i="2"/>
  <c r="I15" i="2"/>
  <c r="Z14" i="2"/>
  <c r="Z18" i="2" s="1"/>
  <c r="Z22" i="2" s="1"/>
  <c r="Z26" i="2" s="1"/>
  <c r="S14" i="2"/>
  <c r="R14" i="2"/>
  <c r="N14" i="2"/>
  <c r="M14" i="2"/>
  <c r="J14" i="2"/>
  <c r="I14" i="2"/>
  <c r="Z13" i="2"/>
  <c r="Z17" i="2" s="1"/>
  <c r="Z21" i="2" s="1"/>
  <c r="Z25" i="2" s="1"/>
  <c r="Z29" i="2" s="1"/>
  <c r="S13" i="2"/>
  <c r="J13" i="2"/>
  <c r="I13" i="2"/>
  <c r="Z12" i="2"/>
  <c r="S12" i="2"/>
  <c r="L12" i="2"/>
  <c r="J12" i="2"/>
  <c r="I12" i="2"/>
  <c r="Z11" i="2"/>
  <c r="Z15" i="2" s="1"/>
  <c r="Z19" i="2" s="1"/>
  <c r="Z23" i="2" s="1"/>
  <c r="Z27" i="2" s="1"/>
  <c r="S11" i="2"/>
  <c r="N11" i="2"/>
  <c r="L11" i="2"/>
  <c r="J11" i="2"/>
  <c r="I11" i="2"/>
  <c r="S10" i="2"/>
  <c r="N10" i="2"/>
  <c r="M10" i="2"/>
  <c r="L10" i="2"/>
  <c r="L14" i="2" s="1"/>
  <c r="O14" i="2" s="1"/>
  <c r="J10" i="2"/>
  <c r="I10" i="2"/>
  <c r="S9" i="2"/>
  <c r="AB7" i="2"/>
  <c r="S7" i="2"/>
  <c r="S8" i="2" s="1"/>
  <c r="L6" i="2"/>
  <c r="AB32" i="2" s="1"/>
  <c r="AC32" i="2" s="1"/>
  <c r="A6" i="2"/>
  <c r="A7" i="2" s="1"/>
  <c r="A8" i="2" s="1"/>
  <c r="A9" i="2" s="1"/>
  <c r="A10" i="2" s="1"/>
  <c r="A11" i="2" s="1"/>
  <c r="A12" i="2" s="1"/>
  <c r="A13" i="2" s="1"/>
  <c r="A14" i="2" s="1"/>
  <c r="AR35" i="1"/>
  <c r="AL25" i="1"/>
  <c r="AM25" i="1" s="1"/>
  <c r="AN25" i="1" s="1"/>
  <c r="AO25" i="1" s="1"/>
  <c r="AK25" i="1"/>
  <c r="H15" i="1"/>
  <c r="G15" i="1"/>
  <c r="D30" i="3" s="1"/>
  <c r="F15" i="1"/>
  <c r="C30" i="3" s="1"/>
  <c r="E15" i="1"/>
  <c r="B30" i="3" s="1"/>
  <c r="D15" i="1"/>
  <c r="D29" i="3" s="1"/>
  <c r="C15" i="1"/>
  <c r="B15" i="1"/>
  <c r="AJ14" i="1"/>
  <c r="O14" i="1"/>
  <c r="N14" i="1"/>
  <c r="M14" i="1"/>
  <c r="K14" i="1"/>
  <c r="J14" i="1"/>
  <c r="H14" i="1"/>
  <c r="O13" i="1"/>
  <c r="N13" i="1"/>
  <c r="M13" i="1"/>
  <c r="K13" i="1"/>
  <c r="J13" i="1"/>
  <c r="H13" i="1"/>
  <c r="O12" i="1"/>
  <c r="N12" i="1"/>
  <c r="M12" i="1"/>
  <c r="K12" i="1"/>
  <c r="J12" i="1"/>
  <c r="H12" i="1"/>
  <c r="O11" i="1"/>
  <c r="N11" i="1"/>
  <c r="M11" i="1"/>
  <c r="K11" i="1"/>
  <c r="J11" i="1"/>
  <c r="H11" i="1"/>
  <c r="O10" i="1"/>
  <c r="N10" i="1"/>
  <c r="M10" i="1"/>
  <c r="K10" i="1"/>
  <c r="J10" i="1"/>
  <c r="H10" i="1"/>
  <c r="A10" i="1"/>
  <c r="A11" i="1" s="1"/>
  <c r="A12" i="1" s="1"/>
  <c r="A13" i="1" s="1"/>
  <c r="A14" i="1" s="1"/>
  <c r="O9" i="1"/>
  <c r="N9" i="1"/>
  <c r="M9" i="1"/>
  <c r="K9" i="1"/>
  <c r="J9" i="1"/>
  <c r="H9" i="1"/>
  <c r="O8" i="1"/>
  <c r="N8" i="1"/>
  <c r="M8" i="1"/>
  <c r="K8" i="1"/>
  <c r="J8" i="1"/>
  <c r="H8" i="1"/>
  <c r="A8" i="1"/>
  <c r="A9" i="1" s="1"/>
  <c r="S7" i="1"/>
  <c r="O7" i="1"/>
  <c r="N7" i="1"/>
  <c r="M7" i="1"/>
  <c r="K7" i="1"/>
  <c r="J7" i="1"/>
  <c r="H7" i="1"/>
  <c r="O6" i="1"/>
  <c r="N6" i="1"/>
  <c r="M6" i="1"/>
  <c r="K6" i="1"/>
  <c r="J6" i="1"/>
  <c r="H6" i="1"/>
  <c r="A6" i="1"/>
  <c r="A7" i="1" s="1"/>
  <c r="O5" i="1"/>
  <c r="N5" i="1"/>
  <c r="M5" i="1"/>
  <c r="K5" i="1"/>
  <c r="K15" i="1" s="1"/>
  <c r="J5" i="1"/>
  <c r="J15" i="1" s="1"/>
  <c r="H5" i="1"/>
  <c r="AN4" i="1"/>
  <c r="AO4" i="1" s="1"/>
  <c r="AJ4" i="1"/>
  <c r="AJ20" i="1" s="1"/>
  <c r="AG4" i="1"/>
  <c r="T4" i="1"/>
  <c r="S4" i="1"/>
  <c r="T15" i="1" s="1"/>
  <c r="R4" i="1"/>
  <c r="AL31" i="1" l="1"/>
  <c r="AF6" i="1"/>
  <c r="AM31" i="1"/>
  <c r="AN42" i="1"/>
  <c r="AK29" i="1"/>
  <c r="AJ27" i="1"/>
  <c r="AJ29" i="1"/>
  <c r="AL29" i="1"/>
  <c r="AK27" i="1"/>
  <c r="AG6" i="1"/>
  <c r="AG8" i="1" s="1"/>
  <c r="AL27" i="1"/>
  <c r="AM29" i="1"/>
  <c r="AM27" i="1"/>
  <c r="AO28" i="1"/>
  <c r="AO30" i="1"/>
  <c r="AJ31" i="1"/>
  <c r="AO26" i="1"/>
  <c r="AK31" i="1"/>
  <c r="AM7" i="1"/>
  <c r="AL26" i="1"/>
  <c r="AL28" i="1"/>
  <c r="AL30" i="1"/>
  <c r="AK42" i="1"/>
  <c r="AO5" i="1"/>
  <c r="AJ26" i="1"/>
  <c r="AJ28" i="1"/>
  <c r="AJ30" i="1"/>
  <c r="AK28" i="1"/>
  <c r="AJ42" i="1"/>
  <c r="AN7" i="1"/>
  <c r="AM26" i="1"/>
  <c r="AM28" i="1"/>
  <c r="AM30" i="1"/>
  <c r="AL42" i="1"/>
  <c r="AM5" i="1"/>
  <c r="AN5" i="1"/>
  <c r="AN27" i="1"/>
  <c r="AN29" i="1"/>
  <c r="AN31" i="1"/>
  <c r="AM6" i="1"/>
  <c r="AO27" i="1"/>
  <c r="AO29" i="1"/>
  <c r="AO31" i="1"/>
  <c r="AN6" i="1"/>
  <c r="AO6" i="1"/>
  <c r="AK26" i="1"/>
  <c r="AK30" i="1"/>
  <c r="AN26" i="1"/>
  <c r="AN28" i="1"/>
  <c r="AG7" i="1"/>
  <c r="AN9" i="1"/>
  <c r="AO8" i="1"/>
  <c r="AO9" i="1"/>
  <c r="X13" i="1"/>
  <c r="AR13" i="1"/>
  <c r="T10" i="1"/>
  <c r="Y11" i="1" s="1"/>
  <c r="AW24" i="1" s="1"/>
  <c r="AJ13" i="1"/>
  <c r="U4" i="1"/>
  <c r="T7" i="1" s="1"/>
  <c r="U7" i="1"/>
  <c r="T12" i="3"/>
  <c r="L10" i="3"/>
  <c r="R11" i="1"/>
  <c r="S11" i="1" s="1"/>
  <c r="AB23" i="2"/>
  <c r="AB8" i="2"/>
  <c r="AB10" i="2"/>
  <c r="AB11" i="2"/>
  <c r="AB9" i="2"/>
  <c r="M15" i="1"/>
  <c r="T11" i="1"/>
  <c r="N15" i="1"/>
  <c r="R9" i="1"/>
  <c r="Z7" i="3"/>
  <c r="AB7" i="3" s="1"/>
  <c r="AR4" i="1"/>
  <c r="AR36" i="1"/>
  <c r="T9" i="1"/>
  <c r="Y7" i="1" s="1"/>
  <c r="R13" i="1"/>
  <c r="S13" i="1" s="1"/>
  <c r="R8" i="1"/>
  <c r="S8" i="1" s="1"/>
  <c r="R10" i="1"/>
  <c r="S10" i="1" s="1"/>
  <c r="L21" i="2"/>
  <c r="M13" i="2"/>
  <c r="M12" i="2"/>
  <c r="M16" i="2"/>
  <c r="M19" i="2"/>
  <c r="O19" i="2" s="1"/>
  <c r="Z11" i="3"/>
  <c r="AB11" i="3" s="1"/>
  <c r="L11" i="3"/>
  <c r="O15" i="1"/>
  <c r="R15" i="1"/>
  <c r="S15" i="1" s="1"/>
  <c r="T8" i="1"/>
  <c r="Y5" i="1" s="1"/>
  <c r="N13" i="2"/>
  <c r="N12" i="2"/>
  <c r="N21" i="2" s="1"/>
  <c r="N16" i="2"/>
  <c r="N19" i="2"/>
  <c r="D17" i="3"/>
  <c r="Z8" i="3"/>
  <c r="AB8" i="3" s="1"/>
  <c r="L8" i="3"/>
  <c r="L18" i="3" s="1"/>
  <c r="L19" i="3" s="1"/>
  <c r="J23" i="3" s="1"/>
  <c r="AB15" i="3"/>
  <c r="AA10" i="3"/>
  <c r="AB10" i="3" s="1"/>
  <c r="I21" i="2"/>
  <c r="T9" i="3"/>
  <c r="L16" i="3"/>
  <c r="J21" i="2"/>
  <c r="AB19" i="2"/>
  <c r="AB18" i="2"/>
  <c r="B47" i="3"/>
  <c r="B48" i="3" s="1"/>
  <c r="Z14" i="3"/>
  <c r="AB14" i="3" s="1"/>
  <c r="L14" i="3"/>
  <c r="AB9" i="3"/>
  <c r="AB12" i="3"/>
  <c r="T13" i="1"/>
  <c r="T14" i="1" s="1"/>
  <c r="Y6" i="1" s="1"/>
  <c r="AW8" i="1" s="1"/>
  <c r="M11" i="2"/>
  <c r="T14" i="2"/>
  <c r="L13" i="3"/>
  <c r="T15" i="3"/>
  <c r="L13" i="2"/>
  <c r="T7" i="3"/>
  <c r="AB17" i="2" l="1"/>
  <c r="AB16" i="2"/>
  <c r="O12" i="2"/>
  <c r="M21" i="2"/>
  <c r="R9" i="2" s="1"/>
  <c r="O11" i="2"/>
  <c r="AN32" i="1"/>
  <c r="AW11" i="1"/>
  <c r="L17" i="3"/>
  <c r="T12" i="1"/>
  <c r="Y9" i="1" s="1"/>
  <c r="T17" i="1"/>
  <c r="Y10" i="1" s="1"/>
  <c r="AW22" i="1" s="1"/>
  <c r="Y13" i="1"/>
  <c r="AW25" i="1" s="1"/>
  <c r="AJ32" i="1"/>
  <c r="AP32" i="1" s="1"/>
  <c r="AP26" i="1"/>
  <c r="AW4" i="1"/>
  <c r="AC5" i="1"/>
  <c r="R7" i="2"/>
  <c r="AA7" i="2"/>
  <c r="S16" i="1"/>
  <c r="U15" i="1"/>
  <c r="U10" i="1"/>
  <c r="X11" i="1"/>
  <c r="AP27" i="1"/>
  <c r="AL32" i="1"/>
  <c r="AO32" i="1"/>
  <c r="X5" i="1"/>
  <c r="U8" i="1"/>
  <c r="AB14" i="2"/>
  <c r="AB12" i="2"/>
  <c r="AB13" i="2"/>
  <c r="T18" i="3"/>
  <c r="T19" i="3" s="1"/>
  <c r="R23" i="3" s="1"/>
  <c r="T17" i="3"/>
  <c r="S14" i="1"/>
  <c r="U13" i="1"/>
  <c r="AV25" i="1"/>
  <c r="AP28" i="1"/>
  <c r="O13" i="2"/>
  <c r="AW12" i="1"/>
  <c r="AC7" i="1"/>
  <c r="AP30" i="1"/>
  <c r="AK32" i="1"/>
  <c r="AB26" i="2"/>
  <c r="AB25" i="2"/>
  <c r="AB27" i="2"/>
  <c r="AB24" i="2"/>
  <c r="T16" i="1"/>
  <c r="Y8" i="1" s="1"/>
  <c r="AW16" i="1" s="1"/>
  <c r="AP31" i="1"/>
  <c r="AM32" i="1"/>
  <c r="O16" i="2"/>
  <c r="AR20" i="1"/>
  <c r="AR14" i="1"/>
  <c r="S12" i="1"/>
  <c r="U11" i="1"/>
  <c r="AF7" i="1"/>
  <c r="AJ8" i="1" s="1"/>
  <c r="AJ7" i="1"/>
  <c r="AJ6" i="1"/>
  <c r="AF8" i="1"/>
  <c r="AJ5" i="1" s="1"/>
  <c r="A23" i="3"/>
  <c r="C23" i="3" s="1"/>
  <c r="F23" i="3"/>
  <c r="AB18" i="3"/>
  <c r="AB19" i="3" s="1"/>
  <c r="Z23" i="3" s="1"/>
  <c r="AB17" i="3"/>
  <c r="AM8" i="1"/>
  <c r="AR8" i="1" s="1"/>
  <c r="AM9" i="1"/>
  <c r="AR5" i="1" s="1"/>
  <c r="AR9" i="1" s="1"/>
  <c r="AR7" i="1"/>
  <c r="AR10" i="1" s="1"/>
  <c r="AR6" i="1"/>
  <c r="AB22" i="2"/>
  <c r="AB20" i="2"/>
  <c r="AB21" i="2"/>
  <c r="S9" i="1"/>
  <c r="AN8" i="1"/>
  <c r="AP29" i="1"/>
  <c r="AO37" i="1" l="1"/>
  <c r="AN38" i="1"/>
  <c r="AM36" i="1"/>
  <c r="AL35" i="1"/>
  <c r="AK36" i="1"/>
  <c r="AM35" i="1"/>
  <c r="AN37" i="1"/>
  <c r="AO40" i="1"/>
  <c r="AL40" i="1"/>
  <c r="AK39" i="1"/>
  <c r="AR11" i="1"/>
  <c r="AR15" i="1" s="1"/>
  <c r="AR16" i="1" s="1"/>
  <c r="T9" i="2"/>
  <c r="T7" i="2"/>
  <c r="AN36" i="1"/>
  <c r="AJ35" i="1"/>
  <c r="AO36" i="1"/>
  <c r="AN35" i="1"/>
  <c r="AV4" i="1"/>
  <c r="Z5" i="1"/>
  <c r="AM37" i="1"/>
  <c r="V23" i="3"/>
  <c r="Q23" i="3"/>
  <c r="S23" i="3" s="1"/>
  <c r="AM38" i="1"/>
  <c r="AM39" i="1"/>
  <c r="AK35" i="1"/>
  <c r="AX25" i="1"/>
  <c r="X8" i="1"/>
  <c r="U16" i="1"/>
  <c r="AL38" i="1"/>
  <c r="AM40" i="1"/>
  <c r="AJ10" i="1"/>
  <c r="AN40" i="1"/>
  <c r="Z13" i="1"/>
  <c r="AA8" i="2"/>
  <c r="AC7" i="2"/>
  <c r="AK38" i="1"/>
  <c r="AJ38" i="1"/>
  <c r="AK40" i="1"/>
  <c r="AJ36" i="1"/>
  <c r="AA15" i="2"/>
  <c r="AB29" i="2"/>
  <c r="AB28" i="2"/>
  <c r="AB30" i="2"/>
  <c r="AO39" i="1"/>
  <c r="AO38" i="1"/>
  <c r="X6" i="1"/>
  <c r="U14" i="1"/>
  <c r="AN39" i="1"/>
  <c r="S17" i="1"/>
  <c r="AO35" i="1"/>
  <c r="AW19" i="1"/>
  <c r="AC9" i="1"/>
  <c r="AW20" i="1"/>
  <c r="X9" i="1"/>
  <c r="U12" i="1"/>
  <c r="AL37" i="1"/>
  <c r="N23" i="3"/>
  <c r="I23" i="3"/>
  <c r="K23" i="3" s="1"/>
  <c r="U9" i="1"/>
  <c r="X7" i="1"/>
  <c r="AR17" i="1"/>
  <c r="AL39" i="1"/>
  <c r="AW7" i="1"/>
  <c r="AL36" i="1"/>
  <c r="AK37" i="1"/>
  <c r="AJ39" i="1"/>
  <c r="AA31" i="2"/>
  <c r="AC31" i="2" s="1"/>
  <c r="R13" i="2"/>
  <c r="AJ40" i="1"/>
  <c r="AW23" i="1"/>
  <c r="AW13" i="1"/>
  <c r="AW15" i="1"/>
  <c r="Y23" i="3"/>
  <c r="AA23" i="3" s="1"/>
  <c r="AD23" i="3"/>
  <c r="Z11" i="1"/>
  <c r="AV24" i="1"/>
  <c r="AX24" i="1" s="1"/>
  <c r="G23" i="3"/>
  <c r="B52" i="3"/>
  <c r="B53" i="3" s="1"/>
  <c r="E23" i="3"/>
  <c r="AJ9" i="1"/>
  <c r="AJ37" i="1"/>
  <c r="AR18" i="1" l="1"/>
  <c r="AW18" i="1" s="1"/>
  <c r="AJ11" i="1"/>
  <c r="AW9" i="1" s="1"/>
  <c r="AW17" i="1"/>
  <c r="T11" i="2"/>
  <c r="AJ15" i="1"/>
  <c r="Z7" i="1"/>
  <c r="AV12" i="1"/>
  <c r="U17" i="1"/>
  <c r="X10" i="1"/>
  <c r="T13" i="2"/>
  <c r="O23" i="3"/>
  <c r="M23" i="3"/>
  <c r="AV16" i="1"/>
  <c r="Z8" i="1"/>
  <c r="AA11" i="2"/>
  <c r="AV8" i="1"/>
  <c r="Z6" i="1"/>
  <c r="Z9" i="1"/>
  <c r="AV20" i="1"/>
  <c r="AC8" i="2"/>
  <c r="AA9" i="2"/>
  <c r="R8" i="2"/>
  <c r="AW21" i="1"/>
  <c r="W23" i="3"/>
  <c r="U23" i="3"/>
  <c r="AC23" i="3"/>
  <c r="AE23" i="3"/>
  <c r="R10" i="2"/>
  <c r="AW14" i="1"/>
  <c r="AW5" i="1"/>
  <c r="AA19" i="2"/>
  <c r="AC15" i="2"/>
  <c r="AA16" i="2"/>
  <c r="AA5" i="1"/>
  <c r="AB5" i="1" s="1"/>
  <c r="AV5" i="1"/>
  <c r="AX5" i="1" s="1"/>
  <c r="AX4" i="1"/>
  <c r="AV7" i="1"/>
  <c r="AX7" i="1" s="1"/>
  <c r="AV6" i="1"/>
  <c r="AV13" i="1" l="1"/>
  <c r="AX13" i="1" s="1"/>
  <c r="AV15" i="1"/>
  <c r="AX15" i="1" s="1"/>
  <c r="AX12" i="1"/>
  <c r="AV14" i="1"/>
  <c r="AX14" i="1" s="1"/>
  <c r="AA7" i="1"/>
  <c r="AB7" i="1" s="1"/>
  <c r="AX8" i="1"/>
  <c r="AY4" i="1" s="1"/>
  <c r="AV9" i="1"/>
  <c r="AX9" i="1" s="1"/>
  <c r="AY5" i="1" s="1"/>
  <c r="AV11" i="1"/>
  <c r="AX11" i="1" s="1"/>
  <c r="AY7" i="1" s="1"/>
  <c r="AV10" i="1"/>
  <c r="AC11" i="2"/>
  <c r="AD7" i="2" s="1"/>
  <c r="AE7" i="2" s="1"/>
  <c r="AA12" i="2"/>
  <c r="AF7" i="2"/>
  <c r="AA27" i="2"/>
  <c r="AF23" i="2" s="1"/>
  <c r="AJ17" i="1"/>
  <c r="AJ16" i="1"/>
  <c r="AJ18" i="1" s="1"/>
  <c r="AC23" i="2"/>
  <c r="AA24" i="2"/>
  <c r="AF16" i="2"/>
  <c r="AA17" i="2"/>
  <c r="AC16" i="2"/>
  <c r="AV17" i="1"/>
  <c r="AX17" i="1" s="1"/>
  <c r="AV19" i="1"/>
  <c r="AX19" i="1" s="1"/>
  <c r="AV18" i="1"/>
  <c r="AX18" i="1" s="1"/>
  <c r="AX16" i="1"/>
  <c r="AR37" i="1"/>
  <c r="AR38" i="1"/>
  <c r="T8" i="2"/>
  <c r="U7" i="2" s="1"/>
  <c r="V7" i="2" s="1"/>
  <c r="W7" i="2"/>
  <c r="AC19" i="2"/>
  <c r="AD15" i="2" s="1"/>
  <c r="AE15" i="2" s="1"/>
  <c r="AA20" i="2"/>
  <c r="AC9" i="2"/>
  <c r="AA10" i="2"/>
  <c r="AF15" i="2"/>
  <c r="R12" i="2"/>
  <c r="AV21" i="1"/>
  <c r="AX21" i="1" s="1"/>
  <c r="AX20" i="1"/>
  <c r="AV22" i="1"/>
  <c r="Z10" i="1"/>
  <c r="AA9" i="1" s="1"/>
  <c r="AB9" i="1" s="1"/>
  <c r="T10" i="2"/>
  <c r="U9" i="2" s="1"/>
  <c r="V9" i="2" s="1"/>
  <c r="W9" i="2"/>
  <c r="AY14" i="1" l="1"/>
  <c r="AC20" i="2"/>
  <c r="AD16" i="2" s="1"/>
  <c r="AE16" i="2" s="1"/>
  <c r="AA21" i="2"/>
  <c r="AC17" i="2"/>
  <c r="AA18" i="2"/>
  <c r="AF17" i="2"/>
  <c r="AA25" i="2"/>
  <c r="AC24" i="2"/>
  <c r="AX22" i="1"/>
  <c r="AY20" i="1" s="1"/>
  <c r="AV23" i="1"/>
  <c r="AX23" i="1" s="1"/>
  <c r="AY21" i="1" s="1"/>
  <c r="AW10" i="1"/>
  <c r="AX10" i="1" s="1"/>
  <c r="AW6" i="1"/>
  <c r="AX6" i="1" s="1"/>
  <c r="AR39" i="1"/>
  <c r="T12" i="2"/>
  <c r="U11" i="2" s="1"/>
  <c r="V11" i="2" s="1"/>
  <c r="W11" i="2"/>
  <c r="AA28" i="2"/>
  <c r="AF24" i="2" s="1"/>
  <c r="AC27" i="2"/>
  <c r="AD23" i="2" s="1"/>
  <c r="AE23" i="2" s="1"/>
  <c r="AY12" i="1"/>
  <c r="AY15" i="1"/>
  <c r="AC10" i="2"/>
  <c r="AA13" i="2"/>
  <c r="AC12" i="2"/>
  <c r="AD8" i="2" s="1"/>
  <c r="AE8" i="2" s="1"/>
  <c r="AF8" i="2"/>
  <c r="AY13" i="1"/>
  <c r="AY6" i="1" l="1"/>
  <c r="AA22" i="2"/>
  <c r="AC22" i="2" s="1"/>
  <c r="AC21" i="2"/>
  <c r="AC18" i="2"/>
  <c r="AD18" i="2" s="1"/>
  <c r="AE18" i="2" s="1"/>
  <c r="AF18" i="2"/>
  <c r="AD17" i="2"/>
  <c r="AE17" i="2" s="1"/>
  <c r="AA14" i="2"/>
  <c r="AC13" i="2"/>
  <c r="AD9" i="2" s="1"/>
  <c r="AE9" i="2" s="1"/>
  <c r="AF9" i="2"/>
  <c r="AA26" i="2"/>
  <c r="AF25" i="2"/>
  <c r="AC25" i="2"/>
  <c r="AC28" i="2"/>
  <c r="AD24" i="2" s="1"/>
  <c r="AE24" i="2" s="1"/>
  <c r="AA29" i="2"/>
  <c r="AC26" i="2" l="1"/>
  <c r="AC14" i="2"/>
  <c r="AD10" i="2" s="1"/>
  <c r="AE10" i="2" s="1"/>
  <c r="AF10" i="2"/>
  <c r="AC29" i="2"/>
  <c r="AD25" i="2" s="1"/>
  <c r="AE25" i="2" s="1"/>
  <c r="AA30" i="2"/>
  <c r="AC30" i="2" s="1"/>
  <c r="AD26" i="2" l="1"/>
  <c r="AE26" i="2" s="1"/>
  <c r="AF2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<sst xmlns="http://schemas.openxmlformats.org/spreadsheetml/2006/main" count="292" uniqueCount="100">
  <si>
    <t>ANOVA repeated measures - 2 within-subjects factors</t>
  </si>
  <si>
    <t>Working Table</t>
  </si>
  <si>
    <t>Covariance Matrix (A)</t>
  </si>
  <si>
    <t>EPSILON</t>
  </si>
  <si>
    <t>Covariance Matrix (B)</t>
  </si>
  <si>
    <t>ANOVA</t>
  </si>
  <si>
    <t>Pre</t>
  </si>
  <si>
    <t>Post</t>
  </si>
  <si>
    <t>a</t>
  </si>
  <si>
    <t>b</t>
  </si>
  <si>
    <t>m</t>
  </si>
  <si>
    <t>n</t>
  </si>
  <si>
    <t>Sources of Variation</t>
  </si>
  <si>
    <t>SS</t>
  </si>
  <si>
    <t>df</t>
  </si>
  <si>
    <t>MS</t>
  </si>
  <si>
    <t>F</t>
  </si>
  <si>
    <t>P-value</t>
  </si>
  <si>
    <t>F crit</t>
  </si>
  <si>
    <t>Subject</t>
  </si>
  <si>
    <t>Product</t>
  </si>
  <si>
    <t>Client</t>
  </si>
  <si>
    <t>Action</t>
  </si>
  <si>
    <t>Sources</t>
  </si>
  <si>
    <t># Groups</t>
  </si>
  <si>
    <t>A (Training)</t>
  </si>
  <si>
    <t>Sphericity</t>
  </si>
  <si>
    <t>Means of Var</t>
  </si>
  <si>
    <t>GG</t>
  </si>
  <si>
    <t>count</t>
  </si>
  <si>
    <t>A x C (Error)</t>
  </si>
  <si>
    <t>Matrix Mean</t>
  </si>
  <si>
    <t>HF</t>
  </si>
  <si>
    <t>Total</t>
  </si>
  <si>
    <t>B (Skill)</t>
  </si>
  <si>
    <t>mean</t>
  </si>
  <si>
    <t>SS Matrix</t>
  </si>
  <si>
    <t>Lower Bound</t>
  </si>
  <si>
    <t>B x C (Error)</t>
  </si>
  <si>
    <t>variance</t>
  </si>
  <si>
    <t>SS Row Means</t>
  </si>
  <si>
    <t>A x B</t>
  </si>
  <si>
    <t>GG Numerator</t>
  </si>
  <si>
    <t>C (Subject)</t>
  </si>
  <si>
    <t>A x B x C (Error)</t>
  </si>
  <si>
    <t>GG Denominator</t>
  </si>
  <si>
    <t>AB Bet</t>
  </si>
  <si>
    <t>GG Epsilon</t>
  </si>
  <si>
    <t>AC Bet</t>
  </si>
  <si>
    <t># Subjects</t>
  </si>
  <si>
    <t>A x C</t>
  </si>
  <si>
    <t>BC Bet</t>
  </si>
  <si>
    <t>B x C</t>
  </si>
  <si>
    <t>HF Numerator</t>
  </si>
  <si>
    <t>A x B x C</t>
  </si>
  <si>
    <t>HF Denominator</t>
  </si>
  <si>
    <t>HF Epsilon</t>
  </si>
  <si>
    <t>Covariance (AB)</t>
  </si>
  <si>
    <t>#A</t>
  </si>
  <si>
    <t>#B</t>
  </si>
  <si>
    <t>GG Num</t>
  </si>
  <si>
    <t>GG Den</t>
  </si>
  <si>
    <t>Counts</t>
  </si>
  <si>
    <t>Two-way Repeated Measures Anova</t>
  </si>
  <si>
    <t>Repeated Measures Anova (sphericity corrections)</t>
  </si>
  <si>
    <t>Fact A</t>
  </si>
  <si>
    <t>Fact B</t>
  </si>
  <si>
    <t>Alpha</t>
  </si>
  <si>
    <t>P value</t>
  </si>
  <si>
    <t>P Eta-sq</t>
  </si>
  <si>
    <t>Factor A</t>
  </si>
  <si>
    <t>Interactions</t>
  </si>
  <si>
    <t>Error</t>
  </si>
  <si>
    <t>Factor B</t>
  </si>
  <si>
    <t>Low Bound</t>
  </si>
  <si>
    <t>ANOVA repeated measures - 2 within-subjects factors (contrasts)</t>
  </si>
  <si>
    <t>Pre vs Post</t>
  </si>
  <si>
    <t>Contrast</t>
  </si>
  <si>
    <t>Diff</t>
  </si>
  <si>
    <t>std dev</t>
  </si>
  <si>
    <t>std err</t>
  </si>
  <si>
    <t>T-TEST</t>
  </si>
  <si>
    <t>std error</t>
  </si>
  <si>
    <t>t-score</t>
  </si>
  <si>
    <t>p-value</t>
  </si>
  <si>
    <t>effect d</t>
  </si>
  <si>
    <t>effect r</t>
  </si>
  <si>
    <t>Interaction</t>
  </si>
  <si>
    <t>Tukey's HSD</t>
  </si>
  <si>
    <t>Client vs Training</t>
  </si>
  <si>
    <t>k</t>
  </si>
  <si>
    <t>α</t>
  </si>
  <si>
    <t>q-crit</t>
  </si>
  <si>
    <t>t-crit</t>
  </si>
  <si>
    <t>t-obs</t>
  </si>
  <si>
    <t>sig</t>
  </si>
  <si>
    <t>Real Statistics Using Excel</t>
  </si>
  <si>
    <t>Updated</t>
  </si>
  <si>
    <t>Copyright © 2013 - 2024 Charles Zaiontz</t>
  </si>
  <si>
    <t>Two within subjects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</si>
</sst>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/>
    <xf numFmtId="0" fontId="0" fillId="0" borderId="4" xfId="0" applyBorder="1" applyAlignment="1">
      <alignment horizontal="center"/>
    </xf>
    <xf numFmtId="1" fontId="0" fillId="0" borderId="16" xfId="0" applyNumberFormat="1" applyBorder="1"/>
    <xf numFmtId="0" fontId="0" fillId="0" borderId="36" xfId="0" applyBorder="1"/>
    <xf numFmtId="0" fontId="0" fillId="0" borderId="39" xfId="0" applyBorder="1"/>
    <xf numFmtId="0" fontId="0" fillId="0" borderId="37" xfId="0" applyBorder="1"/>
    <xf numFmtId="0" fontId="3" fillId="0" borderId="0" xfId="0" applyFont="1"/>
    <xf numFmtId="0" fontId="0" fillId="0" borderId="15" xfId="0" applyBorder="1" applyAlignment="1">
      <alignment horizontal="right"/>
    </xf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Contrasts!$A$29</c:f>
              <c:strCache>
                <c:ptCount val="1"/>
                <c:pt idx="0">
                  <c:v>Pre</c:v>
                </c:pt>
              </c:strCache>
            </c:strRef>
          </c:tx>
          <c:cat>
            <c:strRef>
              <c:f>Contrasts!$B$28:$D$28</c:f>
              <c:strCache>
                <c:ptCount val="3"/>
                <c:pt idx="0">
                  <c:v>Product</c:v>
                </c:pt>
                <c:pt idx="1">
                  <c:v>Client</c:v>
                </c:pt>
                <c:pt idx="2">
                  <c:v>Action</c:v>
                </c:pt>
              </c:strCache>
            </c:strRef>
          </c:cat>
          <c:val>
            <c:numRef>
              <c:f>Contrasts!$B$29:$D$29</c:f>
              <c:numCache>
                <c:formatCode>General</c:formatCode>
                <c:ptCount val="3"/>
                <c:pt idx="0">
                  <c:v>15.5</c:v>
                </c:pt>
                <c:pt idx="1">
                  <c:v>20.3</c:v>
                </c:pt>
                <c:pt idx="2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7-4190-B1EE-DD9720252E30}"/>
            </c:ext>
          </c:extLst>
        </c:ser>
        <c:ser>
          <c:idx val="1"/>
          <c:order val="1"/>
          <c:tx>
            <c:strRef>
              <c:f>Contrasts!$A$30</c:f>
              <c:strCache>
                <c:ptCount val="1"/>
                <c:pt idx="0">
                  <c:v>Post</c:v>
                </c:pt>
              </c:strCache>
            </c:strRef>
          </c:tx>
          <c:cat>
            <c:strRef>
              <c:f>Contrasts!$B$28:$D$28</c:f>
              <c:strCache>
                <c:ptCount val="3"/>
                <c:pt idx="0">
                  <c:v>Product</c:v>
                </c:pt>
                <c:pt idx="1">
                  <c:v>Client</c:v>
                </c:pt>
                <c:pt idx="2">
                  <c:v>Action</c:v>
                </c:pt>
              </c:strCache>
            </c:strRef>
          </c:cat>
          <c:val>
            <c:numRef>
              <c:f>Contrasts!$B$30:$D$30</c:f>
              <c:numCache>
                <c:formatCode>General</c:formatCode>
                <c:ptCount val="3"/>
                <c:pt idx="0">
                  <c:v>17.5</c:v>
                </c:pt>
                <c:pt idx="1">
                  <c:v>29.9</c:v>
                </c:pt>
                <c:pt idx="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7-4190-B1EE-DD972025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697912"/>
        <c:axId val="328700656"/>
      </c:lineChart>
      <c:catAx>
        <c:axId val="328697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8700656"/>
        <c:crosses val="autoZero"/>
        <c:auto val="1"/>
        <c:lblAlgn val="ctr"/>
        <c:lblOffset val="100"/>
        <c:noMultiLvlLbl val="0"/>
      </c:catAx>
      <c:valAx>
        <c:axId val="328700656"/>
        <c:scaling>
          <c:orientation val="minMax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8697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Contrasts!$B$28</c:f>
              <c:strCache>
                <c:ptCount val="1"/>
                <c:pt idx="0">
                  <c:v>Product</c:v>
                </c:pt>
              </c:strCache>
            </c:strRef>
          </c:tx>
          <c:cat>
            <c:strRef>
              <c:f>Contrasts!$A$29:$A$30</c:f>
              <c:strCache>
                <c:ptCount val="2"/>
                <c:pt idx="0">
                  <c:v>Pre</c:v>
                </c:pt>
                <c:pt idx="1">
                  <c:v>Post</c:v>
                </c:pt>
              </c:strCache>
            </c:strRef>
          </c:cat>
          <c:val>
            <c:numRef>
              <c:f>Contrasts!$B$29:$B$30</c:f>
              <c:numCache>
                <c:formatCode>General</c:formatCode>
                <c:ptCount val="2"/>
                <c:pt idx="0">
                  <c:v>15.5</c:v>
                </c:pt>
                <c:pt idx="1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9-48BC-B102-19FA4B03B33C}"/>
            </c:ext>
          </c:extLst>
        </c:ser>
        <c:ser>
          <c:idx val="1"/>
          <c:order val="1"/>
          <c:tx>
            <c:strRef>
              <c:f>Contrasts!$C$28</c:f>
              <c:strCache>
                <c:ptCount val="1"/>
                <c:pt idx="0">
                  <c:v>Client</c:v>
                </c:pt>
              </c:strCache>
            </c:strRef>
          </c:tx>
          <c:cat>
            <c:strRef>
              <c:f>Contrasts!$A$29:$A$30</c:f>
              <c:strCache>
                <c:ptCount val="2"/>
                <c:pt idx="0">
                  <c:v>Pre</c:v>
                </c:pt>
                <c:pt idx="1">
                  <c:v>Post</c:v>
                </c:pt>
              </c:strCache>
            </c:strRef>
          </c:cat>
          <c:val>
            <c:numRef>
              <c:f>Contrasts!$C$29:$C$30</c:f>
              <c:numCache>
                <c:formatCode>General</c:formatCode>
                <c:ptCount val="2"/>
                <c:pt idx="0">
                  <c:v>20.3</c:v>
                </c:pt>
                <c:pt idx="1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9-48BC-B102-19FA4B03B33C}"/>
            </c:ext>
          </c:extLst>
        </c:ser>
        <c:ser>
          <c:idx val="2"/>
          <c:order val="2"/>
          <c:tx>
            <c:strRef>
              <c:f>Contrasts!$D$28</c:f>
              <c:strCache>
                <c:ptCount val="1"/>
                <c:pt idx="0">
                  <c:v>Action</c:v>
                </c:pt>
              </c:strCache>
            </c:strRef>
          </c:tx>
          <c:cat>
            <c:strRef>
              <c:f>Contrasts!$A$29:$A$30</c:f>
              <c:strCache>
                <c:ptCount val="2"/>
                <c:pt idx="0">
                  <c:v>Pre</c:v>
                </c:pt>
                <c:pt idx="1">
                  <c:v>Post</c:v>
                </c:pt>
              </c:strCache>
            </c:strRef>
          </c:cat>
          <c:val>
            <c:numRef>
              <c:f>Contrasts!$D$29:$D$30</c:f>
              <c:numCache>
                <c:formatCode>General</c:formatCode>
                <c:ptCount val="2"/>
                <c:pt idx="0">
                  <c:v>22.3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9-48BC-B102-19FA4B03B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698696"/>
        <c:axId val="328704184"/>
      </c:lineChart>
      <c:catAx>
        <c:axId val="328698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8704184"/>
        <c:crosses val="autoZero"/>
        <c:auto val="1"/>
        <c:lblAlgn val="ctr"/>
        <c:lblOffset val="100"/>
        <c:noMultiLvlLbl val="0"/>
      </c:catAx>
      <c:valAx>
        <c:axId val="328704184"/>
        <c:scaling>
          <c:orientation val="minMax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8698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26</xdr:row>
      <xdr:rowOff>104774</xdr:rowOff>
    </xdr:from>
    <xdr:to>
      <xdr:col>10</xdr:col>
      <xdr:colOff>519112</xdr:colOff>
      <xdr:row>37</xdr:row>
      <xdr:rowOff>160971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E7226E-F921-42A2-883C-13D0A666B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26</xdr:row>
      <xdr:rowOff>114300</xdr:rowOff>
    </xdr:from>
    <xdr:to>
      <xdr:col>16</xdr:col>
      <xdr:colOff>438151</xdr:colOff>
      <xdr:row>38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D6A929-CE72-4DE5-B16B-8417A3FCC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ANOVA%202%2029%20January%202022.xlsx" TargetMode="External"/><Relationship Id="rId1" Type="http://schemas.openxmlformats.org/officeDocument/2006/relationships/externalLinkPath" Target="/38f5cd2f1f925cfd/Documenti/A%20Real%20Statistics%202020/Examples/Real%20Statistics%20Examples%20ANOVA%202%2029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Rand Anova"/>
      <sheetName val="Mixed"/>
      <sheetName val="Rand Anova 2"/>
      <sheetName val="Nested"/>
      <sheetName val="Nested 1 "/>
      <sheetName val="Nested 1a"/>
      <sheetName val="Nested 2"/>
      <sheetName val="RCBD"/>
      <sheetName val="RCBD 1"/>
      <sheetName val="RCBD 2"/>
      <sheetName val="RCBD 3"/>
      <sheetName val="RCBD 3A"/>
      <sheetName val="RCBD 4"/>
      <sheetName val="RCBD 5"/>
      <sheetName val="RCBD 6"/>
      <sheetName val="RCBD 7"/>
      <sheetName val="RCBD 8"/>
      <sheetName val="RCBD 9"/>
      <sheetName val="RCBD 10"/>
      <sheetName val="Split 1"/>
      <sheetName val="Split 2"/>
      <sheetName val="Split 3"/>
      <sheetName val="Split 4"/>
      <sheetName val="Split 5"/>
      <sheetName val="Latin"/>
      <sheetName val="Latin 1"/>
      <sheetName val="Latin 2"/>
      <sheetName val="Latin 3"/>
      <sheetName val="Latin 4"/>
      <sheetName val="Latin 5"/>
      <sheetName val="Fact 1"/>
      <sheetName val="Fact 2"/>
      <sheetName val="Fact 3"/>
      <sheetName val="Fact 4"/>
      <sheetName val="Fact 5"/>
      <sheetName val="Fact 6"/>
      <sheetName val="Fact 7"/>
      <sheetName val="ANOVA Match 1.1"/>
      <sheetName val="ANOVA Match 1.2"/>
      <sheetName val="ANOVA Match 1.2a"/>
      <sheetName val="ANOVA Match 1.3"/>
      <sheetName val="ANOVA Match 1.3a"/>
      <sheetName val="ANOVA Match 1.4"/>
      <sheetName val="ANOVA Match 1.5"/>
      <sheetName val="ANOVA Match 1.6"/>
      <sheetName val="ANOVA Match 2.1"/>
      <sheetName val="ANOVA Match 2.1a"/>
      <sheetName val="ANOVA Match 2.2"/>
      <sheetName val="ANOVA Match 2.3"/>
      <sheetName val="ANOVA Match 2.3A"/>
      <sheetName val="ANOVA Match 2.3B"/>
      <sheetName val="ANOVA Match 2.4"/>
      <sheetName val="ANOVA Match 2.5"/>
      <sheetName val="ANOVA Match 2.5A"/>
      <sheetName val="ANOVA Match 2.5B"/>
      <sheetName val="ANOVA Match 3A"/>
      <sheetName val="ANOVA Match 3B"/>
      <sheetName val="Friedman"/>
      <sheetName val="Friedman 1"/>
      <sheetName val="Cochran 1"/>
      <sheetName val="Cochran 2"/>
      <sheetName val="ANCOVA 1"/>
      <sheetName val="ANCOVA 2"/>
      <sheetName val="ANCOVA 3"/>
      <sheetName val="ANCOVA 4"/>
      <sheetName val="ANCOVA Contrasts"/>
      <sheetName val="ANCOVA Tukey"/>
      <sheetName val="ANCOVA Std"/>
      <sheetName val="ANCOVA Std 1"/>
      <sheetName val="ANCOVA A"/>
      <sheetName val="ANCOVA B"/>
      <sheetName val="ANCOVA C"/>
      <sheetName val="ANCOVA D"/>
      <sheetName val="ANCOVA E"/>
      <sheetName val="ANCOVA F"/>
      <sheetName val="ANCOVA G"/>
      <sheetName val="ANCOVA H"/>
      <sheetName val="ICC1"/>
      <sheetName val="ICC1a"/>
      <sheetName val="ICC2"/>
      <sheetName val="ICC3"/>
      <sheetName val="ICC4"/>
      <sheetName val="ICC5"/>
      <sheetName val="Stud. Q Table"/>
      <sheetName val="Stud. Q Tabl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8">
          <cell r="B28" t="str">
            <v>Product</v>
          </cell>
          <cell r="C28" t="str">
            <v>Client</v>
          </cell>
          <cell r="D28" t="str">
            <v>Action</v>
          </cell>
        </row>
        <row r="29">
          <cell r="A29" t="str">
            <v>Pre</v>
          </cell>
          <cell r="B29">
            <v>15.5</v>
          </cell>
          <cell r="C29">
            <v>20.3</v>
          </cell>
          <cell r="D29">
            <v>22.3</v>
          </cell>
        </row>
        <row r="30">
          <cell r="A30" t="str">
            <v>Post</v>
          </cell>
          <cell r="B30">
            <v>17.5</v>
          </cell>
          <cell r="C30">
            <v>29.9</v>
          </cell>
          <cell r="D30">
            <v>33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64">
          <cell r="F64">
            <v>5.024</v>
          </cell>
        </row>
      </sheetData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D3BD-6405-4D55-9E4D-050232C4F0E6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96</v>
      </c>
    </row>
    <row r="2" spans="1:13" x14ac:dyDescent="0.35">
      <c r="A2" t="s">
        <v>99</v>
      </c>
    </row>
    <row r="4" spans="1:13" x14ac:dyDescent="0.35">
      <c r="A4" t="s">
        <v>97</v>
      </c>
      <c r="B4" s="59">
        <v>45484</v>
      </c>
    </row>
    <row r="6" spans="1:13" x14ac:dyDescent="0.35">
      <c r="A6" s="60" t="s">
        <v>98</v>
      </c>
    </row>
    <row r="10" spans="1:13" ht="18.5" x14ac:dyDescent="0.45">
      <c r="M10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F393-6A9E-47DA-BA1C-AE74E5EF0187}">
  <sheetPr codeName="Sheet178"/>
  <dimension ref="A1:BA42"/>
  <sheetViews>
    <sheetView workbookViewId="0"/>
  </sheetViews>
  <sheetFormatPr defaultRowHeight="14.5" x14ac:dyDescent="0.35"/>
  <cols>
    <col min="1" max="1" width="8" customWidth="1"/>
    <col min="2" max="8" width="8.81640625" customWidth="1"/>
    <col min="9" max="9" width="4.453125" customWidth="1"/>
    <col min="10" max="11" width="8.81640625" customWidth="1"/>
    <col min="12" max="12" width="3.1796875" customWidth="1"/>
    <col min="13" max="16" width="8.81640625" customWidth="1"/>
    <col min="17" max="17" width="11.7265625" customWidth="1"/>
    <col min="23" max="23" width="15.26953125" customWidth="1"/>
    <col min="35" max="35" width="16" customWidth="1"/>
    <col min="38" max="38" width="8" customWidth="1"/>
    <col min="42" max="42" width="4.1796875" customWidth="1"/>
    <col min="43" max="43" width="17.1796875" customWidth="1"/>
    <col min="46" max="46" width="14.7265625" customWidth="1"/>
    <col min="47" max="47" width="12.7265625" customWidth="1"/>
    <col min="52" max="52" width="9.1796875" customWidth="1"/>
  </cols>
  <sheetData>
    <row r="1" spans="1:53" x14ac:dyDescent="0.35">
      <c r="A1" s="1" t="s">
        <v>0</v>
      </c>
      <c r="Q1" t="s">
        <v>1</v>
      </c>
    </row>
    <row r="2" spans="1:53" ht="15" thickBot="1" x14ac:dyDescent="0.4">
      <c r="A2" s="1"/>
      <c r="AF2" t="s">
        <v>2</v>
      </c>
      <c r="AI2" t="s">
        <v>3</v>
      </c>
      <c r="AM2" t="s">
        <v>4</v>
      </c>
      <c r="AQ2" t="s">
        <v>3</v>
      </c>
      <c r="AT2" t="s">
        <v>5</v>
      </c>
    </row>
    <row r="3" spans="1:53" ht="15" thickBot="1" x14ac:dyDescent="0.4">
      <c r="A3" s="1"/>
      <c r="B3" s="2" t="s">
        <v>6</v>
      </c>
      <c r="C3" s="3" t="s">
        <v>6</v>
      </c>
      <c r="D3" s="4" t="s">
        <v>6</v>
      </c>
      <c r="E3" s="2" t="s">
        <v>7</v>
      </c>
      <c r="F3" s="3" t="s">
        <v>7</v>
      </c>
      <c r="G3" s="4" t="s">
        <v>7</v>
      </c>
      <c r="R3" s="5" t="s">
        <v>8</v>
      </c>
      <c r="S3" s="5" t="s">
        <v>9</v>
      </c>
      <c r="T3" s="5" t="s">
        <v>10</v>
      </c>
      <c r="U3" s="5" t="s">
        <v>11</v>
      </c>
      <c r="W3" t="s">
        <v>5</v>
      </c>
      <c r="AT3" s="6" t="s">
        <v>12</v>
      </c>
      <c r="AU3" s="6"/>
      <c r="AV3" s="7" t="s">
        <v>13</v>
      </c>
      <c r="AW3" s="7" t="s">
        <v>14</v>
      </c>
      <c r="AX3" s="7" t="s">
        <v>15</v>
      </c>
      <c r="AY3" s="7" t="s">
        <v>16</v>
      </c>
      <c r="AZ3" s="7" t="s">
        <v>17</v>
      </c>
      <c r="BA3" s="7" t="s">
        <v>18</v>
      </c>
    </row>
    <row r="4" spans="1:53" x14ac:dyDescent="0.35">
      <c r="A4" s="8" t="s">
        <v>19</v>
      </c>
      <c r="B4" s="9" t="s">
        <v>20</v>
      </c>
      <c r="C4" s="10" t="s">
        <v>21</v>
      </c>
      <c r="D4" s="11" t="s">
        <v>22</v>
      </c>
      <c r="E4" s="9" t="s">
        <v>20</v>
      </c>
      <c r="F4" s="10" t="s">
        <v>21</v>
      </c>
      <c r="G4" s="11" t="s">
        <v>22</v>
      </c>
      <c r="J4" s="8" t="s">
        <v>6</v>
      </c>
      <c r="K4" s="8" t="s">
        <v>7</v>
      </c>
      <c r="M4" s="8" t="s">
        <v>20</v>
      </c>
      <c r="N4" s="8" t="s">
        <v>21</v>
      </c>
      <c r="O4" s="8" t="s">
        <v>22</v>
      </c>
      <c r="R4" s="12">
        <f>COUNTA(J4:K4)</f>
        <v>2</v>
      </c>
      <c r="S4" s="13">
        <f>COUNTA(M4:O4)</f>
        <v>3</v>
      </c>
      <c r="T4" s="13">
        <f>COUNTA(A5:A14)</f>
        <v>10</v>
      </c>
      <c r="U4" s="14">
        <f>PRODUCT(R4:T4)</f>
        <v>60</v>
      </c>
      <c r="W4" s="7" t="s">
        <v>23</v>
      </c>
      <c r="X4" s="7" t="s">
        <v>13</v>
      </c>
      <c r="Y4" s="7" t="s">
        <v>14</v>
      </c>
      <c r="Z4" s="7" t="s">
        <v>15</v>
      </c>
      <c r="AA4" s="7" t="s">
        <v>16</v>
      </c>
      <c r="AB4" s="7" t="s">
        <v>17</v>
      </c>
      <c r="AC4" s="7" t="s">
        <v>18</v>
      </c>
      <c r="AF4">
        <v>1</v>
      </c>
      <c r="AG4">
        <f>AF4+1</f>
        <v>2</v>
      </c>
      <c r="AI4" t="s">
        <v>24</v>
      </c>
      <c r="AJ4" s="15">
        <f>R4</f>
        <v>2</v>
      </c>
      <c r="AM4">
        <v>1</v>
      </c>
      <c r="AN4">
        <f>AM4+1</f>
        <v>2</v>
      </c>
      <c r="AO4">
        <f>AN4+1</f>
        <v>3</v>
      </c>
      <c r="AQ4" t="s">
        <v>24</v>
      </c>
      <c r="AR4" s="15">
        <f>S4</f>
        <v>3</v>
      </c>
      <c r="AT4" t="s">
        <v>25</v>
      </c>
      <c r="AU4" t="s">
        <v>26</v>
      </c>
      <c r="AV4">
        <f>X5</f>
        <v>828.81666666666672</v>
      </c>
      <c r="AW4">
        <f>Y5</f>
        <v>1</v>
      </c>
      <c r="AX4">
        <f>AV4/AW4</f>
        <v>828.81666666666672</v>
      </c>
      <c r="AY4">
        <f>AX4/AX8</f>
        <v>33.852280462899877</v>
      </c>
      <c r="AZ4" t="e">
        <f ca="1">F_DIST_RT(AY4,AW4,AW8)</f>
        <v>#NAME?</v>
      </c>
      <c r="BA4" t="e">
        <f ca="1">F_INV_RT(0.05,AW4,AW8)</f>
        <v>#NAME?</v>
      </c>
    </row>
    <row r="5" spans="1:53" x14ac:dyDescent="0.35">
      <c r="A5" s="8">
        <v>1</v>
      </c>
      <c r="B5" s="16">
        <v>13</v>
      </c>
      <c r="C5" s="17">
        <v>12</v>
      </c>
      <c r="D5" s="18">
        <v>17</v>
      </c>
      <c r="E5" s="16">
        <v>18</v>
      </c>
      <c r="F5" s="17">
        <v>30</v>
      </c>
      <c r="G5" s="18">
        <v>34</v>
      </c>
      <c r="H5">
        <f>AVERAGE(B5:G5)</f>
        <v>20.666666666666668</v>
      </c>
      <c r="J5" s="16">
        <f t="shared" ref="J5:K14" si="0">AVERAGEIF($B$3:$G$3,J$4,$B5:$G5)</f>
        <v>14</v>
      </c>
      <c r="K5" s="18">
        <f t="shared" si="0"/>
        <v>27.333333333333332</v>
      </c>
      <c r="M5" s="16">
        <f>AVERAGEIF($B$4:$G$4,M$4,$B5:$G5)</f>
        <v>15.5</v>
      </c>
      <c r="N5" s="17">
        <f t="shared" ref="N5:O8" si="1">AVERAGEIF($B$4:$G$4,N$4,$B5:$G5)</f>
        <v>21</v>
      </c>
      <c r="O5" s="18">
        <f t="shared" si="1"/>
        <v>25.5</v>
      </c>
      <c r="W5" t="s">
        <v>25</v>
      </c>
      <c r="X5">
        <f>S8</f>
        <v>828.81666666666672</v>
      </c>
      <c r="Y5">
        <f>T8</f>
        <v>1</v>
      </c>
      <c r="Z5">
        <f>X5/Y5</f>
        <v>828.81666666666672</v>
      </c>
      <c r="AA5">
        <f>Z5/Z6</f>
        <v>33.852280462899877</v>
      </c>
      <c r="AB5">
        <f>FDIST(AA5,Y5,Y6)</f>
        <v>2.5360766055906994E-4</v>
      </c>
      <c r="AC5">
        <f>FINV(0.05,Y5,Y6)</f>
        <v>5.1173550291992269</v>
      </c>
      <c r="AF5" s="16" t="e">
        <f t="array" aca="1" ref="AF5:AG6" ca="1">COV(J5:K14)</f>
        <v>#NAME?</v>
      </c>
      <c r="AG5" s="18" t="e">
        <f ca="1"/>
        <v>#NAME?</v>
      </c>
      <c r="AI5" t="s">
        <v>27</v>
      </c>
      <c r="AJ5" s="21" t="e">
        <f ca="1">AVERAGE(AF8:AG8)</f>
        <v>#NAME?</v>
      </c>
      <c r="AM5" s="16" t="e">
        <f t="array" aca="1" ref="AM5:AO7" ca="1">COV(M5:O14)</f>
        <v>#NAME?</v>
      </c>
      <c r="AN5" s="17" t="e">
        <f ca="1"/>
        <v>#NAME?</v>
      </c>
      <c r="AO5" s="18" t="e">
        <f ca="1"/>
        <v>#NAME?</v>
      </c>
      <c r="AQ5" t="s">
        <v>27</v>
      </c>
      <c r="AR5" s="21" t="e">
        <f ca="1">AVERAGE(AM9:AO9)</f>
        <v>#NAME?</v>
      </c>
      <c r="AU5" t="s">
        <v>28</v>
      </c>
      <c r="AV5">
        <f>AV4</f>
        <v>828.81666666666672</v>
      </c>
      <c r="AW5" t="e">
        <f ca="1">AW4*AJ11</f>
        <v>#NAME?</v>
      </c>
      <c r="AX5" t="e">
        <f t="shared" ref="AX5:AX11" ca="1" si="2">AV5/AW5</f>
        <v>#NAME?</v>
      </c>
      <c r="AY5" t="e">
        <f ca="1">AX5/AX9</f>
        <v>#NAME?</v>
      </c>
      <c r="AZ5" t="e">
        <f ca="1">F_DIST_RT(AY5,AW5,AW9)</f>
        <v>#NAME?</v>
      </c>
      <c r="BA5" t="e">
        <f ca="1">F_INV_RT(0.05,AW5,AW9)</f>
        <v>#NAME?</v>
      </c>
    </row>
    <row r="6" spans="1:53" x14ac:dyDescent="0.35">
      <c r="A6" s="8">
        <f>A5+1</f>
        <v>2</v>
      </c>
      <c r="B6" s="22">
        <v>12</v>
      </c>
      <c r="C6">
        <v>19</v>
      </c>
      <c r="D6" s="23">
        <v>18</v>
      </c>
      <c r="E6" s="22">
        <v>6</v>
      </c>
      <c r="F6">
        <v>18</v>
      </c>
      <c r="G6" s="23">
        <v>30</v>
      </c>
      <c r="H6">
        <f t="shared" ref="H6:H15" si="3">AVERAGE(B6:G6)</f>
        <v>17.166666666666668</v>
      </c>
      <c r="J6" s="22">
        <f t="shared" si="0"/>
        <v>16.333333333333332</v>
      </c>
      <c r="K6" s="23">
        <f t="shared" si="0"/>
        <v>18</v>
      </c>
      <c r="M6" s="22">
        <f t="shared" ref="M6:O14" si="4">AVERAGEIF($B$4:$G$4,M$4,$B6:$G6)</f>
        <v>9</v>
      </c>
      <c r="N6">
        <f t="shared" si="1"/>
        <v>18.5</v>
      </c>
      <c r="O6" s="23">
        <f t="shared" si="1"/>
        <v>24</v>
      </c>
      <c r="R6" s="5" t="s">
        <v>29</v>
      </c>
      <c r="S6" s="5" t="s">
        <v>13</v>
      </c>
      <c r="T6" s="5" t="s">
        <v>14</v>
      </c>
      <c r="U6" s="5" t="s">
        <v>15</v>
      </c>
      <c r="W6" t="s">
        <v>30</v>
      </c>
      <c r="X6">
        <f>S14</f>
        <v>220.35000000000036</v>
      </c>
      <c r="Y6">
        <f>T14</f>
        <v>9</v>
      </c>
      <c r="Z6">
        <f t="shared" ref="Z6:Z11" si="5">X6/Y6</f>
        <v>24.483333333333373</v>
      </c>
      <c r="AF6" s="19" t="e">
        <f ca="1"/>
        <v>#NAME?</v>
      </c>
      <c r="AG6" s="20" t="e">
        <f ca="1"/>
        <v>#NAME?</v>
      </c>
      <c r="AI6" t="s">
        <v>31</v>
      </c>
      <c r="AJ6" s="21" t="e">
        <f ca="1">AVERAGE(AF5:AG6)</f>
        <v>#NAME?</v>
      </c>
      <c r="AM6" s="22" t="e">
        <f ca="1"/>
        <v>#NAME?</v>
      </c>
      <c r="AN6" t="e">
        <f ca="1"/>
        <v>#NAME?</v>
      </c>
      <c r="AO6" s="23" t="e">
        <f ca="1"/>
        <v>#NAME?</v>
      </c>
      <c r="AQ6" t="s">
        <v>31</v>
      </c>
      <c r="AR6" s="21" t="e">
        <f ca="1">AVERAGE(AM5:AO7)</f>
        <v>#NAME?</v>
      </c>
      <c r="AU6" t="s">
        <v>32</v>
      </c>
      <c r="AV6">
        <f>AV4</f>
        <v>828.81666666666672</v>
      </c>
      <c r="AW6" t="e">
        <f ca="1">AW4*AJ18</f>
        <v>#NAME?</v>
      </c>
      <c r="AX6" t="e">
        <f t="shared" ca="1" si="2"/>
        <v>#NAME?</v>
      </c>
      <c r="AY6" t="e">
        <f ca="1">AX6/AX10</f>
        <v>#NAME?</v>
      </c>
      <c r="AZ6" t="e">
        <f ca="1">F_DIST_RT(AY6,AW6,AW10)</f>
        <v>#NAME?</v>
      </c>
      <c r="BA6" t="e">
        <f ca="1">F_INV_RT(0.05,AW6,AW10)</f>
        <v>#NAME?</v>
      </c>
    </row>
    <row r="7" spans="1:53" x14ac:dyDescent="0.35">
      <c r="A7" s="8">
        <f t="shared" ref="A7:A14" si="6">A6+1</f>
        <v>3</v>
      </c>
      <c r="B7" s="22">
        <v>17</v>
      </c>
      <c r="C7">
        <v>19</v>
      </c>
      <c r="D7" s="23">
        <v>24</v>
      </c>
      <c r="E7" s="22">
        <v>21</v>
      </c>
      <c r="F7">
        <v>31</v>
      </c>
      <c r="G7" s="23">
        <v>32</v>
      </c>
      <c r="H7">
        <f t="shared" si="3"/>
        <v>24</v>
      </c>
      <c r="J7" s="22">
        <f t="shared" si="0"/>
        <v>20</v>
      </c>
      <c r="K7" s="23">
        <f t="shared" si="0"/>
        <v>28</v>
      </c>
      <c r="M7" s="22">
        <f t="shared" si="4"/>
        <v>19</v>
      </c>
      <c r="N7">
        <f t="shared" si="1"/>
        <v>25</v>
      </c>
      <c r="O7" s="23">
        <f t="shared" si="1"/>
        <v>28</v>
      </c>
      <c r="Q7" s="25" t="s">
        <v>33</v>
      </c>
      <c r="R7" s="16">
        <v>1</v>
      </c>
      <c r="S7" s="17">
        <f>DEVSQ(B5:G14)*R7</f>
        <v>4852.5833333333312</v>
      </c>
      <c r="T7" s="17">
        <f>U4-1</f>
        <v>59</v>
      </c>
      <c r="U7" s="18">
        <f t="shared" ref="U7:U17" si="7">S7/T7</f>
        <v>82.247175141242906</v>
      </c>
      <c r="W7" t="s">
        <v>34</v>
      </c>
      <c r="X7">
        <f>S9</f>
        <v>1365.2333333333331</v>
      </c>
      <c r="Y7">
        <f>T9</f>
        <v>2</v>
      </c>
      <c r="Z7">
        <f t="shared" si="5"/>
        <v>682.61666666666656</v>
      </c>
      <c r="AA7">
        <f>Z7/Z8</f>
        <v>26.959189643823574</v>
      </c>
      <c r="AB7">
        <f>FDIST(AA7,Y7,Y8)</f>
        <v>3.8538385756846721E-6</v>
      </c>
      <c r="AC7">
        <f>FINV(0.05,Y7,Y8)</f>
        <v>3.5545571456617879</v>
      </c>
      <c r="AE7" t="s">
        <v>35</v>
      </c>
      <c r="AF7" t="e">
        <f ca="1">AVERAGE(AF5:AF6)</f>
        <v>#NAME?</v>
      </c>
      <c r="AG7" t="e">
        <f ca="1">AVERAGE(AG5:AG6)</f>
        <v>#NAME?</v>
      </c>
      <c r="AI7" t="s">
        <v>36</v>
      </c>
      <c r="AJ7" s="21" t="e">
        <f ca="1">SUMSQ(AF5:AG6)</f>
        <v>#NAME?</v>
      </c>
      <c r="AM7" s="19" t="e">
        <f ca="1"/>
        <v>#NAME?</v>
      </c>
      <c r="AN7" s="24" t="e">
        <f ca="1"/>
        <v>#NAME?</v>
      </c>
      <c r="AO7" s="20" t="e">
        <f ca="1"/>
        <v>#NAME?</v>
      </c>
      <c r="AQ7" t="s">
        <v>36</v>
      </c>
      <c r="AR7" s="21" t="e">
        <f ca="1">SUMSQ(AM5:AO7)</f>
        <v>#NAME?</v>
      </c>
      <c r="AT7" s="24"/>
      <c r="AU7" s="24" t="s">
        <v>37</v>
      </c>
      <c r="AV7" s="24">
        <f>AV4</f>
        <v>828.81666666666672</v>
      </c>
      <c r="AW7" s="24">
        <f>AW4*AJ20</f>
        <v>1</v>
      </c>
      <c r="AX7" s="24">
        <f t="shared" si="2"/>
        <v>828.81666666666672</v>
      </c>
      <c r="AY7" s="24">
        <f>AX7/AX11</f>
        <v>33.852280462899877</v>
      </c>
      <c r="AZ7" s="24" t="e">
        <f ca="1">F_DIST_RT(AY7,AW7,AW11)</f>
        <v>#NAME?</v>
      </c>
      <c r="BA7" s="24" t="e">
        <f ca="1">F_INV_RT(0.05,AW7,AW11)</f>
        <v>#NAME?</v>
      </c>
    </row>
    <row r="8" spans="1:53" x14ac:dyDescent="0.35">
      <c r="A8" s="8">
        <f t="shared" si="6"/>
        <v>4</v>
      </c>
      <c r="B8" s="22">
        <v>12</v>
      </c>
      <c r="C8">
        <v>25</v>
      </c>
      <c r="D8" s="23">
        <v>25</v>
      </c>
      <c r="E8" s="22">
        <v>18</v>
      </c>
      <c r="F8">
        <v>39</v>
      </c>
      <c r="G8" s="23">
        <v>40</v>
      </c>
      <c r="H8">
        <f t="shared" si="3"/>
        <v>26.5</v>
      </c>
      <c r="J8" s="22">
        <f t="shared" si="0"/>
        <v>20.666666666666668</v>
      </c>
      <c r="K8" s="23">
        <f t="shared" si="0"/>
        <v>32.333333333333336</v>
      </c>
      <c r="M8" s="22">
        <f t="shared" si="4"/>
        <v>15</v>
      </c>
      <c r="N8">
        <f t="shared" si="1"/>
        <v>32</v>
      </c>
      <c r="O8" s="23">
        <f t="shared" si="1"/>
        <v>32.5</v>
      </c>
      <c r="Q8" s="25" t="s">
        <v>25</v>
      </c>
      <c r="R8" s="22">
        <f>S4*T4</f>
        <v>30</v>
      </c>
      <c r="S8">
        <f>DEVSQ(J15:K15)*R8</f>
        <v>828.81666666666672</v>
      </c>
      <c r="T8">
        <f>R4-1</f>
        <v>1</v>
      </c>
      <c r="U8" s="23">
        <f t="shared" si="7"/>
        <v>828.81666666666672</v>
      </c>
      <c r="W8" t="s">
        <v>38</v>
      </c>
      <c r="X8">
        <f>S16</f>
        <v>455.76666666666688</v>
      </c>
      <c r="Y8">
        <f>T16</f>
        <v>18</v>
      </c>
      <c r="Z8">
        <f t="shared" si="5"/>
        <v>25.320370370370384</v>
      </c>
      <c r="AE8" t="s">
        <v>39</v>
      </c>
      <c r="AF8" t="e">
        <f ca="1">INDEX(AF5:AF6,AF4)</f>
        <v>#NAME?</v>
      </c>
      <c r="AG8" t="e">
        <f ca="1">INDEX(AG5:AG6,AG4)</f>
        <v>#NAME?</v>
      </c>
      <c r="AI8" t="s">
        <v>40</v>
      </c>
      <c r="AJ8" s="21" t="e">
        <f ca="1">SUMSQ(AF7:AG7)</f>
        <v>#NAME?</v>
      </c>
      <c r="AL8" t="s">
        <v>35</v>
      </c>
      <c r="AM8" t="e">
        <f ca="1">AVERAGE(AM5:AM7)</f>
        <v>#NAME?</v>
      </c>
      <c r="AN8" t="e">
        <f ca="1">AVERAGE(AN5:AN7)</f>
        <v>#NAME?</v>
      </c>
      <c r="AO8" t="e">
        <f ca="1">AVERAGE(AO5:AO7)</f>
        <v>#NAME?</v>
      </c>
      <c r="AQ8" t="s">
        <v>40</v>
      </c>
      <c r="AR8" s="21" t="e">
        <f ca="1">SUMSQ(AM8:AO8)</f>
        <v>#NAME?</v>
      </c>
      <c r="AT8" t="s">
        <v>30</v>
      </c>
      <c r="AU8" t="s">
        <v>26</v>
      </c>
      <c r="AV8">
        <f>X6</f>
        <v>220.35000000000036</v>
      </c>
      <c r="AW8">
        <f>Y6</f>
        <v>9</v>
      </c>
      <c r="AX8">
        <f t="shared" si="2"/>
        <v>24.483333333333373</v>
      </c>
    </row>
    <row r="9" spans="1:53" x14ac:dyDescent="0.35">
      <c r="A9" s="8">
        <f t="shared" si="6"/>
        <v>5</v>
      </c>
      <c r="B9" s="22">
        <v>19</v>
      </c>
      <c r="C9">
        <v>27</v>
      </c>
      <c r="D9" s="23">
        <v>19</v>
      </c>
      <c r="E9" s="22">
        <v>18</v>
      </c>
      <c r="F9">
        <v>28</v>
      </c>
      <c r="G9" s="23">
        <v>27</v>
      </c>
      <c r="H9">
        <f t="shared" si="3"/>
        <v>23</v>
      </c>
      <c r="J9" s="22">
        <f t="shared" si="0"/>
        <v>21.666666666666668</v>
      </c>
      <c r="K9" s="23">
        <f t="shared" si="0"/>
        <v>24.333333333333332</v>
      </c>
      <c r="M9" s="22">
        <f t="shared" si="4"/>
        <v>18.5</v>
      </c>
      <c r="N9">
        <f t="shared" si="4"/>
        <v>27.5</v>
      </c>
      <c r="O9" s="23">
        <f t="shared" si="4"/>
        <v>23</v>
      </c>
      <c r="Q9" s="25" t="s">
        <v>34</v>
      </c>
      <c r="R9" s="22">
        <f>R4*T4</f>
        <v>20</v>
      </c>
      <c r="S9">
        <f>DEVSQ(M15:O15)*R9</f>
        <v>1365.2333333333331</v>
      </c>
      <c r="T9">
        <f>S4-1</f>
        <v>2</v>
      </c>
      <c r="U9" s="23">
        <f t="shared" si="7"/>
        <v>682.61666666666656</v>
      </c>
      <c r="W9" t="s">
        <v>41</v>
      </c>
      <c r="X9">
        <f>S12</f>
        <v>224.43333333333339</v>
      </c>
      <c r="Y9">
        <f>T12</f>
        <v>2</v>
      </c>
      <c r="Z9">
        <f t="shared" si="5"/>
        <v>112.2166666666667</v>
      </c>
      <c r="AA9">
        <f>Z9/Z10</f>
        <v>12.63227016885571</v>
      </c>
      <c r="AB9">
        <f>FDIST(AA9,Y9,Y10)</f>
        <v>3.7347686147367487E-4</v>
      </c>
      <c r="AC9">
        <f>FINV(0.05,Y9,Y10)</f>
        <v>3.5545571456617879</v>
      </c>
      <c r="AI9" t="s">
        <v>42</v>
      </c>
      <c r="AJ9" s="21" t="e">
        <f ca="1">(AJ4*(AJ5-AJ6))^2</f>
        <v>#NAME?</v>
      </c>
      <c r="AL9" t="s">
        <v>39</v>
      </c>
      <c r="AM9" t="e">
        <f ca="1">INDEX(AM5:AM7,AM4)</f>
        <v>#NAME?</v>
      </c>
      <c r="AN9" t="e">
        <f ca="1">INDEX(AN5:AN7,AN4)</f>
        <v>#NAME?</v>
      </c>
      <c r="AO9" t="e">
        <f ca="1">INDEX(AO5:AO7,AO4)</f>
        <v>#NAME?</v>
      </c>
      <c r="AQ9" t="s">
        <v>42</v>
      </c>
      <c r="AR9" s="21" t="e">
        <f ca="1">(AR4*(AR5-AR6))^2</f>
        <v>#NAME?</v>
      </c>
      <c r="AU9" t="s">
        <v>28</v>
      </c>
      <c r="AV9">
        <f>AV8</f>
        <v>220.35000000000036</v>
      </c>
      <c r="AW9" t="e">
        <f ca="1">AW8*AJ11</f>
        <v>#NAME?</v>
      </c>
      <c r="AX9" t="e">
        <f t="shared" ca="1" si="2"/>
        <v>#NAME?</v>
      </c>
    </row>
    <row r="10" spans="1:53" x14ac:dyDescent="0.35">
      <c r="A10" s="8">
        <f t="shared" si="6"/>
        <v>6</v>
      </c>
      <c r="B10" s="22">
        <v>6</v>
      </c>
      <c r="C10">
        <v>12</v>
      </c>
      <c r="D10" s="23">
        <v>6</v>
      </c>
      <c r="E10" s="22">
        <v>6</v>
      </c>
      <c r="F10">
        <v>18</v>
      </c>
      <c r="G10" s="23">
        <v>23</v>
      </c>
      <c r="H10">
        <f t="shared" si="3"/>
        <v>11.833333333333334</v>
      </c>
      <c r="J10" s="22">
        <f t="shared" si="0"/>
        <v>8</v>
      </c>
      <c r="K10" s="23">
        <f t="shared" si="0"/>
        <v>15.666666666666666</v>
      </c>
      <c r="M10" s="22">
        <f t="shared" si="4"/>
        <v>6</v>
      </c>
      <c r="N10">
        <f t="shared" si="4"/>
        <v>15</v>
      </c>
      <c r="O10" s="23">
        <f t="shared" si="4"/>
        <v>14.5</v>
      </c>
      <c r="Q10" t="s">
        <v>43</v>
      </c>
      <c r="R10" s="22">
        <f>R4*S4</f>
        <v>6</v>
      </c>
      <c r="S10">
        <f>DEVSQ(H5:H14)*R10</f>
        <v>1598.083333333333</v>
      </c>
      <c r="T10">
        <f>T4-1</f>
        <v>9</v>
      </c>
      <c r="U10" s="23">
        <f t="shared" si="7"/>
        <v>177.56481481481478</v>
      </c>
      <c r="W10" t="s">
        <v>44</v>
      </c>
      <c r="X10">
        <f>S17</f>
        <v>159.89999999999782</v>
      </c>
      <c r="Y10">
        <f>T17</f>
        <v>18</v>
      </c>
      <c r="Z10">
        <f t="shared" si="5"/>
        <v>8.8833333333332121</v>
      </c>
      <c r="AI10" t="s">
        <v>45</v>
      </c>
      <c r="AJ10" s="21" t="e">
        <f ca="1">(AJ4-1)*(AJ7-2*AJ4*AJ8+AJ4^2*AJ6^2)</f>
        <v>#NAME?</v>
      </c>
      <c r="AQ10" t="s">
        <v>45</v>
      </c>
      <c r="AR10" s="21" t="e">
        <f ca="1">(AR4-1)*(AR7-2*AR4*AR8+AR4^2*AR6^2)</f>
        <v>#NAME?</v>
      </c>
      <c r="AU10" t="s">
        <v>32</v>
      </c>
      <c r="AV10">
        <f>AV8</f>
        <v>220.35000000000036</v>
      </c>
      <c r="AW10" t="e">
        <f ca="1">AW8*$AJ$18</f>
        <v>#NAME?</v>
      </c>
      <c r="AX10" t="e">
        <f t="shared" ca="1" si="2"/>
        <v>#NAME?</v>
      </c>
    </row>
    <row r="11" spans="1:53" ht="15" thickBot="1" x14ac:dyDescent="0.4">
      <c r="A11" s="8">
        <f t="shared" si="6"/>
        <v>7</v>
      </c>
      <c r="B11" s="22">
        <v>17</v>
      </c>
      <c r="C11">
        <v>18</v>
      </c>
      <c r="D11" s="23">
        <v>30</v>
      </c>
      <c r="E11" s="22">
        <v>24</v>
      </c>
      <c r="F11">
        <v>36</v>
      </c>
      <c r="G11" s="23">
        <v>38</v>
      </c>
      <c r="H11">
        <f t="shared" si="3"/>
        <v>27.166666666666668</v>
      </c>
      <c r="J11" s="22">
        <f t="shared" si="0"/>
        <v>21.666666666666668</v>
      </c>
      <c r="K11" s="23">
        <f t="shared" si="0"/>
        <v>32.666666666666664</v>
      </c>
      <c r="M11" s="22">
        <f t="shared" si="4"/>
        <v>20.5</v>
      </c>
      <c r="N11">
        <f t="shared" si="4"/>
        <v>27</v>
      </c>
      <c r="O11" s="23">
        <f t="shared" si="4"/>
        <v>34</v>
      </c>
      <c r="Q11" s="25" t="s">
        <v>46</v>
      </c>
      <c r="R11" s="22">
        <f>T4</f>
        <v>10</v>
      </c>
      <c r="S11">
        <f>DEVSQ(B15:G15)*R11</f>
        <v>2418.4833333333331</v>
      </c>
      <c r="T11">
        <f>R4*S4-1</f>
        <v>5</v>
      </c>
      <c r="U11" s="23">
        <f t="shared" si="7"/>
        <v>483.6966666666666</v>
      </c>
      <c r="W11" t="s">
        <v>43</v>
      </c>
      <c r="X11">
        <f>S10</f>
        <v>1598.083333333333</v>
      </c>
      <c r="Y11">
        <f>T10</f>
        <v>9</v>
      </c>
      <c r="Z11">
        <f t="shared" si="5"/>
        <v>177.56481481481478</v>
      </c>
      <c r="AI11" t="s">
        <v>47</v>
      </c>
      <c r="AJ11" s="26" t="e">
        <f ca="1">AJ9/AJ10</f>
        <v>#NAME?</v>
      </c>
      <c r="AQ11" t="s">
        <v>47</v>
      </c>
      <c r="AR11" s="26" t="e">
        <f ca="1">AR9/AR10</f>
        <v>#NAME?</v>
      </c>
      <c r="AT11" s="27"/>
      <c r="AU11" s="27" t="s">
        <v>37</v>
      </c>
      <c r="AV11" s="27">
        <f>AV8</f>
        <v>220.35000000000036</v>
      </c>
      <c r="AW11" s="27">
        <f>AW8*$AJ$20</f>
        <v>9</v>
      </c>
      <c r="AX11" s="27">
        <f t="shared" si="2"/>
        <v>24.483333333333373</v>
      </c>
      <c r="AY11" s="27"/>
      <c r="AZ11" s="27"/>
      <c r="BA11" s="27"/>
    </row>
    <row r="12" spans="1:53" x14ac:dyDescent="0.35">
      <c r="A12" s="8">
        <f t="shared" si="6"/>
        <v>8</v>
      </c>
      <c r="B12" s="22">
        <v>18</v>
      </c>
      <c r="C12">
        <v>29</v>
      </c>
      <c r="D12" s="23">
        <v>36</v>
      </c>
      <c r="E12" s="22">
        <v>22</v>
      </c>
      <c r="F12">
        <v>36</v>
      </c>
      <c r="G12" s="23">
        <v>40</v>
      </c>
      <c r="H12">
        <f t="shared" si="3"/>
        <v>30.166666666666668</v>
      </c>
      <c r="J12" s="22">
        <f t="shared" si="0"/>
        <v>27.666666666666668</v>
      </c>
      <c r="K12" s="23">
        <f t="shared" si="0"/>
        <v>32.666666666666664</v>
      </c>
      <c r="M12" s="22">
        <f t="shared" si="4"/>
        <v>20</v>
      </c>
      <c r="N12">
        <f t="shared" si="4"/>
        <v>32.5</v>
      </c>
      <c r="O12" s="23">
        <f t="shared" si="4"/>
        <v>38</v>
      </c>
      <c r="Q12" s="25" t="s">
        <v>41</v>
      </c>
      <c r="R12" s="22"/>
      <c r="S12">
        <f>S11-S8-S9</f>
        <v>224.43333333333339</v>
      </c>
      <c r="T12">
        <f>T11-T8-T9</f>
        <v>2</v>
      </c>
      <c r="U12" s="23">
        <f t="shared" si="7"/>
        <v>112.2166666666667</v>
      </c>
      <c r="AT12" t="s">
        <v>34</v>
      </c>
      <c r="AU12" t="s">
        <v>26</v>
      </c>
      <c r="AV12">
        <f>X7</f>
        <v>1365.2333333333331</v>
      </c>
      <c r="AW12">
        <f>Y7</f>
        <v>2</v>
      </c>
      <c r="AX12">
        <f>AV12/AW12</f>
        <v>682.61666666666656</v>
      </c>
      <c r="AY12">
        <f>AX12/AX16</f>
        <v>26.959189643823574</v>
      </c>
      <c r="AZ12" t="e">
        <f ca="1">F_DIST_RT(AY12,AW12,AW16)</f>
        <v>#NAME?</v>
      </c>
      <c r="BA12" t="e">
        <f ca="1">F_INV_RT(0.05,AW12,AW16)</f>
        <v>#NAME?</v>
      </c>
    </row>
    <row r="13" spans="1:53" ht="15" thickBot="1" x14ac:dyDescent="0.4">
      <c r="A13" s="8">
        <f t="shared" si="6"/>
        <v>9</v>
      </c>
      <c r="B13" s="22">
        <v>23</v>
      </c>
      <c r="C13">
        <v>30</v>
      </c>
      <c r="D13" s="23">
        <v>24</v>
      </c>
      <c r="E13" s="22">
        <v>18</v>
      </c>
      <c r="F13">
        <v>38</v>
      </c>
      <c r="G13" s="23">
        <v>32</v>
      </c>
      <c r="H13">
        <f t="shared" si="3"/>
        <v>27.5</v>
      </c>
      <c r="J13" s="22">
        <f t="shared" si="0"/>
        <v>25.666666666666668</v>
      </c>
      <c r="K13" s="23">
        <f t="shared" si="0"/>
        <v>29.333333333333332</v>
      </c>
      <c r="M13" s="22">
        <f t="shared" si="4"/>
        <v>20.5</v>
      </c>
      <c r="N13">
        <f t="shared" si="4"/>
        <v>34</v>
      </c>
      <c r="O13" s="23">
        <f t="shared" si="4"/>
        <v>28</v>
      </c>
      <c r="Q13" s="25" t="s">
        <v>48</v>
      </c>
      <c r="R13" s="22">
        <f>S4</f>
        <v>3</v>
      </c>
      <c r="S13">
        <f>DEVSQ(J5:K14)*R13</f>
        <v>2647.25</v>
      </c>
      <c r="T13">
        <f>R4*T4-1</f>
        <v>19</v>
      </c>
      <c r="U13" s="23">
        <f t="shared" si="7"/>
        <v>139.32894736842104</v>
      </c>
      <c r="W13" s="27" t="s">
        <v>33</v>
      </c>
      <c r="X13" s="27">
        <f>S7</f>
        <v>4852.5833333333312</v>
      </c>
      <c r="Y13" s="27">
        <f>T7</f>
        <v>59</v>
      </c>
      <c r="Z13" s="27">
        <f>X13/Y13</f>
        <v>82.247175141242906</v>
      </c>
      <c r="AA13" s="27"/>
      <c r="AB13" s="27"/>
      <c r="AC13" s="27"/>
      <c r="AI13" t="s">
        <v>49</v>
      </c>
      <c r="AJ13" s="15">
        <f>T4</f>
        <v>10</v>
      </c>
      <c r="AQ13" t="s">
        <v>49</v>
      </c>
      <c r="AR13" s="15">
        <f>T4</f>
        <v>10</v>
      </c>
      <c r="AU13" t="s">
        <v>28</v>
      </c>
      <c r="AV13">
        <f>AV12</f>
        <v>1365.2333333333331</v>
      </c>
      <c r="AW13" t="e">
        <f ca="1">AW12*AR11</f>
        <v>#NAME?</v>
      </c>
      <c r="AX13" t="e">
        <f ca="1">AV13/AW13</f>
        <v>#NAME?</v>
      </c>
      <c r="AY13" t="e">
        <f ca="1">AX13/AX17</f>
        <v>#NAME?</v>
      </c>
      <c r="AZ13" t="e">
        <f ca="1">F_DIST_RT(AY13,AW13,AW17)</f>
        <v>#NAME?</v>
      </c>
      <c r="BA13" t="e">
        <f ca="1">F_INV_RT(0.05,AW13,AW17)</f>
        <v>#NAME?</v>
      </c>
    </row>
    <row r="14" spans="1:53" x14ac:dyDescent="0.35">
      <c r="A14" s="8">
        <f t="shared" si="6"/>
        <v>10</v>
      </c>
      <c r="B14" s="19">
        <v>18</v>
      </c>
      <c r="C14" s="24">
        <v>12</v>
      </c>
      <c r="D14" s="20">
        <v>24</v>
      </c>
      <c r="E14" s="19">
        <v>24</v>
      </c>
      <c r="F14" s="24">
        <v>25</v>
      </c>
      <c r="G14" s="20">
        <v>34</v>
      </c>
      <c r="H14">
        <f t="shared" si="3"/>
        <v>22.833333333333332</v>
      </c>
      <c r="J14" s="19">
        <f t="shared" si="0"/>
        <v>18</v>
      </c>
      <c r="K14" s="20">
        <f t="shared" si="0"/>
        <v>27.666666666666668</v>
      </c>
      <c r="M14" s="19">
        <f t="shared" si="4"/>
        <v>21</v>
      </c>
      <c r="N14" s="24">
        <f t="shared" si="4"/>
        <v>18.5</v>
      </c>
      <c r="O14" s="20">
        <f t="shared" si="4"/>
        <v>29</v>
      </c>
      <c r="Q14" t="s">
        <v>50</v>
      </c>
      <c r="R14" s="22"/>
      <c r="S14">
        <f>S13-S8-S10</f>
        <v>220.35000000000036</v>
      </c>
      <c r="T14">
        <f>T13-T8-T10</f>
        <v>9</v>
      </c>
      <c r="U14" s="23">
        <f t="shared" si="7"/>
        <v>24.483333333333373</v>
      </c>
      <c r="AI14" t="s">
        <v>24</v>
      </c>
      <c r="AJ14" s="21">
        <f>AJ4</f>
        <v>2</v>
      </c>
      <c r="AQ14" t="s">
        <v>24</v>
      </c>
      <c r="AR14" s="21">
        <f>AR4</f>
        <v>3</v>
      </c>
      <c r="AU14" t="s">
        <v>32</v>
      </c>
      <c r="AV14">
        <f>AV12</f>
        <v>1365.2333333333331</v>
      </c>
      <c r="AW14" t="e">
        <f ca="1">AW12*AR18</f>
        <v>#NAME?</v>
      </c>
      <c r="AX14" t="e">
        <f ca="1">AV14/AW14</f>
        <v>#NAME?</v>
      </c>
      <c r="AY14" t="e">
        <f ca="1">AX14/AX18</f>
        <v>#NAME?</v>
      </c>
      <c r="AZ14" t="e">
        <f ca="1">F_DIST_RT(AY14,AW14,AW18)</f>
        <v>#NAME?</v>
      </c>
      <c r="BA14" t="e">
        <f ca="1">F_INV_RT(0.05,AW14,AW18)</f>
        <v>#NAME?</v>
      </c>
    </row>
    <row r="15" spans="1:53" x14ac:dyDescent="0.35">
      <c r="B15">
        <f t="shared" ref="B15:G15" si="8">AVERAGE(B5:B14)</f>
        <v>15.5</v>
      </c>
      <c r="C15">
        <f t="shared" si="8"/>
        <v>20.3</v>
      </c>
      <c r="D15">
        <f t="shared" si="8"/>
        <v>22.3</v>
      </c>
      <c r="E15">
        <f t="shared" si="8"/>
        <v>17.5</v>
      </c>
      <c r="F15">
        <f t="shared" si="8"/>
        <v>29.9</v>
      </c>
      <c r="G15">
        <f t="shared" si="8"/>
        <v>33</v>
      </c>
      <c r="H15">
        <f t="shared" si="3"/>
        <v>23.083333333333332</v>
      </c>
      <c r="J15">
        <f>AVERAGE(J5:J14)</f>
        <v>19.366666666666667</v>
      </c>
      <c r="K15">
        <f>AVERAGE(K5:K14)</f>
        <v>26.8</v>
      </c>
      <c r="M15">
        <f>AVERAGE(M5:M14)</f>
        <v>16.5</v>
      </c>
      <c r="N15">
        <f>AVERAGE(N5:N14)</f>
        <v>25.1</v>
      </c>
      <c r="O15">
        <f>AVERAGE(O5:O14)</f>
        <v>27.65</v>
      </c>
      <c r="Q15" s="25" t="s">
        <v>51</v>
      </c>
      <c r="R15" s="22">
        <f>R4</f>
        <v>2</v>
      </c>
      <c r="S15">
        <f>DEVSQ(M5:O14)*R15</f>
        <v>3419.083333333333</v>
      </c>
      <c r="T15">
        <f>S4*T4-1</f>
        <v>29</v>
      </c>
      <c r="U15" s="23">
        <f t="shared" si="7"/>
        <v>117.89942528735631</v>
      </c>
      <c r="AI15" t="s">
        <v>47</v>
      </c>
      <c r="AJ15" s="21" t="e">
        <f ca="1">AJ11</f>
        <v>#NAME?</v>
      </c>
      <c r="AQ15" t="s">
        <v>47</v>
      </c>
      <c r="AR15" s="21" t="e">
        <f ca="1">AR11</f>
        <v>#NAME?</v>
      </c>
      <c r="AT15" s="24"/>
      <c r="AU15" s="24" t="s">
        <v>37</v>
      </c>
      <c r="AV15" s="24">
        <f>AV12</f>
        <v>1365.2333333333331</v>
      </c>
      <c r="AW15" s="24">
        <f>AW12*AR20</f>
        <v>1</v>
      </c>
      <c r="AX15" s="24">
        <f>AV15/AW15</f>
        <v>1365.2333333333331</v>
      </c>
      <c r="AY15" s="24">
        <f>AX15/AX19</f>
        <v>26.959189643823574</v>
      </c>
      <c r="AZ15" s="24" t="e">
        <f ca="1">F_DIST_RT(AY15,AW15,AW19)</f>
        <v>#NAME?</v>
      </c>
      <c r="BA15" s="24" t="e">
        <f ca="1">F_INV_RT(0.05,AW15,AW19)</f>
        <v>#NAME?</v>
      </c>
    </row>
    <row r="16" spans="1:53" x14ac:dyDescent="0.35">
      <c r="Q16" t="s">
        <v>52</v>
      </c>
      <c r="R16" s="22"/>
      <c r="S16">
        <f>S15-S9-S10</f>
        <v>455.76666666666688</v>
      </c>
      <c r="T16">
        <f>T15-T9-T10</f>
        <v>18</v>
      </c>
      <c r="U16" s="23">
        <f t="shared" si="7"/>
        <v>25.320370370370384</v>
      </c>
      <c r="AI16" t="s">
        <v>53</v>
      </c>
      <c r="AJ16" s="21" t="e">
        <f ca="1">AJ13*(AJ14-1)*AJ15-2</f>
        <v>#NAME?</v>
      </c>
      <c r="AQ16" t="s">
        <v>53</v>
      </c>
      <c r="AR16" s="21" t="e">
        <f ca="1">AR13*(AR14-1)*AR15-2</f>
        <v>#NAME?</v>
      </c>
      <c r="AT16" t="s">
        <v>38</v>
      </c>
      <c r="AU16" t="s">
        <v>26</v>
      </c>
      <c r="AV16">
        <f>X8</f>
        <v>455.76666666666688</v>
      </c>
      <c r="AW16">
        <f>Y8</f>
        <v>18</v>
      </c>
      <c r="AX16">
        <f>AV16/AW16</f>
        <v>25.320370370370384</v>
      </c>
    </row>
    <row r="17" spans="17:53" x14ac:dyDescent="0.35">
      <c r="Q17" t="s">
        <v>54</v>
      </c>
      <c r="R17" s="19"/>
      <c r="S17" s="24">
        <f>S7-S8-S9-S10-S12-S14-S16</f>
        <v>159.89999999999782</v>
      </c>
      <c r="T17" s="24">
        <f>T7-T8-T9-T10-T12-T14-T16</f>
        <v>18</v>
      </c>
      <c r="U17" s="20">
        <f t="shared" si="7"/>
        <v>8.8833333333332121</v>
      </c>
      <c r="AI17" t="s">
        <v>55</v>
      </c>
      <c r="AJ17" s="21" t="e">
        <f ca="1">(AJ14-1)*(AJ13-1-(AJ14-1)*AJ15)</f>
        <v>#NAME?</v>
      </c>
      <c r="AQ17" t="s">
        <v>55</v>
      </c>
      <c r="AR17" s="21" t="e">
        <f ca="1">(AR14-1)*(AR13-1-(AR14-1)*AR15)</f>
        <v>#NAME?</v>
      </c>
      <c r="AU17" t="s">
        <v>28</v>
      </c>
      <c r="AV17">
        <f>AV16</f>
        <v>455.76666666666688</v>
      </c>
      <c r="AW17" t="e">
        <f ca="1">AW16*AR11</f>
        <v>#NAME?</v>
      </c>
      <c r="AX17" t="e">
        <f t="shared" ref="AX17:AX25" ca="1" si="9">AV17/AW17</f>
        <v>#NAME?</v>
      </c>
    </row>
    <row r="18" spans="17:53" x14ac:dyDescent="0.35">
      <c r="AI18" t="s">
        <v>56</v>
      </c>
      <c r="AJ18" s="26" t="e">
        <f ca="1">MIN(AJ16/AJ17,1)</f>
        <v>#NAME?</v>
      </c>
      <c r="AQ18" t="s">
        <v>56</v>
      </c>
      <c r="AR18" s="26" t="e">
        <f ca="1">MIN(AR16/AR17,1)</f>
        <v>#NAME?</v>
      </c>
      <c r="AU18" t="s">
        <v>32</v>
      </c>
      <c r="AV18">
        <f>AV16</f>
        <v>455.76666666666688</v>
      </c>
      <c r="AW18" t="e">
        <f ca="1">AW16*AR18</f>
        <v>#NAME?</v>
      </c>
      <c r="AX18" t="e">
        <f t="shared" ca="1" si="9"/>
        <v>#NAME?</v>
      </c>
    </row>
    <row r="19" spans="17:53" ht="15" thickBot="1" x14ac:dyDescent="0.4">
      <c r="AT19" s="27"/>
      <c r="AU19" s="27" t="s">
        <v>37</v>
      </c>
      <c r="AV19" s="27">
        <f>AV16</f>
        <v>455.76666666666688</v>
      </c>
      <c r="AW19" s="27">
        <f>AW16*AR20</f>
        <v>9</v>
      </c>
      <c r="AX19" s="27">
        <f t="shared" si="9"/>
        <v>50.640740740740767</v>
      </c>
      <c r="AY19" s="27"/>
      <c r="AZ19" s="27"/>
      <c r="BA19" s="27"/>
    </row>
    <row r="20" spans="17:53" x14ac:dyDescent="0.35">
      <c r="AI20" t="s">
        <v>37</v>
      </c>
      <c r="AJ20" s="28">
        <f>1/(AJ4-1)</f>
        <v>1</v>
      </c>
      <c r="AQ20" t="s">
        <v>37</v>
      </c>
      <c r="AR20" s="28">
        <f>1/(AR4-1)</f>
        <v>0.5</v>
      </c>
      <c r="AT20" t="s">
        <v>41</v>
      </c>
      <c r="AU20" t="s">
        <v>26</v>
      </c>
      <c r="AV20">
        <f>X9</f>
        <v>224.43333333333339</v>
      </c>
      <c r="AW20">
        <f>Y9</f>
        <v>2</v>
      </c>
      <c r="AX20">
        <f t="shared" si="9"/>
        <v>112.2166666666667</v>
      </c>
      <c r="AY20">
        <f>AX20/AX22</f>
        <v>12.63227016885571</v>
      </c>
      <c r="AZ20" t="e">
        <f ca="1">F_DIST_RT(AY20,AW20,AW22)</f>
        <v>#NAME?</v>
      </c>
      <c r="BA20" t="e">
        <f ca="1">F_INV_RT(0.05,AW20,AW22)</f>
        <v>#NAME?</v>
      </c>
    </row>
    <row r="21" spans="17:53" x14ac:dyDescent="0.35">
      <c r="AT21" s="24"/>
      <c r="AU21" s="24" t="s">
        <v>37</v>
      </c>
      <c r="AV21" s="24">
        <f>AV20</f>
        <v>224.43333333333339</v>
      </c>
      <c r="AW21" s="24">
        <f>AW20*0.5</f>
        <v>1</v>
      </c>
      <c r="AX21" s="24">
        <f t="shared" si="9"/>
        <v>224.43333333333339</v>
      </c>
      <c r="AY21" s="24">
        <f>AX21/AX23</f>
        <v>12.63227016885571</v>
      </c>
      <c r="AZ21" s="24" t="e">
        <f ca="1">F_DIST_RT(AY21,AW21,AW23)</f>
        <v>#NAME?</v>
      </c>
      <c r="BA21" s="24" t="e">
        <f ca="1">F_INV_RT(0.05,AW21,AW23)</f>
        <v>#NAME?</v>
      </c>
    </row>
    <row r="22" spans="17:53" x14ac:dyDescent="0.35">
      <c r="AT22" t="s">
        <v>44</v>
      </c>
      <c r="AU22" t="s">
        <v>26</v>
      </c>
      <c r="AV22">
        <f>X10</f>
        <v>159.89999999999782</v>
      </c>
      <c r="AW22">
        <f>Y10</f>
        <v>18</v>
      </c>
      <c r="AX22">
        <f t="shared" si="9"/>
        <v>8.8833333333332121</v>
      </c>
    </row>
    <row r="23" spans="17:53" ht="15" thickBot="1" x14ac:dyDescent="0.4">
      <c r="AJ23" t="s">
        <v>57</v>
      </c>
      <c r="AT23" s="27"/>
      <c r="AU23" s="27" t="s">
        <v>37</v>
      </c>
      <c r="AV23" s="27">
        <f>AV22</f>
        <v>159.89999999999782</v>
      </c>
      <c r="AW23" s="27">
        <f>AW22*0.5</f>
        <v>9</v>
      </c>
      <c r="AX23" s="27">
        <f t="shared" si="9"/>
        <v>17.766666666666424</v>
      </c>
      <c r="AY23" s="27"/>
      <c r="AZ23" s="27"/>
      <c r="BA23" s="27"/>
    </row>
    <row r="24" spans="17:53" x14ac:dyDescent="0.35">
      <c r="AT24" t="s">
        <v>43</v>
      </c>
      <c r="AV24">
        <f>X11</f>
        <v>1598.083333333333</v>
      </c>
      <c r="AW24">
        <f>Y11</f>
        <v>9</v>
      </c>
      <c r="AX24">
        <f t="shared" si="9"/>
        <v>177.56481481481478</v>
      </c>
    </row>
    <row r="25" spans="17:53" ht="15" thickBot="1" x14ac:dyDescent="0.4">
      <c r="AJ25">
        <v>1</v>
      </c>
      <c r="AK25">
        <f>AJ25+1</f>
        <v>2</v>
      </c>
      <c r="AL25">
        <f>AK25+1</f>
        <v>3</v>
      </c>
      <c r="AM25">
        <f>AL25+1</f>
        <v>4</v>
      </c>
      <c r="AN25">
        <f>AM25+1</f>
        <v>5</v>
      </c>
      <c r="AO25">
        <f>AN25+1</f>
        <v>6</v>
      </c>
      <c r="AT25" s="27" t="s">
        <v>33</v>
      </c>
      <c r="AU25" s="27"/>
      <c r="AV25" s="27">
        <f>X13</f>
        <v>4852.5833333333312</v>
      </c>
      <c r="AW25" s="27">
        <f>Y13</f>
        <v>59</v>
      </c>
      <c r="AX25" s="27">
        <f t="shared" si="9"/>
        <v>82.247175141242906</v>
      </c>
      <c r="AY25" s="27"/>
      <c r="AZ25" s="27"/>
      <c r="BA25" s="27"/>
    </row>
    <row r="26" spans="17:53" x14ac:dyDescent="0.35">
      <c r="AJ26" s="16" t="e">
        <f t="array" aca="1" ref="AJ26:AO31" ca="1">COV(B5:G14)</f>
        <v>#NAME?</v>
      </c>
      <c r="AK26" s="17" t="e">
        <f ca="1"/>
        <v>#NAME?</v>
      </c>
      <c r="AL26" s="17" t="e">
        <f ca="1"/>
        <v>#NAME?</v>
      </c>
      <c r="AM26" s="17" t="e">
        <f ca="1"/>
        <v>#NAME?</v>
      </c>
      <c r="AN26" s="17" t="e">
        <f ca="1"/>
        <v>#NAME?</v>
      </c>
      <c r="AO26" s="18" t="e">
        <f ca="1"/>
        <v>#NAME?</v>
      </c>
      <c r="AP26" t="e">
        <f ca="1">AVERAGE(AJ26:AO26)</f>
        <v>#NAME?</v>
      </c>
    </row>
    <row r="27" spans="17:53" x14ac:dyDescent="0.35">
      <c r="AJ27" s="22" t="e">
        <f ca="1"/>
        <v>#NAME?</v>
      </c>
      <c r="AK27" t="e">
        <f ca="1"/>
        <v>#NAME?</v>
      </c>
      <c r="AL27" t="e">
        <f ca="1"/>
        <v>#NAME?</v>
      </c>
      <c r="AM27" t="e">
        <f ca="1"/>
        <v>#NAME?</v>
      </c>
      <c r="AN27" t="e">
        <f ca="1"/>
        <v>#NAME?</v>
      </c>
      <c r="AO27" s="23" t="e">
        <f ca="1"/>
        <v>#NAME?</v>
      </c>
      <c r="AP27" t="e">
        <f t="shared" ref="AP27:AP32" ca="1" si="10">AVERAGE(AJ27:AO27)</f>
        <v>#NAME?</v>
      </c>
    </row>
    <row r="28" spans="17:53" x14ac:dyDescent="0.35">
      <c r="AJ28" s="22" t="e">
        <f ca="1"/>
        <v>#NAME?</v>
      </c>
      <c r="AK28" t="e">
        <f ca="1"/>
        <v>#NAME?</v>
      </c>
      <c r="AL28" t="e">
        <f ca="1"/>
        <v>#NAME?</v>
      </c>
      <c r="AM28" t="e">
        <f ca="1"/>
        <v>#NAME?</v>
      </c>
      <c r="AN28" t="e">
        <f ca="1"/>
        <v>#NAME?</v>
      </c>
      <c r="AO28" s="23" t="e">
        <f ca="1"/>
        <v>#NAME?</v>
      </c>
      <c r="AP28" t="e">
        <f t="shared" ca="1" si="10"/>
        <v>#NAME?</v>
      </c>
    </row>
    <row r="29" spans="17:53" x14ac:dyDescent="0.35">
      <c r="AJ29" s="22" t="e">
        <f ca="1"/>
        <v>#NAME?</v>
      </c>
      <c r="AK29" t="e">
        <f ca="1"/>
        <v>#NAME?</v>
      </c>
      <c r="AL29" t="e">
        <f ca="1"/>
        <v>#NAME?</v>
      </c>
      <c r="AM29" t="e">
        <f ca="1"/>
        <v>#NAME?</v>
      </c>
      <c r="AN29" t="e">
        <f ca="1"/>
        <v>#NAME?</v>
      </c>
      <c r="AO29" s="23" t="e">
        <f ca="1"/>
        <v>#NAME?</v>
      </c>
      <c r="AP29" t="e">
        <f t="shared" ca="1" si="10"/>
        <v>#NAME?</v>
      </c>
    </row>
    <row r="30" spans="17:53" x14ac:dyDescent="0.35">
      <c r="AJ30" s="22" t="e">
        <f ca="1"/>
        <v>#NAME?</v>
      </c>
      <c r="AK30" t="e">
        <f ca="1"/>
        <v>#NAME?</v>
      </c>
      <c r="AL30" t="e">
        <f ca="1"/>
        <v>#NAME?</v>
      </c>
      <c r="AM30" t="e">
        <f ca="1"/>
        <v>#NAME?</v>
      </c>
      <c r="AN30" t="e">
        <f ca="1"/>
        <v>#NAME?</v>
      </c>
      <c r="AO30" s="23" t="e">
        <f ca="1"/>
        <v>#NAME?</v>
      </c>
      <c r="AP30" t="e">
        <f t="shared" ca="1" si="10"/>
        <v>#NAME?</v>
      </c>
    </row>
    <row r="31" spans="17:53" x14ac:dyDescent="0.35">
      <c r="AJ31" s="19" t="e">
        <f ca="1"/>
        <v>#NAME?</v>
      </c>
      <c r="AK31" s="24" t="e">
        <f ca="1"/>
        <v>#NAME?</v>
      </c>
      <c r="AL31" s="24" t="e">
        <f ca="1"/>
        <v>#NAME?</v>
      </c>
      <c r="AM31" s="24" t="e">
        <f ca="1"/>
        <v>#NAME?</v>
      </c>
      <c r="AN31" s="24" t="e">
        <f ca="1"/>
        <v>#NAME?</v>
      </c>
      <c r="AO31" s="20" t="e">
        <f ca="1"/>
        <v>#NAME?</v>
      </c>
      <c r="AP31" t="e">
        <f t="shared" ca="1" si="10"/>
        <v>#NAME?</v>
      </c>
    </row>
    <row r="32" spans="17:53" x14ac:dyDescent="0.35">
      <c r="AJ32" t="e">
        <f t="shared" ref="AJ32:AO32" ca="1" si="11">AVERAGE(AJ26:AJ31)</f>
        <v>#NAME?</v>
      </c>
      <c r="AK32" t="e">
        <f t="shared" ca="1" si="11"/>
        <v>#NAME?</v>
      </c>
      <c r="AL32" t="e">
        <f t="shared" ca="1" si="11"/>
        <v>#NAME?</v>
      </c>
      <c r="AM32" t="e">
        <f t="shared" ca="1" si="11"/>
        <v>#NAME?</v>
      </c>
      <c r="AN32" t="e">
        <f t="shared" ca="1" si="11"/>
        <v>#NAME?</v>
      </c>
      <c r="AO32" t="e">
        <f t="shared" ca="1" si="11"/>
        <v>#NAME?</v>
      </c>
      <c r="AP32" t="e">
        <f t="shared" ca="1" si="10"/>
        <v>#NAME?</v>
      </c>
    </row>
    <row r="35" spans="36:44" x14ac:dyDescent="0.35">
      <c r="AJ35" s="16" t="e">
        <f t="shared" ref="AJ35:AO40" ca="1" si="12">AJ26-$AP26-AJ$32+$AP$32</f>
        <v>#NAME?</v>
      </c>
      <c r="AK35" s="17" t="e">
        <f t="shared" ca="1" si="12"/>
        <v>#NAME?</v>
      </c>
      <c r="AL35" s="17" t="e">
        <f t="shared" ca="1" si="12"/>
        <v>#NAME?</v>
      </c>
      <c r="AM35" s="17" t="e">
        <f t="shared" ca="1" si="12"/>
        <v>#NAME?</v>
      </c>
      <c r="AN35" s="17" t="e">
        <f t="shared" ca="1" si="12"/>
        <v>#NAME?</v>
      </c>
      <c r="AO35" s="18" t="e">
        <f t="shared" ca="1" si="12"/>
        <v>#NAME?</v>
      </c>
      <c r="AQ35" t="s">
        <v>58</v>
      </c>
      <c r="AR35">
        <f>R4</f>
        <v>2</v>
      </c>
    </row>
    <row r="36" spans="36:44" x14ac:dyDescent="0.35">
      <c r="AJ36" s="22" t="e">
        <f t="shared" ca="1" si="12"/>
        <v>#NAME?</v>
      </c>
      <c r="AK36" t="e">
        <f t="shared" ca="1" si="12"/>
        <v>#NAME?</v>
      </c>
      <c r="AL36" t="e">
        <f t="shared" ca="1" si="12"/>
        <v>#NAME?</v>
      </c>
      <c r="AM36" t="e">
        <f t="shared" ca="1" si="12"/>
        <v>#NAME?</v>
      </c>
      <c r="AN36" t="e">
        <f t="shared" ca="1" si="12"/>
        <v>#NAME?</v>
      </c>
      <c r="AO36" s="23" t="e">
        <f t="shared" ca="1" si="12"/>
        <v>#NAME?</v>
      </c>
      <c r="AQ36" t="s">
        <v>59</v>
      </c>
      <c r="AR36">
        <f>S4</f>
        <v>3</v>
      </c>
    </row>
    <row r="37" spans="36:44" x14ac:dyDescent="0.35">
      <c r="AJ37" s="22" t="e">
        <f t="shared" ca="1" si="12"/>
        <v>#NAME?</v>
      </c>
      <c r="AK37" t="e">
        <f t="shared" ca="1" si="12"/>
        <v>#NAME?</v>
      </c>
      <c r="AL37" t="e">
        <f t="shared" ca="1" si="12"/>
        <v>#NAME?</v>
      </c>
      <c r="AM37" t="e">
        <f t="shared" ca="1" si="12"/>
        <v>#NAME?</v>
      </c>
      <c r="AN37" t="e">
        <f t="shared" ca="1" si="12"/>
        <v>#NAME?</v>
      </c>
      <c r="AO37" s="23" t="e">
        <f t="shared" ca="1" si="12"/>
        <v>#NAME?</v>
      </c>
      <c r="AQ37" t="s">
        <v>60</v>
      </c>
      <c r="AR37" t="e">
        <f ca="1">SUM(AJ42:AN42)^2</f>
        <v>#NAME?</v>
      </c>
    </row>
    <row r="38" spans="36:44" x14ac:dyDescent="0.35">
      <c r="AJ38" s="22" t="e">
        <f t="shared" ca="1" si="12"/>
        <v>#NAME?</v>
      </c>
      <c r="AK38" t="e">
        <f t="shared" ca="1" si="12"/>
        <v>#NAME?</v>
      </c>
      <c r="AL38" t="e">
        <f t="shared" ca="1" si="12"/>
        <v>#NAME?</v>
      </c>
      <c r="AM38" t="e">
        <f t="shared" ca="1" si="12"/>
        <v>#NAME?</v>
      </c>
      <c r="AN38" t="e">
        <f t="shared" ca="1" si="12"/>
        <v>#NAME?</v>
      </c>
      <c r="AO38" s="23" t="e">
        <f t="shared" ca="1" si="12"/>
        <v>#NAME?</v>
      </c>
      <c r="AQ38" t="s">
        <v>61</v>
      </c>
      <c r="AR38" t="e">
        <f ca="1">SUMSQ(AJ42:AN42)*(AR35-1)*(AR36-1)</f>
        <v>#NAME?</v>
      </c>
    </row>
    <row r="39" spans="36:44" x14ac:dyDescent="0.35">
      <c r="AJ39" s="22" t="e">
        <f t="shared" ca="1" si="12"/>
        <v>#NAME?</v>
      </c>
      <c r="AK39" t="e">
        <f t="shared" ca="1" si="12"/>
        <v>#NAME?</v>
      </c>
      <c r="AL39" t="e">
        <f t="shared" ca="1" si="12"/>
        <v>#NAME?</v>
      </c>
      <c r="AM39" t="e">
        <f t="shared" ca="1" si="12"/>
        <v>#NAME?</v>
      </c>
      <c r="AN39" t="e">
        <f t="shared" ca="1" si="12"/>
        <v>#NAME?</v>
      </c>
      <c r="AO39" s="23" t="e">
        <f t="shared" ca="1" si="12"/>
        <v>#NAME?</v>
      </c>
      <c r="AQ39" t="s">
        <v>47</v>
      </c>
      <c r="AR39" t="e">
        <f ca="1">AR37/AR38</f>
        <v>#NAME?</v>
      </c>
    </row>
    <row r="40" spans="36:44" x14ac:dyDescent="0.35">
      <c r="AJ40" s="19" t="e">
        <f t="shared" ca="1" si="12"/>
        <v>#NAME?</v>
      </c>
      <c r="AK40" s="24" t="e">
        <f t="shared" ca="1" si="12"/>
        <v>#NAME?</v>
      </c>
      <c r="AL40" s="24" t="e">
        <f t="shared" ca="1" si="12"/>
        <v>#NAME?</v>
      </c>
      <c r="AM40" s="24" t="e">
        <f t="shared" ca="1" si="12"/>
        <v>#NAME?</v>
      </c>
      <c r="AN40" s="24" t="e">
        <f t="shared" ca="1" si="12"/>
        <v>#NAME?</v>
      </c>
      <c r="AO40" s="20" t="e">
        <f t="shared" ca="1" si="12"/>
        <v>#NAME?</v>
      </c>
    </row>
    <row r="42" spans="36:44" x14ac:dyDescent="0.35">
      <c r="AJ42" s="12" t="e">
        <f t="array" aca="1" ref="AJ42:AN42" ca="1">eVALUES(AJ35:AO40)</f>
        <v>#NAME?</v>
      </c>
      <c r="AK42" s="13" t="e">
        <f ca="1"/>
        <v>#NAME?</v>
      </c>
      <c r="AL42" s="13" t="e">
        <f ca="1"/>
        <v>#NAME?</v>
      </c>
      <c r="AM42" s="13" t="e">
        <f ca="1"/>
        <v>#NAME?</v>
      </c>
      <c r="AN42" s="14" t="e">
        <f ca="1"/>
        <v>#NAME?</v>
      </c>
    </row>
  </sheetData>
  <mergeCells count="1">
    <mergeCell ref="AT3:AU3"/>
  </mergeCells>
  <pageMargins left="0.7" right="0.7" top="0.75" bottom="0.75" header="0.3" footer="0.3"/>
  <ignoredErrors>
    <ignoredError sqref="H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04CA-A77E-4880-A502-0161A9ADEA72}">
  <sheetPr codeName="Sheet46"/>
  <dimension ref="A1:AF32"/>
  <sheetViews>
    <sheetView zoomScaleNormal="100" workbookViewId="0"/>
  </sheetViews>
  <sheetFormatPr defaultRowHeight="14.5" x14ac:dyDescent="0.35"/>
  <cols>
    <col min="1" max="1" width="8" customWidth="1"/>
    <col min="2" max="7" width="8.81640625" customWidth="1"/>
    <col min="8" max="8" width="2.90625" customWidth="1"/>
    <col min="9" max="16" width="9.6328125" customWidth="1"/>
    <col min="26" max="26" width="11.81640625" bestFit="1" customWidth="1"/>
    <col min="27" max="30" width="8.81640625" bestFit="1" customWidth="1"/>
    <col min="31" max="31" width="8.7265625" customWidth="1"/>
    <col min="32" max="32" width="8.81640625" bestFit="1" customWidth="1"/>
  </cols>
  <sheetData>
    <row r="1" spans="1:32" x14ac:dyDescent="0.35">
      <c r="A1" s="1" t="s">
        <v>0</v>
      </c>
    </row>
    <row r="2" spans="1:32" x14ac:dyDescent="0.35">
      <c r="A2" s="1"/>
    </row>
    <row r="3" spans="1:32" x14ac:dyDescent="0.35">
      <c r="A3" s="1"/>
      <c r="B3" s="2" t="s">
        <v>6</v>
      </c>
      <c r="C3" s="3" t="s">
        <v>6</v>
      </c>
      <c r="D3" s="4" t="s">
        <v>6</v>
      </c>
      <c r="E3" s="2" t="s">
        <v>7</v>
      </c>
      <c r="F3" s="3" t="s">
        <v>7</v>
      </c>
      <c r="G3" s="4" t="s">
        <v>7</v>
      </c>
      <c r="I3" t="s">
        <v>62</v>
      </c>
      <c r="Q3" t="s">
        <v>63</v>
      </c>
      <c r="Y3" t="s">
        <v>64</v>
      </c>
    </row>
    <row r="4" spans="1:32" x14ac:dyDescent="0.35">
      <c r="A4" s="8" t="s">
        <v>19</v>
      </c>
      <c r="B4" s="9" t="s">
        <v>20</v>
      </c>
      <c r="C4" s="10" t="s">
        <v>21</v>
      </c>
      <c r="D4" s="11" t="s">
        <v>22</v>
      </c>
      <c r="E4" s="9" t="s">
        <v>20</v>
      </c>
      <c r="F4" s="10" t="s">
        <v>21</v>
      </c>
      <c r="G4" s="11" t="s">
        <v>22</v>
      </c>
    </row>
    <row r="5" spans="1:32" ht="15" thickBot="1" x14ac:dyDescent="0.4">
      <c r="A5" s="8">
        <v>1</v>
      </c>
      <c r="B5" s="16">
        <v>13</v>
      </c>
      <c r="C5" s="17">
        <v>12</v>
      </c>
      <c r="D5" s="18">
        <v>17</v>
      </c>
      <c r="E5" s="16">
        <v>18</v>
      </c>
      <c r="F5" s="17">
        <v>30</v>
      </c>
      <c r="G5" s="18">
        <v>34</v>
      </c>
      <c r="I5" s="8" t="s">
        <v>65</v>
      </c>
      <c r="J5" s="8" t="s">
        <v>66</v>
      </c>
      <c r="K5" s="8" t="s">
        <v>19</v>
      </c>
      <c r="Q5" t="s">
        <v>5</v>
      </c>
      <c r="U5" s="8" t="s">
        <v>67</v>
      </c>
      <c r="V5" s="8">
        <v>0.05</v>
      </c>
      <c r="Y5" t="s">
        <v>5</v>
      </c>
      <c r="AD5" s="8" t="s">
        <v>67</v>
      </c>
      <c r="AE5" s="8">
        <v>0.05</v>
      </c>
    </row>
    <row r="6" spans="1:32" ht="15" thickTop="1" x14ac:dyDescent="0.35">
      <c r="A6" s="8">
        <f>A5+1</f>
        <v>2</v>
      </c>
      <c r="B6" s="22">
        <v>12</v>
      </c>
      <c r="C6">
        <v>19</v>
      </c>
      <c r="D6" s="23">
        <v>18</v>
      </c>
      <c r="E6" s="22">
        <v>6</v>
      </c>
      <c r="F6">
        <v>18</v>
      </c>
      <c r="G6" s="23">
        <v>30</v>
      </c>
      <c r="I6" s="29">
        <v>2</v>
      </c>
      <c r="J6" s="30">
        <v>3</v>
      </c>
      <c r="K6" s="31">
        <v>10</v>
      </c>
      <c r="L6">
        <f>PRODUCT(I6:K6)</f>
        <v>60</v>
      </c>
      <c r="Q6" s="32"/>
      <c r="R6" s="32" t="s">
        <v>13</v>
      </c>
      <c r="S6" s="32" t="s">
        <v>14</v>
      </c>
      <c r="T6" s="32" t="s">
        <v>15</v>
      </c>
      <c r="U6" s="32" t="s">
        <v>16</v>
      </c>
      <c r="V6" s="32" t="s">
        <v>68</v>
      </c>
      <c r="W6" s="32" t="s">
        <v>69</v>
      </c>
      <c r="Y6" s="32"/>
      <c r="Z6" s="32"/>
      <c r="AA6" s="32" t="s">
        <v>13</v>
      </c>
      <c r="AB6" s="32" t="s">
        <v>14</v>
      </c>
      <c r="AC6" s="32" t="s">
        <v>15</v>
      </c>
      <c r="AD6" s="32" t="s">
        <v>16</v>
      </c>
      <c r="AE6" s="32" t="s">
        <v>68</v>
      </c>
      <c r="AF6" s="32" t="s">
        <v>69</v>
      </c>
    </row>
    <row r="7" spans="1:32" x14ac:dyDescent="0.35">
      <c r="A7" s="8">
        <f t="shared" ref="A7:A14" si="0">A6+1</f>
        <v>3</v>
      </c>
      <c r="B7" s="22">
        <v>17</v>
      </c>
      <c r="C7">
        <v>19</v>
      </c>
      <c r="D7" s="23">
        <v>24</v>
      </c>
      <c r="E7" s="22">
        <v>21</v>
      </c>
      <c r="F7">
        <v>31</v>
      </c>
      <c r="G7" s="23">
        <v>32</v>
      </c>
      <c r="Q7" t="s">
        <v>70</v>
      </c>
      <c r="R7">
        <f>DEVSQ(I21:J21)*J6*K6</f>
        <v>828.81666666666661</v>
      </c>
      <c r="S7">
        <f>I6-1</f>
        <v>1</v>
      </c>
      <c r="T7">
        <f>R7/S7</f>
        <v>828.81666666666661</v>
      </c>
      <c r="U7">
        <f>T7/T8</f>
        <v>33.852280462899877</v>
      </c>
      <c r="V7">
        <f>_xlfn.F.DIST.RT(U7,S7,S8)</f>
        <v>2.5360766055906994E-4</v>
      </c>
      <c r="W7">
        <f>R7/(R7+R8)</f>
        <v>0.78997617156473365</v>
      </c>
      <c r="Y7" t="s">
        <v>70</v>
      </c>
      <c r="Z7" t="s">
        <v>26</v>
      </c>
      <c r="AA7">
        <f>DEVSQ(I21:J21)*J6*K6</f>
        <v>828.81666666666661</v>
      </c>
      <c r="AB7">
        <f>I6-1</f>
        <v>1</v>
      </c>
      <c r="AC7">
        <f>AA7/AB7</f>
        <v>828.81666666666661</v>
      </c>
      <c r="AD7">
        <f>AC7/AC11</f>
        <v>33.852280462899877</v>
      </c>
      <c r="AE7">
        <f>_xlfn.F.DIST.RT(AD7,AB7,AB11)</f>
        <v>2.5360766055906994E-4</v>
      </c>
      <c r="AF7">
        <f>AA7/(AA7+AA11)</f>
        <v>0.78997617156473365</v>
      </c>
    </row>
    <row r="8" spans="1:32" x14ac:dyDescent="0.35">
      <c r="A8" s="8">
        <f t="shared" si="0"/>
        <v>4</v>
      </c>
      <c r="B8" s="22">
        <v>12</v>
      </c>
      <c r="C8">
        <v>25</v>
      </c>
      <c r="D8" s="23">
        <v>25</v>
      </c>
      <c r="E8" s="22">
        <v>18</v>
      </c>
      <c r="F8">
        <v>39</v>
      </c>
      <c r="G8" s="23">
        <v>40</v>
      </c>
      <c r="I8" t="s">
        <v>71</v>
      </c>
      <c r="Q8" t="s">
        <v>72</v>
      </c>
      <c r="R8">
        <f>DEVSQ(I11:J20)*J6-R7-R13</f>
        <v>220.35000000000036</v>
      </c>
      <c r="S8">
        <f>S7*S13</f>
        <v>9</v>
      </c>
      <c r="T8">
        <f t="shared" ref="T8:T14" si="1">R8/S8</f>
        <v>24.483333333333373</v>
      </c>
      <c r="Z8" t="s">
        <v>47</v>
      </c>
      <c r="AA8">
        <f>AA7</f>
        <v>828.81666666666661</v>
      </c>
      <c r="AB8" t="e">
        <f ca="1">AB7*J23</f>
        <v>#NAME?</v>
      </c>
      <c r="AC8" t="e">
        <f t="shared" ref="AC8:AC32" ca="1" si="2">AA8/AB8</f>
        <v>#NAME?</v>
      </c>
      <c r="AD8" t="e">
        <f t="shared" ref="AD8:AD10" ca="1" si="3">AC8/AC12</f>
        <v>#NAME?</v>
      </c>
      <c r="AE8" t="e">
        <f t="shared" ref="AE8:AE10" ca="1" si="4">_xlfn.F.DIST.RT(AD8,AB8,AB12)</f>
        <v>#NAME?</v>
      </c>
      <c r="AF8">
        <f t="shared" ref="AF8:AF10" si="5">AA8/(AA8+AA12)</f>
        <v>0.78997617156473365</v>
      </c>
    </row>
    <row r="9" spans="1:32" x14ac:dyDescent="0.35">
      <c r="A9" s="8">
        <f t="shared" si="0"/>
        <v>5</v>
      </c>
      <c r="B9" s="22">
        <v>19</v>
      </c>
      <c r="C9">
        <v>27</v>
      </c>
      <c r="D9" s="23">
        <v>19</v>
      </c>
      <c r="E9" s="22">
        <v>18</v>
      </c>
      <c r="F9">
        <v>28</v>
      </c>
      <c r="G9" s="23">
        <v>27</v>
      </c>
      <c r="Q9" t="s">
        <v>73</v>
      </c>
      <c r="R9">
        <f>DEVSQ(L21:N21)*I6*K6</f>
        <v>1365.2333333333331</v>
      </c>
      <c r="S9">
        <f>J6-1</f>
        <v>2</v>
      </c>
      <c r="T9">
        <f t="shared" si="1"/>
        <v>682.61666666666656</v>
      </c>
      <c r="U9">
        <f>T9/T10</f>
        <v>26.959189643823574</v>
      </c>
      <c r="V9">
        <f>_xlfn.F.DIST.RT(U9,S9,S10)</f>
        <v>3.8538385756846721E-6</v>
      </c>
      <c r="W9">
        <f>R9/(R9+R10)</f>
        <v>0.74971627311001265</v>
      </c>
      <c r="Z9" t="s">
        <v>56</v>
      </c>
      <c r="AA9">
        <f t="shared" ref="AA9:AA22" si="6">AA8</f>
        <v>828.81666666666661</v>
      </c>
      <c r="AB9" t="e">
        <f ca="1">AB7*J24</f>
        <v>#NAME?</v>
      </c>
      <c r="AC9" t="e">
        <f t="shared" ca="1" si="2"/>
        <v>#NAME?</v>
      </c>
      <c r="AD9" t="e">
        <f t="shared" ca="1" si="3"/>
        <v>#NAME?</v>
      </c>
      <c r="AE9" t="e">
        <f t="shared" ca="1" si="4"/>
        <v>#NAME?</v>
      </c>
      <c r="AF9">
        <f t="shared" si="5"/>
        <v>0.78997617156473365</v>
      </c>
    </row>
    <row r="10" spans="1:32" x14ac:dyDescent="0.35">
      <c r="A10" s="8">
        <f t="shared" si="0"/>
        <v>6</v>
      </c>
      <c r="B10" s="22">
        <v>6</v>
      </c>
      <c r="C10">
        <v>12</v>
      </c>
      <c r="D10" s="23">
        <v>6</v>
      </c>
      <c r="E10" s="22">
        <v>6</v>
      </c>
      <c r="F10">
        <v>18</v>
      </c>
      <c r="G10" s="23">
        <v>23</v>
      </c>
      <c r="I10" s="8" t="str">
        <f>B3</f>
        <v>Pre</v>
      </c>
      <c r="J10" s="8" t="str">
        <f>E3</f>
        <v>Post</v>
      </c>
      <c r="L10" s="8" t="str">
        <f>B4</f>
        <v>Product</v>
      </c>
      <c r="M10" s="8" t="str">
        <f t="shared" ref="M10:N10" si="7">C4</f>
        <v>Client</v>
      </c>
      <c r="N10" s="8" t="str">
        <f t="shared" si="7"/>
        <v>Action</v>
      </c>
      <c r="Q10" t="s">
        <v>72</v>
      </c>
      <c r="R10">
        <f>DEVSQ(L11:N20)*I6-R9-R13</f>
        <v>455.76666666666688</v>
      </c>
      <c r="S10">
        <f>S9*S13</f>
        <v>18</v>
      </c>
      <c r="T10">
        <f t="shared" si="1"/>
        <v>25.320370370370384</v>
      </c>
      <c r="Y10" s="24"/>
      <c r="Z10" s="24" t="s">
        <v>37</v>
      </c>
      <c r="AA10" s="24">
        <f t="shared" si="6"/>
        <v>828.81666666666661</v>
      </c>
      <c r="AB10" s="24">
        <f>AB7*J25</f>
        <v>1</v>
      </c>
      <c r="AC10" s="24">
        <f t="shared" si="2"/>
        <v>828.81666666666661</v>
      </c>
      <c r="AD10" s="24">
        <f t="shared" si="3"/>
        <v>33.852280462899877</v>
      </c>
      <c r="AE10" s="24">
        <f t="shared" si="4"/>
        <v>2.5360766055906994E-4</v>
      </c>
      <c r="AF10" s="24">
        <f t="shared" si="5"/>
        <v>0.78997617156473365</v>
      </c>
    </row>
    <row r="11" spans="1:32" x14ac:dyDescent="0.35">
      <c r="A11" s="8">
        <f t="shared" si="0"/>
        <v>7</v>
      </c>
      <c r="B11" s="22">
        <v>17</v>
      </c>
      <c r="C11">
        <v>18</v>
      </c>
      <c r="D11" s="23">
        <v>30</v>
      </c>
      <c r="E11" s="22">
        <v>24</v>
      </c>
      <c r="F11">
        <v>36</v>
      </c>
      <c r="G11" s="23">
        <v>38</v>
      </c>
      <c r="I11" s="33">
        <f>AVERAGE(B5:D5)</f>
        <v>14</v>
      </c>
      <c r="J11" s="34">
        <f>AVERAGE(E5:G5)</f>
        <v>27.333333333333332</v>
      </c>
      <c r="L11" s="33">
        <f>AVERAGEIF($B$4:$G$4,L$10,$B5:$G5)</f>
        <v>15.5</v>
      </c>
      <c r="M11" s="35">
        <f t="shared" ref="M11:N11" si="8">AVERAGEIF($B$4:$G$4,M$10,$B5:$G5)</f>
        <v>21</v>
      </c>
      <c r="N11" s="34">
        <f t="shared" si="8"/>
        <v>25.5</v>
      </c>
      <c r="O11">
        <f>AVERAGE(L11:N11)</f>
        <v>20.666666666666668</v>
      </c>
      <c r="Q11" t="s">
        <v>41</v>
      </c>
      <c r="R11" t="e">
        <f ca="1">DEVSQ(MEANCOL(B5:G14))*K6-R7-R9</f>
        <v>#NAME?</v>
      </c>
      <c r="S11">
        <f>S7*S9</f>
        <v>2</v>
      </c>
      <c r="T11" t="e">
        <f t="shared" ca="1" si="1"/>
        <v>#NAME?</v>
      </c>
      <c r="U11" t="e">
        <f ca="1">T11/T12</f>
        <v>#NAME?</v>
      </c>
      <c r="V11" t="e">
        <f ca="1">_xlfn.F.DIST.RT(U11,S11,S12)</f>
        <v>#NAME?</v>
      </c>
      <c r="W11" t="e">
        <f ca="1">R11/(R11+R12)</f>
        <v>#NAME?</v>
      </c>
      <c r="Y11" t="s">
        <v>72</v>
      </c>
      <c r="Z11" t="str">
        <f>Z7</f>
        <v>Sphericity</v>
      </c>
      <c r="AA11">
        <f>DEVSQ(I11:J20)*J6-AA7-AA31</f>
        <v>220.35000000000036</v>
      </c>
      <c r="AB11">
        <f>AB7*AB31</f>
        <v>9</v>
      </c>
      <c r="AC11">
        <f t="shared" si="2"/>
        <v>24.483333333333373</v>
      </c>
    </row>
    <row r="12" spans="1:32" x14ac:dyDescent="0.35">
      <c r="A12" s="8">
        <f t="shared" si="0"/>
        <v>8</v>
      </c>
      <c r="B12" s="22">
        <v>18</v>
      </c>
      <c r="C12">
        <v>29</v>
      </c>
      <c r="D12" s="23">
        <v>36</v>
      </c>
      <c r="E12" s="22">
        <v>22</v>
      </c>
      <c r="F12">
        <v>36</v>
      </c>
      <c r="G12" s="23">
        <v>40</v>
      </c>
      <c r="I12" s="36">
        <f t="shared" ref="I12:I20" si="9">AVERAGE(B6:D6)</f>
        <v>16.333333333333332</v>
      </c>
      <c r="J12" s="37">
        <f t="shared" ref="J12:J20" si="10">AVERAGE(E6:G6)</f>
        <v>18</v>
      </c>
      <c r="L12" s="36">
        <f t="shared" ref="L12:N20" si="11">AVERAGEIF($B$4:$G$4,L$10,$B6:$G6)</f>
        <v>9</v>
      </c>
      <c r="M12">
        <f t="shared" si="11"/>
        <v>18.5</v>
      </c>
      <c r="N12" s="37">
        <f t="shared" si="11"/>
        <v>24</v>
      </c>
      <c r="O12">
        <f t="shared" ref="O12:O20" si="12">AVERAGE(L12:N12)</f>
        <v>17.166666666666668</v>
      </c>
      <c r="Q12" t="s">
        <v>72</v>
      </c>
      <c r="R12" t="e">
        <f ca="1">R14-R13-SUM(R7:R11)</f>
        <v>#NAME?</v>
      </c>
      <c r="S12">
        <f>S11*S13</f>
        <v>18</v>
      </c>
      <c r="T12" t="e">
        <f t="shared" ca="1" si="1"/>
        <v>#NAME?</v>
      </c>
      <c r="Z12" t="str">
        <f t="shared" ref="Z12:Z30" si="13">Z8</f>
        <v>GG Epsilon</v>
      </c>
      <c r="AA12">
        <f t="shared" si="6"/>
        <v>220.35000000000036</v>
      </c>
      <c r="AB12" t="e">
        <f ca="1">AB11*J23</f>
        <v>#NAME?</v>
      </c>
      <c r="AC12" t="e">
        <f t="shared" ca="1" si="2"/>
        <v>#NAME?</v>
      </c>
    </row>
    <row r="13" spans="1:32" x14ac:dyDescent="0.35">
      <c r="A13" s="8">
        <f t="shared" si="0"/>
        <v>9</v>
      </c>
      <c r="B13" s="22">
        <v>23</v>
      </c>
      <c r="C13">
        <v>30</v>
      </c>
      <c r="D13" s="23">
        <v>24</v>
      </c>
      <c r="E13" s="22">
        <v>18</v>
      </c>
      <c r="F13">
        <v>38</v>
      </c>
      <c r="G13" s="23">
        <v>32</v>
      </c>
      <c r="I13" s="36">
        <f t="shared" si="9"/>
        <v>20</v>
      </c>
      <c r="J13" s="37">
        <f t="shared" si="10"/>
        <v>28</v>
      </c>
      <c r="L13" s="36">
        <f t="shared" si="11"/>
        <v>19</v>
      </c>
      <c r="M13">
        <f t="shared" si="11"/>
        <v>25</v>
      </c>
      <c r="N13" s="37">
        <f t="shared" si="11"/>
        <v>28</v>
      </c>
      <c r="O13">
        <f t="shared" si="12"/>
        <v>24</v>
      </c>
      <c r="Q13" t="s">
        <v>19</v>
      </c>
      <c r="R13">
        <f>DEVSQ(O11:O20)*I6*J6</f>
        <v>1598.083333333333</v>
      </c>
      <c r="S13">
        <f>K6-1</f>
        <v>9</v>
      </c>
      <c r="T13">
        <f t="shared" si="1"/>
        <v>177.56481481481478</v>
      </c>
      <c r="Z13" t="str">
        <f t="shared" si="13"/>
        <v>HF Epsilon</v>
      </c>
      <c r="AA13">
        <f t="shared" si="6"/>
        <v>220.35000000000036</v>
      </c>
      <c r="AB13" t="e">
        <f ca="1">AB11*J24</f>
        <v>#NAME?</v>
      </c>
      <c r="AC13" t="e">
        <f t="shared" ca="1" si="2"/>
        <v>#NAME?</v>
      </c>
    </row>
    <row r="14" spans="1:32" x14ac:dyDescent="0.35">
      <c r="A14" s="8">
        <f t="shared" si="0"/>
        <v>10</v>
      </c>
      <c r="B14" s="19">
        <v>18</v>
      </c>
      <c r="C14" s="24">
        <v>12</v>
      </c>
      <c r="D14" s="20">
        <v>24</v>
      </c>
      <c r="E14" s="19">
        <v>24</v>
      </c>
      <c r="F14" s="24">
        <v>25</v>
      </c>
      <c r="G14" s="20">
        <v>34</v>
      </c>
      <c r="I14" s="36">
        <f t="shared" si="9"/>
        <v>20.666666666666668</v>
      </c>
      <c r="J14" s="37">
        <f t="shared" si="10"/>
        <v>32.333333333333336</v>
      </c>
      <c r="L14" s="36">
        <f t="shared" si="11"/>
        <v>15</v>
      </c>
      <c r="M14">
        <f t="shared" si="11"/>
        <v>32</v>
      </c>
      <c r="N14" s="37">
        <f t="shared" si="11"/>
        <v>32.5</v>
      </c>
      <c r="O14">
        <f t="shared" si="12"/>
        <v>26.5</v>
      </c>
      <c r="Q14" s="24" t="s">
        <v>33</v>
      </c>
      <c r="R14" s="24">
        <f>DEVSQ(B5:G14)</f>
        <v>4852.5833333333312</v>
      </c>
      <c r="S14" s="24">
        <f>L6-1</f>
        <v>59</v>
      </c>
      <c r="T14" s="24">
        <f t="shared" si="1"/>
        <v>82.247175141242906</v>
      </c>
      <c r="U14" s="24"/>
      <c r="V14" s="24"/>
      <c r="W14" s="24"/>
      <c r="Y14" s="24"/>
      <c r="Z14" s="24" t="str">
        <f t="shared" si="13"/>
        <v>Lower Bound</v>
      </c>
      <c r="AA14" s="24">
        <f t="shared" si="6"/>
        <v>220.35000000000036</v>
      </c>
      <c r="AB14" s="24">
        <f>AB11*J25</f>
        <v>9</v>
      </c>
      <c r="AC14" s="24">
        <f t="shared" si="2"/>
        <v>24.483333333333373</v>
      </c>
      <c r="AD14" s="24"/>
      <c r="AE14" s="24"/>
      <c r="AF14" s="24"/>
    </row>
    <row r="15" spans="1:32" x14ac:dyDescent="0.35">
      <c r="I15" s="36">
        <f t="shared" si="9"/>
        <v>21.666666666666668</v>
      </c>
      <c r="J15" s="37">
        <f t="shared" si="10"/>
        <v>24.333333333333332</v>
      </c>
      <c r="L15" s="36">
        <f t="shared" si="11"/>
        <v>18.5</v>
      </c>
      <c r="M15">
        <f t="shared" si="11"/>
        <v>27.5</v>
      </c>
      <c r="N15" s="37">
        <f t="shared" si="11"/>
        <v>23</v>
      </c>
      <c r="O15">
        <f t="shared" si="12"/>
        <v>23</v>
      </c>
      <c r="Y15" t="s">
        <v>73</v>
      </c>
      <c r="Z15" t="str">
        <f t="shared" si="13"/>
        <v>Sphericity</v>
      </c>
      <c r="AA15">
        <f>DEVSQ(L21:N21)*I6*K6</f>
        <v>1365.2333333333331</v>
      </c>
      <c r="AB15">
        <f>J6-1</f>
        <v>2</v>
      </c>
      <c r="AC15">
        <f t="shared" si="2"/>
        <v>682.61666666666656</v>
      </c>
      <c r="AD15">
        <f>AC15/AC19</f>
        <v>26.959189643823574</v>
      </c>
      <c r="AE15">
        <f>_xlfn.F.DIST.RT(AD15,AB15,AB19)</f>
        <v>3.8538385756846721E-6</v>
      </c>
      <c r="AF15">
        <f>AA15/(AA15+AA19)</f>
        <v>0.74971627311001265</v>
      </c>
    </row>
    <row r="16" spans="1:32" x14ac:dyDescent="0.35">
      <c r="I16" s="36">
        <f t="shared" si="9"/>
        <v>8</v>
      </c>
      <c r="J16" s="37">
        <f t="shared" si="10"/>
        <v>15.666666666666666</v>
      </c>
      <c r="L16" s="36">
        <f t="shared" si="11"/>
        <v>6</v>
      </c>
      <c r="M16">
        <f t="shared" si="11"/>
        <v>15</v>
      </c>
      <c r="N16" s="37">
        <f t="shared" si="11"/>
        <v>14.5</v>
      </c>
      <c r="O16">
        <f t="shared" si="12"/>
        <v>11.833333333333334</v>
      </c>
      <c r="Z16" t="str">
        <f t="shared" si="13"/>
        <v>GG Epsilon</v>
      </c>
      <c r="AA16">
        <f t="shared" si="6"/>
        <v>1365.2333333333331</v>
      </c>
      <c r="AB16" t="e">
        <f ca="1">AB15*M23</f>
        <v>#NAME?</v>
      </c>
      <c r="AC16" t="e">
        <f t="shared" ca="1" si="2"/>
        <v>#NAME?</v>
      </c>
      <c r="AD16" t="e">
        <f t="shared" ref="AD16:AD18" ca="1" si="14">AC16/AC20</f>
        <v>#NAME?</v>
      </c>
      <c r="AE16" t="e">
        <f t="shared" ref="AE16:AE18" ca="1" si="15">_xlfn.F.DIST.RT(AD16,AB16,AB20)</f>
        <v>#NAME?</v>
      </c>
      <c r="AF16">
        <f t="shared" ref="AF16:AF18" si="16">AA16/(AA16+AA20)</f>
        <v>0.74971627311001265</v>
      </c>
    </row>
    <row r="17" spans="9:32" x14ac:dyDescent="0.35">
      <c r="I17" s="36">
        <f t="shared" si="9"/>
        <v>21.666666666666668</v>
      </c>
      <c r="J17" s="37">
        <f t="shared" si="10"/>
        <v>32.666666666666664</v>
      </c>
      <c r="L17" s="36">
        <f t="shared" si="11"/>
        <v>20.5</v>
      </c>
      <c r="M17">
        <f t="shared" si="11"/>
        <v>27</v>
      </c>
      <c r="N17" s="37">
        <f t="shared" si="11"/>
        <v>34</v>
      </c>
      <c r="O17">
        <f t="shared" si="12"/>
        <v>27.166666666666668</v>
      </c>
      <c r="Z17" t="str">
        <f t="shared" si="13"/>
        <v>HF Epsilon</v>
      </c>
      <c r="AA17">
        <f t="shared" si="6"/>
        <v>1365.2333333333331</v>
      </c>
      <c r="AB17" t="e">
        <f ca="1">AB15*M24</f>
        <v>#NAME?</v>
      </c>
      <c r="AC17" t="e">
        <f t="shared" ca="1" si="2"/>
        <v>#NAME?</v>
      </c>
      <c r="AD17" t="e">
        <f t="shared" ca="1" si="14"/>
        <v>#NAME?</v>
      </c>
      <c r="AE17" t="e">
        <f t="shared" ca="1" si="15"/>
        <v>#NAME?</v>
      </c>
      <c r="AF17">
        <f t="shared" si="16"/>
        <v>0.74971627311001265</v>
      </c>
    </row>
    <row r="18" spans="9:32" x14ac:dyDescent="0.35">
      <c r="I18" s="36">
        <f t="shared" si="9"/>
        <v>27.666666666666668</v>
      </c>
      <c r="J18" s="37">
        <f t="shared" si="10"/>
        <v>32.666666666666664</v>
      </c>
      <c r="L18" s="36">
        <f t="shared" si="11"/>
        <v>20</v>
      </c>
      <c r="M18">
        <f t="shared" si="11"/>
        <v>32.5</v>
      </c>
      <c r="N18" s="37">
        <f t="shared" si="11"/>
        <v>38</v>
      </c>
      <c r="O18">
        <f t="shared" si="12"/>
        <v>30.166666666666668</v>
      </c>
      <c r="Y18" s="24"/>
      <c r="Z18" s="24" t="str">
        <f t="shared" si="13"/>
        <v>Lower Bound</v>
      </c>
      <c r="AA18" s="24">
        <f t="shared" si="6"/>
        <v>1365.2333333333331</v>
      </c>
      <c r="AB18" s="24">
        <f>AB15*M25</f>
        <v>1</v>
      </c>
      <c r="AC18" s="24">
        <f t="shared" si="2"/>
        <v>1365.2333333333331</v>
      </c>
      <c r="AD18" s="24">
        <f t="shared" si="14"/>
        <v>26.959189643823574</v>
      </c>
      <c r="AE18" s="24">
        <f t="shared" si="15"/>
        <v>5.6995007547536039E-4</v>
      </c>
      <c r="AF18" s="24">
        <f t="shared" si="16"/>
        <v>0.74971627311001265</v>
      </c>
    </row>
    <row r="19" spans="9:32" x14ac:dyDescent="0.35">
      <c r="I19" s="36">
        <f t="shared" si="9"/>
        <v>25.666666666666668</v>
      </c>
      <c r="J19" s="37">
        <f t="shared" si="10"/>
        <v>29.333333333333332</v>
      </c>
      <c r="L19" s="36">
        <f t="shared" si="11"/>
        <v>20.5</v>
      </c>
      <c r="M19">
        <f t="shared" si="11"/>
        <v>34</v>
      </c>
      <c r="N19" s="37">
        <f t="shared" si="11"/>
        <v>28</v>
      </c>
      <c r="O19">
        <f t="shared" si="12"/>
        <v>27.5</v>
      </c>
      <c r="Y19" t="s">
        <v>72</v>
      </c>
      <c r="Z19" t="str">
        <f t="shared" si="13"/>
        <v>Sphericity</v>
      </c>
      <c r="AA19">
        <f>DEVSQ(L11:N20)*I6-AA15-AA31</f>
        <v>455.76666666666688</v>
      </c>
      <c r="AB19">
        <f>AB15*AB31</f>
        <v>18</v>
      </c>
      <c r="AC19">
        <f t="shared" si="2"/>
        <v>25.320370370370384</v>
      </c>
    </row>
    <row r="20" spans="9:32" x14ac:dyDescent="0.35">
      <c r="I20" s="38">
        <f t="shared" si="9"/>
        <v>18</v>
      </c>
      <c r="J20" s="39">
        <f t="shared" si="10"/>
        <v>27.666666666666668</v>
      </c>
      <c r="L20" s="38">
        <f t="shared" si="11"/>
        <v>21</v>
      </c>
      <c r="M20" s="40">
        <f t="shared" si="11"/>
        <v>18.5</v>
      </c>
      <c r="N20" s="39">
        <f t="shared" si="11"/>
        <v>29</v>
      </c>
      <c r="O20">
        <f t="shared" si="12"/>
        <v>22.833333333333332</v>
      </c>
      <c r="Z20" t="str">
        <f t="shared" si="13"/>
        <v>GG Epsilon</v>
      </c>
      <c r="AA20">
        <f t="shared" si="6"/>
        <v>455.76666666666688</v>
      </c>
      <c r="AB20" t="e">
        <f ca="1">AB19*M23</f>
        <v>#NAME?</v>
      </c>
      <c r="AC20" t="e">
        <f t="shared" ca="1" si="2"/>
        <v>#NAME?</v>
      </c>
    </row>
    <row r="21" spans="9:32" x14ac:dyDescent="0.35">
      <c r="I21">
        <f>AVERAGE(I11:I20)</f>
        <v>19.366666666666667</v>
      </c>
      <c r="J21">
        <f>AVERAGE(J11:J20)</f>
        <v>26.8</v>
      </c>
      <c r="L21">
        <f>AVERAGE(L11:L20)</f>
        <v>16.5</v>
      </c>
      <c r="M21">
        <f t="shared" ref="M21:N21" si="17">AVERAGE(M11:M20)</f>
        <v>25.1</v>
      </c>
      <c r="N21">
        <f t="shared" si="17"/>
        <v>27.65</v>
      </c>
      <c r="Z21" t="str">
        <f t="shared" si="13"/>
        <v>HF Epsilon</v>
      </c>
      <c r="AA21">
        <f t="shared" si="6"/>
        <v>455.76666666666688</v>
      </c>
      <c r="AB21" t="e">
        <f ca="1">AB19*M24</f>
        <v>#NAME?</v>
      </c>
      <c r="AC21" t="e">
        <f t="shared" ca="1" si="2"/>
        <v>#NAME?</v>
      </c>
    </row>
    <row r="22" spans="9:32" x14ac:dyDescent="0.35">
      <c r="Y22" s="24"/>
      <c r="Z22" s="24" t="str">
        <f t="shared" si="13"/>
        <v>Lower Bound</v>
      </c>
      <c r="AA22" s="24">
        <f t="shared" si="6"/>
        <v>455.76666666666688</v>
      </c>
      <c r="AB22" s="24">
        <f>AB19*M25</f>
        <v>9</v>
      </c>
      <c r="AC22" s="24">
        <f t="shared" si="2"/>
        <v>50.640740740740767</v>
      </c>
      <c r="AD22" s="24"/>
      <c r="AE22" s="24"/>
      <c r="AF22" s="24"/>
    </row>
    <row r="23" spans="9:32" x14ac:dyDescent="0.35">
      <c r="I23" s="41" t="s">
        <v>47</v>
      </c>
      <c r="J23" t="e">
        <f ca="1">GGEpsilon(I11:J20)</f>
        <v>#NAME?</v>
      </c>
      <c r="L23" s="41" t="s">
        <v>47</v>
      </c>
      <c r="M23" t="e">
        <f ca="1">GGEpsilon(L11:N20)</f>
        <v>#NAME?</v>
      </c>
      <c r="O23" s="41" t="s">
        <v>47</v>
      </c>
      <c r="P23" t="e" cm="1">
        <f t="array" aca="1" ref="P23" ca="1">GGEpsilon(E5:G14-B5:D14)</f>
        <v>#NAME?</v>
      </c>
      <c r="Y23" t="s">
        <v>41</v>
      </c>
      <c r="Z23" t="str">
        <f t="shared" si="13"/>
        <v>Sphericity</v>
      </c>
      <c r="AA23" t="e">
        <f t="array" aca="1" ref="AA23" ca="1">DEVSQ(MEANCOL(B5:G14))*K6-AA7-AA15</f>
        <v>#NAME?</v>
      </c>
      <c r="AB23">
        <f>AB7*AB15</f>
        <v>2</v>
      </c>
      <c r="AC23" t="e">
        <f t="shared" ca="1" si="2"/>
        <v>#NAME?</v>
      </c>
      <c r="AD23" t="e">
        <f ca="1">AC23/AC27</f>
        <v>#NAME?</v>
      </c>
      <c r="AE23" t="e">
        <f ca="1">_xlfn.F.DIST.RT(AD23,AB23,AB27)</f>
        <v>#NAME?</v>
      </c>
      <c r="AF23" t="e">
        <f ca="1">AA23/(AA23+AA27)</f>
        <v>#NAME?</v>
      </c>
    </row>
    <row r="24" spans="9:32" x14ac:dyDescent="0.35">
      <c r="I24" s="42" t="s">
        <v>56</v>
      </c>
      <c r="J24" t="e">
        <f ca="1">HFEpsilon(I11:J20)</f>
        <v>#NAME?</v>
      </c>
      <c r="L24" s="42" t="s">
        <v>56</v>
      </c>
      <c r="M24" t="e">
        <f ca="1">HFEpsilon(L11:N20)</f>
        <v>#NAME?</v>
      </c>
      <c r="O24" s="42" t="s">
        <v>56</v>
      </c>
      <c r="P24" t="e">
        <f t="array" aca="1" ref="P24" ca="1">HFEpsilon(E5:G14-B5:D14)</f>
        <v>#NAME?</v>
      </c>
      <c r="Z24" t="str">
        <f t="shared" si="13"/>
        <v>GG Epsilon</v>
      </c>
      <c r="AA24" t="e">
        <f t="shared" ref="AA24:AA30" ca="1" si="18">AA23</f>
        <v>#NAME?</v>
      </c>
      <c r="AB24" t="e">
        <f ca="1">AB23*P23</f>
        <v>#NAME?</v>
      </c>
      <c r="AC24" t="e">
        <f t="shared" ca="1" si="2"/>
        <v>#NAME?</v>
      </c>
      <c r="AD24" t="e">
        <f t="shared" ref="AD24:AD26" ca="1" si="19">AC24/AC28</f>
        <v>#NAME?</v>
      </c>
      <c r="AE24" t="e">
        <f t="shared" ref="AE24:AE26" ca="1" si="20">_xlfn.F.DIST.RT(AD24,AB24,AB28)</f>
        <v>#NAME?</v>
      </c>
      <c r="AF24" t="e">
        <f t="shared" ref="AF24:AF26" ca="1" si="21">AA24/(AA24+AA28)</f>
        <v>#NAME?</v>
      </c>
    </row>
    <row r="25" spans="9:32" x14ac:dyDescent="0.35">
      <c r="I25" s="43" t="s">
        <v>74</v>
      </c>
      <c r="J25">
        <f>1/(I6-1)</f>
        <v>1</v>
      </c>
      <c r="L25" s="43" t="s">
        <v>74</v>
      </c>
      <c r="M25">
        <f>1/(J6-1)</f>
        <v>0.5</v>
      </c>
      <c r="O25" s="43" t="s">
        <v>74</v>
      </c>
      <c r="P25">
        <f>J25*M25</f>
        <v>0.5</v>
      </c>
      <c r="Z25" t="str">
        <f t="shared" si="13"/>
        <v>HF Epsilon</v>
      </c>
      <c r="AA25" t="e">
        <f t="shared" ca="1" si="18"/>
        <v>#NAME?</v>
      </c>
      <c r="AB25" t="e">
        <f ca="1">AB23*P24</f>
        <v>#NAME?</v>
      </c>
      <c r="AC25" t="e">
        <f t="shared" ca="1" si="2"/>
        <v>#NAME?</v>
      </c>
      <c r="AD25" t="e">
        <f t="shared" ca="1" si="19"/>
        <v>#NAME?</v>
      </c>
      <c r="AE25" t="e">
        <f t="shared" ca="1" si="20"/>
        <v>#NAME?</v>
      </c>
      <c r="AF25" t="e">
        <f t="shared" ca="1" si="21"/>
        <v>#NAME?</v>
      </c>
    </row>
    <row r="26" spans="9:32" x14ac:dyDescent="0.35">
      <c r="Y26" s="24"/>
      <c r="Z26" s="24" t="str">
        <f t="shared" si="13"/>
        <v>Lower Bound</v>
      </c>
      <c r="AA26" s="24" t="e">
        <f t="shared" ca="1" si="18"/>
        <v>#NAME?</v>
      </c>
      <c r="AB26" s="24">
        <f>AB23*J25*M25</f>
        <v>1</v>
      </c>
      <c r="AC26" s="24" t="e">
        <f t="shared" ca="1" si="2"/>
        <v>#NAME?</v>
      </c>
      <c r="AD26" s="24" t="e">
        <f t="shared" ca="1" si="19"/>
        <v>#NAME?</v>
      </c>
      <c r="AE26" s="24" t="e">
        <f t="shared" ca="1" si="20"/>
        <v>#NAME?</v>
      </c>
      <c r="AF26" s="24" t="e">
        <f t="shared" ca="1" si="21"/>
        <v>#NAME?</v>
      </c>
    </row>
    <row r="27" spans="9:32" x14ac:dyDescent="0.35">
      <c r="Y27" t="s">
        <v>72</v>
      </c>
      <c r="Z27" t="str">
        <f t="shared" si="13"/>
        <v>Sphericity</v>
      </c>
      <c r="AA27" t="e">
        <f ca="1">AA32-AA7-AA11-AA15-AA19-AA23-AA31</f>
        <v>#NAME?</v>
      </c>
      <c r="AB27">
        <f>AB23*AB31</f>
        <v>18</v>
      </c>
      <c r="AC27" t="e">
        <f t="shared" ca="1" si="2"/>
        <v>#NAME?</v>
      </c>
    </row>
    <row r="28" spans="9:32" x14ac:dyDescent="0.35">
      <c r="Z28" t="str">
        <f t="shared" si="13"/>
        <v>GG Epsilon</v>
      </c>
      <c r="AA28" t="e">
        <f t="shared" ca="1" si="18"/>
        <v>#NAME?</v>
      </c>
      <c r="AB28" t="e">
        <f ca="1">AB27*P23</f>
        <v>#NAME?</v>
      </c>
      <c r="AC28" t="e">
        <f t="shared" ca="1" si="2"/>
        <v>#NAME?</v>
      </c>
    </row>
    <row r="29" spans="9:32" x14ac:dyDescent="0.35">
      <c r="Z29" t="str">
        <f t="shared" si="13"/>
        <v>HF Epsilon</v>
      </c>
      <c r="AA29" t="e">
        <f t="shared" ca="1" si="18"/>
        <v>#NAME?</v>
      </c>
      <c r="AB29" t="e">
        <f ca="1">AB27*P24</f>
        <v>#NAME?</v>
      </c>
      <c r="AC29" t="e">
        <f t="shared" ca="1" si="2"/>
        <v>#NAME?</v>
      </c>
    </row>
    <row r="30" spans="9:32" x14ac:dyDescent="0.35">
      <c r="Y30" s="24"/>
      <c r="Z30" s="24" t="str">
        <f t="shared" si="13"/>
        <v>Lower Bound</v>
      </c>
      <c r="AA30" s="24" t="e">
        <f t="shared" ca="1" si="18"/>
        <v>#NAME?</v>
      </c>
      <c r="AB30" s="24">
        <f>AB27*J25*M25</f>
        <v>9</v>
      </c>
      <c r="AC30" s="24" t="e">
        <f t="shared" ca="1" si="2"/>
        <v>#NAME?</v>
      </c>
      <c r="AD30" s="24"/>
      <c r="AE30" s="24"/>
      <c r="AF30" s="24"/>
    </row>
    <row r="31" spans="9:32" x14ac:dyDescent="0.35">
      <c r="Y31" t="s">
        <v>19</v>
      </c>
      <c r="AA31">
        <f>DEVSQ(O11:O20)*I6*J6</f>
        <v>1598.083333333333</v>
      </c>
      <c r="AB31">
        <f>K6-1</f>
        <v>9</v>
      </c>
      <c r="AC31">
        <f t="shared" si="2"/>
        <v>177.56481481481478</v>
      </c>
    </row>
    <row r="32" spans="9:32" x14ac:dyDescent="0.35">
      <c r="Y32" s="24" t="s">
        <v>33</v>
      </c>
      <c r="Z32" s="24"/>
      <c r="AA32" s="24">
        <f>DEVSQ(B5:G14)</f>
        <v>4852.5833333333312</v>
      </c>
      <c r="AB32" s="24">
        <f>L6-1</f>
        <v>59</v>
      </c>
      <c r="AC32" s="24">
        <f t="shared" si="2"/>
        <v>82.247175141242906</v>
      </c>
      <c r="AD32" s="24"/>
      <c r="AE32" s="24"/>
      <c r="AF32" s="24"/>
    </row>
  </sheetData>
  <pageMargins left="0.7" right="0.7" top="0.75" bottom="0.75" header="0.3" footer="0.3"/>
  <pageSetup paperSize="9" orientation="portrait" verticalDpi="0" r:id="rId1"/>
  <ignoredErrors>
    <ignoredError sqref="I11:J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198F-DDE1-4BA6-892C-024CBD6D7D4F}">
  <sheetPr codeName="Sheet179"/>
  <dimension ref="A1:AE53"/>
  <sheetViews>
    <sheetView workbookViewId="0"/>
  </sheetViews>
  <sheetFormatPr defaultRowHeight="14.5" x14ac:dyDescent="0.35"/>
  <sheetData>
    <row r="1" spans="1:28" x14ac:dyDescent="0.35">
      <c r="A1" s="1" t="s">
        <v>75</v>
      </c>
    </row>
    <row r="3" spans="1:28" x14ac:dyDescent="0.35">
      <c r="A3" s="1" t="s">
        <v>20</v>
      </c>
      <c r="I3" s="1" t="s">
        <v>21</v>
      </c>
      <c r="Q3" s="1" t="s">
        <v>22</v>
      </c>
      <c r="Y3" s="1" t="s">
        <v>76</v>
      </c>
    </row>
    <row r="5" spans="1:28" x14ac:dyDescent="0.35">
      <c r="A5" s="8" t="s">
        <v>19</v>
      </c>
      <c r="B5" s="8" t="s">
        <v>6</v>
      </c>
      <c r="C5" s="8" t="s">
        <v>7</v>
      </c>
      <c r="I5" s="8" t="s">
        <v>19</v>
      </c>
      <c r="J5" s="8" t="s">
        <v>6</v>
      </c>
      <c r="K5" s="8" t="s">
        <v>7</v>
      </c>
      <c r="Q5" s="8" t="s">
        <v>19</v>
      </c>
      <c r="R5" s="8" t="s">
        <v>6</v>
      </c>
      <c r="S5" s="8" t="s">
        <v>7</v>
      </c>
      <c r="Y5" s="8" t="s">
        <v>19</v>
      </c>
      <c r="Z5" s="8" t="s">
        <v>21</v>
      </c>
      <c r="AA5" s="8" t="s">
        <v>22</v>
      </c>
    </row>
    <row r="6" spans="1:28" x14ac:dyDescent="0.35">
      <c r="A6" s="8" t="s">
        <v>77</v>
      </c>
      <c r="B6" s="44">
        <v>1</v>
      </c>
      <c r="C6" s="45">
        <v>-1</v>
      </c>
      <c r="D6" s="46" t="s">
        <v>78</v>
      </c>
      <c r="I6" s="8" t="s">
        <v>77</v>
      </c>
      <c r="J6" s="44">
        <v>1</v>
      </c>
      <c r="K6" s="45">
        <v>-1</v>
      </c>
      <c r="L6" s="46" t="s">
        <v>78</v>
      </c>
      <c r="Q6" s="8" t="s">
        <v>77</v>
      </c>
      <c r="R6" s="44">
        <v>1</v>
      </c>
      <c r="S6" s="45">
        <v>-1</v>
      </c>
      <c r="T6" s="46" t="s">
        <v>78</v>
      </c>
      <c r="Y6" s="8" t="s">
        <v>77</v>
      </c>
      <c r="Z6" s="44">
        <v>1</v>
      </c>
      <c r="AA6" s="45">
        <v>-1</v>
      </c>
      <c r="AB6" s="46" t="s">
        <v>78</v>
      </c>
    </row>
    <row r="7" spans="1:28" x14ac:dyDescent="0.35">
      <c r="A7" s="8">
        <v>1</v>
      </c>
      <c r="B7" s="47">
        <f>Example!B5</f>
        <v>13</v>
      </c>
      <c r="C7" s="48">
        <f>Example!E5</f>
        <v>18</v>
      </c>
      <c r="D7" s="21">
        <f>SUMPRODUCT(B$6:C$6,B7:C7)</f>
        <v>-5</v>
      </c>
      <c r="I7" s="8">
        <v>1</v>
      </c>
      <c r="J7" s="47">
        <f>Example!C5</f>
        <v>12</v>
      </c>
      <c r="K7" s="48">
        <f>Example!F5</f>
        <v>30</v>
      </c>
      <c r="L7" s="21">
        <f>SUMPRODUCT(J$6:K$6,J7:K7)</f>
        <v>-18</v>
      </c>
      <c r="Q7" s="8">
        <v>1</v>
      </c>
      <c r="R7" s="47">
        <f>Example!D5</f>
        <v>17</v>
      </c>
      <c r="S7" s="48">
        <f>Example!G5</f>
        <v>34</v>
      </c>
      <c r="T7" s="21">
        <f>SUMPRODUCT(R$6:S$6,R7:S7)</f>
        <v>-17</v>
      </c>
      <c r="Y7" s="8">
        <v>1</v>
      </c>
      <c r="Z7" s="47">
        <f>K7-J7</f>
        <v>18</v>
      </c>
      <c r="AA7" s="48">
        <f>S7-R7</f>
        <v>17</v>
      </c>
      <c r="AB7" s="21">
        <f>SUMPRODUCT(Z$6:AA$6,Z7:AA7)</f>
        <v>1</v>
      </c>
    </row>
    <row r="8" spans="1:28" x14ac:dyDescent="0.35">
      <c r="A8" s="8">
        <f>A7+1</f>
        <v>2</v>
      </c>
      <c r="B8" s="49">
        <f>Example!B6</f>
        <v>12</v>
      </c>
      <c r="C8" s="50">
        <f>Example!E6</f>
        <v>6</v>
      </c>
      <c r="D8" s="21">
        <f t="shared" ref="D8:D16" si="0">SUMPRODUCT(B$6:C$6,B8:C8)</f>
        <v>6</v>
      </c>
      <c r="I8" s="8">
        <f>I7+1</f>
        <v>2</v>
      </c>
      <c r="J8" s="49">
        <f>Example!C6</f>
        <v>19</v>
      </c>
      <c r="K8" s="50">
        <f>Example!F6</f>
        <v>18</v>
      </c>
      <c r="L8" s="21">
        <f t="shared" ref="L8:L16" si="1">SUMPRODUCT(J$6:K$6,J8:K8)</f>
        <v>1</v>
      </c>
      <c r="Q8" s="8">
        <f>Q7+1</f>
        <v>2</v>
      </c>
      <c r="R8" s="49">
        <f>Example!D6</f>
        <v>18</v>
      </c>
      <c r="S8" s="50">
        <f>Example!G6</f>
        <v>30</v>
      </c>
      <c r="T8" s="21">
        <f t="shared" ref="T8:T16" si="2">SUMPRODUCT(R$6:S$6,R8:S8)</f>
        <v>-12</v>
      </c>
      <c r="Y8" s="8">
        <f>Y7+1</f>
        <v>2</v>
      </c>
      <c r="Z8" s="49">
        <f t="shared" ref="Z8:Z16" si="3">K8-J8</f>
        <v>-1</v>
      </c>
      <c r="AA8" s="50">
        <f t="shared" ref="AA8:AA16" si="4">S8-R8</f>
        <v>12</v>
      </c>
      <c r="AB8" s="21">
        <f t="shared" ref="AB8:AB16" si="5">SUMPRODUCT(Z$6:AA$6,Z8:AA8)</f>
        <v>-13</v>
      </c>
    </row>
    <row r="9" spans="1:28" x14ac:dyDescent="0.35">
      <c r="A9" s="8">
        <f t="shared" ref="A9:A16" si="6">A8+1</f>
        <v>3</v>
      </c>
      <c r="B9" s="49">
        <f>Example!B7</f>
        <v>17</v>
      </c>
      <c r="C9" s="50">
        <f>Example!E7</f>
        <v>21</v>
      </c>
      <c r="D9" s="21">
        <f t="shared" si="0"/>
        <v>-4</v>
      </c>
      <c r="I9" s="8">
        <f t="shared" ref="I9:I16" si="7">I8+1</f>
        <v>3</v>
      </c>
      <c r="J9" s="49">
        <f>Example!C7</f>
        <v>19</v>
      </c>
      <c r="K9" s="50">
        <f>Example!F7</f>
        <v>31</v>
      </c>
      <c r="L9" s="21">
        <f t="shared" si="1"/>
        <v>-12</v>
      </c>
      <c r="Q9" s="8">
        <f t="shared" ref="Q9:Q16" si="8">Q8+1</f>
        <v>3</v>
      </c>
      <c r="R9" s="49">
        <f>Example!D7</f>
        <v>24</v>
      </c>
      <c r="S9" s="50">
        <f>Example!G7</f>
        <v>32</v>
      </c>
      <c r="T9" s="21">
        <f t="shared" si="2"/>
        <v>-8</v>
      </c>
      <c r="Y9" s="8">
        <f t="shared" ref="Y9:Y16" si="9">Y8+1</f>
        <v>3</v>
      </c>
      <c r="Z9" s="49">
        <f t="shared" si="3"/>
        <v>12</v>
      </c>
      <c r="AA9" s="50">
        <f t="shared" si="4"/>
        <v>8</v>
      </c>
      <c r="AB9" s="21">
        <f t="shared" si="5"/>
        <v>4</v>
      </c>
    </row>
    <row r="10" spans="1:28" x14ac:dyDescent="0.35">
      <c r="A10" s="8">
        <f t="shared" si="6"/>
        <v>4</v>
      </c>
      <c r="B10" s="49">
        <f>Example!B8</f>
        <v>12</v>
      </c>
      <c r="C10" s="50">
        <f>Example!E8</f>
        <v>18</v>
      </c>
      <c r="D10" s="21">
        <f t="shared" si="0"/>
        <v>-6</v>
      </c>
      <c r="I10" s="8">
        <f t="shared" si="7"/>
        <v>4</v>
      </c>
      <c r="J10" s="49">
        <f>Example!C8</f>
        <v>25</v>
      </c>
      <c r="K10" s="50">
        <f>Example!F8</f>
        <v>39</v>
      </c>
      <c r="L10" s="21">
        <f t="shared" si="1"/>
        <v>-14</v>
      </c>
      <c r="Q10" s="8">
        <f t="shared" si="8"/>
        <v>4</v>
      </c>
      <c r="R10" s="49">
        <f>Example!D8</f>
        <v>25</v>
      </c>
      <c r="S10" s="50">
        <f>Example!G8</f>
        <v>40</v>
      </c>
      <c r="T10" s="21">
        <f t="shared" si="2"/>
        <v>-15</v>
      </c>
      <c r="Y10" s="8">
        <f t="shared" si="9"/>
        <v>4</v>
      </c>
      <c r="Z10" s="49">
        <f t="shared" si="3"/>
        <v>14</v>
      </c>
      <c r="AA10" s="50">
        <f t="shared" si="4"/>
        <v>15</v>
      </c>
      <c r="AB10" s="21">
        <f t="shared" si="5"/>
        <v>-1</v>
      </c>
    </row>
    <row r="11" spans="1:28" x14ac:dyDescent="0.35">
      <c r="A11" s="8">
        <f t="shared" si="6"/>
        <v>5</v>
      </c>
      <c r="B11" s="49">
        <f>Example!B9</f>
        <v>19</v>
      </c>
      <c r="C11" s="50">
        <f>Example!E9</f>
        <v>18</v>
      </c>
      <c r="D11" s="21">
        <f t="shared" si="0"/>
        <v>1</v>
      </c>
      <c r="I11" s="8">
        <f t="shared" si="7"/>
        <v>5</v>
      </c>
      <c r="J11" s="49">
        <f>Example!C9</f>
        <v>27</v>
      </c>
      <c r="K11" s="50">
        <f>Example!F9</f>
        <v>28</v>
      </c>
      <c r="L11" s="21">
        <f t="shared" si="1"/>
        <v>-1</v>
      </c>
      <c r="Q11" s="8">
        <f t="shared" si="8"/>
        <v>5</v>
      </c>
      <c r="R11" s="49">
        <f>Example!D9</f>
        <v>19</v>
      </c>
      <c r="S11" s="50">
        <f>Example!G9</f>
        <v>27</v>
      </c>
      <c r="T11" s="21">
        <f t="shared" si="2"/>
        <v>-8</v>
      </c>
      <c r="Y11" s="8">
        <f t="shared" si="9"/>
        <v>5</v>
      </c>
      <c r="Z11" s="49">
        <f t="shared" si="3"/>
        <v>1</v>
      </c>
      <c r="AA11" s="50">
        <f t="shared" si="4"/>
        <v>8</v>
      </c>
      <c r="AB11" s="21">
        <f t="shared" si="5"/>
        <v>-7</v>
      </c>
    </row>
    <row r="12" spans="1:28" x14ac:dyDescent="0.35">
      <c r="A12" s="8">
        <f t="shared" si="6"/>
        <v>6</v>
      </c>
      <c r="B12" s="49">
        <f>Example!B10</f>
        <v>6</v>
      </c>
      <c r="C12" s="50">
        <f>Example!E10</f>
        <v>6</v>
      </c>
      <c r="D12" s="21">
        <f t="shared" si="0"/>
        <v>0</v>
      </c>
      <c r="I12" s="8">
        <f t="shared" si="7"/>
        <v>6</v>
      </c>
      <c r="J12" s="49">
        <f>Example!C10</f>
        <v>12</v>
      </c>
      <c r="K12" s="50">
        <f>Example!F10</f>
        <v>18</v>
      </c>
      <c r="L12" s="21">
        <f t="shared" si="1"/>
        <v>-6</v>
      </c>
      <c r="Q12" s="8">
        <f t="shared" si="8"/>
        <v>6</v>
      </c>
      <c r="R12" s="49">
        <f>Example!D10</f>
        <v>6</v>
      </c>
      <c r="S12" s="50">
        <f>Example!G10</f>
        <v>23</v>
      </c>
      <c r="T12" s="21">
        <f t="shared" si="2"/>
        <v>-17</v>
      </c>
      <c r="Y12" s="8">
        <f t="shared" si="9"/>
        <v>6</v>
      </c>
      <c r="Z12" s="49">
        <f t="shared" si="3"/>
        <v>6</v>
      </c>
      <c r="AA12" s="50">
        <f t="shared" si="4"/>
        <v>17</v>
      </c>
      <c r="AB12" s="21">
        <f t="shared" si="5"/>
        <v>-11</v>
      </c>
    </row>
    <row r="13" spans="1:28" x14ac:dyDescent="0.35">
      <c r="A13" s="8">
        <f t="shared" si="6"/>
        <v>7</v>
      </c>
      <c r="B13" s="49">
        <f>Example!B11</f>
        <v>17</v>
      </c>
      <c r="C13" s="50">
        <f>Example!E11</f>
        <v>24</v>
      </c>
      <c r="D13" s="21">
        <f t="shared" si="0"/>
        <v>-7</v>
      </c>
      <c r="I13" s="8">
        <f t="shared" si="7"/>
        <v>7</v>
      </c>
      <c r="J13" s="49">
        <f>Example!C11</f>
        <v>18</v>
      </c>
      <c r="K13" s="50">
        <f>Example!F11</f>
        <v>36</v>
      </c>
      <c r="L13" s="21">
        <f t="shared" si="1"/>
        <v>-18</v>
      </c>
      <c r="Q13" s="8">
        <f t="shared" si="8"/>
        <v>7</v>
      </c>
      <c r="R13" s="49">
        <f>Example!D11</f>
        <v>30</v>
      </c>
      <c r="S13" s="50">
        <f>Example!G11</f>
        <v>38</v>
      </c>
      <c r="T13" s="21">
        <f t="shared" si="2"/>
        <v>-8</v>
      </c>
      <c r="Y13" s="8">
        <f t="shared" si="9"/>
        <v>7</v>
      </c>
      <c r="Z13" s="49">
        <f t="shared" si="3"/>
        <v>18</v>
      </c>
      <c r="AA13" s="50">
        <f t="shared" si="4"/>
        <v>8</v>
      </c>
      <c r="AB13" s="21">
        <f t="shared" si="5"/>
        <v>10</v>
      </c>
    </row>
    <row r="14" spans="1:28" x14ac:dyDescent="0.35">
      <c r="A14" s="8">
        <f t="shared" si="6"/>
        <v>8</v>
      </c>
      <c r="B14" s="49">
        <f>Example!B12</f>
        <v>18</v>
      </c>
      <c r="C14" s="50">
        <f>Example!E12</f>
        <v>22</v>
      </c>
      <c r="D14" s="21">
        <f t="shared" si="0"/>
        <v>-4</v>
      </c>
      <c r="I14" s="8">
        <f t="shared" si="7"/>
        <v>8</v>
      </c>
      <c r="J14" s="49">
        <f>Example!C12</f>
        <v>29</v>
      </c>
      <c r="K14" s="50">
        <f>Example!F12</f>
        <v>36</v>
      </c>
      <c r="L14" s="21">
        <f t="shared" si="1"/>
        <v>-7</v>
      </c>
      <c r="Q14" s="8">
        <f t="shared" si="8"/>
        <v>8</v>
      </c>
      <c r="R14" s="49">
        <f>Example!D12</f>
        <v>36</v>
      </c>
      <c r="S14" s="50">
        <f>Example!G12</f>
        <v>40</v>
      </c>
      <c r="T14" s="21">
        <f t="shared" si="2"/>
        <v>-4</v>
      </c>
      <c r="Y14" s="8">
        <f t="shared" si="9"/>
        <v>8</v>
      </c>
      <c r="Z14" s="49">
        <f t="shared" si="3"/>
        <v>7</v>
      </c>
      <c r="AA14" s="50">
        <f t="shared" si="4"/>
        <v>4</v>
      </c>
      <c r="AB14" s="21">
        <f t="shared" si="5"/>
        <v>3</v>
      </c>
    </row>
    <row r="15" spans="1:28" x14ac:dyDescent="0.35">
      <c r="A15" s="8">
        <f t="shared" si="6"/>
        <v>9</v>
      </c>
      <c r="B15" s="49">
        <f>Example!B13</f>
        <v>23</v>
      </c>
      <c r="C15" s="50">
        <f>Example!E13</f>
        <v>18</v>
      </c>
      <c r="D15" s="21">
        <f t="shared" si="0"/>
        <v>5</v>
      </c>
      <c r="I15" s="8">
        <f t="shared" si="7"/>
        <v>9</v>
      </c>
      <c r="J15" s="49">
        <f>Example!C13</f>
        <v>30</v>
      </c>
      <c r="K15" s="50">
        <f>Example!F13</f>
        <v>38</v>
      </c>
      <c r="L15" s="21">
        <f t="shared" si="1"/>
        <v>-8</v>
      </c>
      <c r="Q15" s="8">
        <f t="shared" si="8"/>
        <v>9</v>
      </c>
      <c r="R15" s="49">
        <f>Example!D13</f>
        <v>24</v>
      </c>
      <c r="S15" s="50">
        <f>Example!G13</f>
        <v>32</v>
      </c>
      <c r="T15" s="21">
        <f t="shared" si="2"/>
        <v>-8</v>
      </c>
      <c r="Y15" s="8">
        <f t="shared" si="9"/>
        <v>9</v>
      </c>
      <c r="Z15" s="49">
        <f t="shared" si="3"/>
        <v>8</v>
      </c>
      <c r="AA15" s="50">
        <f t="shared" si="4"/>
        <v>8</v>
      </c>
      <c r="AB15" s="21">
        <f t="shared" si="5"/>
        <v>0</v>
      </c>
    </row>
    <row r="16" spans="1:28" x14ac:dyDescent="0.35">
      <c r="A16" s="8">
        <f t="shared" si="6"/>
        <v>10</v>
      </c>
      <c r="B16" s="9">
        <f>Example!B14</f>
        <v>18</v>
      </c>
      <c r="C16" s="11">
        <f>Example!E14</f>
        <v>24</v>
      </c>
      <c r="D16" s="21">
        <f t="shared" si="0"/>
        <v>-6</v>
      </c>
      <c r="I16" s="8">
        <f t="shared" si="7"/>
        <v>10</v>
      </c>
      <c r="J16" s="9">
        <f>Example!C14</f>
        <v>12</v>
      </c>
      <c r="K16" s="11">
        <f>Example!F14</f>
        <v>25</v>
      </c>
      <c r="L16" s="21">
        <f t="shared" si="1"/>
        <v>-13</v>
      </c>
      <c r="Q16" s="8">
        <f t="shared" si="8"/>
        <v>10</v>
      </c>
      <c r="R16" s="9">
        <f>Example!D14</f>
        <v>24</v>
      </c>
      <c r="S16" s="11">
        <f>Example!G14</f>
        <v>34</v>
      </c>
      <c r="T16" s="21">
        <f t="shared" si="2"/>
        <v>-10</v>
      </c>
      <c r="Y16" s="8">
        <f t="shared" si="9"/>
        <v>10</v>
      </c>
      <c r="Z16" s="9">
        <f t="shared" si="3"/>
        <v>13</v>
      </c>
      <c r="AA16" s="11">
        <f t="shared" si="4"/>
        <v>10</v>
      </c>
      <c r="AB16" s="21">
        <f t="shared" si="5"/>
        <v>3</v>
      </c>
    </row>
    <row r="17" spans="1:31" x14ac:dyDescent="0.35">
      <c r="A17" s="8" t="s">
        <v>35</v>
      </c>
      <c r="D17" s="51">
        <f>AVERAGE(D7:D16)</f>
        <v>-2</v>
      </c>
      <c r="I17" s="8" t="s">
        <v>35</v>
      </c>
      <c r="L17" s="51">
        <f>AVERAGE(L7:L16)</f>
        <v>-9.6</v>
      </c>
      <c r="Q17" s="8" t="s">
        <v>35</v>
      </c>
      <c r="T17" s="51">
        <f>AVERAGE(T7:T16)</f>
        <v>-10.7</v>
      </c>
      <c r="Y17" s="8" t="s">
        <v>35</v>
      </c>
      <c r="AB17" s="51">
        <f>AVERAGE(AB7:AB16)</f>
        <v>-1.1000000000000001</v>
      </c>
    </row>
    <row r="18" spans="1:31" x14ac:dyDescent="0.35">
      <c r="A18" s="8" t="s">
        <v>79</v>
      </c>
      <c r="D18" s="21">
        <f>STDEV(D7:D16)</f>
        <v>4.714045207910317</v>
      </c>
      <c r="I18" s="8" t="s">
        <v>79</v>
      </c>
      <c r="L18" s="21">
        <f>STDEV(L7:L16)</f>
        <v>6.5523532668296607</v>
      </c>
      <c r="Q18" s="8" t="s">
        <v>79</v>
      </c>
      <c r="T18" s="21">
        <f>STDEV(T7:T16)</f>
        <v>4.3982319680121957</v>
      </c>
      <c r="Y18" s="8" t="s">
        <v>79</v>
      </c>
      <c r="AB18" s="21">
        <f>STDEV(AB7:AB16)</f>
        <v>7.1717036562683854</v>
      </c>
    </row>
    <row r="19" spans="1:31" x14ac:dyDescent="0.35">
      <c r="A19" s="8" t="s">
        <v>80</v>
      </c>
      <c r="D19" s="26">
        <f>D18/SQRT(COUNTA($A$5:$A$14))</f>
        <v>1.4907119849998598</v>
      </c>
      <c r="I19" s="8" t="s">
        <v>80</v>
      </c>
      <c r="L19" s="26">
        <f>L18/SQRT(COUNTA($A$5:$A$14))</f>
        <v>2.0720360357226735</v>
      </c>
      <c r="Q19" s="8" t="s">
        <v>80</v>
      </c>
      <c r="T19" s="26">
        <f>T18/SQRT(COUNTA($A$5:$A$14))</f>
        <v>1.3908430696683372</v>
      </c>
      <c r="Y19" s="8" t="s">
        <v>80</v>
      </c>
      <c r="AB19" s="26">
        <f>AB18/SQRT(COUNTA($A$5:$A$14))</f>
        <v>2.2678918257565401</v>
      </c>
    </row>
    <row r="21" spans="1:31" ht="15" thickBot="1" x14ac:dyDescent="0.4">
      <c r="A21" t="s">
        <v>81</v>
      </c>
      <c r="I21" t="s">
        <v>81</v>
      </c>
      <c r="Q21" t="s">
        <v>81</v>
      </c>
      <c r="Y21" t="s">
        <v>81</v>
      </c>
    </row>
    <row r="22" spans="1:31" x14ac:dyDescent="0.35">
      <c r="A22" s="7" t="s">
        <v>35</v>
      </c>
      <c r="B22" s="7" t="s">
        <v>82</v>
      </c>
      <c r="C22" s="7" t="s">
        <v>83</v>
      </c>
      <c r="D22" s="7" t="s">
        <v>14</v>
      </c>
      <c r="E22" s="52" t="s">
        <v>84</v>
      </c>
      <c r="F22" s="52" t="s">
        <v>85</v>
      </c>
      <c r="G22" s="52" t="s">
        <v>86</v>
      </c>
      <c r="I22" s="7" t="s">
        <v>35</v>
      </c>
      <c r="J22" s="7" t="s">
        <v>82</v>
      </c>
      <c r="K22" s="7" t="s">
        <v>83</v>
      </c>
      <c r="L22" s="7" t="s">
        <v>14</v>
      </c>
      <c r="M22" s="52" t="s">
        <v>84</v>
      </c>
      <c r="N22" s="52" t="s">
        <v>85</v>
      </c>
      <c r="O22" s="52" t="s">
        <v>86</v>
      </c>
      <c r="Q22" s="7" t="s">
        <v>35</v>
      </c>
      <c r="R22" s="7" t="s">
        <v>82</v>
      </c>
      <c r="S22" s="7" t="s">
        <v>83</v>
      </c>
      <c r="T22" s="7" t="s">
        <v>14</v>
      </c>
      <c r="U22" s="52" t="s">
        <v>84</v>
      </c>
      <c r="V22" s="52" t="s">
        <v>85</v>
      </c>
      <c r="W22" s="52" t="s">
        <v>86</v>
      </c>
      <c r="Y22" s="7" t="s">
        <v>35</v>
      </c>
      <c r="Z22" s="7" t="s">
        <v>82</v>
      </c>
      <c r="AA22" s="7" t="s">
        <v>83</v>
      </c>
      <c r="AB22" s="7" t="s">
        <v>14</v>
      </c>
      <c r="AC22" s="52" t="s">
        <v>84</v>
      </c>
      <c r="AD22" s="52" t="s">
        <v>85</v>
      </c>
      <c r="AE22" s="52" t="s">
        <v>86</v>
      </c>
    </row>
    <row r="23" spans="1:31" ht="15" thickBot="1" x14ac:dyDescent="0.4">
      <c r="A23" s="27">
        <f>D17</f>
        <v>-2</v>
      </c>
      <c r="B23" s="27">
        <f>D19</f>
        <v>1.4907119849998598</v>
      </c>
      <c r="C23" s="27">
        <f>A23/B23</f>
        <v>-1.3416407864998738</v>
      </c>
      <c r="D23" s="53">
        <f>A16-1</f>
        <v>9</v>
      </c>
      <c r="E23" s="27">
        <f>TDIST(ABS(C23),D23,2)</f>
        <v>0.21257989232273572</v>
      </c>
      <c r="F23" s="27">
        <f>ABS(D17/D18)</f>
        <v>0.42426406871192851</v>
      </c>
      <c r="G23" s="27">
        <f>SQRT(C23^2/(C23^2+D23))</f>
        <v>0.40824829046386302</v>
      </c>
      <c r="I23" s="27">
        <f>L17</f>
        <v>-9.6</v>
      </c>
      <c r="J23" s="27">
        <f>L19</f>
        <v>2.0720360357226735</v>
      </c>
      <c r="K23" s="27">
        <f>I23/J23</f>
        <v>-4.6331240550320656</v>
      </c>
      <c r="L23" s="53">
        <f>I16-1</f>
        <v>9</v>
      </c>
      <c r="M23" s="27">
        <f>TDIST(ABS(K23),L23,2)</f>
        <v>1.2312062054452308E-3</v>
      </c>
      <c r="N23" s="27">
        <f>ABS(L17/L18)</f>
        <v>1.4651224696016634</v>
      </c>
      <c r="O23" s="27">
        <f>SQRT(K23^2/(K23^2+L23))</f>
        <v>0.83939690013920276</v>
      </c>
      <c r="Q23" s="27">
        <f>T17</f>
        <v>-10.7</v>
      </c>
      <c r="R23" s="27">
        <f>T19</f>
        <v>1.3908430696683372</v>
      </c>
      <c r="S23" s="27">
        <f>Q23/R23</f>
        <v>-7.6931756237255007</v>
      </c>
      <c r="T23" s="53">
        <f>Q16-1</f>
        <v>9</v>
      </c>
      <c r="U23" s="27">
        <f>TDIST(ABS(S23),T23,2)</f>
        <v>3.0211257637859244E-5</v>
      </c>
      <c r="V23" s="27">
        <f>ABS(T17/T18)</f>
        <v>2.4327957410659087</v>
      </c>
      <c r="W23" s="27">
        <f>SQRT(S23^2/(S23^2+T23))</f>
        <v>0.9316684309350135</v>
      </c>
      <c r="Y23" s="27">
        <f>AB17</f>
        <v>-1.1000000000000001</v>
      </c>
      <c r="Z23" s="27">
        <f>AB19</f>
        <v>2.2678918257565401</v>
      </c>
      <c r="AA23" s="27">
        <f>Y23/Z23</f>
        <v>-0.48503195236530028</v>
      </c>
      <c r="AB23" s="53">
        <f>Y16-1</f>
        <v>9</v>
      </c>
      <c r="AC23" s="27">
        <f>TDIST(ABS(AA23),AB23,2)</f>
        <v>0.63924107339333402</v>
      </c>
      <c r="AD23" s="27">
        <f>ABS(AB17/AB18)</f>
        <v>0.15338057074326428</v>
      </c>
      <c r="AE23" s="27">
        <f>SQRT(AA23^2/(AA23^2+AB23))</f>
        <v>0.15960477502420259</v>
      </c>
    </row>
    <row r="26" spans="1:31" x14ac:dyDescent="0.35">
      <c r="A26" s="1" t="s">
        <v>87</v>
      </c>
    </row>
    <row r="27" spans="1:31" x14ac:dyDescent="0.35">
      <c r="A27" s="1"/>
    </row>
    <row r="28" spans="1:31" x14ac:dyDescent="0.35">
      <c r="B28" t="s">
        <v>20</v>
      </c>
      <c r="C28" t="s">
        <v>21</v>
      </c>
      <c r="D28" t="s">
        <v>22</v>
      </c>
    </row>
    <row r="29" spans="1:31" x14ac:dyDescent="0.35">
      <c r="A29" t="s">
        <v>6</v>
      </c>
      <c r="B29" s="54">
        <f>Example!B15</f>
        <v>15.5</v>
      </c>
      <c r="C29" s="55">
        <f>Example!C15</f>
        <v>20.3</v>
      </c>
      <c r="D29" s="56">
        <f>Example!D15</f>
        <v>22.3</v>
      </c>
    </row>
    <row r="30" spans="1:31" x14ac:dyDescent="0.35">
      <c r="A30" t="s">
        <v>7</v>
      </c>
      <c r="B30" s="19">
        <f>Example!E15</f>
        <v>17.5</v>
      </c>
      <c r="C30" s="24">
        <f>Example!F15</f>
        <v>29.9</v>
      </c>
      <c r="D30" s="20">
        <f>Example!G15</f>
        <v>33</v>
      </c>
    </row>
    <row r="40" spans="1:2" x14ac:dyDescent="0.35">
      <c r="A40" s="1" t="s">
        <v>88</v>
      </c>
    </row>
    <row r="42" spans="1:2" x14ac:dyDescent="0.35">
      <c r="A42" t="s">
        <v>89</v>
      </c>
    </row>
    <row r="44" spans="1:2" x14ac:dyDescent="0.35">
      <c r="A44" t="s">
        <v>8</v>
      </c>
      <c r="B44" s="51">
        <f>COUNTA(A29:A30)</f>
        <v>2</v>
      </c>
    </row>
    <row r="45" spans="1:2" x14ac:dyDescent="0.35">
      <c r="A45" t="s">
        <v>9</v>
      </c>
      <c r="B45" s="21">
        <f>COUNTA(B28:D28)</f>
        <v>3</v>
      </c>
    </row>
    <row r="46" spans="1:2" x14ac:dyDescent="0.35">
      <c r="A46" t="s">
        <v>90</v>
      </c>
      <c r="B46" s="21">
        <f>B44*B45</f>
        <v>6</v>
      </c>
    </row>
    <row r="47" spans="1:2" x14ac:dyDescent="0.35">
      <c r="A47" t="s">
        <v>11</v>
      </c>
      <c r="B47" s="21">
        <f>COUNTA(A7:A16)</f>
        <v>10</v>
      </c>
    </row>
    <row r="48" spans="1:2" x14ac:dyDescent="0.35">
      <c r="A48" t="s">
        <v>14</v>
      </c>
      <c r="B48" s="21">
        <f>B47-1</f>
        <v>9</v>
      </c>
    </row>
    <row r="49" spans="1:2" x14ac:dyDescent="0.35">
      <c r="A49" s="57" t="s">
        <v>91</v>
      </c>
      <c r="B49" s="21">
        <v>0.05</v>
      </c>
    </row>
    <row r="50" spans="1:2" x14ac:dyDescent="0.35">
      <c r="A50" s="57" t="s">
        <v>92</v>
      </c>
      <c r="B50" s="21">
        <f>'[1]Stud. Q Table'!F64</f>
        <v>5.024</v>
      </c>
    </row>
    <row r="51" spans="1:2" x14ac:dyDescent="0.35">
      <c r="A51" s="57" t="s">
        <v>93</v>
      </c>
      <c r="B51" s="21">
        <f>B50/SQRT(2)</f>
        <v>3.5525044686812146</v>
      </c>
    </row>
    <row r="52" spans="1:2" x14ac:dyDescent="0.35">
      <c r="A52" s="57" t="s">
        <v>94</v>
      </c>
      <c r="B52" s="21">
        <f>C23</f>
        <v>-1.3416407864998738</v>
      </c>
    </row>
    <row r="53" spans="1:2" x14ac:dyDescent="0.35">
      <c r="A53" s="57" t="s">
        <v>95</v>
      </c>
      <c r="B53" s="58" t="str">
        <f>IF(ABS(B52)&gt;B51,"yes","no")</f>
        <v>no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Example</vt:lpstr>
      <vt:lpstr>Tool</vt:lpstr>
      <vt:lpstr>Contrasts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2024-07-11T06:53:27Z</dcterms:created>
  <dcterms:modified xsi:type="dcterms:W3CDTF">2024-07-11T06:59:36Z</dcterms:modified>
</cp:coreProperties>
</file>