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96" documentId="8_{B270BE68-8F45-4D87-A535-6EA56C0AF3DF}" xr6:coauthVersionLast="47" xr6:coauthVersionMax="47" xr10:uidLastSave="{87972EB1-E77A-4EB1-A21C-634D6A450727}"/>
  <bookViews>
    <workbookView xWindow="-110" yWindow="-110" windowWidth="19420" windowHeight="10300" xr2:uid="{BA81C33D-7612-439B-8054-A867500BC99C}"/>
  </bookViews>
  <sheets>
    <sheet name="Title" sheetId="2" r:id="rId1"/>
    <sheet name="t test gain" sheetId="4" r:id="rId2"/>
    <sheet name="t test pre" sheetId="3" r:id="rId3"/>
    <sheet name="Rep Meas" sheetId="5" r:id="rId4"/>
    <sheet name="ANCOVA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G20" i="1"/>
  <c r="F20" i="1"/>
  <c r="G18" i="1"/>
  <c r="F18" i="1"/>
  <c r="G17" i="1"/>
  <c r="F17" i="1"/>
  <c r="G16" i="1"/>
  <c r="F16" i="1"/>
  <c r="F16" i="1" a="1"/>
  <c r="G21" i="1" s="1"/>
  <c r="H12" i="1"/>
  <c r="G12" i="1"/>
  <c r="F12" i="1"/>
  <c r="F11" i="1" a="1"/>
  <c r="H11" i="1" s="1"/>
  <c r="H6" i="1"/>
  <c r="G7" i="1"/>
  <c r="G6" i="1"/>
  <c r="G5" i="1"/>
  <c r="G5" i="1" a="1"/>
  <c r="Q25" i="5"/>
  <c r="Q24" i="5"/>
  <c r="H23" i="5"/>
  <c r="N24" i="5" s="1"/>
  <c r="H22" i="5"/>
  <c r="Q19" i="5"/>
  <c r="Q18" i="5"/>
  <c r="Q11" i="5"/>
  <c r="Q10" i="5"/>
  <c r="M6" i="5"/>
  <c r="L18" i="3"/>
  <c r="K18" i="3"/>
  <c r="L17" i="3"/>
  <c r="K17" i="3"/>
  <c r="L18" i="4"/>
  <c r="K18" i="4"/>
  <c r="L17" i="4"/>
  <c r="K17" i="4"/>
  <c r="M24" i="5"/>
  <c r="N19" i="5"/>
  <c r="N20" i="5"/>
  <c r="N18" i="5"/>
  <c r="M18" i="5"/>
  <c r="O13" i="5"/>
  <c r="N13" i="5"/>
  <c r="M13" i="5"/>
  <c r="N11" i="5"/>
  <c r="O10" i="5"/>
  <c r="N10" i="5"/>
  <c r="M10" i="5"/>
  <c r="N9" i="5"/>
  <c r="N12" i="5" s="1"/>
  <c r="N8" i="5"/>
  <c r="O7" i="5"/>
  <c r="N7" i="5"/>
  <c r="M7" i="5"/>
  <c r="N6" i="5"/>
  <c r="J20" i="5"/>
  <c r="I20" i="5"/>
  <c r="H20" i="5"/>
  <c r="J19" i="5"/>
  <c r="I19" i="5"/>
  <c r="H19" i="5"/>
  <c r="G19" i="5"/>
  <c r="J18" i="5"/>
  <c r="I18" i="5"/>
  <c r="H18" i="5"/>
  <c r="G18" i="5"/>
  <c r="I17" i="5"/>
  <c r="H17" i="5"/>
  <c r="J14" i="5"/>
  <c r="I14" i="5"/>
  <c r="H14" i="5"/>
  <c r="J13" i="5"/>
  <c r="I13" i="5"/>
  <c r="H13" i="5"/>
  <c r="G13" i="5"/>
  <c r="J12" i="5"/>
  <c r="I12" i="5"/>
  <c r="H12" i="5"/>
  <c r="G12" i="5"/>
  <c r="I11" i="5"/>
  <c r="H11" i="5"/>
  <c r="H4" i="5"/>
  <c r="J8" i="5"/>
  <c r="I8" i="5"/>
  <c r="H8" i="5"/>
  <c r="J7" i="5"/>
  <c r="I7" i="5"/>
  <c r="H7" i="5"/>
  <c r="G7" i="5"/>
  <c r="J6" i="5"/>
  <c r="I6" i="5"/>
  <c r="H6" i="5"/>
  <c r="G6" i="5"/>
  <c r="I5" i="5"/>
  <c r="H5" i="5"/>
  <c r="N26" i="5" l="1"/>
  <c r="F11" i="1"/>
  <c r="G11" i="1"/>
  <c r="F19" i="1"/>
  <c r="O12" i="5"/>
  <c r="P10" i="5" s="1"/>
  <c r="N25" i="5"/>
  <c r="G19" i="1"/>
  <c r="O24" i="5"/>
  <c r="O18" i="5"/>
  <c r="M9" i="5"/>
  <c r="M11" i="5" s="1"/>
  <c r="M8" i="5"/>
  <c r="M12" i="5" s="1"/>
  <c r="O11" i="5" l="1"/>
  <c r="P11" i="5" s="1"/>
  <c r="M19" i="5"/>
  <c r="M25" i="5"/>
  <c r="M26" i="5"/>
  <c r="R24" i="5" s="1"/>
  <c r="M20" i="5"/>
  <c r="R10" i="5"/>
  <c r="O26" i="5"/>
  <c r="P24" i="5" s="1"/>
  <c r="R11" i="5"/>
  <c r="R7" i="5"/>
  <c r="O8" i="5"/>
  <c r="P7" i="5" s="1"/>
  <c r="Q7" i="5" s="1"/>
  <c r="O20" i="5" l="1"/>
  <c r="P18" i="5" s="1"/>
  <c r="R18" i="5"/>
  <c r="O25" i="5"/>
  <c r="P25" i="5" s="1"/>
  <c r="R25" i="5"/>
  <c r="O19" i="5"/>
  <c r="P19" i="5" s="1"/>
  <c r="R19" i="5"/>
  <c r="E12" i="5"/>
  <c r="E11" i="5"/>
  <c r="E10" i="5"/>
  <c r="E9" i="5"/>
  <c r="E8" i="5"/>
  <c r="E7" i="5"/>
  <c r="E6" i="5"/>
  <c r="E5" i="5"/>
  <c r="E4" i="5"/>
  <c r="A4" i="5"/>
  <c r="A5" i="5" s="1"/>
  <c r="A6" i="5" s="1"/>
  <c r="A7" i="5" s="1"/>
  <c r="A8" i="5" s="1"/>
  <c r="A9" i="5" s="1"/>
  <c r="A10" i="5" s="1"/>
  <c r="A11" i="5" s="1"/>
  <c r="A12" i="5" s="1"/>
  <c r="E3" i="5"/>
  <c r="G7" i="3"/>
  <c r="G6" i="3"/>
  <c r="P18" i="3"/>
  <c r="I18" i="3"/>
  <c r="J18" i="3"/>
  <c r="H18" i="3"/>
  <c r="P17" i="3"/>
  <c r="J17" i="3"/>
  <c r="I17" i="3"/>
  <c r="H17" i="3"/>
  <c r="L15" i="3"/>
  <c r="P13" i="3"/>
  <c r="O13" i="3"/>
  <c r="N13" i="3"/>
  <c r="M13" i="3"/>
  <c r="L13" i="3"/>
  <c r="K13" i="3"/>
  <c r="I13" i="3"/>
  <c r="J13" i="3"/>
  <c r="H13" i="3"/>
  <c r="P12" i="3"/>
  <c r="O12" i="3"/>
  <c r="L12" i="3"/>
  <c r="K12" i="3"/>
  <c r="J12" i="3"/>
  <c r="I12" i="3"/>
  <c r="H12" i="3"/>
  <c r="K8" i="3"/>
  <c r="J8" i="3"/>
  <c r="J7" i="3"/>
  <c r="I7" i="3"/>
  <c r="H7" i="3"/>
  <c r="J6" i="3"/>
  <c r="I6" i="3"/>
  <c r="H6" i="3"/>
  <c r="G7" i="4"/>
  <c r="G6" i="4"/>
  <c r="P18" i="4"/>
  <c r="I18" i="4"/>
  <c r="J18" i="4"/>
  <c r="H18" i="4"/>
  <c r="P17" i="4"/>
  <c r="J17" i="4"/>
  <c r="I17" i="4"/>
  <c r="H17" i="4"/>
  <c r="L15" i="4"/>
  <c r="P13" i="4"/>
  <c r="O13" i="4"/>
  <c r="N13" i="4"/>
  <c r="M13" i="4"/>
  <c r="L13" i="4"/>
  <c r="K13" i="4"/>
  <c r="I13" i="4"/>
  <c r="J13" i="4"/>
  <c r="H13" i="4"/>
  <c r="P12" i="4"/>
  <c r="O12" i="4"/>
  <c r="L12" i="4"/>
  <c r="K12" i="4"/>
  <c r="J12" i="4"/>
  <c r="I12" i="4"/>
  <c r="H12" i="4"/>
  <c r="K8" i="4"/>
  <c r="J8" i="4"/>
  <c r="J7" i="4"/>
  <c r="I7" i="4"/>
  <c r="H7" i="4"/>
  <c r="J6" i="4"/>
  <c r="I6" i="4"/>
  <c r="H6" i="4"/>
  <c r="E12" i="4"/>
  <c r="E11" i="4"/>
  <c r="E10" i="4"/>
  <c r="E9" i="4"/>
  <c r="E8" i="4"/>
  <c r="E7" i="4"/>
  <c r="E6" i="4"/>
  <c r="E5" i="4"/>
  <c r="E4" i="4"/>
  <c r="A4" i="4"/>
  <c r="A5" i="4" s="1"/>
  <c r="A6" i="4" s="1"/>
  <c r="A7" i="4" s="1"/>
  <c r="A8" i="4" s="1"/>
  <c r="A9" i="4" s="1"/>
  <c r="A10" i="4" s="1"/>
  <c r="A11" i="4" s="1"/>
  <c r="A12" i="4" s="1"/>
  <c r="E3" i="4"/>
  <c r="O17" i="4" l="1"/>
  <c r="N18" i="4"/>
  <c r="N18" i="3"/>
  <c r="O18" i="4"/>
  <c r="O17" i="3"/>
  <c r="O18" i="3"/>
  <c r="M18" i="4"/>
  <c r="M18" i="3"/>
  <c r="E4" i="3"/>
  <c r="E5" i="3"/>
  <c r="E6" i="3"/>
  <c r="E7" i="3"/>
  <c r="E8" i="3"/>
  <c r="E9" i="3"/>
  <c r="E10" i="3"/>
  <c r="E11" i="3"/>
  <c r="E12" i="3"/>
  <c r="E3" i="3"/>
  <c r="A4" i="3"/>
  <c r="A5" i="3" s="1"/>
  <c r="A6" i="3" s="1"/>
  <c r="A7" i="3" s="1"/>
  <c r="A8" i="3" s="1"/>
  <c r="A9" i="3" s="1"/>
  <c r="A10" i="3" s="1"/>
  <c r="A11" i="3" s="1"/>
  <c r="A12" i="3" s="1"/>
  <c r="H8" i="1"/>
  <c r="G8" i="1"/>
  <c r="H5" i="1"/>
  <c r="H7" i="1" l="1"/>
  <c r="I7" i="1" l="1"/>
  <c r="I6" i="1"/>
  <c r="L6" i="1"/>
  <c r="L5" i="1"/>
  <c r="I5" i="1"/>
  <c r="J6" i="1" l="1"/>
  <c r="K6" i="1" s="1"/>
  <c r="J5" i="1"/>
  <c r="K5" i="1" s="1"/>
  <c r="A4" i="1"/>
  <c r="A5" i="1" s="1"/>
  <c r="A6" i="1" s="1"/>
  <c r="A7" i="1" s="1"/>
  <c r="A8" i="1" s="1"/>
  <c r="A9" i="1" s="1"/>
  <c r="A10" i="1" s="1"/>
  <c r="A11" i="1" s="1"/>
  <c r="A12" i="1" s="1"/>
</calcChain>
</file>

<file path=xl/sharedStrings.xml><?xml version="1.0" encoding="utf-8"?>
<sst xmlns="http://schemas.openxmlformats.org/spreadsheetml/2006/main" count="198" uniqueCount="70">
  <si>
    <t>Id</t>
  </si>
  <si>
    <t>Group</t>
  </si>
  <si>
    <t>Post</t>
  </si>
  <si>
    <t>Pre</t>
  </si>
  <si>
    <t>Treat</t>
  </si>
  <si>
    <t>Control</t>
  </si>
  <si>
    <t>ANCOVA: Single Factor</t>
  </si>
  <si>
    <t>ANCOVA</t>
  </si>
  <si>
    <t>SS</t>
  </si>
  <si>
    <t>df</t>
  </si>
  <si>
    <t>MS</t>
  </si>
  <si>
    <t>F</t>
  </si>
  <si>
    <t>p-value</t>
  </si>
  <si>
    <t>p eta-sq</t>
  </si>
  <si>
    <t>Covariate</t>
  </si>
  <si>
    <t>Between</t>
  </si>
  <si>
    <t>Within</t>
  </si>
  <si>
    <t>Total</t>
  </si>
  <si>
    <t>mean</t>
  </si>
  <si>
    <t>adj mean</t>
  </si>
  <si>
    <t>Homogeneity of Slopes Test</t>
  </si>
  <si>
    <t>Real Statistics Using Excel</t>
  </si>
  <si>
    <t>Updated</t>
  </si>
  <si>
    <t>Copyright © 2013 - 2024 Charles Zaiontz</t>
  </si>
  <si>
    <t>Gain</t>
  </si>
  <si>
    <t>T Test: Two Independent Samples</t>
  </si>
  <si>
    <t>SUMMARY</t>
  </si>
  <si>
    <t>Hyp Mean Diff</t>
  </si>
  <si>
    <t>Groups</t>
  </si>
  <si>
    <t>Count</t>
  </si>
  <si>
    <t>Mean</t>
  </si>
  <si>
    <t>Variance</t>
  </si>
  <si>
    <t>Cohen d</t>
  </si>
  <si>
    <t>Pooled</t>
  </si>
  <si>
    <t>T TEST: Equal Variances</t>
  </si>
  <si>
    <t>Alpha</t>
  </si>
  <si>
    <t xml:space="preserve"> </t>
  </si>
  <si>
    <t>std err</t>
  </si>
  <si>
    <t>t-stat</t>
  </si>
  <si>
    <t>t-crit</t>
  </si>
  <si>
    <t>lower</t>
  </si>
  <si>
    <t>upper</t>
  </si>
  <si>
    <t>sig</t>
  </si>
  <si>
    <t>effect r</t>
  </si>
  <si>
    <t>One Tail</t>
  </si>
  <si>
    <t>Two Tail</t>
  </si>
  <si>
    <t>T TEST: Unequal Variances</t>
  </si>
  <si>
    <t>Pretest-Posttest Design</t>
  </si>
  <si>
    <t>COUNT</t>
  </si>
  <si>
    <t>MEAN</t>
  </si>
  <si>
    <t>VARIANCE</t>
  </si>
  <si>
    <t>Mixed Two-way Repeated Measures Anova</t>
  </si>
  <si>
    <t>ANOVA</t>
  </si>
  <si>
    <t>P value</t>
  </si>
  <si>
    <t>P Eta-sq</t>
  </si>
  <si>
    <t>Between Subjects</t>
  </si>
  <si>
    <t>- Rows</t>
  </si>
  <si>
    <t>- Error</t>
  </si>
  <si>
    <t>Within Subjects</t>
  </si>
  <si>
    <t>- Columns</t>
  </si>
  <si>
    <t>- Interaction</t>
  </si>
  <si>
    <t>GG epsilon</t>
  </si>
  <si>
    <t>HF epsilon</t>
  </si>
  <si>
    <t>Greenhouse and Geisser</t>
  </si>
  <si>
    <t>Sources</t>
  </si>
  <si>
    <t xml:space="preserve"> P Eta-sq</t>
  </si>
  <si>
    <t>Columns</t>
  </si>
  <si>
    <t>Interaction</t>
  </si>
  <si>
    <t>Error</t>
  </si>
  <si>
    <t>Huyhn and Feldt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</si>
</sst>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15" fontId="0" fillId="0" borderId="0" xfId="0" applyNumberFormat="1"/>
    <xf numFmtId="0" fontId="2" fillId="0" borderId="0" xfId="0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ANCOVA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ANCOVA!$B$3</c:f>
              <c:strCache>
                <c:ptCount val="1"/>
                <c:pt idx="0">
                  <c:v>Treat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ANCOVA!$D$3:$D$7</c:f>
              <c:numCache>
                <c:formatCode>General</c:formatCode>
                <c:ptCount val="5"/>
                <c:pt idx="0">
                  <c:v>25</c:v>
                </c:pt>
                <c:pt idx="1">
                  <c:v>20</c:v>
                </c:pt>
                <c:pt idx="2">
                  <c:v>60</c:v>
                </c:pt>
                <c:pt idx="3">
                  <c:v>25</c:v>
                </c:pt>
                <c:pt idx="4">
                  <c:v>15</c:v>
                </c:pt>
              </c:numCache>
            </c:numRef>
          </c:xVal>
          <c:yVal>
            <c:numRef>
              <c:f>ANCOVA!$C$3:$C$7</c:f>
              <c:numCache>
                <c:formatCode>General</c:formatCode>
                <c:ptCount val="5"/>
                <c:pt idx="0">
                  <c:v>75</c:v>
                </c:pt>
                <c:pt idx="1">
                  <c:v>45</c:v>
                </c:pt>
                <c:pt idx="2">
                  <c:v>80</c:v>
                </c:pt>
                <c:pt idx="3">
                  <c:v>65</c:v>
                </c:pt>
                <c:pt idx="4">
                  <c:v>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FC-4C9F-9A50-7C9237A8FA36}"/>
            </c:ext>
          </c:extLst>
        </c:ser>
        <c:ser>
          <c:idx val="1"/>
          <c:order val="1"/>
          <c:tx>
            <c:strRef>
              <c:f>ANCOVA!$B$8</c:f>
              <c:strCache>
                <c:ptCount val="1"/>
                <c:pt idx="0">
                  <c:v>Control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ANCOVA!$D$8:$D$12</c:f>
              <c:numCache>
                <c:formatCode>General</c:formatCode>
                <c:ptCount val="5"/>
                <c:pt idx="0">
                  <c:v>50</c:v>
                </c:pt>
                <c:pt idx="1">
                  <c:v>15</c:v>
                </c:pt>
                <c:pt idx="2">
                  <c:v>50</c:v>
                </c:pt>
                <c:pt idx="3">
                  <c:v>35</c:v>
                </c:pt>
                <c:pt idx="4">
                  <c:v>25</c:v>
                </c:pt>
              </c:numCache>
            </c:numRef>
          </c:xVal>
          <c:yVal>
            <c:numRef>
              <c:f>ANCOVA!$C$8:$C$12</c:f>
              <c:numCache>
                <c:formatCode>General</c:formatCode>
                <c:ptCount val="5"/>
                <c:pt idx="0">
                  <c:v>30</c:v>
                </c:pt>
                <c:pt idx="1">
                  <c:v>15</c:v>
                </c:pt>
                <c:pt idx="2">
                  <c:v>35</c:v>
                </c:pt>
                <c:pt idx="3">
                  <c:v>50</c:v>
                </c:pt>
                <c:pt idx="4">
                  <c:v>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0FC-4C9F-9A50-7C9237A8F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9714031"/>
        <c:axId val="1219714511"/>
      </c:scatterChart>
      <c:valAx>
        <c:axId val="1219714031"/>
        <c:scaling>
          <c:orientation val="minMax"/>
          <c:max val="60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9714511"/>
        <c:crosses val="autoZero"/>
        <c:crossBetween val="midCat"/>
      </c:valAx>
      <c:valAx>
        <c:axId val="1219714511"/>
        <c:scaling>
          <c:orientation val="minMax"/>
          <c:max val="9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9714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269875</xdr:colOff>
      <xdr:row>1</xdr:row>
      <xdr:rowOff>95250</xdr:rowOff>
    </xdr:from>
    <xdr:to>
      <xdr:col>19</xdr:col>
      <xdr:colOff>574675</xdr:colOff>
      <xdr:row>16</xdr:row>
      <xdr:rowOff>50800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1A18D4B-ED1F-FAED-04E4-A57B5A0235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E0014-DBCA-489A-87EF-76DE4B11B927}">
  <sheetPr codeName="Sheet2"/>
  <dimension ref="A1:B6"/>
  <sheetViews>
    <sheetView tabSelected="1" workbookViewId="0"/>
  </sheetViews>
  <sheetFormatPr defaultRowHeight="14.5" x14ac:dyDescent="0.35"/>
  <cols>
    <col min="2" max="2" width="9.36328125" bestFit="1" customWidth="1"/>
  </cols>
  <sheetData>
    <row r="1" spans="1:2" x14ac:dyDescent="0.35">
      <c r="A1" t="s">
        <v>21</v>
      </c>
    </row>
    <row r="2" spans="1:2" x14ac:dyDescent="0.35">
      <c r="A2" t="s">
        <v>47</v>
      </c>
    </row>
    <row r="4" spans="1:2" x14ac:dyDescent="0.35">
      <c r="A4" t="s">
        <v>22</v>
      </c>
      <c r="B4" s="13">
        <v>45633</v>
      </c>
    </row>
    <row r="6" spans="1:2" x14ac:dyDescent="0.35">
      <c r="A6" s="14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BF517-D1CA-4FAD-B2B5-BEAD568F5EFF}">
  <sheetPr codeName="Sheet4"/>
  <dimension ref="A2:P19"/>
  <sheetViews>
    <sheetView workbookViewId="0"/>
  </sheetViews>
  <sheetFormatPr defaultRowHeight="14.5" x14ac:dyDescent="0.35"/>
  <cols>
    <col min="1" max="1" width="4.6328125" customWidth="1"/>
    <col min="2" max="2" width="7.6328125" customWidth="1"/>
    <col min="3" max="5" width="5.6328125" customWidth="1"/>
  </cols>
  <sheetData>
    <row r="2" spans="1:16" x14ac:dyDescent="0.35">
      <c r="A2" s="11" t="s">
        <v>0</v>
      </c>
      <c r="B2" s="12" t="s">
        <v>1</v>
      </c>
      <c r="C2" s="11" t="s">
        <v>3</v>
      </c>
      <c r="D2" s="11" t="s">
        <v>2</v>
      </c>
      <c r="E2" s="11" t="s">
        <v>24</v>
      </c>
      <c r="G2" t="s">
        <v>25</v>
      </c>
    </row>
    <row r="3" spans="1:16" x14ac:dyDescent="0.35">
      <c r="A3" s="7">
        <v>1</v>
      </c>
      <c r="B3" s="8" t="s">
        <v>4</v>
      </c>
      <c r="C3" s="7">
        <v>25</v>
      </c>
      <c r="D3" s="7">
        <v>75</v>
      </c>
      <c r="E3" s="7">
        <f>D3-C3</f>
        <v>50</v>
      </c>
    </row>
    <row r="4" spans="1:16" ht="15" thickBot="1" x14ac:dyDescent="0.4">
      <c r="A4" s="7">
        <f>A3+1</f>
        <v>2</v>
      </c>
      <c r="B4" s="8" t="s">
        <v>4</v>
      </c>
      <c r="C4" s="7">
        <v>20</v>
      </c>
      <c r="D4" s="7">
        <v>45</v>
      </c>
      <c r="E4" s="7">
        <f t="shared" ref="E4:E12" si="0">D4-C4</f>
        <v>25</v>
      </c>
      <c r="G4" t="s">
        <v>26</v>
      </c>
      <c r="J4" t="s">
        <v>27</v>
      </c>
      <c r="K4">
        <v>0</v>
      </c>
    </row>
    <row r="5" spans="1:16" ht="15" thickTop="1" x14ac:dyDescent="0.35">
      <c r="A5" s="7">
        <f t="shared" ref="A5:A12" si="1">A4+1</f>
        <v>3</v>
      </c>
      <c r="B5" s="8" t="s">
        <v>4</v>
      </c>
      <c r="C5" s="7">
        <v>60</v>
      </c>
      <c r="D5" s="7">
        <v>80</v>
      </c>
      <c r="E5" s="7">
        <f t="shared" si="0"/>
        <v>20</v>
      </c>
      <c r="G5" s="1" t="s">
        <v>28</v>
      </c>
      <c r="H5" s="1" t="s">
        <v>29</v>
      </c>
      <c r="I5" s="1" t="s">
        <v>30</v>
      </c>
      <c r="J5" s="1" t="s">
        <v>31</v>
      </c>
      <c r="K5" s="1" t="s">
        <v>32</v>
      </c>
    </row>
    <row r="6" spans="1:16" x14ac:dyDescent="0.35">
      <c r="A6" s="7">
        <f t="shared" si="1"/>
        <v>4</v>
      </c>
      <c r="B6" s="8" t="s">
        <v>4</v>
      </c>
      <c r="C6" s="7">
        <v>25</v>
      </c>
      <c r="D6" s="7">
        <v>65</v>
      </c>
      <c r="E6" s="7">
        <f t="shared" si="0"/>
        <v>40</v>
      </c>
      <c r="G6" t="str">
        <f>B3</f>
        <v>Treat</v>
      </c>
      <c r="H6">
        <f>COUNT(E3:E7)</f>
        <v>5</v>
      </c>
      <c r="I6">
        <f>AVERAGE(E3:E7)</f>
        <v>35</v>
      </c>
      <c r="J6">
        <f>_xlfn.VAR.S(E3:E7)</f>
        <v>150</v>
      </c>
    </row>
    <row r="7" spans="1:16" x14ac:dyDescent="0.35">
      <c r="A7" s="7">
        <f t="shared" si="1"/>
        <v>5</v>
      </c>
      <c r="B7" s="8" t="s">
        <v>4</v>
      </c>
      <c r="C7" s="7">
        <v>15</v>
      </c>
      <c r="D7" s="7">
        <v>55</v>
      </c>
      <c r="E7" s="7">
        <f t="shared" si="0"/>
        <v>40</v>
      </c>
      <c r="G7" t="str">
        <f>B8</f>
        <v>Control</v>
      </c>
      <c r="H7">
        <f>COUNT(E8:E12)</f>
        <v>5</v>
      </c>
      <c r="I7">
        <f>AVERAGE(E8:E12)</f>
        <v>-2</v>
      </c>
      <c r="J7">
        <f>_xlfn.VAR.S(E8:E12)</f>
        <v>232.5</v>
      </c>
    </row>
    <row r="8" spans="1:16" x14ac:dyDescent="0.35">
      <c r="A8" s="7">
        <f t="shared" si="1"/>
        <v>6</v>
      </c>
      <c r="B8" s="8" t="s">
        <v>5</v>
      </c>
      <c r="C8" s="7">
        <v>50</v>
      </c>
      <c r="D8" s="7">
        <v>30</v>
      </c>
      <c r="E8" s="7">
        <f t="shared" si="0"/>
        <v>-20</v>
      </c>
      <c r="G8" s="3" t="s">
        <v>33</v>
      </c>
      <c r="H8" s="3"/>
      <c r="I8" s="3"/>
      <c r="J8" s="3">
        <f>((H6-1)*J6+(H7-1)*J7)/(H6+H7-2)</f>
        <v>191.25</v>
      </c>
      <c r="K8" s="3">
        <f>ABS(I6-I7-K4)/SQRT(J8)</f>
        <v>2.6754756464300931</v>
      </c>
    </row>
    <row r="9" spans="1:16" x14ac:dyDescent="0.35">
      <c r="A9" s="7">
        <f t="shared" si="1"/>
        <v>7</v>
      </c>
      <c r="B9" s="8" t="s">
        <v>5</v>
      </c>
      <c r="C9" s="7">
        <v>15</v>
      </c>
      <c r="D9" s="7">
        <v>15</v>
      </c>
      <c r="E9" s="7">
        <f t="shared" si="0"/>
        <v>0</v>
      </c>
    </row>
    <row r="10" spans="1:16" ht="15" thickBot="1" x14ac:dyDescent="0.4">
      <c r="A10" s="7">
        <f t="shared" si="1"/>
        <v>8</v>
      </c>
      <c r="B10" s="8" t="s">
        <v>5</v>
      </c>
      <c r="C10" s="7">
        <v>50</v>
      </c>
      <c r="D10" s="7">
        <v>35</v>
      </c>
      <c r="E10" s="7">
        <f t="shared" si="0"/>
        <v>-15</v>
      </c>
      <c r="G10" t="s">
        <v>34</v>
      </c>
      <c r="K10" t="s">
        <v>35</v>
      </c>
      <c r="L10">
        <v>0.05</v>
      </c>
    </row>
    <row r="11" spans="1:16" ht="15" thickTop="1" x14ac:dyDescent="0.35">
      <c r="A11" s="7">
        <f t="shared" si="1"/>
        <v>9</v>
      </c>
      <c r="B11" s="8" t="s">
        <v>5</v>
      </c>
      <c r="C11" s="7">
        <v>35</v>
      </c>
      <c r="D11" s="7">
        <v>50</v>
      </c>
      <c r="E11" s="7">
        <f t="shared" si="0"/>
        <v>15</v>
      </c>
      <c r="G11" s="1" t="s">
        <v>36</v>
      </c>
      <c r="H11" s="1" t="s">
        <v>37</v>
      </c>
      <c r="I11" s="1" t="s">
        <v>38</v>
      </c>
      <c r="J11" s="1" t="s">
        <v>9</v>
      </c>
      <c r="K11" s="1" t="s">
        <v>12</v>
      </c>
      <c r="L11" s="1" t="s">
        <v>39</v>
      </c>
      <c r="M11" s="1" t="s">
        <v>40</v>
      </c>
      <c r="N11" s="1" t="s">
        <v>41</v>
      </c>
      <c r="O11" s="1" t="s">
        <v>42</v>
      </c>
      <c r="P11" s="1" t="s">
        <v>43</v>
      </c>
    </row>
    <row r="12" spans="1:16" x14ac:dyDescent="0.35">
      <c r="A12" s="9">
        <f t="shared" si="1"/>
        <v>10</v>
      </c>
      <c r="B12" s="10" t="s">
        <v>5</v>
      </c>
      <c r="C12" s="9">
        <v>25</v>
      </c>
      <c r="D12" s="9">
        <v>35</v>
      </c>
      <c r="E12" s="9">
        <f t="shared" si="0"/>
        <v>10</v>
      </c>
      <c r="G12" t="s">
        <v>44</v>
      </c>
      <c r="H12">
        <f>SQRT(J8*(1/H6+1/H7))</f>
        <v>8.7464278422679502</v>
      </c>
      <c r="I12">
        <f>(ABS(I6-I7-K4))/H12</f>
        <v>4.2302984335152178</v>
      </c>
      <c r="J12">
        <f>H6+H7-2</f>
        <v>8</v>
      </c>
      <c r="K12">
        <f>_xlfn.T.DIST.RT(I12,J12)</f>
        <v>1.4375954533813187E-3</v>
      </c>
      <c r="L12">
        <f>_xlfn.T.INV.2T(L10*2,J12)</f>
        <v>1.8595480375308981</v>
      </c>
      <c r="O12" s="7" t="str">
        <f>IF(K12&lt;L10,"yes","no")</f>
        <v>yes</v>
      </c>
      <c r="P12">
        <f>SQRT(I12^2/(I12^2+J12))</f>
        <v>0.8313032651367106</v>
      </c>
    </row>
    <row r="13" spans="1:16" x14ac:dyDescent="0.35">
      <c r="G13" t="s">
        <v>45</v>
      </c>
      <c r="H13">
        <f>H12</f>
        <v>8.7464278422679502</v>
      </c>
      <c r="I13">
        <f t="shared" ref="I13:J13" si="2">I12</f>
        <v>4.2302984335152178</v>
      </c>
      <c r="J13">
        <f t="shared" si="2"/>
        <v>8</v>
      </c>
      <c r="K13">
        <f>_xlfn.T.DIST.2T(I13,J13)</f>
        <v>2.8751909067626373E-3</v>
      </c>
      <c r="L13">
        <f>_xlfn.T.INV.2T(L10,J13)</f>
        <v>2.3060041352041671</v>
      </c>
      <c r="M13">
        <f>(I6-I7)-L13*H13</f>
        <v>16.830701227465244</v>
      </c>
      <c r="N13">
        <f>(I6-I7)+L13*H13</f>
        <v>57.169298772534759</v>
      </c>
      <c r="O13" s="7" t="str">
        <f>IF(K13&lt;L10,"yes","no")</f>
        <v>yes</v>
      </c>
      <c r="P13">
        <f>P12</f>
        <v>0.8313032651367106</v>
      </c>
    </row>
    <row r="14" spans="1:16" x14ac:dyDescent="0.35"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5" thickBot="1" x14ac:dyDescent="0.4">
      <c r="G15" t="s">
        <v>46</v>
      </c>
      <c r="K15" t="s">
        <v>35</v>
      </c>
      <c r="L15">
        <f>L10</f>
        <v>0.05</v>
      </c>
    </row>
    <row r="16" spans="1:16" ht="15" thickTop="1" x14ac:dyDescent="0.35">
      <c r="G16" s="1" t="s">
        <v>36</v>
      </c>
      <c r="H16" s="1" t="s">
        <v>37</v>
      </c>
      <c r="I16" s="1" t="s">
        <v>38</v>
      </c>
      <c r="J16" s="1" t="s">
        <v>9</v>
      </c>
      <c r="K16" s="1" t="s">
        <v>12</v>
      </c>
      <c r="L16" s="1" t="s">
        <v>39</v>
      </c>
      <c r="M16" s="1" t="s">
        <v>40</v>
      </c>
      <c r="N16" s="1" t="s">
        <v>41</v>
      </c>
      <c r="O16" s="1" t="s">
        <v>42</v>
      </c>
      <c r="P16" s="1" t="s">
        <v>43</v>
      </c>
    </row>
    <row r="17" spans="7:16" x14ac:dyDescent="0.35">
      <c r="G17" t="s">
        <v>44</v>
      </c>
      <c r="H17">
        <f>SQRT(J6/H6+J7/H7)</f>
        <v>8.7464278422679502</v>
      </c>
      <c r="I17">
        <f>(ABS(I6-I7-K4))/H17</f>
        <v>4.2302984335152178</v>
      </c>
      <c r="J17">
        <f>(J6/H6+J7/H7)^2/((J6/H6)^2/(H6-1)+(J7/H7)^2/(H7-1))</f>
        <v>7.6443791329904478</v>
      </c>
      <c r="K17" t="e">
        <f ca="1">T_DIST_RT(I17,J17)</f>
        <v>#NAME?</v>
      </c>
      <c r="L17" t="e">
        <f ca="1">T_INV(1-L15,J17)</f>
        <v>#NAME?</v>
      </c>
      <c r="O17" s="7" t="e">
        <f ca="1">IF(K17&lt;L15,"yes","no")</f>
        <v>#NAME?</v>
      </c>
      <c r="P17">
        <f>SQRT(I17^2/(I17^2+J17))</f>
        <v>0.8370708660536379</v>
      </c>
    </row>
    <row r="18" spans="7:16" x14ac:dyDescent="0.35">
      <c r="G18" t="s">
        <v>45</v>
      </c>
      <c r="H18">
        <f>H17</f>
        <v>8.7464278422679502</v>
      </c>
      <c r="I18">
        <f t="shared" ref="I18:J18" si="3">I17</f>
        <v>4.2302984335152178</v>
      </c>
      <c r="J18">
        <f t="shared" si="3"/>
        <v>7.6443791329904478</v>
      </c>
      <c r="K18" t="e">
        <f ca="1">T_DIST_2T(I18,J18)</f>
        <v>#NAME?</v>
      </c>
      <c r="L18" t="e">
        <f ca="1">T_INV_2T(L15,J18)</f>
        <v>#NAME?</v>
      </c>
      <c r="M18" t="e">
        <f ca="1">(I6-I7)-L18*H18</f>
        <v>#NAME?</v>
      </c>
      <c r="N18" t="e">
        <f ca="1">(I6-I7)+L18*H18</f>
        <v>#NAME?</v>
      </c>
      <c r="O18" s="7" t="e">
        <f ca="1">IF(K18&lt;L15,"yes","no")</f>
        <v>#NAME?</v>
      </c>
      <c r="P18">
        <f>P17</f>
        <v>0.8370708660536379</v>
      </c>
    </row>
    <row r="19" spans="7:16" x14ac:dyDescent="0.35">
      <c r="G19" s="3"/>
      <c r="H19" s="3"/>
      <c r="I19" s="3"/>
      <c r="J19" s="3"/>
      <c r="K19" s="3"/>
      <c r="L19" s="3"/>
      <c r="M19" s="3"/>
      <c r="N19" s="3"/>
      <c r="O19" s="3"/>
      <c r="P19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8FB63-EF82-4400-83A2-40AC46AF0D9A}">
  <sheetPr codeName="Sheet3"/>
  <dimension ref="A2:P19"/>
  <sheetViews>
    <sheetView workbookViewId="0"/>
  </sheetViews>
  <sheetFormatPr defaultRowHeight="14.5" x14ac:dyDescent="0.35"/>
  <cols>
    <col min="1" max="1" width="4.6328125" customWidth="1"/>
    <col min="2" max="2" width="7.6328125" customWidth="1"/>
    <col min="3" max="5" width="5.6328125" customWidth="1"/>
  </cols>
  <sheetData>
    <row r="2" spans="1:16" x14ac:dyDescent="0.35">
      <c r="A2" s="11" t="s">
        <v>0</v>
      </c>
      <c r="B2" s="12" t="s">
        <v>1</v>
      </c>
      <c r="C2" s="11" t="s">
        <v>3</v>
      </c>
      <c r="D2" s="11" t="s">
        <v>2</v>
      </c>
      <c r="E2" s="11" t="s">
        <v>24</v>
      </c>
      <c r="G2" t="s">
        <v>25</v>
      </c>
    </row>
    <row r="3" spans="1:16" x14ac:dyDescent="0.35">
      <c r="A3" s="7">
        <v>1</v>
      </c>
      <c r="B3" s="8" t="s">
        <v>4</v>
      </c>
      <c r="C3" s="7">
        <v>25</v>
      </c>
      <c r="D3" s="7">
        <v>75</v>
      </c>
      <c r="E3" s="7">
        <f>D3-C3</f>
        <v>50</v>
      </c>
    </row>
    <row r="4" spans="1:16" ht="15" thickBot="1" x14ac:dyDescent="0.4">
      <c r="A4" s="7">
        <f>A3+1</f>
        <v>2</v>
      </c>
      <c r="B4" s="8" t="s">
        <v>4</v>
      </c>
      <c r="C4" s="7">
        <v>20</v>
      </c>
      <c r="D4" s="7">
        <v>45</v>
      </c>
      <c r="E4" s="7">
        <f t="shared" ref="E4:E12" si="0">D4-C4</f>
        <v>25</v>
      </c>
      <c r="G4" t="s">
        <v>26</v>
      </c>
      <c r="J4" t="s">
        <v>27</v>
      </c>
      <c r="K4">
        <v>0</v>
      </c>
    </row>
    <row r="5" spans="1:16" ht="15" thickTop="1" x14ac:dyDescent="0.35">
      <c r="A5" s="7">
        <f t="shared" ref="A5:A12" si="1">A4+1</f>
        <v>3</v>
      </c>
      <c r="B5" s="8" t="s">
        <v>4</v>
      </c>
      <c r="C5" s="7">
        <v>60</v>
      </c>
      <c r="D5" s="7">
        <v>80</v>
      </c>
      <c r="E5" s="7">
        <f t="shared" si="0"/>
        <v>20</v>
      </c>
      <c r="G5" s="1" t="s">
        <v>28</v>
      </c>
      <c r="H5" s="1" t="s">
        <v>29</v>
      </c>
      <c r="I5" s="1" t="s">
        <v>30</v>
      </c>
      <c r="J5" s="1" t="s">
        <v>31</v>
      </c>
      <c r="K5" s="1" t="s">
        <v>32</v>
      </c>
    </row>
    <row r="6" spans="1:16" x14ac:dyDescent="0.35">
      <c r="A6" s="7">
        <f t="shared" si="1"/>
        <v>4</v>
      </c>
      <c r="B6" s="8" t="s">
        <v>4</v>
      </c>
      <c r="C6" s="7">
        <v>25</v>
      </c>
      <c r="D6" s="7">
        <v>65</v>
      </c>
      <c r="E6" s="7">
        <f t="shared" si="0"/>
        <v>40</v>
      </c>
      <c r="G6" t="str">
        <f>B3</f>
        <v>Treat</v>
      </c>
      <c r="H6">
        <f>COUNT(C3:C7)</f>
        <v>5</v>
      </c>
      <c r="I6">
        <f>AVERAGE(C3:C7)</f>
        <v>29</v>
      </c>
      <c r="J6">
        <f>_xlfn.VAR.S(C3:C7)</f>
        <v>317.5</v>
      </c>
    </row>
    <row r="7" spans="1:16" x14ac:dyDescent="0.35">
      <c r="A7" s="7">
        <f t="shared" si="1"/>
        <v>5</v>
      </c>
      <c r="B7" s="8" t="s">
        <v>4</v>
      </c>
      <c r="C7" s="7">
        <v>15</v>
      </c>
      <c r="D7" s="7">
        <v>55</v>
      </c>
      <c r="E7" s="7">
        <f t="shared" si="0"/>
        <v>40</v>
      </c>
      <c r="G7" t="str">
        <f>B8</f>
        <v>Control</v>
      </c>
      <c r="H7">
        <f>COUNT(C8:C12)</f>
        <v>5</v>
      </c>
      <c r="I7">
        <f>AVERAGE(C8:C12)</f>
        <v>35</v>
      </c>
      <c r="J7">
        <f>_xlfn.VAR.S(C8:C12)</f>
        <v>237.5</v>
      </c>
    </row>
    <row r="8" spans="1:16" x14ac:dyDescent="0.35">
      <c r="A8" s="7">
        <f t="shared" si="1"/>
        <v>6</v>
      </c>
      <c r="B8" s="8" t="s">
        <v>5</v>
      </c>
      <c r="C8" s="7">
        <v>50</v>
      </c>
      <c r="D8" s="7">
        <v>30</v>
      </c>
      <c r="E8" s="7">
        <f t="shared" si="0"/>
        <v>-20</v>
      </c>
      <c r="G8" s="3" t="s">
        <v>33</v>
      </c>
      <c r="H8" s="3"/>
      <c r="I8" s="3"/>
      <c r="J8" s="3">
        <f>((H6-1)*J6+(H7-1)*J7)/(H6+H7-2)</f>
        <v>277.5</v>
      </c>
      <c r="K8" s="3">
        <f>ABS(I6-I7-K4)/SQRT(J8)</f>
        <v>0.3601801351125985</v>
      </c>
    </row>
    <row r="9" spans="1:16" x14ac:dyDescent="0.35">
      <c r="A9" s="7">
        <f t="shared" si="1"/>
        <v>7</v>
      </c>
      <c r="B9" s="8" t="s">
        <v>5</v>
      </c>
      <c r="C9" s="7">
        <v>15</v>
      </c>
      <c r="D9" s="7">
        <v>15</v>
      </c>
      <c r="E9" s="7">
        <f t="shared" si="0"/>
        <v>0</v>
      </c>
    </row>
    <row r="10" spans="1:16" ht="15" thickBot="1" x14ac:dyDescent="0.4">
      <c r="A10" s="7">
        <f t="shared" si="1"/>
        <v>8</v>
      </c>
      <c r="B10" s="8" t="s">
        <v>5</v>
      </c>
      <c r="C10" s="7">
        <v>50</v>
      </c>
      <c r="D10" s="7">
        <v>35</v>
      </c>
      <c r="E10" s="7">
        <f t="shared" si="0"/>
        <v>-15</v>
      </c>
      <c r="G10" t="s">
        <v>34</v>
      </c>
      <c r="K10" t="s">
        <v>35</v>
      </c>
      <c r="L10">
        <v>0.05</v>
      </c>
    </row>
    <row r="11" spans="1:16" ht="15" thickTop="1" x14ac:dyDescent="0.35">
      <c r="A11" s="7">
        <f t="shared" si="1"/>
        <v>9</v>
      </c>
      <c r="B11" s="8" t="s">
        <v>5</v>
      </c>
      <c r="C11" s="7">
        <v>35</v>
      </c>
      <c r="D11" s="7">
        <v>50</v>
      </c>
      <c r="E11" s="7">
        <f t="shared" si="0"/>
        <v>15</v>
      </c>
      <c r="G11" s="1" t="s">
        <v>36</v>
      </c>
      <c r="H11" s="1" t="s">
        <v>37</v>
      </c>
      <c r="I11" s="1" t="s">
        <v>38</v>
      </c>
      <c r="J11" s="1" t="s">
        <v>9</v>
      </c>
      <c r="K11" s="1" t="s">
        <v>12</v>
      </c>
      <c r="L11" s="1" t="s">
        <v>39</v>
      </c>
      <c r="M11" s="1" t="s">
        <v>40</v>
      </c>
      <c r="N11" s="1" t="s">
        <v>41</v>
      </c>
      <c r="O11" s="1" t="s">
        <v>42</v>
      </c>
      <c r="P11" s="1" t="s">
        <v>43</v>
      </c>
    </row>
    <row r="12" spans="1:16" x14ac:dyDescent="0.35">
      <c r="A12" s="9">
        <f t="shared" si="1"/>
        <v>10</v>
      </c>
      <c r="B12" s="10" t="s">
        <v>5</v>
      </c>
      <c r="C12" s="9">
        <v>25</v>
      </c>
      <c r="D12" s="9">
        <v>35</v>
      </c>
      <c r="E12" s="9">
        <f t="shared" si="0"/>
        <v>10</v>
      </c>
      <c r="G12" t="s">
        <v>44</v>
      </c>
      <c r="H12">
        <f>SQRT(J8*(1/H6+1/H7))</f>
        <v>10.535653752852738</v>
      </c>
      <c r="I12">
        <f>(ABS(I6-I7-K4))/H12</f>
        <v>0.56949479745149945</v>
      </c>
      <c r="J12">
        <f>H6+H7-2</f>
        <v>8</v>
      </c>
      <c r="K12">
        <f>_xlfn.T.DIST.RT(I12,J12)</f>
        <v>0.2923261102559962</v>
      </c>
      <c r="L12">
        <f>_xlfn.T.INV.2T(L10*2,J12)</f>
        <v>1.8595480375308981</v>
      </c>
      <c r="O12" s="7" t="str">
        <f>IF(K12&lt;L10,"yes","no")</f>
        <v>no</v>
      </c>
      <c r="P12">
        <f>SQRT(I12^2/(I12^2+J12))</f>
        <v>0.19738550848793071</v>
      </c>
    </row>
    <row r="13" spans="1:16" x14ac:dyDescent="0.35">
      <c r="G13" t="s">
        <v>45</v>
      </c>
      <c r="H13">
        <f>H12</f>
        <v>10.535653752852738</v>
      </c>
      <c r="I13">
        <f t="shared" ref="I13:J13" si="2">I12</f>
        <v>0.56949479745149945</v>
      </c>
      <c r="J13">
        <f t="shared" si="2"/>
        <v>8</v>
      </c>
      <c r="K13">
        <f>_xlfn.T.DIST.2T(I13,J13)</f>
        <v>0.58465222051199239</v>
      </c>
      <c r="L13">
        <f>_xlfn.T.INV.2T(L10,J13)</f>
        <v>2.3060041352041671</v>
      </c>
      <c r="M13">
        <f>(I6-I7)-L13*H13</f>
        <v>-30.295261121157719</v>
      </c>
      <c r="N13">
        <f>(I6-I7)+L13*H13</f>
        <v>18.295261121157719</v>
      </c>
      <c r="O13" s="7" t="str">
        <f>IF(K13&lt;L10,"yes","no")</f>
        <v>no</v>
      </c>
      <c r="P13">
        <f>P12</f>
        <v>0.19738550848793071</v>
      </c>
    </row>
    <row r="14" spans="1:16" x14ac:dyDescent="0.35"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5" thickBot="1" x14ac:dyDescent="0.4">
      <c r="G15" t="s">
        <v>46</v>
      </c>
      <c r="K15" t="s">
        <v>35</v>
      </c>
      <c r="L15">
        <f>L10</f>
        <v>0.05</v>
      </c>
    </row>
    <row r="16" spans="1:16" ht="15" thickTop="1" x14ac:dyDescent="0.35">
      <c r="G16" s="1" t="s">
        <v>36</v>
      </c>
      <c r="H16" s="1" t="s">
        <v>37</v>
      </c>
      <c r="I16" s="1" t="s">
        <v>38</v>
      </c>
      <c r="J16" s="1" t="s">
        <v>9</v>
      </c>
      <c r="K16" s="1" t="s">
        <v>12</v>
      </c>
      <c r="L16" s="1" t="s">
        <v>39</v>
      </c>
      <c r="M16" s="1" t="s">
        <v>40</v>
      </c>
      <c r="N16" s="1" t="s">
        <v>41</v>
      </c>
      <c r="O16" s="1" t="s">
        <v>42</v>
      </c>
      <c r="P16" s="1" t="s">
        <v>43</v>
      </c>
    </row>
    <row r="17" spans="7:16" x14ac:dyDescent="0.35">
      <c r="G17" t="s">
        <v>44</v>
      </c>
      <c r="H17">
        <f>SQRT(J6/H6+J7/H7)</f>
        <v>10.535653752852738</v>
      </c>
      <c r="I17">
        <f>(ABS(I6-I7-K4))/H17</f>
        <v>0.56949479745149945</v>
      </c>
      <c r="J17">
        <f>(J6/H6+J7/H7)^2/((J6/H6)^2/(H6-1)+(J7/H7)^2/(H7-1))</f>
        <v>7.8371630754551962</v>
      </c>
      <c r="K17" t="e">
        <f ca="1">T_DIST_RT(I17,J17)</f>
        <v>#NAME?</v>
      </c>
      <c r="L17" t="e">
        <f ca="1">T_INV(1-L15,J17)</f>
        <v>#NAME?</v>
      </c>
      <c r="O17" s="7" t="e">
        <f ca="1">IF(K17&lt;L15,"yes","no")</f>
        <v>#NAME?</v>
      </c>
      <c r="P17">
        <f>SQRT(I17^2/(I17^2+J17))</f>
        <v>0.1993448883032771</v>
      </c>
    </row>
    <row r="18" spans="7:16" x14ac:dyDescent="0.35">
      <c r="G18" t="s">
        <v>45</v>
      </c>
      <c r="H18">
        <f>H17</f>
        <v>10.535653752852738</v>
      </c>
      <c r="I18">
        <f t="shared" ref="I18:J18" si="3">I17</f>
        <v>0.56949479745149945</v>
      </c>
      <c r="J18">
        <f t="shared" si="3"/>
        <v>7.8371630754551962</v>
      </c>
      <c r="K18" t="e">
        <f ca="1">T_DIST_2T(I18,J18)</f>
        <v>#NAME?</v>
      </c>
      <c r="L18" t="e">
        <f ca="1">T_INV_2T(L15,J18)</f>
        <v>#NAME?</v>
      </c>
      <c r="M18" t="e">
        <f ca="1">(I6-I7)-L18*H18</f>
        <v>#NAME?</v>
      </c>
      <c r="N18" t="e">
        <f ca="1">(I6-I7)+L18*H18</f>
        <v>#NAME?</v>
      </c>
      <c r="O18" s="7" t="e">
        <f ca="1">IF(K18&lt;L15,"yes","no")</f>
        <v>#NAME?</v>
      </c>
      <c r="P18">
        <f>P17</f>
        <v>0.1993448883032771</v>
      </c>
    </row>
    <row r="19" spans="7:16" x14ac:dyDescent="0.35">
      <c r="G19" s="3"/>
      <c r="H19" s="3"/>
      <c r="I19" s="3"/>
      <c r="J19" s="3"/>
      <c r="K19" s="3"/>
      <c r="L19" s="3"/>
      <c r="M19" s="3"/>
      <c r="N19" s="3"/>
      <c r="O19" s="3"/>
      <c r="P19" s="3"/>
    </row>
  </sheetData>
  <pageMargins left="0.7" right="0.7" top="0.75" bottom="0.75" header="0.3" footer="0.3"/>
  <ignoredErrors>
    <ignoredError sqref="H6:J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FBC81-4544-468D-929C-DB432C939986}">
  <sheetPr codeName="Sheet5"/>
  <dimension ref="A2:R27"/>
  <sheetViews>
    <sheetView workbookViewId="0"/>
  </sheetViews>
  <sheetFormatPr defaultRowHeight="14.5" x14ac:dyDescent="0.35"/>
  <cols>
    <col min="1" max="1" width="4.6328125" customWidth="1"/>
    <col min="2" max="2" width="7.6328125" customWidth="1"/>
    <col min="3" max="5" width="5.6328125" customWidth="1"/>
  </cols>
  <sheetData>
    <row r="2" spans="1:18" x14ac:dyDescent="0.35">
      <c r="A2" s="11" t="s">
        <v>0</v>
      </c>
      <c r="B2" s="12" t="s">
        <v>1</v>
      </c>
      <c r="C2" s="11" t="s">
        <v>3</v>
      </c>
      <c r="D2" s="11" t="s">
        <v>2</v>
      </c>
      <c r="E2" s="11" t="s">
        <v>24</v>
      </c>
      <c r="L2" t="s">
        <v>51</v>
      </c>
    </row>
    <row r="3" spans="1:18" x14ac:dyDescent="0.35">
      <c r="A3" s="7">
        <v>1</v>
      </c>
      <c r="B3" s="8" t="s">
        <v>4</v>
      </c>
      <c r="C3" s="7">
        <v>25</v>
      </c>
      <c r="D3" s="7">
        <v>75</v>
      </c>
      <c r="E3" s="7">
        <f>D3-C3</f>
        <v>50</v>
      </c>
    </row>
    <row r="4" spans="1:18" ht="15" thickBot="1" x14ac:dyDescent="0.4">
      <c r="A4" s="7">
        <f>A3+1</f>
        <v>2</v>
      </c>
      <c r="B4" s="8" t="s">
        <v>4</v>
      </c>
      <c r="C4" s="7">
        <v>20</v>
      </c>
      <c r="D4" s="7">
        <v>45</v>
      </c>
      <c r="E4" s="7">
        <f t="shared" ref="E4:E12" si="0">D4-C4</f>
        <v>25</v>
      </c>
      <c r="G4" t="s">
        <v>48</v>
      </c>
      <c r="H4" t="str">
        <f>IF(COUNTIF(H6:I7,H6)=COUNT(H6:I7),"balanced","unbalanced")</f>
        <v>balanced</v>
      </c>
      <c r="L4" t="s">
        <v>52</v>
      </c>
      <c r="P4" s="7" t="s">
        <v>35</v>
      </c>
      <c r="Q4" s="7">
        <v>0.05</v>
      </c>
    </row>
    <row r="5" spans="1:18" ht="15" thickTop="1" x14ac:dyDescent="0.35">
      <c r="A5" s="7">
        <f t="shared" ref="A5:A12" si="1">A4+1</f>
        <v>3</v>
      </c>
      <c r="B5" s="8" t="s">
        <v>4</v>
      </c>
      <c r="C5" s="7">
        <v>60</v>
      </c>
      <c r="D5" s="7">
        <v>80</v>
      </c>
      <c r="E5" s="7">
        <f t="shared" si="0"/>
        <v>20</v>
      </c>
      <c r="H5" s="7" t="str">
        <f>C2</f>
        <v>Pre</v>
      </c>
      <c r="I5" s="7" t="str">
        <f>D2</f>
        <v>Post</v>
      </c>
      <c r="L5" s="1"/>
      <c r="M5" s="1" t="s">
        <v>8</v>
      </c>
      <c r="N5" s="1" t="s">
        <v>9</v>
      </c>
      <c r="O5" s="1" t="s">
        <v>10</v>
      </c>
      <c r="P5" s="1" t="s">
        <v>11</v>
      </c>
      <c r="Q5" s="1" t="s">
        <v>53</v>
      </c>
      <c r="R5" s="1" t="s">
        <v>54</v>
      </c>
    </row>
    <row r="6" spans="1:18" x14ac:dyDescent="0.35">
      <c r="A6" s="7">
        <f t="shared" si="1"/>
        <v>4</v>
      </c>
      <c r="B6" s="8" t="s">
        <v>4</v>
      </c>
      <c r="C6" s="7">
        <v>25</v>
      </c>
      <c r="D6" s="7">
        <v>65</v>
      </c>
      <c r="E6" s="7">
        <f t="shared" si="0"/>
        <v>40</v>
      </c>
      <c r="G6" t="str">
        <f>B3</f>
        <v>Treat</v>
      </c>
      <c r="H6" s="15">
        <f>COUNT(C3:C7)</f>
        <v>5</v>
      </c>
      <c r="I6" s="16">
        <f>COUNT(D3:D7)</f>
        <v>5</v>
      </c>
      <c r="J6">
        <f>COUNT(C3:D7)</f>
        <v>10</v>
      </c>
      <c r="L6" t="s">
        <v>55</v>
      </c>
      <c r="M6" t="e">
        <f ca="1">DEVSQ(MEANROW(C3:D12))*(N10+1)</f>
        <v>#NAME?</v>
      </c>
      <c r="N6">
        <f>H8-1</f>
        <v>9</v>
      </c>
    </row>
    <row r="7" spans="1:18" x14ac:dyDescent="0.35">
      <c r="A7" s="7">
        <f t="shared" si="1"/>
        <v>5</v>
      </c>
      <c r="B7" s="8" t="s">
        <v>4</v>
      </c>
      <c r="C7" s="7">
        <v>15</v>
      </c>
      <c r="D7" s="7">
        <v>55</v>
      </c>
      <c r="E7" s="7">
        <f t="shared" si="0"/>
        <v>40</v>
      </c>
      <c r="G7" t="str">
        <f>B8</f>
        <v>Control</v>
      </c>
      <c r="H7" s="17">
        <f>COUNT(C8:C12)</f>
        <v>5</v>
      </c>
      <c r="I7" s="18">
        <f>COUNT(D8:D12)</f>
        <v>5</v>
      </c>
      <c r="J7">
        <f>COUNT(C8:D12)</f>
        <v>10</v>
      </c>
      <c r="L7" t="s">
        <v>56</v>
      </c>
      <c r="M7">
        <f>DEVSQ(J12:J13)*J6</f>
        <v>781.25</v>
      </c>
      <c r="N7">
        <f>COUNT(J12:J13)-1</f>
        <v>1</v>
      </c>
      <c r="O7">
        <f>M7/N7</f>
        <v>781.25</v>
      </c>
      <c r="P7" t="e">
        <f ca="1">O7/O8</f>
        <v>#NAME?</v>
      </c>
      <c r="Q7" t="e">
        <f ca="1">_xlfn.F.DIST.RT(P7,N7,N8)</f>
        <v>#NAME?</v>
      </c>
      <c r="R7" t="e">
        <f ca="1">M7/(M7+M8)</f>
        <v>#NAME?</v>
      </c>
    </row>
    <row r="8" spans="1:18" x14ac:dyDescent="0.35">
      <c r="A8" s="7">
        <f t="shared" si="1"/>
        <v>6</v>
      </c>
      <c r="B8" s="8" t="s">
        <v>5</v>
      </c>
      <c r="C8" s="7">
        <v>50</v>
      </c>
      <c r="D8" s="7">
        <v>30</v>
      </c>
      <c r="E8" s="7">
        <f t="shared" si="0"/>
        <v>-20</v>
      </c>
      <c r="H8">
        <f>COUNT(C3:C12)</f>
        <v>10</v>
      </c>
      <c r="I8">
        <f>COUNT(D3:D12)</f>
        <v>10</v>
      </c>
      <c r="J8">
        <f>COUNT(C3:D12)</f>
        <v>20</v>
      </c>
      <c r="L8" t="s">
        <v>57</v>
      </c>
      <c r="M8" t="e">
        <f ca="1">M6-M7</f>
        <v>#NAME?</v>
      </c>
      <c r="N8">
        <f>N6-N7</f>
        <v>8</v>
      </c>
      <c r="O8" t="e">
        <f ca="1">M8/N8</f>
        <v>#NAME?</v>
      </c>
    </row>
    <row r="9" spans="1:18" x14ac:dyDescent="0.35">
      <c r="A9" s="7">
        <f t="shared" si="1"/>
        <v>7</v>
      </c>
      <c r="B9" s="8" t="s">
        <v>5</v>
      </c>
      <c r="C9" s="7">
        <v>15</v>
      </c>
      <c r="D9" s="7">
        <v>15</v>
      </c>
      <c r="E9" s="7">
        <f t="shared" si="0"/>
        <v>0</v>
      </c>
      <c r="L9" t="s">
        <v>58</v>
      </c>
      <c r="M9" t="e">
        <f ca="1">M13-M6</f>
        <v>#NAME?</v>
      </c>
      <c r="N9">
        <f>N13-N6</f>
        <v>10</v>
      </c>
    </row>
    <row r="10" spans="1:18" x14ac:dyDescent="0.35">
      <c r="A10" s="7">
        <f t="shared" si="1"/>
        <v>8</v>
      </c>
      <c r="B10" s="8" t="s">
        <v>5</v>
      </c>
      <c r="C10" s="7">
        <v>50</v>
      </c>
      <c r="D10" s="7">
        <v>35</v>
      </c>
      <c r="E10" s="7">
        <f t="shared" si="0"/>
        <v>-15</v>
      </c>
      <c r="G10" t="s">
        <v>49</v>
      </c>
      <c r="L10" t="s">
        <v>59</v>
      </c>
      <c r="M10">
        <f>DEVSQ(H14:I14)*H8</f>
        <v>1361.25</v>
      </c>
      <c r="N10">
        <f>COUNT(H14:I14)-1</f>
        <v>1</v>
      </c>
      <c r="O10">
        <f>M10/N10</f>
        <v>1361.25</v>
      </c>
      <c r="P10" t="e">
        <f ca="1">O10/O12</f>
        <v>#NAME?</v>
      </c>
      <c r="Q10" t="e">
        <f ca="1">F_DIST_RT(P10,N10,N12)</f>
        <v>#NAME?</v>
      </c>
      <c r="R10" t="e">
        <f ca="1">M10/(M10+M12)</f>
        <v>#NAME?</v>
      </c>
    </row>
    <row r="11" spans="1:18" x14ac:dyDescent="0.35">
      <c r="A11" s="7">
        <f t="shared" si="1"/>
        <v>9</v>
      </c>
      <c r="B11" s="8" t="s">
        <v>5</v>
      </c>
      <c r="C11" s="7">
        <v>35</v>
      </c>
      <c r="D11" s="7">
        <v>50</v>
      </c>
      <c r="E11" s="7">
        <f t="shared" si="0"/>
        <v>15</v>
      </c>
      <c r="H11" s="7" t="str">
        <f>C2</f>
        <v>Pre</v>
      </c>
      <c r="I11" s="7" t="str">
        <f>D2</f>
        <v>Post</v>
      </c>
      <c r="L11" t="s">
        <v>60</v>
      </c>
      <c r="M11" t="e">
        <f ca="1">M9-M10-M12</f>
        <v>#NAME?</v>
      </c>
      <c r="N11">
        <f>N7*N10</f>
        <v>1</v>
      </c>
      <c r="O11" t="e">
        <f ca="1">M11/N11</f>
        <v>#NAME?</v>
      </c>
      <c r="P11" t="e">
        <f ca="1">O11/O12</f>
        <v>#NAME?</v>
      </c>
      <c r="Q11" t="e">
        <f ca="1">F_DIST_RT(P11,N11,N12)</f>
        <v>#NAME?</v>
      </c>
      <c r="R11" t="e">
        <f ca="1">M11/(M11+M12)</f>
        <v>#NAME?</v>
      </c>
    </row>
    <row r="12" spans="1:18" x14ac:dyDescent="0.35">
      <c r="A12" s="9">
        <f t="shared" si="1"/>
        <v>10</v>
      </c>
      <c r="B12" s="10" t="s">
        <v>5</v>
      </c>
      <c r="C12" s="9">
        <v>25</v>
      </c>
      <c r="D12" s="9">
        <v>35</v>
      </c>
      <c r="E12" s="9">
        <f t="shared" si="0"/>
        <v>10</v>
      </c>
      <c r="G12" t="str">
        <f>B3</f>
        <v>Treat</v>
      </c>
      <c r="H12" s="15">
        <f>AVERAGE(C3:C7)</f>
        <v>29</v>
      </c>
      <c r="I12" s="16">
        <f>AVERAGE(D3:D7)</f>
        <v>64</v>
      </c>
      <c r="J12">
        <f>AVERAGE(C3:D7)</f>
        <v>46.5</v>
      </c>
      <c r="L12" t="s">
        <v>57</v>
      </c>
      <c r="M12" t="e">
        <f ca="1">SUM(H18:I19)*(H6-1)-M8</f>
        <v>#NAME?</v>
      </c>
      <c r="N12">
        <f>N9-N10-N11</f>
        <v>8</v>
      </c>
      <c r="O12" t="e">
        <f ca="1">M12/N12</f>
        <v>#NAME?</v>
      </c>
    </row>
    <row r="13" spans="1:18" x14ac:dyDescent="0.35">
      <c r="G13" t="str">
        <f>B8</f>
        <v>Control</v>
      </c>
      <c r="H13" s="17">
        <f>AVERAGE(C8:C12)</f>
        <v>35</v>
      </c>
      <c r="I13" s="18">
        <f>AVERAGE(D8:D12)</f>
        <v>33</v>
      </c>
      <c r="J13">
        <f>AVERAGE(C8:D12)</f>
        <v>34</v>
      </c>
      <c r="L13" s="2" t="s">
        <v>17</v>
      </c>
      <c r="M13" s="2">
        <f>O13*N13</f>
        <v>7523.75</v>
      </c>
      <c r="N13" s="2">
        <f>J8-1</f>
        <v>19</v>
      </c>
      <c r="O13" s="2">
        <f>J20</f>
        <v>395.98684210526318</v>
      </c>
      <c r="P13" s="2"/>
      <c r="Q13" s="2"/>
      <c r="R13" s="2"/>
    </row>
    <row r="14" spans="1:18" x14ac:dyDescent="0.35">
      <c r="H14">
        <f>AVERAGE(C3:C12)</f>
        <v>32</v>
      </c>
      <c r="I14">
        <f>AVERAGE(D3:D12)</f>
        <v>48.5</v>
      </c>
      <c r="J14">
        <f>AVERAGE(C3:D12)</f>
        <v>40.25</v>
      </c>
    </row>
    <row r="16" spans="1:18" ht="15" thickBot="1" x14ac:dyDescent="0.4">
      <c r="G16" t="s">
        <v>50</v>
      </c>
      <c r="L16" t="s">
        <v>63</v>
      </c>
      <c r="P16" t="s">
        <v>35</v>
      </c>
      <c r="Q16">
        <v>0.05</v>
      </c>
    </row>
    <row r="17" spans="7:18" ht="15" thickTop="1" x14ac:dyDescent="0.35">
      <c r="H17" s="7" t="str">
        <f>C2</f>
        <v>Pre</v>
      </c>
      <c r="I17" s="7" t="str">
        <f>D2</f>
        <v>Post</v>
      </c>
      <c r="L17" s="1" t="s">
        <v>64</v>
      </c>
      <c r="M17" s="1" t="s">
        <v>8</v>
      </c>
      <c r="N17" s="1" t="s">
        <v>9</v>
      </c>
      <c r="O17" s="1" t="s">
        <v>10</v>
      </c>
      <c r="P17" s="1" t="s">
        <v>11</v>
      </c>
      <c r="Q17" s="1" t="s">
        <v>53</v>
      </c>
      <c r="R17" s="1" t="s">
        <v>65</v>
      </c>
    </row>
    <row r="18" spans="7:18" x14ac:dyDescent="0.35">
      <c r="G18" t="str">
        <f>B3</f>
        <v>Treat</v>
      </c>
      <c r="H18" s="15">
        <f>VAR(C3:C7)</f>
        <v>317.5</v>
      </c>
      <c r="I18" s="16">
        <f>VAR(D3:D7)</f>
        <v>205</v>
      </c>
      <c r="J18">
        <f>VAR(C3:D7)</f>
        <v>572.5</v>
      </c>
      <c r="L18" t="s">
        <v>66</v>
      </c>
      <c r="M18">
        <f>M10</f>
        <v>1361.25</v>
      </c>
      <c r="N18" t="e">
        <f ca="1">N10*H$22</f>
        <v>#NAME?</v>
      </c>
      <c r="O18" t="e">
        <f ca="1">M18/N18</f>
        <v>#NAME?</v>
      </c>
      <c r="P18" t="e">
        <f ca="1">O18/O20</f>
        <v>#NAME?</v>
      </c>
      <c r="Q18" t="e">
        <f ca="1">F_DIST_RT(P18,N18,N20)</f>
        <v>#NAME?</v>
      </c>
      <c r="R18" t="e">
        <f ca="1">M18/(M18+M20)</f>
        <v>#NAME?</v>
      </c>
    </row>
    <row r="19" spans="7:18" x14ac:dyDescent="0.35">
      <c r="G19" t="str">
        <f>B8</f>
        <v>Control</v>
      </c>
      <c r="H19" s="17">
        <f>VAR(C8:C12)</f>
        <v>237.5</v>
      </c>
      <c r="I19" s="18">
        <f>VAR(D8:D12)</f>
        <v>157.5</v>
      </c>
      <c r="J19">
        <f>VAR(C8:D12)</f>
        <v>176.66666666666666</v>
      </c>
      <c r="L19" t="s">
        <v>67</v>
      </c>
      <c r="M19" t="e">
        <f t="shared" ref="M19:M20" ca="1" si="2">M11</f>
        <v>#NAME?</v>
      </c>
      <c r="N19" t="e">
        <f t="shared" ref="N19:N20" ca="1" si="3">N11*H$22</f>
        <v>#NAME?</v>
      </c>
      <c r="O19" t="e">
        <f ca="1">M19/N19</f>
        <v>#NAME?</v>
      </c>
      <c r="P19" t="e">
        <f ca="1">O19/O20</f>
        <v>#NAME?</v>
      </c>
      <c r="Q19" t="e">
        <f ca="1">F_DIST_RT(P19,N19,N20)</f>
        <v>#NAME?</v>
      </c>
      <c r="R19" t="e">
        <f ca="1">M19/(M19+M20)</f>
        <v>#NAME?</v>
      </c>
    </row>
    <row r="20" spans="7:18" x14ac:dyDescent="0.35">
      <c r="H20">
        <f>VAR(C3:C12)</f>
        <v>256.66666666666669</v>
      </c>
      <c r="I20">
        <f>VAR(D3:D12)</f>
        <v>428.05555555555554</v>
      </c>
      <c r="J20">
        <f>VAR(C3:D12)</f>
        <v>395.98684210526318</v>
      </c>
      <c r="L20" t="s">
        <v>68</v>
      </c>
      <c r="M20" t="e">
        <f t="shared" ca="1" si="2"/>
        <v>#NAME?</v>
      </c>
      <c r="N20" t="e">
        <f t="shared" ca="1" si="3"/>
        <v>#NAME?</v>
      </c>
      <c r="O20" t="e">
        <f ca="1">M20/N20</f>
        <v>#NAME?</v>
      </c>
    </row>
    <row r="21" spans="7:18" x14ac:dyDescent="0.35">
      <c r="L21" s="3"/>
      <c r="M21" s="3"/>
      <c r="N21" s="3"/>
      <c r="O21" s="3"/>
      <c r="P21" s="3"/>
      <c r="Q21" s="3"/>
      <c r="R21" s="3"/>
    </row>
    <row r="22" spans="7:18" ht="15" thickBot="1" x14ac:dyDescent="0.4">
      <c r="G22" t="s">
        <v>61</v>
      </c>
      <c r="H22" s="4" t="e">
        <f ca="1">GGEpsilon(C3:D12,N7+1)</f>
        <v>#NAME?</v>
      </c>
      <c r="L22" t="s">
        <v>69</v>
      </c>
      <c r="P22" t="s">
        <v>35</v>
      </c>
      <c r="Q22">
        <v>0.05</v>
      </c>
    </row>
    <row r="23" spans="7:18" ht="15" thickTop="1" x14ac:dyDescent="0.35">
      <c r="G23" t="s">
        <v>62</v>
      </c>
      <c r="H23" s="6" t="e">
        <f ca="1">HFEpsilon(C3:D12,N7+1)</f>
        <v>#NAME?</v>
      </c>
      <c r="L23" s="1" t="s">
        <v>64</v>
      </c>
      <c r="M23" s="1" t="s">
        <v>8</v>
      </c>
      <c r="N23" s="1" t="s">
        <v>9</v>
      </c>
      <c r="O23" s="1" t="s">
        <v>10</v>
      </c>
      <c r="P23" s="1" t="s">
        <v>11</v>
      </c>
      <c r="Q23" s="1" t="s">
        <v>53</v>
      </c>
      <c r="R23" s="1" t="s">
        <v>65</v>
      </c>
    </row>
    <row r="24" spans="7:18" x14ac:dyDescent="0.35">
      <c r="L24" t="s">
        <v>66</v>
      </c>
      <c r="M24">
        <f>M10</f>
        <v>1361.25</v>
      </c>
      <c r="N24" t="e">
        <f ca="1">N10*H$23</f>
        <v>#NAME?</v>
      </c>
      <c r="O24" t="e">
        <f ca="1">M24/N24</f>
        <v>#NAME?</v>
      </c>
      <c r="P24" t="e">
        <f ca="1">O24/O26</f>
        <v>#NAME?</v>
      </c>
      <c r="Q24" t="e">
        <f ca="1">F_DIST_RT(P24,N24,N26)</f>
        <v>#NAME?</v>
      </c>
      <c r="R24" t="e">
        <f ca="1">M24/(M24+M26)</f>
        <v>#NAME?</v>
      </c>
    </row>
    <row r="25" spans="7:18" x14ac:dyDescent="0.35">
      <c r="L25" t="s">
        <v>67</v>
      </c>
      <c r="M25" t="e">
        <f t="shared" ref="M25:M26" ca="1" si="4">M11</f>
        <v>#NAME?</v>
      </c>
      <c r="N25" t="e">
        <f t="shared" ref="N25:N26" ca="1" si="5">N11*H$23</f>
        <v>#NAME?</v>
      </c>
      <c r="O25" t="e">
        <f ca="1">M25/N25</f>
        <v>#NAME?</v>
      </c>
      <c r="P25" t="e">
        <f ca="1">O25/O26</f>
        <v>#NAME?</v>
      </c>
      <c r="Q25" t="e">
        <f ca="1">F_DIST_RT(P25,N25,N26)</f>
        <v>#NAME?</v>
      </c>
      <c r="R25" t="e">
        <f ca="1">M25/(M25+M26)</f>
        <v>#NAME?</v>
      </c>
    </row>
    <row r="26" spans="7:18" x14ac:dyDescent="0.35">
      <c r="L26" t="s">
        <v>68</v>
      </c>
      <c r="M26" t="e">
        <f t="shared" ca="1" si="4"/>
        <v>#NAME?</v>
      </c>
      <c r="N26" t="e">
        <f t="shared" ca="1" si="5"/>
        <v>#NAME?</v>
      </c>
      <c r="O26" t="e">
        <f ca="1">M26/N26</f>
        <v>#NAME?</v>
      </c>
    </row>
    <row r="27" spans="7:18" x14ac:dyDescent="0.35">
      <c r="L27" s="3"/>
      <c r="M27" s="3"/>
      <c r="N27" s="3"/>
      <c r="O27" s="3"/>
      <c r="P27" s="3"/>
      <c r="Q27" s="3"/>
      <c r="R27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B0B41-4815-485A-989B-E3310299FD52}">
  <sheetPr codeName="Sheet1"/>
  <dimension ref="A1:L21"/>
  <sheetViews>
    <sheetView workbookViewId="0"/>
  </sheetViews>
  <sheetFormatPr defaultRowHeight="14.5" x14ac:dyDescent="0.35"/>
  <cols>
    <col min="1" max="1" width="4.6328125" customWidth="1"/>
    <col min="2" max="2" width="7.6328125" customWidth="1"/>
    <col min="3" max="4" width="4.6328125" customWidth="1"/>
  </cols>
  <sheetData>
    <row r="1" spans="1:12" x14ac:dyDescent="0.35">
      <c r="F1" t="s">
        <v>6</v>
      </c>
    </row>
    <row r="2" spans="1:12" x14ac:dyDescent="0.35">
      <c r="A2" s="11" t="s">
        <v>0</v>
      </c>
      <c r="B2" s="12" t="s">
        <v>1</v>
      </c>
      <c r="C2" s="11" t="s">
        <v>2</v>
      </c>
      <c r="D2" s="11" t="s">
        <v>3</v>
      </c>
    </row>
    <row r="3" spans="1:12" ht="15" thickBot="1" x14ac:dyDescent="0.4">
      <c r="A3" s="7">
        <v>1</v>
      </c>
      <c r="B3" s="8" t="s">
        <v>4</v>
      </c>
      <c r="C3" s="7">
        <v>75</v>
      </c>
      <c r="D3" s="7">
        <v>25</v>
      </c>
      <c r="F3" t="s">
        <v>7</v>
      </c>
    </row>
    <row r="4" spans="1:12" ht="15" thickTop="1" x14ac:dyDescent="0.35">
      <c r="A4" s="7">
        <f>A3+1</f>
        <v>2</v>
      </c>
      <c r="B4" s="8" t="s">
        <v>4</v>
      </c>
      <c r="C4" s="7">
        <v>45</v>
      </c>
      <c r="D4" s="7">
        <v>20</v>
      </c>
      <c r="F4" s="1"/>
      <c r="G4" s="1" t="s">
        <v>8</v>
      </c>
      <c r="H4" s="1" t="s">
        <v>9</v>
      </c>
      <c r="I4" s="1" t="s">
        <v>10</v>
      </c>
      <c r="J4" s="1" t="s">
        <v>11</v>
      </c>
      <c r="K4" s="1" t="s">
        <v>12</v>
      </c>
      <c r="L4" s="1" t="s">
        <v>13</v>
      </c>
    </row>
    <row r="5" spans="1:12" x14ac:dyDescent="0.35">
      <c r="A5" s="7">
        <f t="shared" ref="A5:A12" si="0">A4+1</f>
        <v>3</v>
      </c>
      <c r="B5" s="8" t="s">
        <v>4</v>
      </c>
      <c r="C5" s="7">
        <v>80</v>
      </c>
      <c r="D5" s="7">
        <v>60</v>
      </c>
      <c r="F5" t="s">
        <v>14</v>
      </c>
      <c r="G5" t="e">
        <f t="array" aca="1" ref="G5:G7" ca="1">SSAncova(B3:D12)</f>
        <v>#NAME?</v>
      </c>
      <c r="H5">
        <f>COUNTA(B3:D3)-2</f>
        <v>1</v>
      </c>
      <c r="I5" t="e">
        <f ca="1">G5/H5</f>
        <v>#NAME?</v>
      </c>
      <c r="J5" t="e">
        <f ca="1">I5/I7</f>
        <v>#NAME?</v>
      </c>
      <c r="K5" t="e">
        <f ca="1">_xlfn.F.DIST.RT(J5,H5,H7)</f>
        <v>#NAME?</v>
      </c>
      <c r="L5" t="e">
        <f ca="1">G5/(G5+G7)</f>
        <v>#NAME?</v>
      </c>
    </row>
    <row r="6" spans="1:12" x14ac:dyDescent="0.35">
      <c r="A6" s="7">
        <f t="shared" si="0"/>
        <v>4</v>
      </c>
      <c r="B6" s="8" t="s">
        <v>4</v>
      </c>
      <c r="C6" s="7">
        <v>65</v>
      </c>
      <c r="D6" s="7">
        <v>25</v>
      </c>
      <c r="F6" t="s">
        <v>15</v>
      </c>
      <c r="G6" t="e">
        <f ca="1"/>
        <v>#NAME?</v>
      </c>
      <c r="H6" t="e">
        <f ca="1">COUNTAU(B3:B12)-1</f>
        <v>#NAME?</v>
      </c>
      <c r="I6" t="e">
        <f ca="1">G6/H6</f>
        <v>#NAME?</v>
      </c>
      <c r="J6" t="e">
        <f ca="1">I6/I7</f>
        <v>#NAME?</v>
      </c>
      <c r="K6" t="e">
        <f ca="1">_xlfn.F.DIST.RT(J6,H6,H7)</f>
        <v>#NAME?</v>
      </c>
      <c r="L6" t="e">
        <f ca="1">G6/(G6+G7)</f>
        <v>#NAME?</v>
      </c>
    </row>
    <row r="7" spans="1:12" x14ac:dyDescent="0.35">
      <c r="A7" s="7">
        <f t="shared" si="0"/>
        <v>5</v>
      </c>
      <c r="B7" s="8" t="s">
        <v>4</v>
      </c>
      <c r="C7" s="7">
        <v>55</v>
      </c>
      <c r="D7" s="7">
        <v>15</v>
      </c>
      <c r="F7" t="s">
        <v>16</v>
      </c>
      <c r="G7" t="e">
        <f ca="1"/>
        <v>#NAME?</v>
      </c>
      <c r="H7" t="e">
        <f ca="1">H8-H5-H6</f>
        <v>#NAME?</v>
      </c>
      <c r="I7" t="e">
        <f ca="1">G7/H7</f>
        <v>#NAME?</v>
      </c>
    </row>
    <row r="8" spans="1:12" x14ac:dyDescent="0.35">
      <c r="A8" s="7">
        <f t="shared" si="0"/>
        <v>6</v>
      </c>
      <c r="B8" s="8" t="s">
        <v>5</v>
      </c>
      <c r="C8" s="7">
        <v>30</v>
      </c>
      <c r="D8" s="7">
        <v>50</v>
      </c>
      <c r="F8" s="2" t="s">
        <v>17</v>
      </c>
      <c r="G8" s="2">
        <f>DEVSQ(C3:C12)</f>
        <v>3852.5</v>
      </c>
      <c r="H8" s="2">
        <f>COUNT(C3:C12)-1</f>
        <v>9</v>
      </c>
      <c r="I8" s="2"/>
      <c r="J8" s="2"/>
      <c r="K8" s="2"/>
      <c r="L8" s="2"/>
    </row>
    <row r="9" spans="1:12" ht="15" thickBot="1" x14ac:dyDescent="0.4">
      <c r="A9" s="7">
        <f t="shared" si="0"/>
        <v>7</v>
      </c>
      <c r="B9" s="8" t="s">
        <v>5</v>
      </c>
      <c r="C9" s="7">
        <v>15</v>
      </c>
      <c r="D9" s="7">
        <v>15</v>
      </c>
    </row>
    <row r="10" spans="1:12" ht="15" thickTop="1" x14ac:dyDescent="0.35">
      <c r="A10" s="7">
        <f t="shared" si="0"/>
        <v>8</v>
      </c>
      <c r="B10" s="8" t="s">
        <v>5</v>
      </c>
      <c r="C10" s="7">
        <v>35</v>
      </c>
      <c r="D10" s="7">
        <v>50</v>
      </c>
      <c r="F10" s="1"/>
      <c r="G10" s="1" t="s">
        <v>18</v>
      </c>
      <c r="H10" s="1" t="s">
        <v>19</v>
      </c>
    </row>
    <row r="11" spans="1:12" x14ac:dyDescent="0.35">
      <c r="A11" s="7">
        <f t="shared" si="0"/>
        <v>9</v>
      </c>
      <c r="B11" s="8" t="s">
        <v>5</v>
      </c>
      <c r="C11" s="7">
        <v>50</v>
      </c>
      <c r="D11" s="7">
        <v>35</v>
      </c>
      <c r="F11" s="3" t="e">
        <f t="array" aca="1" ref="F11:H12" ca="1">AncovaMeans(B3:D12)</f>
        <v>#NAME?</v>
      </c>
      <c r="G11" s="3" t="e">
        <f ca="1"/>
        <v>#NAME?</v>
      </c>
      <c r="H11" s="3" t="e">
        <f ca="1"/>
        <v>#NAME?</v>
      </c>
    </row>
    <row r="12" spans="1:12" x14ac:dyDescent="0.35">
      <c r="A12" s="9">
        <f t="shared" si="0"/>
        <v>10</v>
      </c>
      <c r="B12" s="10" t="s">
        <v>5</v>
      </c>
      <c r="C12" s="9">
        <v>35</v>
      </c>
      <c r="D12" s="9">
        <v>25</v>
      </c>
      <c r="F12" s="2" t="e">
        <f ca="1"/>
        <v>#NAME?</v>
      </c>
      <c r="G12" s="2" t="e">
        <f ca="1"/>
        <v>#NAME?</v>
      </c>
      <c r="H12" s="2" t="e">
        <f ca="1"/>
        <v>#NAME?</v>
      </c>
    </row>
    <row r="14" spans="1:12" x14ac:dyDescent="0.35">
      <c r="F14" t="s">
        <v>20</v>
      </c>
    </row>
    <row r="16" spans="1:12" x14ac:dyDescent="0.35">
      <c r="F16" t="e">
        <f t="array" aca="1" ref="F16:G21" ca="1">AncovaParallel(B3:D12,TRUE)</f>
        <v>#NAME?</v>
      </c>
      <c r="G16" s="4" t="e">
        <f ca="1"/>
        <v>#NAME?</v>
      </c>
    </row>
    <row r="17" spans="6:7" x14ac:dyDescent="0.35">
      <c r="F17" t="e">
        <f ca="1"/>
        <v>#NAME?</v>
      </c>
      <c r="G17" s="5" t="e">
        <f ca="1"/>
        <v>#NAME?</v>
      </c>
    </row>
    <row r="18" spans="6:7" x14ac:dyDescent="0.35">
      <c r="F18" t="e">
        <f ca="1"/>
        <v>#NAME?</v>
      </c>
      <c r="G18" s="5" t="e">
        <f ca="1"/>
        <v>#NAME?</v>
      </c>
    </row>
    <row r="19" spans="6:7" x14ac:dyDescent="0.35">
      <c r="F19" t="e">
        <f ca="1"/>
        <v>#NAME?</v>
      </c>
      <c r="G19" s="5" t="e">
        <f ca="1"/>
        <v>#NAME?</v>
      </c>
    </row>
    <row r="20" spans="6:7" x14ac:dyDescent="0.35">
      <c r="F20" t="e">
        <f ca="1"/>
        <v>#NAME?</v>
      </c>
      <c r="G20" s="5" t="e">
        <f ca="1"/>
        <v>#NAME?</v>
      </c>
    </row>
    <row r="21" spans="6:7" x14ac:dyDescent="0.35">
      <c r="F21" t="e">
        <f ca="1"/>
        <v>#NAME?</v>
      </c>
      <c r="G21" s="6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t test gain</vt:lpstr>
      <vt:lpstr>t test pre</vt:lpstr>
      <vt:lpstr>Rep Meas</vt:lpstr>
      <vt:lpstr>ANCOVA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2024-11-16T15:33:08Z</dcterms:created>
  <dcterms:modified xsi:type="dcterms:W3CDTF">2024-12-07T19:38:43Z</dcterms:modified>
</cp:coreProperties>
</file>