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8FAFD0F-0FF3-4077-901F-625A76BF8AE1}" xr6:coauthVersionLast="47" xr6:coauthVersionMax="47" xr10:uidLastSave="{00000000-0000-0000-0000-000000000000}"/>
  <bookViews>
    <workbookView xWindow="-110" yWindow="-110" windowWidth="19420" windowHeight="10300" xr2:uid="{9EC36C51-F8F6-449F-8378-F4BDF06FB77E}"/>
  </bookViews>
  <sheets>
    <sheet name="Title" sheetId="3" r:id="rId1"/>
    <sheet name="ARIMAX 1" sheetId="1" r:id="rId2"/>
    <sheet name="ARIMAX 2" sheetId="2" r:id="rId3"/>
  </sheets>
  <externalReferences>
    <externalReference r:id="rId4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24" i="2" l="1" a="1"/>
  <c r="AY26" i="2" s="1"/>
  <c r="H23" i="2" a="1"/>
  <c r="H23" i="2" s="1"/>
  <c r="G23" i="2" a="1"/>
  <c r="G23" i="2" s="1"/>
  <c r="S19" i="2"/>
  <c r="S18" i="2"/>
  <c r="M17" i="2" a="1"/>
  <c r="M17" i="2" s="1"/>
  <c r="N12" i="2" s="1"/>
  <c r="AD13" i="2" a="1"/>
  <c r="AD15" i="2" s="1"/>
  <c r="AC8" i="2" a="1"/>
  <c r="AE8" i="2" s="1"/>
  <c r="AH4" i="2" a="1"/>
  <c r="AI5" i="2" s="1"/>
  <c r="I4" i="2" a="1"/>
  <c r="I21" i="2" s="1"/>
  <c r="H4" i="2" a="1"/>
  <c r="H15" i="2" s="1"/>
  <c r="G4" i="2" a="1"/>
  <c r="G13" i="2" s="1"/>
  <c r="S19" i="1"/>
  <c r="S18" i="1"/>
  <c r="M17" i="1" a="1"/>
  <c r="N19" i="1" s="1"/>
  <c r="AD13" i="1" a="1"/>
  <c r="AD13" i="1" s="1"/>
  <c r="AC8" i="1" a="1"/>
  <c r="AD8" i="1" s="1"/>
  <c r="AH4" i="1" a="1"/>
  <c r="AI4" i="1" s="1"/>
  <c r="I4" i="1" a="1"/>
  <c r="I20" i="1" s="1"/>
  <c r="H4" i="1" a="1"/>
  <c r="H16" i="1" s="1"/>
  <c r="G4" i="1" a="1"/>
  <c r="G12" i="1" s="1"/>
  <c r="AV25" i="2"/>
  <c r="J25" i="2"/>
  <c r="AV24" i="2"/>
  <c r="J24" i="2"/>
  <c r="AY23" i="2"/>
  <c r="D23" i="2"/>
  <c r="AY22" i="2"/>
  <c r="D22" i="2"/>
  <c r="AY21" i="2"/>
  <c r="D21" i="2"/>
  <c r="AY20" i="2"/>
  <c r="D19" i="2"/>
  <c r="AY19" i="2" s="1"/>
  <c r="AY18" i="2"/>
  <c r="AU18" i="2"/>
  <c r="AU19" i="2" s="1"/>
  <c r="AU20" i="2" s="1"/>
  <c r="AU21" i="2" s="1"/>
  <c r="AU22" i="2" s="1"/>
  <c r="AU23" i="2" s="1"/>
  <c r="AU24" i="2" s="1"/>
  <c r="AU25" i="2" s="1"/>
  <c r="AY17" i="2"/>
  <c r="AU17" i="2"/>
  <c r="AY16" i="2"/>
  <c r="D16" i="2"/>
  <c r="D15" i="2"/>
  <c r="AY15" i="2" s="1"/>
  <c r="AY14" i="2"/>
  <c r="AC14" i="2"/>
  <c r="AC15" i="2" s="1"/>
  <c r="D14" i="2"/>
  <c r="AY13" i="2"/>
  <c r="AY12" i="2"/>
  <c r="D11" i="2"/>
  <c r="AY11" i="2" s="1"/>
  <c r="AY10" i="2"/>
  <c r="AY9" i="2"/>
  <c r="AY8" i="2"/>
  <c r="AX8" i="2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D7" i="2"/>
  <c r="AY7" i="2" s="1"/>
  <c r="AY6" i="2"/>
  <c r="D6" i="2"/>
  <c r="AY5" i="2"/>
  <c r="AX5" i="2"/>
  <c r="AX6" i="2" s="1"/>
  <c r="AX7" i="2" s="1"/>
  <c r="AU5" i="2"/>
  <c r="AU6" i="2" s="1"/>
  <c r="AU7" i="2" s="1"/>
  <c r="AU8" i="2" s="1"/>
  <c r="AU9" i="2" s="1"/>
  <c r="AU10" i="2" s="1"/>
  <c r="AU11" i="2" s="1"/>
  <c r="AU12" i="2" s="1"/>
  <c r="AU13" i="2" s="1"/>
  <c r="AU14" i="2" s="1"/>
  <c r="AU15" i="2" s="1"/>
  <c r="AU16" i="2" s="1"/>
  <c r="U5" i="2"/>
  <c r="U6" i="2" s="1"/>
  <c r="F5" i="2"/>
  <c r="F6" i="2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O4" i="2"/>
  <c r="AN4" i="2"/>
  <c r="AM4" i="2"/>
  <c r="D4" i="2"/>
  <c r="AY4" i="2" s="1"/>
  <c r="I3" i="2"/>
  <c r="G3" i="2" a="1"/>
  <c r="H3" i="2" s="1"/>
  <c r="AQ2" i="2"/>
  <c r="AV25" i="1"/>
  <c r="J25" i="1"/>
  <c r="H25" i="1"/>
  <c r="G25" i="1"/>
  <c r="AV24" i="1"/>
  <c r="J24" i="1"/>
  <c r="H24" i="1"/>
  <c r="G24" i="1"/>
  <c r="H23" i="1"/>
  <c r="G23" i="1"/>
  <c r="D23" i="1"/>
  <c r="D22" i="1"/>
  <c r="D21" i="1"/>
  <c r="D19" i="1"/>
  <c r="D16" i="1"/>
  <c r="D15" i="1"/>
  <c r="AC14" i="1"/>
  <c r="AC15" i="1" s="1"/>
  <c r="D14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D11" i="1"/>
  <c r="AU10" i="1"/>
  <c r="AU11" i="1" s="1"/>
  <c r="AU12" i="1" s="1"/>
  <c r="AU13" i="1" s="1"/>
  <c r="AU14" i="1" s="1"/>
  <c r="AU15" i="1" s="1"/>
  <c r="AU16" i="1" s="1"/>
  <c r="AU17" i="1" s="1"/>
  <c r="AU18" i="1" s="1"/>
  <c r="AU19" i="1" s="1"/>
  <c r="AU20" i="1" s="1"/>
  <c r="AU21" i="1" s="1"/>
  <c r="AU22" i="1" s="1"/>
  <c r="AU23" i="1" s="1"/>
  <c r="AU24" i="1" s="1"/>
  <c r="AU25" i="1" s="1"/>
  <c r="A10" i="1"/>
  <c r="A11" i="1" s="1"/>
  <c r="A12" i="1" s="1"/>
  <c r="A13" i="1" s="1"/>
  <c r="AU7" i="1"/>
  <c r="AU8" i="1" s="1"/>
  <c r="AU9" i="1" s="1"/>
  <c r="D7" i="1"/>
  <c r="AU6" i="1"/>
  <c r="D6" i="1"/>
  <c r="AU5" i="1"/>
  <c r="U5" i="1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A5" i="1"/>
  <c r="A6" i="1" s="1"/>
  <c r="A7" i="1" s="1"/>
  <c r="A8" i="1" s="1"/>
  <c r="A9" i="1" s="1"/>
  <c r="AO4" i="1"/>
  <c r="AN4" i="1"/>
  <c r="AM4" i="1"/>
  <c r="D4" i="1"/>
  <c r="I3" i="1"/>
  <c r="G3" i="1"/>
  <c r="G3" i="1" a="1"/>
  <c r="H3" i="1" s="1"/>
  <c r="AQ2" i="1"/>
  <c r="H21" i="2" l="1"/>
  <c r="H5" i="2"/>
  <c r="H22" i="2"/>
  <c r="H6" i="2"/>
  <c r="H7" i="2"/>
  <c r="H8" i="2"/>
  <c r="H9" i="2"/>
  <c r="H10" i="2"/>
  <c r="H11" i="2"/>
  <c r="H12" i="2"/>
  <c r="H14" i="2"/>
  <c r="H16" i="2"/>
  <c r="H19" i="2"/>
  <c r="H20" i="1"/>
  <c r="H21" i="1"/>
  <c r="G13" i="1"/>
  <c r="G14" i="1"/>
  <c r="H20" i="2"/>
  <c r="AD8" i="2"/>
  <c r="H22" i="1"/>
  <c r="AC8" i="1"/>
  <c r="H5" i="1"/>
  <c r="AE8" i="1"/>
  <c r="AD13" i="2"/>
  <c r="H6" i="1"/>
  <c r="I9" i="1"/>
  <c r="AD14" i="2"/>
  <c r="H7" i="1"/>
  <c r="I10" i="1"/>
  <c r="I10" i="2"/>
  <c r="H8" i="1"/>
  <c r="I11" i="1"/>
  <c r="I11" i="2"/>
  <c r="H9" i="1"/>
  <c r="I12" i="1"/>
  <c r="I12" i="2"/>
  <c r="H10" i="1"/>
  <c r="I13" i="1"/>
  <c r="I13" i="2"/>
  <c r="H17" i="1"/>
  <c r="I14" i="1"/>
  <c r="G14" i="2"/>
  <c r="I14" i="2"/>
  <c r="H18" i="1"/>
  <c r="I21" i="1"/>
  <c r="H17" i="2"/>
  <c r="I22" i="2"/>
  <c r="H19" i="1"/>
  <c r="I22" i="1"/>
  <c r="H4" i="2"/>
  <c r="H18" i="2"/>
  <c r="G15" i="1"/>
  <c r="AD14" i="1"/>
  <c r="G4" i="2"/>
  <c r="G16" i="2"/>
  <c r="G24" i="2"/>
  <c r="AD15" i="1"/>
  <c r="G5" i="2"/>
  <c r="G17" i="2"/>
  <c r="G25" i="2"/>
  <c r="G6" i="1"/>
  <c r="G18" i="1"/>
  <c r="AH5" i="1"/>
  <c r="M17" i="1"/>
  <c r="N12" i="1" s="1"/>
  <c r="I15" i="1"/>
  <c r="AI5" i="1"/>
  <c r="N17" i="1"/>
  <c r="G8" i="2"/>
  <c r="G20" i="2"/>
  <c r="I4" i="2"/>
  <c r="I16" i="2"/>
  <c r="M18" i="2"/>
  <c r="H24" i="2"/>
  <c r="G8" i="1"/>
  <c r="G20" i="1"/>
  <c r="H12" i="1"/>
  <c r="I4" i="1"/>
  <c r="I16" i="1"/>
  <c r="M18" i="1"/>
  <c r="G9" i="2"/>
  <c r="G21" i="2"/>
  <c r="H13" i="2"/>
  <c r="I5" i="2"/>
  <c r="I17" i="2"/>
  <c r="AC8" i="2"/>
  <c r="N18" i="2"/>
  <c r="H25" i="2"/>
  <c r="AH4" i="2"/>
  <c r="G4" i="1"/>
  <c r="AH4" i="1"/>
  <c r="AI4" i="2"/>
  <c r="G17" i="1"/>
  <c r="G6" i="2"/>
  <c r="AH5" i="2"/>
  <c r="I15" i="2"/>
  <c r="N17" i="2"/>
  <c r="G7" i="1"/>
  <c r="G19" i="1"/>
  <c r="H11" i="1"/>
  <c r="G9" i="1"/>
  <c r="G21" i="1"/>
  <c r="H13" i="1"/>
  <c r="I5" i="1"/>
  <c r="I17" i="1"/>
  <c r="N18" i="1"/>
  <c r="G10" i="2"/>
  <c r="G22" i="2"/>
  <c r="I6" i="2"/>
  <c r="I18" i="2"/>
  <c r="M19" i="2"/>
  <c r="G10" i="1"/>
  <c r="G22" i="1"/>
  <c r="H14" i="1"/>
  <c r="I6" i="1"/>
  <c r="I18" i="1"/>
  <c r="M19" i="1"/>
  <c r="G11" i="2"/>
  <c r="I7" i="2"/>
  <c r="I19" i="2"/>
  <c r="N19" i="2"/>
  <c r="AY24" i="2"/>
  <c r="G15" i="2"/>
  <c r="G5" i="1"/>
  <c r="G18" i="2"/>
  <c r="G19" i="2"/>
  <c r="G11" i="1"/>
  <c r="H15" i="1"/>
  <c r="I7" i="1"/>
  <c r="I19" i="1"/>
  <c r="G12" i="2"/>
  <c r="I8" i="2"/>
  <c r="I20" i="2"/>
  <c r="AY25" i="2"/>
  <c r="G16" i="1"/>
  <c r="G7" i="2"/>
  <c r="H4" i="1"/>
  <c r="I8" i="1"/>
  <c r="I9" i="2"/>
  <c r="U6" i="1"/>
  <c r="AM5" i="1"/>
  <c r="L18" i="1" a="1"/>
  <c r="U7" i="2"/>
  <c r="AM6" i="2"/>
  <c r="AM5" i="2"/>
  <c r="G3" i="2"/>
  <c r="L18" i="2" s="1" a="1"/>
  <c r="M8" i="1" l="1"/>
  <c r="M14" i="1" s="1"/>
  <c r="M8" i="2"/>
  <c r="M14" i="2" s="1"/>
  <c r="O19" i="1"/>
  <c r="O18" i="1"/>
  <c r="O19" i="2"/>
  <c r="O18" i="2"/>
  <c r="N14" i="1"/>
  <c r="M12" i="1"/>
  <c r="N14" i="2"/>
  <c r="M12" i="2"/>
  <c r="J4" i="1" a="1"/>
  <c r="J12" i="1" s="1"/>
  <c r="L19" i="2"/>
  <c r="L18" i="2"/>
  <c r="J4" i="2" a="1"/>
  <c r="U7" i="1"/>
  <c r="AM6" i="1"/>
  <c r="U8" i="2"/>
  <c r="AM7" i="2"/>
  <c r="L19" i="1"/>
  <c r="L18" i="1"/>
  <c r="M13" i="1" l="1"/>
  <c r="P18" i="1" s="1"/>
  <c r="J4" i="1"/>
  <c r="AV4" i="1" s="1"/>
  <c r="J13" i="1"/>
  <c r="AV13" i="1" s="1"/>
  <c r="O17" i="2"/>
  <c r="J16" i="1"/>
  <c r="J14" i="1"/>
  <c r="AV14" i="1" s="1"/>
  <c r="J5" i="1"/>
  <c r="V6" i="1" s="1"/>
  <c r="J15" i="1"/>
  <c r="V16" i="1" s="1"/>
  <c r="J17" i="1"/>
  <c r="V18" i="1" s="1"/>
  <c r="J20" i="1"/>
  <c r="AV20" i="1" s="1"/>
  <c r="J19" i="1"/>
  <c r="V20" i="1" s="1"/>
  <c r="O17" i="1"/>
  <c r="J10" i="1"/>
  <c r="AV10" i="1" s="1"/>
  <c r="J22" i="1"/>
  <c r="V23" i="1" s="1"/>
  <c r="J11" i="1"/>
  <c r="V12" i="1" s="1"/>
  <c r="J6" i="1"/>
  <c r="V7" i="1" s="1"/>
  <c r="J8" i="1"/>
  <c r="V9" i="1" s="1"/>
  <c r="J18" i="1"/>
  <c r="V19" i="1" s="1"/>
  <c r="J7" i="1"/>
  <c r="AV7" i="1" s="1"/>
  <c r="J9" i="1"/>
  <c r="AV9" i="1" s="1"/>
  <c r="J21" i="1"/>
  <c r="AV21" i="1" s="1"/>
  <c r="M13" i="2"/>
  <c r="R17" i="2" s="1"/>
  <c r="Q17" i="1"/>
  <c r="R18" i="1"/>
  <c r="R17" i="1"/>
  <c r="J12" i="2"/>
  <c r="J11" i="2"/>
  <c r="J20" i="2"/>
  <c r="J8" i="2"/>
  <c r="J19" i="2"/>
  <c r="J7" i="2"/>
  <c r="J18" i="2"/>
  <c r="J6" i="2"/>
  <c r="J17" i="2"/>
  <c r="J5" i="2"/>
  <c r="J16" i="2"/>
  <c r="J4" i="2"/>
  <c r="J15" i="2"/>
  <c r="J14" i="2"/>
  <c r="J22" i="2"/>
  <c r="J10" i="2"/>
  <c r="J13" i="2"/>
  <c r="J21" i="2"/>
  <c r="J9" i="2"/>
  <c r="V13" i="1"/>
  <c r="AV12" i="1"/>
  <c r="P19" i="1"/>
  <c r="AM8" i="2"/>
  <c r="U9" i="2"/>
  <c r="AV16" i="1"/>
  <c r="V17" i="1"/>
  <c r="V15" i="1"/>
  <c r="U8" i="1"/>
  <c r="AM7" i="1"/>
  <c r="AV22" i="1" l="1"/>
  <c r="Q18" i="1"/>
  <c r="P17" i="1"/>
  <c r="R19" i="1"/>
  <c r="V14" i="1"/>
  <c r="Q19" i="1"/>
  <c r="AV8" i="1"/>
  <c r="AV6" i="1"/>
  <c r="V10" i="1"/>
  <c r="AN10" i="1" s="1"/>
  <c r="V8" i="1"/>
  <c r="AN8" i="1" s="1"/>
  <c r="AV11" i="1"/>
  <c r="AV17" i="1"/>
  <c r="V11" i="1"/>
  <c r="AN11" i="1" s="1"/>
  <c r="R18" i="2"/>
  <c r="R19" i="2"/>
  <c r="V21" i="1"/>
  <c r="AN21" i="1" s="1"/>
  <c r="Q17" i="2"/>
  <c r="O12" i="1"/>
  <c r="M5" i="1"/>
  <c r="N13" i="1"/>
  <c r="M5" i="2"/>
  <c r="N13" i="2"/>
  <c r="O12" i="2"/>
  <c r="P17" i="2"/>
  <c r="P18" i="2"/>
  <c r="AV19" i="1"/>
  <c r="AV18" i="1"/>
  <c r="AV15" i="1"/>
  <c r="V5" i="1"/>
  <c r="AA15" i="1" s="1"/>
  <c r="V22" i="1"/>
  <c r="AN22" i="1" s="1"/>
  <c r="AV5" i="1"/>
  <c r="Q19" i="2"/>
  <c r="P19" i="2"/>
  <c r="Q18" i="2"/>
  <c r="AN6" i="1"/>
  <c r="V15" i="2"/>
  <c r="AV14" i="2"/>
  <c r="AV11" i="2"/>
  <c r="V12" i="2"/>
  <c r="AN13" i="1"/>
  <c r="AV15" i="2"/>
  <c r="V16" i="2"/>
  <c r="AV12" i="2"/>
  <c r="V13" i="2"/>
  <c r="AN15" i="1"/>
  <c r="AV4" i="2"/>
  <c r="V5" i="2"/>
  <c r="AN7" i="1"/>
  <c r="AN17" i="1"/>
  <c r="V17" i="2"/>
  <c r="AV16" i="2"/>
  <c r="V6" i="2"/>
  <c r="AV5" i="2"/>
  <c r="AN18" i="1"/>
  <c r="U10" i="2"/>
  <c r="AM9" i="2"/>
  <c r="V18" i="2"/>
  <c r="AV17" i="2"/>
  <c r="AN12" i="1"/>
  <c r="V7" i="2"/>
  <c r="AV6" i="2"/>
  <c r="AN14" i="1"/>
  <c r="AV9" i="2"/>
  <c r="V10" i="2"/>
  <c r="AV18" i="2"/>
  <c r="V19" i="2"/>
  <c r="U9" i="1"/>
  <c r="AM8" i="1"/>
  <c r="AV21" i="2"/>
  <c r="V22" i="2"/>
  <c r="AV7" i="2"/>
  <c r="V8" i="2"/>
  <c r="AN19" i="1"/>
  <c r="AN16" i="1"/>
  <c r="AN23" i="1"/>
  <c r="AV13" i="2"/>
  <c r="V14" i="2"/>
  <c r="V20" i="2"/>
  <c r="AV19" i="2"/>
  <c r="V11" i="2"/>
  <c r="AV10" i="2"/>
  <c r="AV8" i="2"/>
  <c r="V9" i="2"/>
  <c r="AN20" i="1"/>
  <c r="AN9" i="1"/>
  <c r="AV22" i="2"/>
  <c r="V23" i="2"/>
  <c r="AV20" i="2"/>
  <c r="V21" i="2"/>
  <c r="AA16" i="1" l="1"/>
  <c r="O13" i="2"/>
  <c r="M7" i="2" s="1"/>
  <c r="P6" i="2"/>
  <c r="P4" i="2"/>
  <c r="P5" i="2" s="1"/>
  <c r="M4" i="2"/>
  <c r="M6" i="2"/>
  <c r="AA17" i="1"/>
  <c r="AJ4" i="1"/>
  <c r="Z5" i="1"/>
  <c r="AA5" i="1" s="1"/>
  <c r="AN5" i="1"/>
  <c r="AA4" i="1"/>
  <c r="AJ5" i="1"/>
  <c r="AJ5" i="2"/>
  <c r="AA4" i="2"/>
  <c r="W5" i="2" s="1"/>
  <c r="W6" i="2" s="1"/>
  <c r="AO6" i="2" s="1"/>
  <c r="P4" i="1"/>
  <c r="P5" i="1" s="1"/>
  <c r="P6" i="1"/>
  <c r="O13" i="1"/>
  <c r="M7" i="1" s="1"/>
  <c r="Z5" i="2"/>
  <c r="AA5" i="2" s="1"/>
  <c r="AJ4" i="2"/>
  <c r="M6" i="1"/>
  <c r="M4" i="1"/>
  <c r="P12" i="1"/>
  <c r="Q12" i="1" s="1"/>
  <c r="R12" i="1" s="1"/>
  <c r="AM9" i="1"/>
  <c r="U10" i="1"/>
  <c r="AN18" i="2"/>
  <c r="AN17" i="2"/>
  <c r="AN16" i="2"/>
  <c r="AN23" i="2"/>
  <c r="AM10" i="2"/>
  <c r="U11" i="2"/>
  <c r="AN8" i="2"/>
  <c r="AN22" i="2"/>
  <c r="AA15" i="2"/>
  <c r="AN5" i="2"/>
  <c r="AA17" i="2"/>
  <c r="AA16" i="2"/>
  <c r="AN12" i="2"/>
  <c r="AN21" i="2"/>
  <c r="AN11" i="2"/>
  <c r="AN19" i="2"/>
  <c r="AN10" i="2"/>
  <c r="AN20" i="2"/>
  <c r="AN7" i="2"/>
  <c r="AN6" i="2"/>
  <c r="AN14" i="2"/>
  <c r="AN9" i="2"/>
  <c r="AN15" i="2"/>
  <c r="AN13" i="2"/>
  <c r="AK4" i="1" l="1"/>
  <c r="AK5" i="1"/>
  <c r="AP6" i="2"/>
  <c r="W5" i="1"/>
  <c r="P12" i="2"/>
  <c r="Q12" i="2" s="1"/>
  <c r="R12" i="2" s="1"/>
  <c r="AK4" i="2"/>
  <c r="AK5" i="2"/>
  <c r="U11" i="1"/>
  <c r="AM10" i="1"/>
  <c r="W7" i="2"/>
  <c r="AO5" i="2"/>
  <c r="AP5" i="2" s="1"/>
  <c r="U12" i="2"/>
  <c r="AM11" i="2"/>
  <c r="AO5" i="1" l="1"/>
  <c r="AP5" i="1" s="1"/>
  <c r="W6" i="1"/>
  <c r="AO7" i="2"/>
  <c r="AP7" i="2" s="1"/>
  <c r="W8" i="2"/>
  <c r="AM11" i="1"/>
  <c r="U12" i="1"/>
  <c r="AM12" i="2"/>
  <c r="U13" i="2"/>
  <c r="AO6" i="1" l="1"/>
  <c r="AP6" i="1" s="1"/>
  <c r="W7" i="1"/>
  <c r="AM13" i="2"/>
  <c r="U14" i="2"/>
  <c r="U13" i="1"/>
  <c r="AM12" i="1"/>
  <c r="AO8" i="2"/>
  <c r="AP8" i="2" s="1"/>
  <c r="W9" i="2"/>
  <c r="AO7" i="1" l="1"/>
  <c r="AP7" i="1" s="1"/>
  <c r="W8" i="1"/>
  <c r="AO9" i="2"/>
  <c r="AP9" i="2" s="1"/>
  <c r="W10" i="2"/>
  <c r="AM13" i="1"/>
  <c r="U14" i="1"/>
  <c r="U15" i="2"/>
  <c r="AM14" i="2"/>
  <c r="AO8" i="1" l="1"/>
  <c r="AP8" i="1" s="1"/>
  <c r="W9" i="1"/>
  <c r="U16" i="2"/>
  <c r="AM15" i="2"/>
  <c r="U15" i="1"/>
  <c r="AM14" i="1"/>
  <c r="AO10" i="2"/>
  <c r="AP10" i="2" s="1"/>
  <c r="W11" i="2"/>
  <c r="AO9" i="1" l="1"/>
  <c r="AP9" i="1" s="1"/>
  <c r="W10" i="1"/>
  <c r="AO11" i="2"/>
  <c r="AP11" i="2" s="1"/>
  <c r="W12" i="2"/>
  <c r="U16" i="1"/>
  <c r="AM15" i="1"/>
  <c r="U17" i="2"/>
  <c r="AM16" i="2"/>
  <c r="AO10" i="1" l="1"/>
  <c r="AP10" i="1" s="1"/>
  <c r="W11" i="1"/>
  <c r="U18" i="2"/>
  <c r="AM17" i="2"/>
  <c r="AM16" i="1"/>
  <c r="U17" i="1"/>
  <c r="AO12" i="2"/>
  <c r="AP12" i="2" s="1"/>
  <c r="W13" i="2"/>
  <c r="W12" i="1" l="1"/>
  <c r="AO11" i="1"/>
  <c r="AP11" i="1" s="1"/>
  <c r="AO13" i="2"/>
  <c r="AP13" i="2" s="1"/>
  <c r="W14" i="2"/>
  <c r="AM17" i="1"/>
  <c r="U18" i="1"/>
  <c r="AM18" i="2"/>
  <c r="U19" i="2"/>
  <c r="AO12" i="1" l="1"/>
  <c r="AP12" i="1" s="1"/>
  <c r="W13" i="1"/>
  <c r="AO14" i="2"/>
  <c r="AP14" i="2" s="1"/>
  <c r="W15" i="2"/>
  <c r="U20" i="2"/>
  <c r="AM19" i="2"/>
  <c r="AM18" i="1"/>
  <c r="U19" i="1"/>
  <c r="AO13" i="1" l="1"/>
  <c r="AP13" i="1" s="1"/>
  <c r="W14" i="1"/>
  <c r="U21" i="2"/>
  <c r="AM20" i="2"/>
  <c r="AO15" i="2"/>
  <c r="AP15" i="2" s="1"/>
  <c r="W16" i="2"/>
  <c r="U20" i="1"/>
  <c r="AM19" i="1"/>
  <c r="AO14" i="1" l="1"/>
  <c r="AP14" i="1" s="1"/>
  <c r="W15" i="1"/>
  <c r="U21" i="1"/>
  <c r="AM20" i="1"/>
  <c r="AO16" i="2"/>
  <c r="AP16" i="2" s="1"/>
  <c r="W17" i="2"/>
  <c r="AM21" i="2"/>
  <c r="U22" i="2"/>
  <c r="AO15" i="1" l="1"/>
  <c r="AP15" i="1" s="1"/>
  <c r="W16" i="1"/>
  <c r="AO17" i="2"/>
  <c r="AP17" i="2" s="1"/>
  <c r="W18" i="2"/>
  <c r="U23" i="2"/>
  <c r="AM23" i="2" s="1"/>
  <c r="AM24" i="2" s="1"/>
  <c r="AM25" i="2" s="1"/>
  <c r="AM26" i="2" s="1"/>
  <c r="AM22" i="2"/>
  <c r="U22" i="1"/>
  <c r="AM21" i="1"/>
  <c r="AO16" i="1" l="1"/>
  <c r="AP16" i="1" s="1"/>
  <c r="W17" i="1"/>
  <c r="AM22" i="1"/>
  <c r="U23" i="1"/>
  <c r="AM23" i="1" s="1"/>
  <c r="AM24" i="1" s="1"/>
  <c r="AM25" i="1" s="1"/>
  <c r="AM26" i="1" s="1"/>
  <c r="AO18" i="2"/>
  <c r="AP18" i="2" s="1"/>
  <c r="W19" i="2"/>
  <c r="AO17" i="1" l="1"/>
  <c r="AP17" i="1" s="1"/>
  <c r="W18" i="1"/>
  <c r="AO19" i="2"/>
  <c r="AP19" i="2" s="1"/>
  <c r="W20" i="2"/>
  <c r="AO18" i="1" l="1"/>
  <c r="AP18" i="1" s="1"/>
  <c r="W19" i="1"/>
  <c r="AO20" i="2"/>
  <c r="AP20" i="2" s="1"/>
  <c r="W21" i="2"/>
  <c r="AO19" i="1" l="1"/>
  <c r="AP19" i="1" s="1"/>
  <c r="W20" i="1"/>
  <c r="AO21" i="2"/>
  <c r="AP21" i="2" s="1"/>
  <c r="W22" i="2"/>
  <c r="AO20" i="1" l="1"/>
  <c r="AP20" i="1" s="1"/>
  <c r="W21" i="1"/>
  <c r="AO22" i="2"/>
  <c r="AP22" i="2" s="1"/>
  <c r="W23" i="2"/>
  <c r="AO23" i="2" l="1"/>
  <c r="AP24" i="2" s="1"/>
  <c r="AA7" i="2"/>
  <c r="AA12" i="2"/>
  <c r="AA13" i="2"/>
  <c r="AO21" i="1"/>
  <c r="AP21" i="1" s="1"/>
  <c r="W22" i="1"/>
  <c r="AP23" i="2" l="1"/>
  <c r="AO22" i="1"/>
  <c r="AP22" i="1" s="1"/>
  <c r="W23" i="1"/>
  <c r="AA14" i="2"/>
  <c r="AA20" i="2"/>
  <c r="AA22" i="2" s="1"/>
  <c r="AA19" i="2" s="1"/>
  <c r="AA21" i="2"/>
  <c r="AA23" i="2" s="1"/>
  <c r="AV23" i="2"/>
  <c r="J23" i="2"/>
  <c r="I23" i="2" s="1" a="1"/>
  <c r="AQ22" i="2" l="1"/>
  <c r="AQ24" i="2"/>
  <c r="AQ26" i="2"/>
  <c r="AQ5" i="2"/>
  <c r="AQ15" i="2"/>
  <c r="AQ9" i="2"/>
  <c r="AQ25" i="2"/>
  <c r="AQ18" i="2"/>
  <c r="AQ16" i="2"/>
  <c r="AQ6" i="2"/>
  <c r="AQ17" i="2"/>
  <c r="AQ14" i="2"/>
  <c r="AQ8" i="2"/>
  <c r="AQ19" i="2"/>
  <c r="AQ20" i="2"/>
  <c r="AQ11" i="2"/>
  <c r="AQ23" i="2"/>
  <c r="AQ10" i="2"/>
  <c r="AQ21" i="2"/>
  <c r="AQ13" i="2"/>
  <c r="AQ12" i="2"/>
  <c r="AQ7" i="2"/>
  <c r="AO23" i="1"/>
  <c r="AA7" i="1"/>
  <c r="AA12" i="1"/>
  <c r="AA13" i="1"/>
  <c r="I25" i="2"/>
  <c r="I24" i="2"/>
  <c r="I23" i="2"/>
  <c r="AS14" i="2" l="1"/>
  <c r="AR14" i="2"/>
  <c r="AP24" i="1"/>
  <c r="AP23" i="1"/>
  <c r="AR7" i="2"/>
  <c r="AS7" i="2"/>
  <c r="AR6" i="2"/>
  <c r="AS6" i="2"/>
  <c r="AS12" i="2"/>
  <c r="AR12" i="2"/>
  <c r="AS13" i="2"/>
  <c r="AR13" i="2"/>
  <c r="AS21" i="2"/>
  <c r="AR21" i="2"/>
  <c r="AR23" i="2"/>
  <c r="AS23" i="2"/>
  <c r="AA14" i="1"/>
  <c r="AA21" i="1"/>
  <c r="AA23" i="1" s="1"/>
  <c r="AA20" i="1"/>
  <c r="AA22" i="1" s="1"/>
  <c r="AA19" i="1" s="1"/>
  <c r="AS17" i="2"/>
  <c r="AR17" i="2"/>
  <c r="AS16" i="2"/>
  <c r="AR16" i="2"/>
  <c r="AS18" i="2"/>
  <c r="AR18" i="2"/>
  <c r="AS25" i="2"/>
  <c r="AR25" i="2"/>
  <c r="AS10" i="2"/>
  <c r="AR10" i="2"/>
  <c r="AS9" i="2"/>
  <c r="AR9" i="2"/>
  <c r="AS15" i="2"/>
  <c r="AR15" i="2"/>
  <c r="AR11" i="2"/>
  <c r="AS11" i="2"/>
  <c r="AR5" i="2"/>
  <c r="AS5" i="2"/>
  <c r="AS20" i="2"/>
  <c r="AR20" i="2"/>
  <c r="AS26" i="2"/>
  <c r="AR26" i="2"/>
  <c r="AS19" i="2"/>
  <c r="AR19" i="2"/>
  <c r="AR24" i="2"/>
  <c r="AS24" i="2"/>
  <c r="AS8" i="2"/>
  <c r="AR8" i="2"/>
  <c r="AS22" i="2"/>
  <c r="AR22" i="2"/>
  <c r="AQ18" i="1" l="1"/>
  <c r="AQ8" i="1"/>
  <c r="AQ16" i="1"/>
  <c r="AQ6" i="1"/>
  <c r="AQ21" i="1"/>
  <c r="AQ14" i="1"/>
  <c r="AQ7" i="1"/>
  <c r="AQ24" i="1"/>
  <c r="AR24" i="1" s="1"/>
  <c r="AQ13" i="1"/>
  <c r="AQ9" i="1"/>
  <c r="AQ20" i="1"/>
  <c r="AQ23" i="1"/>
  <c r="AS23" i="1" s="1"/>
  <c r="AQ26" i="1"/>
  <c r="AQ17" i="1"/>
  <c r="AQ12" i="1"/>
  <c r="AQ11" i="1"/>
  <c r="AQ10" i="1"/>
  <c r="AQ5" i="1"/>
  <c r="AQ19" i="1"/>
  <c r="AQ22" i="1"/>
  <c r="AQ15" i="1"/>
  <c r="AQ25" i="1"/>
  <c r="AV23" i="1"/>
  <c r="J23" i="1" s="1"/>
  <c r="I23" i="1" s="1" a="1"/>
  <c r="AR23" i="1" l="1"/>
  <c r="AS24" i="1"/>
  <c r="AS12" i="1"/>
  <c r="AR12" i="1"/>
  <c r="AS16" i="1"/>
  <c r="AR16" i="1"/>
  <c r="AS20" i="1"/>
  <c r="AR20" i="1"/>
  <c r="AS9" i="1"/>
  <c r="AR9" i="1"/>
  <c r="AS15" i="1"/>
  <c r="AR15" i="1"/>
  <c r="AR7" i="1"/>
  <c r="AS7" i="1"/>
  <c r="AR14" i="1"/>
  <c r="AS14" i="1"/>
  <c r="AS21" i="1"/>
  <c r="AR21" i="1"/>
  <c r="AS11" i="1"/>
  <c r="AR11" i="1"/>
  <c r="AS6" i="1"/>
  <c r="AR6" i="1"/>
  <c r="AS17" i="1"/>
  <c r="AR17" i="1"/>
  <c r="AR8" i="1"/>
  <c r="AS8" i="1"/>
  <c r="AS25" i="1"/>
  <c r="AR25" i="1"/>
  <c r="AS13" i="1"/>
  <c r="AR13" i="1"/>
  <c r="AS22" i="1"/>
  <c r="AR22" i="1"/>
  <c r="AS19" i="1"/>
  <c r="AR19" i="1"/>
  <c r="AS5" i="1"/>
  <c r="AR5" i="1"/>
  <c r="AR10" i="1"/>
  <c r="AS10" i="1"/>
  <c r="I24" i="1"/>
  <c r="I25" i="1"/>
  <c r="I23" i="1"/>
  <c r="D24" i="1" s="1"/>
  <c r="D25" i="1" s="1"/>
  <c r="AR26" i="1"/>
  <c r="AS26" i="1"/>
  <c r="AR18" i="1"/>
  <c r="AS18" i="1"/>
  <c r="D26" i="1" l="1"/>
</calcChain>
</file>

<file path=xl/sharedStrings.xml><?xml version="1.0" encoding="utf-8"?>
<sst xmlns="http://schemas.openxmlformats.org/spreadsheetml/2006/main" count="187" uniqueCount="76">
  <si>
    <t>ARIMAX Model</t>
  </si>
  <si>
    <t>Regression Analysis</t>
  </si>
  <si>
    <t>ARIMA Model</t>
  </si>
  <si>
    <t>Model statistics</t>
  </si>
  <si>
    <t>Phi roots</t>
  </si>
  <si>
    <t>Model parameters</t>
  </si>
  <si>
    <t>Forecast (reduced)</t>
  </si>
  <si>
    <t>Forecast</t>
  </si>
  <si>
    <t>Alpha</t>
  </si>
  <si>
    <t>X1</t>
  </si>
  <si>
    <t>X2</t>
  </si>
  <si>
    <t>Y</t>
  </si>
  <si>
    <t>time</t>
  </si>
  <si>
    <t>residual</t>
  </si>
  <si>
    <t>OVERALL FIT</t>
  </si>
  <si>
    <t>data</t>
  </si>
  <si>
    <t>index</t>
  </si>
  <si>
    <t>phi</t>
  </si>
  <si>
    <t>theta</t>
  </si>
  <si>
    <t>real</t>
  </si>
  <si>
    <t>imag</t>
  </si>
  <si>
    <t>abs val</t>
  </si>
  <si>
    <t>param</t>
  </si>
  <si>
    <t>coeff</t>
  </si>
  <si>
    <t>s.e.</t>
  </si>
  <si>
    <t>t-stat</t>
  </si>
  <si>
    <t>p-value</t>
  </si>
  <si>
    <t>pred</t>
  </si>
  <si>
    <t>lower</t>
  </si>
  <si>
    <t>upper</t>
  </si>
  <si>
    <t>forecast</t>
  </si>
  <si>
    <t>Multiple R</t>
  </si>
  <si>
    <t>AIC</t>
  </si>
  <si>
    <t>const</t>
  </si>
  <si>
    <t>R Square</t>
  </si>
  <si>
    <t>AICc</t>
  </si>
  <si>
    <t>Theta roots</t>
  </si>
  <si>
    <t>theta 1</t>
  </si>
  <si>
    <t>Adjusted R Square</t>
  </si>
  <si>
    <t>SBC</t>
  </si>
  <si>
    <t>Standard Error</t>
  </si>
  <si>
    <t>SSE</t>
  </si>
  <si>
    <t>Observations</t>
  </si>
  <si>
    <t>p</t>
  </si>
  <si>
    <t>ANOVA</t>
  </si>
  <si>
    <t>q</t>
  </si>
  <si>
    <t>Psi coefficients</t>
  </si>
  <si>
    <t>df</t>
  </si>
  <si>
    <t>SS</t>
  </si>
  <si>
    <t>MS</t>
  </si>
  <si>
    <t>F</t>
  </si>
  <si>
    <t>sig</t>
  </si>
  <si>
    <t>d</t>
  </si>
  <si>
    <t>Regression</t>
  </si>
  <si>
    <t>res mean</t>
  </si>
  <si>
    <t>psi</t>
  </si>
  <si>
    <t>Residual</t>
  </si>
  <si>
    <t>res s.d.</t>
  </si>
  <si>
    <t>Total</t>
  </si>
  <si>
    <t>sqrt mse</t>
  </si>
  <si>
    <t>data mean</t>
  </si>
  <si>
    <t>std err</t>
  </si>
  <si>
    <t>t stat</t>
  </si>
  <si>
    <t>vif</t>
  </si>
  <si>
    <t>data s.d.</t>
  </si>
  <si>
    <t>Intercept</t>
  </si>
  <si>
    <t>size</t>
  </si>
  <si>
    <t>LL</t>
  </si>
  <si>
    <t>BIC</t>
  </si>
  <si>
    <t>AIC aug</t>
  </si>
  <si>
    <t>BIC aug</t>
  </si>
  <si>
    <t>Y Forecast</t>
  </si>
  <si>
    <t>Real Statistics Using Excel</t>
  </si>
  <si>
    <t>Updated</t>
  </si>
  <si>
    <t>Copyright © 2013 - 2025 Charles Zaiontz</t>
  </si>
  <si>
    <t>ARIMAX Model and 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</si>
</sst>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164" fontId="0" fillId="0" borderId="0" xfId="0" applyNumberFormat="1"/>
    <xf numFmtId="165" fontId="0" fillId="0" borderId="0" xfId="0" applyNumberFormat="1"/>
    <xf numFmtId="0" fontId="0" fillId="0" borderId="4" xfId="0" applyBorder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4" xfId="0" applyNumberFormat="1" applyBorder="1"/>
    <xf numFmtId="165" fontId="0" fillId="0" borderId="4" xfId="0" applyNumberFormat="1" applyBorder="1"/>
    <xf numFmtId="0" fontId="0" fillId="2" borderId="0" xfId="0" applyFill="1"/>
    <xf numFmtId="0" fontId="0" fillId="3" borderId="0" xfId="0" applyFill="1"/>
    <xf numFmtId="0" fontId="0" fillId="3" borderId="4" xfId="0" applyFill="1" applyBorder="1"/>
    <xf numFmtId="0" fontId="0" fillId="4" borderId="0" xfId="0" applyFill="1"/>
    <xf numFmtId="164" fontId="0" fillId="2" borderId="0" xfId="0" applyNumberFormat="1" applyFill="1"/>
    <xf numFmtId="165" fontId="0" fillId="2" borderId="0" xfId="0" applyNumberFormat="1" applyFill="1"/>
    <xf numFmtId="0" fontId="0" fillId="2" borderId="4" xfId="0" applyFill="1" applyBorder="1"/>
    <xf numFmtId="0" fontId="0" fillId="4" borderId="4" xfId="0" applyFill="1" applyBorder="1"/>
    <xf numFmtId="164" fontId="0" fillId="2" borderId="4" xfId="0" applyNumberFormat="1" applyFill="1" applyBorder="1"/>
    <xf numFmtId="165" fontId="0" fillId="2" borderId="4" xfId="0" applyNumberFormat="1" applyFill="1" applyBorder="1"/>
    <xf numFmtId="0" fontId="0" fillId="0" borderId="10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Time%20Series%20Examples%204%20March%202022.xlsx" TargetMode="External"/><Relationship Id="rId1" Type="http://schemas.openxmlformats.org/officeDocument/2006/relationships/externalLinkPath" Target="/38f5cd2f1f925cfd/Documenti/A%20Real%20Statistics%202020/Examples/Real%20Statistics%20Time%20Series%20Examples%204%20March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Error"/>
      <sheetName val="DM"/>
      <sheetName val="PT"/>
      <sheetName val="Moving"/>
      <sheetName val="Moving 1"/>
      <sheetName val="Moving 1a"/>
      <sheetName val="Weighted"/>
      <sheetName val="Weighted 2"/>
      <sheetName val="Exp"/>
      <sheetName val="Exp 1"/>
      <sheetName val="Exp 1a"/>
      <sheetName val="Exp 2"/>
      <sheetName val="Exp 3"/>
      <sheetName val="Holt"/>
      <sheetName val="Holt 2"/>
      <sheetName val="Holt 3"/>
      <sheetName val="Holt 4"/>
      <sheetName val="Holt 5"/>
      <sheetName val="Holt-Winter"/>
      <sheetName val="Holt-Winter 1"/>
      <sheetName val="Holt-Winter 2"/>
      <sheetName val="Holt-Winter 3"/>
      <sheetName val="Holt-Winters 4"/>
      <sheetName val="Holt-Winters 4a"/>
      <sheetName val="Holt-Winters 5"/>
      <sheetName val="HoltWinters 6"/>
      <sheetName val="Stationary"/>
      <sheetName val="ACF 0"/>
      <sheetName val="ACF"/>
      <sheetName val="PACF 1"/>
      <sheetName val="Correlogram"/>
      <sheetName val="WN 1"/>
      <sheetName val="RW 1"/>
      <sheetName val="RW 1a"/>
      <sheetName val="DT 1"/>
      <sheetName val="DT 1a"/>
      <sheetName val="Test 1"/>
      <sheetName val="Test 2"/>
      <sheetName val="DF 0"/>
      <sheetName val="DF 1"/>
      <sheetName val="DF 2"/>
      <sheetName val="ADF"/>
      <sheetName val="PP KPSS"/>
      <sheetName val="Sheet2"/>
      <sheetName val="Missing 1"/>
      <sheetName val="Missing 2"/>
      <sheetName val="Missing 3"/>
      <sheetName val="Missing 4"/>
      <sheetName val="AR 1"/>
      <sheetName val="AR 1a"/>
      <sheetName val="AR 1b"/>
      <sheetName val="AR 1c"/>
      <sheetName val="AR 1d"/>
      <sheetName val="AR 2"/>
      <sheetName val="AR 2a"/>
      <sheetName val="AR 2b"/>
      <sheetName val="AR 2c"/>
      <sheetName val="AR 2d"/>
      <sheetName val="AR 3"/>
      <sheetName val="AR 4"/>
      <sheetName val="MA"/>
      <sheetName val="MA 1"/>
      <sheetName val="MA 2"/>
      <sheetName val="MA 3"/>
      <sheetName val="MA 4"/>
      <sheetName val="MA 5"/>
      <sheetName val="MA 6"/>
      <sheetName val="MA 7"/>
      <sheetName val="MA 8"/>
      <sheetName val="ARMA 1.1"/>
      <sheetName val="ARMA 1.1a"/>
      <sheetName val="ARMA 1.1b"/>
      <sheetName val="ARMA 1.1c"/>
      <sheetName val="ARMA 1.1d"/>
      <sheetName val="ARMA 1.1dd"/>
      <sheetName val="ARMA 1.1e"/>
      <sheetName val="ARMA 1.1ee"/>
      <sheetName val="Sheet6"/>
      <sheetName val="ARMA 1.1f"/>
      <sheetName val="ARMA 2.1"/>
      <sheetName val="ARMA 2.2"/>
      <sheetName val="Diff"/>
      <sheetName val="ARIMA 1"/>
      <sheetName val="ARIMA 1a"/>
      <sheetName val="ARIMA 2"/>
      <sheetName val="ARIMA 2a"/>
      <sheetName val="ARIMA 3"/>
      <sheetName val="ARIMA 3a"/>
      <sheetName val="SARIMA"/>
      <sheetName val="SARIMA 1"/>
      <sheetName val="MK"/>
      <sheetName val="Sen"/>
      <sheetName val="MK Tool"/>
      <sheetName val="MK + Sen"/>
      <sheetName val="Granger 1"/>
      <sheetName val="Granger 2"/>
      <sheetName val="Granger 3"/>
      <sheetName val="Granger 4"/>
      <sheetName val="Engle"/>
      <sheetName val="Cross"/>
      <sheetName val="ARIMAX"/>
      <sheetName val="ARIMAX 1"/>
      <sheetName val="Crime"/>
      <sheetName val="Diff 2"/>
      <sheetName val="Demean 2"/>
      <sheetName val="Diff 3"/>
      <sheetName val="Demean 3"/>
      <sheetName val="LSDV"/>
      <sheetName val="REM"/>
      <sheetName val="Markov"/>
      <sheetName val="Markov 1"/>
      <sheetName val="ADF Table"/>
      <sheetName val="EG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CD6EE-E753-4AE1-8D42-2B0439B2C9D5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72</v>
      </c>
    </row>
    <row r="2" spans="1:13" x14ac:dyDescent="0.35">
      <c r="A2" t="s">
        <v>75</v>
      </c>
    </row>
    <row r="4" spans="1:13" x14ac:dyDescent="0.35">
      <c r="A4" t="s">
        <v>73</v>
      </c>
      <c r="B4" s="30">
        <v>45694</v>
      </c>
    </row>
    <row r="6" spans="1:13" x14ac:dyDescent="0.35">
      <c r="A6" s="31" t="s">
        <v>74</v>
      </c>
    </row>
    <row r="10" spans="1:13" ht="18.5" x14ac:dyDescent="0.45">
      <c r="M10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B4B4C-6106-4884-9FD4-3D49B88770CE}">
  <dimension ref="A1:AV26"/>
  <sheetViews>
    <sheetView workbookViewId="0">
      <selection activeCell="E15" sqref="E15"/>
    </sheetView>
  </sheetViews>
  <sheetFormatPr defaultRowHeight="14.5" x14ac:dyDescent="0.35"/>
  <cols>
    <col min="1" max="1" width="4.81640625" customWidth="1"/>
    <col min="2" max="2" width="6.453125" customWidth="1"/>
    <col min="3" max="3" width="7.7265625" customWidth="1"/>
    <col min="5" max="7" width="6.81640625" customWidth="1"/>
    <col min="12" max="12" width="13.7265625" customWidth="1"/>
    <col min="20" max="20" width="3.453125" customWidth="1"/>
    <col min="21" max="21" width="6.26953125" customWidth="1"/>
  </cols>
  <sheetData>
    <row r="1" spans="1:48" x14ac:dyDescent="0.35">
      <c r="A1" s="1"/>
      <c r="B1" s="1"/>
      <c r="C1" s="1"/>
      <c r="F1" t="s">
        <v>0</v>
      </c>
      <c r="L1" t="s">
        <v>1</v>
      </c>
      <c r="U1" t="s">
        <v>2</v>
      </c>
      <c r="Y1" t="s">
        <v>3</v>
      </c>
      <c r="AC1" t="s">
        <v>4</v>
      </c>
      <c r="AG1" t="s">
        <v>5</v>
      </c>
      <c r="AM1" t="s">
        <v>6</v>
      </c>
      <c r="AU1" t="s">
        <v>7</v>
      </c>
    </row>
    <row r="2" spans="1:48" ht="15" thickBot="1" x14ac:dyDescent="0.4">
      <c r="A2" s="2"/>
      <c r="B2" s="2"/>
      <c r="C2" s="2"/>
      <c r="D2" s="2"/>
      <c r="AP2" t="s">
        <v>8</v>
      </c>
      <c r="AQ2">
        <f>0.05</f>
        <v>0.05</v>
      </c>
    </row>
    <row r="3" spans="1:48" ht="15.5" thickTop="1" thickBot="1" x14ac:dyDescent="0.4">
      <c r="B3" s="3" t="s">
        <v>9</v>
      </c>
      <c r="C3" s="3" t="s">
        <v>10</v>
      </c>
      <c r="D3" s="3" t="s">
        <v>11</v>
      </c>
      <c r="F3" s="4" t="s">
        <v>12</v>
      </c>
      <c r="G3" s="4" t="str">
        <f t="array" ref="G3:H3">B3:C3</f>
        <v>X1</v>
      </c>
      <c r="H3" s="4" t="str">
        <v>X2</v>
      </c>
      <c r="I3" s="4" t="str">
        <f>D3</f>
        <v>Y</v>
      </c>
      <c r="J3" s="4" t="s">
        <v>13</v>
      </c>
      <c r="L3" s="5" t="s">
        <v>14</v>
      </c>
      <c r="M3" s="5"/>
      <c r="O3" s="5"/>
      <c r="P3" s="5"/>
      <c r="U3" s="4" t="s">
        <v>12</v>
      </c>
      <c r="V3" s="4" t="s">
        <v>15</v>
      </c>
      <c r="W3" s="4" t="s">
        <v>13</v>
      </c>
      <c r="Y3" s="4" t="s">
        <v>16</v>
      </c>
      <c r="Z3" s="4" t="s">
        <v>17</v>
      </c>
      <c r="AA3" s="4" t="s">
        <v>18</v>
      </c>
      <c r="AC3" s="4" t="s">
        <v>19</v>
      </c>
      <c r="AD3" s="4" t="s">
        <v>20</v>
      </c>
      <c r="AE3" s="4" t="s">
        <v>21</v>
      </c>
      <c r="AG3" s="4" t="s">
        <v>22</v>
      </c>
      <c r="AH3" s="4" t="s">
        <v>23</v>
      </c>
      <c r="AI3" s="4" t="s">
        <v>24</v>
      </c>
      <c r="AJ3" s="4" t="s">
        <v>25</v>
      </c>
      <c r="AK3" s="4" t="s">
        <v>26</v>
      </c>
      <c r="AM3" s="4" t="s">
        <v>12</v>
      </c>
      <c r="AN3" s="4" t="s">
        <v>15</v>
      </c>
      <c r="AO3" s="4" t="s">
        <v>13</v>
      </c>
      <c r="AP3" s="4" t="s">
        <v>27</v>
      </c>
      <c r="AQ3" s="4" t="s">
        <v>24</v>
      </c>
      <c r="AR3" s="4" t="s">
        <v>28</v>
      </c>
      <c r="AS3" s="4" t="s">
        <v>29</v>
      </c>
      <c r="AU3" s="4" t="s">
        <v>12</v>
      </c>
      <c r="AV3" s="4" t="s">
        <v>30</v>
      </c>
    </row>
    <row r="4" spans="1:48" ht="15" thickTop="1" x14ac:dyDescent="0.35">
      <c r="A4">
        <v>1</v>
      </c>
      <c r="B4" s="6">
        <v>1</v>
      </c>
      <c r="C4" s="7">
        <v>10.895</v>
      </c>
      <c r="D4">
        <f>3.11767564756553+0.7</f>
        <v>3.8176756475655296</v>
      </c>
      <c r="F4">
        <v>1</v>
      </c>
      <c r="G4" t="e">
        <f t="array" aca="1" ref="G4:G22" ca="1">ADIFF(B4:B23,1)</f>
        <v>#NAME?</v>
      </c>
      <c r="H4" t="e">
        <f t="array" aca="1" ref="H4:H22" ca="1">ADIFF(C4:C23,1)</f>
        <v>#NAME?</v>
      </c>
      <c r="I4" t="e">
        <f t="array" aca="1" ref="I4:I22" ca="1">ADIFF(D4:D23,1)</f>
        <v>#NAME?</v>
      </c>
      <c r="J4" t="e">
        <f t="array" aca="1" ref="J4:J22" ca="1">I4:I22-TREND(I4:I22,G4:H22,,TRUE)</f>
        <v>#NAME?</v>
      </c>
      <c r="L4" t="s">
        <v>31</v>
      </c>
      <c r="M4" t="e">
        <f ca="1">SQRT(M5)</f>
        <v>#NAME?</v>
      </c>
      <c r="O4" t="s">
        <v>32</v>
      </c>
      <c r="P4" t="e">
        <f ca="1">M8*LN(N13/M8)+2*(M12+1)</f>
        <v>#NAME?</v>
      </c>
      <c r="U4" s="9">
        <v>0</v>
      </c>
      <c r="V4">
        <v>0</v>
      </c>
      <c r="W4">
        <v>0</v>
      </c>
      <c r="Y4" s="9">
        <v>1</v>
      </c>
      <c r="Z4">
        <v>0</v>
      </c>
      <c r="AA4" t="e">
        <f ca="1">AH5</f>
        <v>#NAME?</v>
      </c>
      <c r="AG4" t="s">
        <v>33</v>
      </c>
      <c r="AH4" t="e">
        <f t="array" aca="1" ref="AH4:AI5" ca="1">ARIMA_Coeff(J4:J22,0,1,0,FALSE)</f>
        <v>#NAME?</v>
      </c>
      <c r="AI4" t="e">
        <f ca="1"/>
        <v>#NAME?</v>
      </c>
      <c r="AJ4" t="e">
        <f ca="1">AH4/AI4</f>
        <v>#NAME?</v>
      </c>
      <c r="AK4" t="e">
        <f ca="1">_xlfn.T.DIST.2T(ABS(AJ4),AA$17-AA$9-AA$10-1)</f>
        <v>#NAME?</v>
      </c>
      <c r="AM4">
        <f>U4</f>
        <v>0</v>
      </c>
      <c r="AN4">
        <f>V4</f>
        <v>0</v>
      </c>
      <c r="AO4">
        <f>W4</f>
        <v>0</v>
      </c>
      <c r="AU4">
        <v>1</v>
      </c>
      <c r="AV4" t="e">
        <f ca="1">J4</f>
        <v>#NAME?</v>
      </c>
    </row>
    <row r="5" spans="1:48" x14ac:dyDescent="0.35">
      <c r="A5">
        <f t="shared" ref="A5:A23" si="0">A4+1</f>
        <v>2</v>
      </c>
      <c r="B5" s="6">
        <v>2</v>
      </c>
      <c r="C5" s="7">
        <v>11.895</v>
      </c>
      <c r="D5">
        <v>6.5100100000000003</v>
      </c>
      <c r="F5">
        <f>F4+1</f>
        <v>2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L5" t="s">
        <v>34</v>
      </c>
      <c r="M5" t="e">
        <f ca="1">N12/N14</f>
        <v>#NAME?</v>
      </c>
      <c r="O5" t="s">
        <v>35</v>
      </c>
      <c r="P5" t="e">
        <f ca="1">P4+2*(M12+2)*(M12+3)/(M8-M12-3)</f>
        <v>#NAME?</v>
      </c>
      <c r="U5" s="9">
        <f>U4+1</f>
        <v>1</v>
      </c>
      <c r="V5" t="e">
        <f ca="1">J4</f>
        <v>#NAME?</v>
      </c>
      <c r="W5" t="e">
        <f ca="1">V5-SUMPRODUCT(W4,AA$4)</f>
        <v>#NAME?</v>
      </c>
      <c r="Y5" s="10" t="s">
        <v>33</v>
      </c>
      <c r="Z5" s="8" t="e">
        <f ca="1">AH4</f>
        <v>#NAME?</v>
      </c>
      <c r="AA5" s="8" t="e">
        <f ca="1">Z5</f>
        <v>#NAME?</v>
      </c>
      <c r="AC5" t="s">
        <v>36</v>
      </c>
      <c r="AG5" s="8" t="s">
        <v>37</v>
      </c>
      <c r="AH5" s="8" t="e">
        <f ca="1"/>
        <v>#NAME?</v>
      </c>
      <c r="AI5" s="8" t="e">
        <f ca="1"/>
        <v>#NAME?</v>
      </c>
      <c r="AJ5" s="8" t="e">
        <f ca="1">AH5/AI5</f>
        <v>#NAME?</v>
      </c>
      <c r="AK5" s="8" t="e">
        <f ca="1">_xlfn.T.DIST.2T(ABS(AJ5),AA$17-AA$9-AA$10-1)</f>
        <v>#NAME?</v>
      </c>
      <c r="AM5">
        <f t="shared" ref="AM5:AO23" si="1">U5</f>
        <v>1</v>
      </c>
      <c r="AN5" t="e">
        <f t="shared" ca="1" si="1"/>
        <v>#NAME?</v>
      </c>
      <c r="AO5" t="e">
        <f t="shared" ca="1" si="1"/>
        <v>#NAME?</v>
      </c>
      <c r="AP5" t="e">
        <f ca="1">AN5-AO5</f>
        <v>#NAME?</v>
      </c>
      <c r="AQ5" t="e">
        <f ca="1">AA$14</f>
        <v>#NAME?</v>
      </c>
      <c r="AR5" t="e">
        <f ca="1">AP5-_xlfn.NORM.S.INV(1-AQ$2/2)*AQ5</f>
        <v>#NAME?</v>
      </c>
      <c r="AS5" t="e">
        <f ca="1">AP5+_xlfn.NORM.S.INV(1-AQ$2/2)*AQ5</f>
        <v>#NAME?</v>
      </c>
      <c r="AU5">
        <f>AU4+1</f>
        <v>2</v>
      </c>
      <c r="AV5" t="e">
        <f ca="1">J5</f>
        <v>#NAME?</v>
      </c>
    </row>
    <row r="6" spans="1:48" ht="15" thickBot="1" x14ac:dyDescent="0.4">
      <c r="A6">
        <f t="shared" si="0"/>
        <v>3</v>
      </c>
      <c r="B6" s="6">
        <v>3.5</v>
      </c>
      <c r="C6" s="7">
        <v>12.685</v>
      </c>
      <c r="D6">
        <f>4.90676859838178-0.5</f>
        <v>4.4067685983817801</v>
      </c>
      <c r="F6">
        <f t="shared" ref="F6:F22" si="2">F5+1</f>
        <v>3</v>
      </c>
      <c r="G6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L6" t="s">
        <v>38</v>
      </c>
      <c r="M6" t="e">
        <f ca="1">1-(1-M5)*(M8-1)/(M8-M12-1)</f>
        <v>#NAME?</v>
      </c>
      <c r="O6" s="8" t="s">
        <v>39</v>
      </c>
      <c r="P6" s="8" t="e">
        <f ca="1">M8*LN(N13/M8)+(M12+1)*LN(M8)</f>
        <v>#NAME?</v>
      </c>
      <c r="U6" s="9">
        <f t="shared" ref="U6:U23" si="3">U5+1</f>
        <v>2</v>
      </c>
      <c r="V6" t="e">
        <f t="shared" ref="V6:V23" ca="1" si="4">J5</f>
        <v>#NAME?</v>
      </c>
      <c r="W6" t="e">
        <f t="shared" ref="W6:W23" ca="1" si="5">V6-SUMPRODUCT(W5,AA$4)</f>
        <v>#NAME?</v>
      </c>
      <c r="AM6">
        <f t="shared" si="1"/>
        <v>2</v>
      </c>
      <c r="AN6" t="e">
        <f t="shared" ca="1" si="1"/>
        <v>#NAME?</v>
      </c>
      <c r="AO6" t="e">
        <f t="shared" ca="1" si="1"/>
        <v>#NAME?</v>
      </c>
      <c r="AP6" t="e">
        <f t="shared" ref="AP6:AP23" ca="1" si="6">AN6-AO6</f>
        <v>#NAME?</v>
      </c>
      <c r="AQ6" t="e">
        <f t="shared" ref="AQ6:AQ23" ca="1" si="7">AA$14</f>
        <v>#NAME?</v>
      </c>
      <c r="AR6" t="e">
        <f t="shared" ref="AR6:AR23" ca="1" si="8">AP6-_xlfn.NORM.S.INV(1-AQ$2/2)*AQ6</f>
        <v>#NAME?</v>
      </c>
      <c r="AS6" t="e">
        <f t="shared" ref="AS6:AS23" ca="1" si="9">AP6+_xlfn.NORM.S.INV(1-AQ$2/2)*AQ6</f>
        <v>#NAME?</v>
      </c>
      <c r="AU6">
        <f t="shared" ref="AU6:AU25" si="10">AU5+1</f>
        <v>3</v>
      </c>
      <c r="AV6" t="e">
        <f t="shared" ref="AV6:AV22" ca="1" si="11">J6</f>
        <v>#NAME?</v>
      </c>
    </row>
    <row r="7" spans="1:48" ht="15" thickTop="1" x14ac:dyDescent="0.35">
      <c r="A7">
        <f t="shared" si="0"/>
        <v>4</v>
      </c>
      <c r="B7" s="6">
        <v>3.5</v>
      </c>
      <c r="C7" s="7">
        <v>13.58</v>
      </c>
      <c r="D7">
        <f>6.11947448226024+0.0001</f>
        <v>6.1195744822602398</v>
      </c>
      <c r="F7">
        <f t="shared" si="2"/>
        <v>4</v>
      </c>
      <c r="G7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L7" t="s">
        <v>40</v>
      </c>
      <c r="M7" t="e">
        <f ca="1">SQRT(O13)</f>
        <v>#NAME?</v>
      </c>
      <c r="U7" s="9">
        <f t="shared" si="3"/>
        <v>3</v>
      </c>
      <c r="V7" t="e">
        <f t="shared" ca="1" si="4"/>
        <v>#NAME?</v>
      </c>
      <c r="W7" t="e">
        <f t="shared" ca="1" si="5"/>
        <v>#NAME?</v>
      </c>
      <c r="Z7" t="s">
        <v>41</v>
      </c>
      <c r="AA7" s="11" t="e">
        <f ca="1">SUMSQ(W5:W23)</f>
        <v>#NAME?</v>
      </c>
      <c r="AC7" s="4" t="s">
        <v>19</v>
      </c>
      <c r="AD7" s="4" t="s">
        <v>20</v>
      </c>
      <c r="AE7" s="4" t="s">
        <v>21</v>
      </c>
      <c r="AM7">
        <f t="shared" si="1"/>
        <v>3</v>
      </c>
      <c r="AN7" t="e">
        <f t="shared" ca="1" si="1"/>
        <v>#NAME?</v>
      </c>
      <c r="AO7" t="e">
        <f t="shared" ca="1" si="1"/>
        <v>#NAME?</v>
      </c>
      <c r="AP7" t="e">
        <f t="shared" ca="1" si="6"/>
        <v>#NAME?</v>
      </c>
      <c r="AQ7" t="e">
        <f t="shared" ca="1" si="7"/>
        <v>#NAME?</v>
      </c>
      <c r="AR7" t="e">
        <f t="shared" ca="1" si="8"/>
        <v>#NAME?</v>
      </c>
      <c r="AS7" t="e">
        <f t="shared" ca="1" si="9"/>
        <v>#NAME?</v>
      </c>
      <c r="AU7">
        <f t="shared" si="10"/>
        <v>4</v>
      </c>
      <c r="AV7" t="e">
        <f t="shared" ca="1" si="11"/>
        <v>#NAME?</v>
      </c>
    </row>
    <row r="8" spans="1:48" x14ac:dyDescent="0.35">
      <c r="A8">
        <f t="shared" si="0"/>
        <v>5</v>
      </c>
      <c r="B8" s="6">
        <v>3</v>
      </c>
      <c r="C8" s="7">
        <v>14.895</v>
      </c>
      <c r="D8">
        <v>8.1353263117657075</v>
      </c>
      <c r="F8">
        <f t="shared" si="2"/>
        <v>5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L8" s="8" t="s">
        <v>42</v>
      </c>
      <c r="M8" s="8">
        <f ca="1">COUNT(I4:I22)</f>
        <v>0</v>
      </c>
      <c r="U8" s="9">
        <f t="shared" si="3"/>
        <v>4</v>
      </c>
      <c r="V8" t="e">
        <f t="shared" ca="1" si="4"/>
        <v>#NAME?</v>
      </c>
      <c r="W8" t="e">
        <f t="shared" ca="1" si="5"/>
        <v>#NAME?</v>
      </c>
      <c r="AC8" s="12" t="e">
        <f t="array" aca="1" ref="AC8:AE8" ca="1">MARoots(AA4)</f>
        <v>#NAME?</v>
      </c>
      <c r="AD8" s="12" t="e">
        <f ca="1"/>
        <v>#NAME?</v>
      </c>
      <c r="AE8" s="12" t="e">
        <f ca="1"/>
        <v>#NAME?</v>
      </c>
      <c r="AM8">
        <f t="shared" si="1"/>
        <v>4</v>
      </c>
      <c r="AN8" t="e">
        <f t="shared" ca="1" si="1"/>
        <v>#NAME?</v>
      </c>
      <c r="AO8" t="e">
        <f t="shared" ca="1" si="1"/>
        <v>#NAME?</v>
      </c>
      <c r="AP8" t="e">
        <f t="shared" ca="1" si="6"/>
        <v>#NAME?</v>
      </c>
      <c r="AQ8" t="e">
        <f t="shared" ca="1" si="7"/>
        <v>#NAME?</v>
      </c>
      <c r="AR8" t="e">
        <f t="shared" ca="1" si="8"/>
        <v>#NAME?</v>
      </c>
      <c r="AS8" t="e">
        <f t="shared" ca="1" si="9"/>
        <v>#NAME?</v>
      </c>
      <c r="AU8">
        <f t="shared" si="10"/>
        <v>5</v>
      </c>
      <c r="AV8" t="e">
        <f t="shared" ca="1" si="11"/>
        <v>#NAME?</v>
      </c>
    </row>
    <row r="9" spans="1:48" x14ac:dyDescent="0.35">
      <c r="A9">
        <f t="shared" si="0"/>
        <v>6</v>
      </c>
      <c r="B9" s="6">
        <v>4.5</v>
      </c>
      <c r="C9" s="7">
        <v>15.7</v>
      </c>
      <c r="D9">
        <v>9.3448674266459744</v>
      </c>
      <c r="F9">
        <f t="shared" si="2"/>
        <v>6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U9" s="9">
        <f t="shared" si="3"/>
        <v>5</v>
      </c>
      <c r="V9" t="e">
        <f t="shared" ca="1" si="4"/>
        <v>#NAME?</v>
      </c>
      <c r="W9" t="e">
        <f t="shared" ca="1" si="5"/>
        <v>#NAME?</v>
      </c>
      <c r="Z9" t="s">
        <v>43</v>
      </c>
      <c r="AA9" s="13">
        <v>0</v>
      </c>
      <c r="AM9">
        <f t="shared" si="1"/>
        <v>5</v>
      </c>
      <c r="AN9" t="e">
        <f t="shared" ca="1" si="1"/>
        <v>#NAME?</v>
      </c>
      <c r="AO9" t="e">
        <f t="shared" ca="1" si="1"/>
        <v>#NAME?</v>
      </c>
      <c r="AP9" t="e">
        <f t="shared" ca="1" si="6"/>
        <v>#NAME?</v>
      </c>
      <c r="AQ9" t="e">
        <f t="shared" ca="1" si="7"/>
        <v>#NAME?</v>
      </c>
      <c r="AR9" t="e">
        <f t="shared" ca="1" si="8"/>
        <v>#NAME?</v>
      </c>
      <c r="AS9" t="e">
        <f t="shared" ca="1" si="9"/>
        <v>#NAME?</v>
      </c>
      <c r="AU9">
        <f t="shared" si="10"/>
        <v>6</v>
      </c>
      <c r="AV9" t="e">
        <f t="shared" ca="1" si="11"/>
        <v>#NAME?</v>
      </c>
    </row>
    <row r="10" spans="1:48" ht="15" thickBot="1" x14ac:dyDescent="0.4">
      <c r="A10">
        <f t="shared" si="0"/>
        <v>7</v>
      </c>
      <c r="B10" s="6">
        <v>5</v>
      </c>
      <c r="C10" s="7">
        <v>16.79</v>
      </c>
      <c r="D10">
        <v>9.1476506838871607</v>
      </c>
      <c r="F10">
        <f t="shared" si="2"/>
        <v>7</v>
      </c>
      <c r="G10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L10" t="s">
        <v>44</v>
      </c>
      <c r="P10" s="9" t="s">
        <v>8</v>
      </c>
      <c r="Q10" s="9">
        <v>0.05</v>
      </c>
      <c r="U10" s="9">
        <f t="shared" si="3"/>
        <v>6</v>
      </c>
      <c r="V10" t="e">
        <f t="shared" ca="1" si="4"/>
        <v>#NAME?</v>
      </c>
      <c r="W10" t="e">
        <f t="shared" ca="1" si="5"/>
        <v>#NAME?</v>
      </c>
      <c r="Z10" t="s">
        <v>45</v>
      </c>
      <c r="AA10" s="14">
        <v>1</v>
      </c>
      <c r="AC10" t="s">
        <v>46</v>
      </c>
      <c r="AM10">
        <f t="shared" si="1"/>
        <v>6</v>
      </c>
      <c r="AN10" t="e">
        <f t="shared" ca="1" si="1"/>
        <v>#NAME?</v>
      </c>
      <c r="AO10" t="e">
        <f t="shared" ca="1" si="1"/>
        <v>#NAME?</v>
      </c>
      <c r="AP10" t="e">
        <f t="shared" ca="1" si="6"/>
        <v>#NAME?</v>
      </c>
      <c r="AQ10" t="e">
        <f t="shared" ca="1" si="7"/>
        <v>#NAME?</v>
      </c>
      <c r="AR10" t="e">
        <f t="shared" ca="1" si="8"/>
        <v>#NAME?</v>
      </c>
      <c r="AS10" t="e">
        <f t="shared" ca="1" si="9"/>
        <v>#NAME?</v>
      </c>
      <c r="AU10">
        <f t="shared" si="10"/>
        <v>7</v>
      </c>
      <c r="AV10" t="e">
        <f t="shared" ca="1" si="11"/>
        <v>#NAME?</v>
      </c>
    </row>
    <row r="11" spans="1:48" ht="15.5" thickTop="1" thickBot="1" x14ac:dyDescent="0.4">
      <c r="A11">
        <f t="shared" si="0"/>
        <v>8</v>
      </c>
      <c r="B11" s="6">
        <v>4.5</v>
      </c>
      <c r="C11" s="7">
        <v>17.475000000000001</v>
      </c>
      <c r="D11">
        <f>8.10149328130298</f>
        <v>8.1014932813029805</v>
      </c>
      <c r="F11">
        <f t="shared" si="2"/>
        <v>8</v>
      </c>
      <c r="G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L11" s="4"/>
      <c r="M11" s="4" t="s">
        <v>47</v>
      </c>
      <c r="N11" s="4" t="s">
        <v>48</v>
      </c>
      <c r="O11" s="4" t="s">
        <v>49</v>
      </c>
      <c r="P11" s="4" t="s">
        <v>50</v>
      </c>
      <c r="Q11" s="4" t="s">
        <v>26</v>
      </c>
      <c r="R11" s="4" t="s">
        <v>51</v>
      </c>
      <c r="U11" s="9">
        <f t="shared" si="3"/>
        <v>7</v>
      </c>
      <c r="V11" t="e">
        <f t="shared" ca="1" si="4"/>
        <v>#NAME?</v>
      </c>
      <c r="W11" t="e">
        <f t="shared" ca="1" si="5"/>
        <v>#NAME?</v>
      </c>
      <c r="Z11" t="s">
        <v>52</v>
      </c>
      <c r="AA11" s="14">
        <v>0</v>
      </c>
      <c r="AM11">
        <f t="shared" si="1"/>
        <v>7</v>
      </c>
      <c r="AN11" t="e">
        <f t="shared" ca="1" si="1"/>
        <v>#NAME?</v>
      </c>
      <c r="AO11" t="e">
        <f t="shared" ca="1" si="1"/>
        <v>#NAME?</v>
      </c>
      <c r="AP11" t="e">
        <f t="shared" ca="1" si="6"/>
        <v>#NAME?</v>
      </c>
      <c r="AQ11" t="e">
        <f t="shared" ca="1" si="7"/>
        <v>#NAME?</v>
      </c>
      <c r="AR11" t="e">
        <f t="shared" ca="1" si="8"/>
        <v>#NAME?</v>
      </c>
      <c r="AS11" t="e">
        <f t="shared" ca="1" si="9"/>
        <v>#NAME?</v>
      </c>
      <c r="AU11">
        <f t="shared" si="10"/>
        <v>8</v>
      </c>
      <c r="AV11" t="e">
        <f t="shared" ca="1" si="11"/>
        <v>#NAME?</v>
      </c>
    </row>
    <row r="12" spans="1:48" ht="15" thickTop="1" x14ac:dyDescent="0.35">
      <c r="A12">
        <f t="shared" si="0"/>
        <v>9</v>
      </c>
      <c r="B12" s="6">
        <v>8</v>
      </c>
      <c r="C12" s="7">
        <v>18.475000000000001</v>
      </c>
      <c r="D12">
        <v>10.146419029172929</v>
      </c>
      <c r="F12">
        <f t="shared" si="2"/>
        <v>9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L12" t="s">
        <v>53</v>
      </c>
      <c r="M12">
        <f ca="1">COUNT(G4:H4)</f>
        <v>0</v>
      </c>
      <c r="N12" t="e">
        <f ca="1">DEVSQ(MMULT(DEsign(G4:H22),M17:M19))</f>
        <v>#NAME?</v>
      </c>
      <c r="O12" t="e">
        <f ca="1">N12/M12</f>
        <v>#NAME?</v>
      </c>
      <c r="P12" t="e">
        <f ca="1">O12/O13</f>
        <v>#NAME?</v>
      </c>
      <c r="Q12" t="e">
        <f ca="1">_xlfn.F.DIST.RT(P12,M12,M13)</f>
        <v>#NAME?</v>
      </c>
      <c r="R12" s="9" t="e">
        <f ca="1">IF(Q12&lt;Q10,"yes","no")</f>
        <v>#NAME?</v>
      </c>
      <c r="U12" s="9">
        <f t="shared" si="3"/>
        <v>8</v>
      </c>
      <c r="V12" t="e">
        <f t="shared" ca="1" si="4"/>
        <v>#NAME?</v>
      </c>
      <c r="W12" t="e">
        <f t="shared" ca="1" si="5"/>
        <v>#NAME?</v>
      </c>
      <c r="Z12" t="s">
        <v>54</v>
      </c>
      <c r="AA12" s="14" t="e">
        <f ca="1">AVERAGE(W5:W23)</f>
        <v>#NAME?</v>
      </c>
      <c r="AC12" s="4" t="s">
        <v>16</v>
      </c>
      <c r="AD12" s="4" t="s">
        <v>55</v>
      </c>
      <c r="AM12">
        <f t="shared" si="1"/>
        <v>8</v>
      </c>
      <c r="AN12" t="e">
        <f t="shared" ca="1" si="1"/>
        <v>#NAME?</v>
      </c>
      <c r="AO12" t="e">
        <f t="shared" ca="1" si="1"/>
        <v>#NAME?</v>
      </c>
      <c r="AP12" t="e">
        <f t="shared" ca="1" si="6"/>
        <v>#NAME?</v>
      </c>
      <c r="AQ12" t="e">
        <f t="shared" ca="1" si="7"/>
        <v>#NAME?</v>
      </c>
      <c r="AR12" t="e">
        <f t="shared" ca="1" si="8"/>
        <v>#NAME?</v>
      </c>
      <c r="AS12" t="e">
        <f t="shared" ca="1" si="9"/>
        <v>#NAME?</v>
      </c>
      <c r="AU12">
        <f t="shared" si="10"/>
        <v>9</v>
      </c>
      <c r="AV12" t="e">
        <f t="shared" ca="1" si="11"/>
        <v>#NAME?</v>
      </c>
    </row>
    <row r="13" spans="1:48" x14ac:dyDescent="0.35">
      <c r="A13">
        <f t="shared" si="0"/>
        <v>10</v>
      </c>
      <c r="B13" s="6">
        <v>11</v>
      </c>
      <c r="C13" s="7">
        <v>19.579999999999998</v>
      </c>
      <c r="D13">
        <v>11.045196349004179</v>
      </c>
      <c r="F13">
        <f t="shared" si="2"/>
        <v>10</v>
      </c>
      <c r="G13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L13" t="s">
        <v>56</v>
      </c>
      <c r="M13">
        <f ca="1">M14-M12</f>
        <v>-1</v>
      </c>
      <c r="N13" t="e">
        <f ca="1">N14-N12</f>
        <v>#NAME?</v>
      </c>
      <c r="O13" t="e">
        <f ca="1">N13/M13</f>
        <v>#NAME?</v>
      </c>
      <c r="U13" s="9">
        <f t="shared" si="3"/>
        <v>9</v>
      </c>
      <c r="V13" t="e">
        <f t="shared" ca="1" si="4"/>
        <v>#NAME?</v>
      </c>
      <c r="W13" t="e">
        <f t="shared" ca="1" si="5"/>
        <v>#NAME?</v>
      </c>
      <c r="Z13" t="s">
        <v>57</v>
      </c>
      <c r="AA13" s="14" t="e">
        <f ca="1">_xlfn.STDEV.S(W5:W23)</f>
        <v>#NAME?</v>
      </c>
      <c r="AC13" s="15">
        <v>0</v>
      </c>
      <c r="AD13" s="15" t="e">
        <f t="array" aca="1" ref="AD13:AD15" ca="1">PSICoeff(,AA4)</f>
        <v>#NAME?</v>
      </c>
      <c r="AM13">
        <f t="shared" si="1"/>
        <v>9</v>
      </c>
      <c r="AN13" t="e">
        <f t="shared" ca="1" si="1"/>
        <v>#NAME?</v>
      </c>
      <c r="AO13" t="e">
        <f t="shared" ca="1" si="1"/>
        <v>#NAME?</v>
      </c>
      <c r="AP13" t="e">
        <f t="shared" ca="1" si="6"/>
        <v>#NAME?</v>
      </c>
      <c r="AQ13" t="e">
        <f t="shared" ca="1" si="7"/>
        <v>#NAME?</v>
      </c>
      <c r="AR13" t="e">
        <f t="shared" ca="1" si="8"/>
        <v>#NAME?</v>
      </c>
      <c r="AS13" t="e">
        <f t="shared" ca="1" si="9"/>
        <v>#NAME?</v>
      </c>
      <c r="AU13">
        <f t="shared" si="10"/>
        <v>10</v>
      </c>
      <c r="AV13" t="e">
        <f t="shared" ca="1" si="11"/>
        <v>#NAME?</v>
      </c>
    </row>
    <row r="14" spans="1:48" x14ac:dyDescent="0.35">
      <c r="A14">
        <f t="shared" si="0"/>
        <v>11</v>
      </c>
      <c r="B14" s="6">
        <v>7</v>
      </c>
      <c r="C14" s="7">
        <v>20.475000000000001</v>
      </c>
      <c r="D14">
        <f>10.122578080183-0.0001</f>
        <v>10.122478080183001</v>
      </c>
      <c r="F14">
        <f t="shared" si="2"/>
        <v>11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L14" s="8" t="s">
        <v>58</v>
      </c>
      <c r="M14" s="8">
        <f ca="1">M8-1</f>
        <v>-1</v>
      </c>
      <c r="N14" s="8" t="e">
        <f ca="1">DEVSQ(I4:I22)</f>
        <v>#NAME?</v>
      </c>
      <c r="O14" s="8"/>
      <c r="P14" s="8"/>
      <c r="Q14" s="8"/>
      <c r="R14" s="8"/>
      <c r="U14" s="9">
        <f t="shared" si="3"/>
        <v>10</v>
      </c>
      <c r="V14" t="e">
        <f t="shared" ca="1" si="4"/>
        <v>#NAME?</v>
      </c>
      <c r="W14" t="e">
        <f t="shared" ca="1" si="5"/>
        <v>#NAME?</v>
      </c>
      <c r="Z14" t="s">
        <v>59</v>
      </c>
      <c r="AA14" s="14" t="e">
        <f ca="1">SQRT(AA7/AA17)</f>
        <v>#NAME?</v>
      </c>
      <c r="AC14">
        <f>AC13+1</f>
        <v>1</v>
      </c>
      <c r="AD14" t="e">
        <f ca="1"/>
        <v>#NAME?</v>
      </c>
      <c r="AM14">
        <f t="shared" si="1"/>
        <v>10</v>
      </c>
      <c r="AN14" t="e">
        <f t="shared" ca="1" si="1"/>
        <v>#NAME?</v>
      </c>
      <c r="AO14" t="e">
        <f t="shared" ca="1" si="1"/>
        <v>#NAME?</v>
      </c>
      <c r="AP14" t="e">
        <f t="shared" ca="1" si="6"/>
        <v>#NAME?</v>
      </c>
      <c r="AQ14" t="e">
        <f t="shared" ca="1" si="7"/>
        <v>#NAME?</v>
      </c>
      <c r="AR14" t="e">
        <f t="shared" ca="1" si="8"/>
        <v>#NAME?</v>
      </c>
      <c r="AS14" t="e">
        <f t="shared" ca="1" si="9"/>
        <v>#NAME?</v>
      </c>
      <c r="AU14">
        <f t="shared" si="10"/>
        <v>11</v>
      </c>
      <c r="AV14" t="e">
        <f t="shared" ca="1" si="11"/>
        <v>#NAME?</v>
      </c>
    </row>
    <row r="15" spans="1:48" ht="15" thickBot="1" x14ac:dyDescent="0.4">
      <c r="A15">
        <f t="shared" si="0"/>
        <v>12</v>
      </c>
      <c r="B15" s="6">
        <v>6.5</v>
      </c>
      <c r="C15" s="7">
        <v>21.37</v>
      </c>
      <c r="D15">
        <f>10.173602244452-0.2</f>
        <v>9.9736022444520014</v>
      </c>
      <c r="F15">
        <f t="shared" si="2"/>
        <v>12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U15" s="9">
        <f t="shared" si="3"/>
        <v>11</v>
      </c>
      <c r="V15" t="e">
        <f t="shared" ca="1" si="4"/>
        <v>#NAME?</v>
      </c>
      <c r="W15" t="e">
        <f t="shared" ca="1" si="5"/>
        <v>#NAME?</v>
      </c>
      <c r="Z15" t="s">
        <v>60</v>
      </c>
      <c r="AA15" s="14" t="e">
        <f ca="1">AVERAGE(V5:V23)</f>
        <v>#NAME?</v>
      </c>
      <c r="AC15" s="8">
        <f>AC14+1</f>
        <v>2</v>
      </c>
      <c r="AD15" s="8" t="e">
        <f ca="1"/>
        <v>#NAME?</v>
      </c>
      <c r="AM15">
        <f t="shared" si="1"/>
        <v>11</v>
      </c>
      <c r="AN15" t="e">
        <f t="shared" ca="1" si="1"/>
        <v>#NAME?</v>
      </c>
      <c r="AO15" t="e">
        <f t="shared" ca="1" si="1"/>
        <v>#NAME?</v>
      </c>
      <c r="AP15" t="e">
        <f t="shared" ca="1" si="6"/>
        <v>#NAME?</v>
      </c>
      <c r="AQ15" t="e">
        <f t="shared" ca="1" si="7"/>
        <v>#NAME?</v>
      </c>
      <c r="AR15" t="e">
        <f t="shared" ca="1" si="8"/>
        <v>#NAME?</v>
      </c>
      <c r="AS15" t="e">
        <f t="shared" ca="1" si="9"/>
        <v>#NAME?</v>
      </c>
      <c r="AU15">
        <f t="shared" si="10"/>
        <v>12</v>
      </c>
      <c r="AV15" t="e">
        <f t="shared" ca="1" si="11"/>
        <v>#NAME?</v>
      </c>
    </row>
    <row r="16" spans="1:48" ht="15" thickTop="1" x14ac:dyDescent="0.35">
      <c r="A16">
        <f t="shared" si="0"/>
        <v>13</v>
      </c>
      <c r="B16" s="6">
        <v>8.5</v>
      </c>
      <c r="C16" s="7">
        <v>22.79</v>
      </c>
      <c r="D16">
        <f>10.8213098008928-0.2</f>
        <v>10.621309800892801</v>
      </c>
      <c r="F16">
        <f t="shared" si="2"/>
        <v>13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L16" s="4"/>
      <c r="M16" s="4" t="s">
        <v>23</v>
      </c>
      <c r="N16" s="4" t="s">
        <v>61</v>
      </c>
      <c r="O16" s="4" t="s">
        <v>62</v>
      </c>
      <c r="P16" s="4" t="s">
        <v>26</v>
      </c>
      <c r="Q16" s="4" t="s">
        <v>28</v>
      </c>
      <c r="R16" s="4" t="s">
        <v>29</v>
      </c>
      <c r="S16" s="4" t="s">
        <v>63</v>
      </c>
      <c r="U16" s="9">
        <f t="shared" si="3"/>
        <v>12</v>
      </c>
      <c r="V16" t="e">
        <f t="shared" ca="1" si="4"/>
        <v>#NAME?</v>
      </c>
      <c r="W16" t="e">
        <f t="shared" ca="1" si="5"/>
        <v>#NAME?</v>
      </c>
      <c r="Z16" t="s">
        <v>64</v>
      </c>
      <c r="AA16" s="14" t="e">
        <f ca="1">_xlfn.STDEV.S(V5:V23)</f>
        <v>#NAME?</v>
      </c>
      <c r="AM16">
        <f t="shared" si="1"/>
        <v>12</v>
      </c>
      <c r="AN16" t="e">
        <f t="shared" ca="1" si="1"/>
        <v>#NAME?</v>
      </c>
      <c r="AO16" t="e">
        <f t="shared" ca="1" si="1"/>
        <v>#NAME?</v>
      </c>
      <c r="AP16" t="e">
        <f t="shared" ca="1" si="6"/>
        <v>#NAME?</v>
      </c>
      <c r="AQ16" t="e">
        <f t="shared" ca="1" si="7"/>
        <v>#NAME?</v>
      </c>
      <c r="AR16" t="e">
        <f t="shared" ca="1" si="8"/>
        <v>#NAME?</v>
      </c>
      <c r="AS16" t="e">
        <f t="shared" ca="1" si="9"/>
        <v>#NAME?</v>
      </c>
      <c r="AU16">
        <f t="shared" si="10"/>
        <v>13</v>
      </c>
      <c r="AV16" t="e">
        <f t="shared" ca="1" si="11"/>
        <v>#NAME?</v>
      </c>
    </row>
    <row r="17" spans="1:48" x14ac:dyDescent="0.35">
      <c r="A17">
        <f t="shared" si="0"/>
        <v>14</v>
      </c>
      <c r="B17" s="6">
        <v>9.5</v>
      </c>
      <c r="C17" s="7">
        <v>23.475000000000001</v>
      </c>
      <c r="D17">
        <v>10.084063249573957</v>
      </c>
      <c r="F17">
        <f t="shared" si="2"/>
        <v>14</v>
      </c>
      <c r="G17" t="e">
        <f ca="1"/>
        <v>#NAME?</v>
      </c>
      <c r="H17" t="e">
        <f ca="1"/>
        <v>#NAME?</v>
      </c>
      <c r="I17" t="e">
        <f ca="1"/>
        <v>#NAME?</v>
      </c>
      <c r="J17" t="e">
        <f ca="1"/>
        <v>#NAME?</v>
      </c>
      <c r="L17" t="s">
        <v>65</v>
      </c>
      <c r="M17" t="e">
        <f t="array" aca="1" ref="M17:N19" ca="1">RegCoeff(G4:H22,I4:I22)</f>
        <v>#NAME?</v>
      </c>
      <c r="N17" t="e">
        <f ca="1"/>
        <v>#NAME?</v>
      </c>
      <c r="O17" t="e">
        <f ca="1">M17/N17</f>
        <v>#NAME?</v>
      </c>
      <c r="P17" t="e">
        <f ca="1">_xlfn.T.DIST.2T(ABS(O17),$M$13)</f>
        <v>#NAME?</v>
      </c>
      <c r="Q17" t="e">
        <f ca="1">M17-_xlfn.T.INV.2T(Q$10,$M$13)*N17</f>
        <v>#NAME?</v>
      </c>
      <c r="R17" t="e">
        <f ca="1">M17+_xlfn.T.INV.2T(Q$10,$M$13)*N17</f>
        <v>#NAME?</v>
      </c>
      <c r="U17" s="9">
        <f t="shared" si="3"/>
        <v>13</v>
      </c>
      <c r="V17" t="e">
        <f t="shared" ca="1" si="4"/>
        <v>#NAME?</v>
      </c>
      <c r="W17" t="e">
        <f t="shared" ca="1" si="5"/>
        <v>#NAME?</v>
      </c>
      <c r="Z17" t="s">
        <v>66</v>
      </c>
      <c r="AA17" s="16">
        <f ca="1">COUNT(V5:V23)</f>
        <v>0</v>
      </c>
      <c r="AM17">
        <f t="shared" si="1"/>
        <v>13</v>
      </c>
      <c r="AN17" t="e">
        <f t="shared" ca="1" si="1"/>
        <v>#NAME?</v>
      </c>
      <c r="AO17" t="e">
        <f t="shared" ca="1" si="1"/>
        <v>#NAME?</v>
      </c>
      <c r="AP17" t="e">
        <f t="shared" ca="1" si="6"/>
        <v>#NAME?</v>
      </c>
      <c r="AQ17" t="e">
        <f t="shared" ca="1" si="7"/>
        <v>#NAME?</v>
      </c>
      <c r="AR17" t="e">
        <f t="shared" ca="1" si="8"/>
        <v>#NAME?</v>
      </c>
      <c r="AS17" t="e">
        <f t="shared" ca="1" si="9"/>
        <v>#NAME?</v>
      </c>
      <c r="AU17">
        <f t="shared" si="10"/>
        <v>14</v>
      </c>
      <c r="AV17" t="e">
        <f t="shared" ca="1" si="11"/>
        <v>#NAME?</v>
      </c>
    </row>
    <row r="18" spans="1:48" x14ac:dyDescent="0.35">
      <c r="A18">
        <f t="shared" si="0"/>
        <v>15</v>
      </c>
      <c r="B18" s="6">
        <v>15</v>
      </c>
      <c r="C18" s="7">
        <v>23.844999999999999</v>
      </c>
      <c r="D18">
        <v>10.346054055555477</v>
      </c>
      <c r="F18">
        <f t="shared" si="2"/>
        <v>15</v>
      </c>
      <c r="G18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L18" t="str">
        <f t="array" ref="L18:L19">TRANSPOSE(G3:H3)</f>
        <v>X1</v>
      </c>
      <c r="M18" t="e">
        <f ca="1"/>
        <v>#NAME?</v>
      </c>
      <c r="N18" t="e">
        <f ca="1"/>
        <v>#NAME?</v>
      </c>
      <c r="O18" t="e">
        <f t="shared" ref="O18:O19" ca="1" si="12">M18/N18</f>
        <v>#NAME?</v>
      </c>
      <c r="P18" t="e">
        <f t="shared" ref="P18:P19" ca="1" si="13">_xlfn.T.DIST.2T(ABS(O18),$M$13)</f>
        <v>#NAME?</v>
      </c>
      <c r="Q18" t="e">
        <f t="shared" ref="Q18:Q19" ca="1" si="14">M18-_xlfn.T.INV.2T(Q$10,$M$13)*N18</f>
        <v>#NAME?</v>
      </c>
      <c r="R18" t="e">
        <f t="shared" ref="R18:R19" ca="1" si="15">M18+_xlfn.T.INV.2T(Q$10,$M$13)*N18</f>
        <v>#NAME?</v>
      </c>
      <c r="S18" t="e">
        <f ca="1">VIF(G4:H22,1)</f>
        <v>#NAME?</v>
      </c>
      <c r="U18" s="9">
        <f t="shared" si="3"/>
        <v>14</v>
      </c>
      <c r="V18" t="e">
        <f t="shared" ca="1" si="4"/>
        <v>#NAME?</v>
      </c>
      <c r="W18" t="e">
        <f t="shared" ca="1" si="5"/>
        <v>#NAME?</v>
      </c>
      <c r="AM18">
        <f t="shared" si="1"/>
        <v>14</v>
      </c>
      <c r="AN18" t="e">
        <f t="shared" ca="1" si="1"/>
        <v>#NAME?</v>
      </c>
      <c r="AO18" t="e">
        <f t="shared" ca="1" si="1"/>
        <v>#NAME?</v>
      </c>
      <c r="AP18" t="e">
        <f t="shared" ca="1" si="6"/>
        <v>#NAME?</v>
      </c>
      <c r="AQ18" t="e">
        <f t="shared" ca="1" si="7"/>
        <v>#NAME?</v>
      </c>
      <c r="AR18" t="e">
        <f t="shared" ca="1" si="8"/>
        <v>#NAME?</v>
      </c>
      <c r="AS18" t="e">
        <f t="shared" ca="1" si="9"/>
        <v>#NAME?</v>
      </c>
      <c r="AU18">
        <f t="shared" si="10"/>
        <v>15</v>
      </c>
      <c r="AV18" t="e">
        <f t="shared" ca="1" si="11"/>
        <v>#NAME?</v>
      </c>
    </row>
    <row r="19" spans="1:48" x14ac:dyDescent="0.35">
      <c r="A19">
        <f t="shared" si="0"/>
        <v>16</v>
      </c>
      <c r="B19" s="6">
        <v>14</v>
      </c>
      <c r="C19" s="7">
        <v>23.12</v>
      </c>
      <c r="D19">
        <f>9.69220293930259-1.8</f>
        <v>7.8922029393025896</v>
      </c>
      <c r="F19">
        <f t="shared" si="2"/>
        <v>16</v>
      </c>
      <c r="G19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L19" s="8" t="str">
        <v>X2</v>
      </c>
      <c r="M19" s="8" t="e">
        <f ca="1"/>
        <v>#NAME?</v>
      </c>
      <c r="N19" s="8" t="e">
        <f ca="1"/>
        <v>#NAME?</v>
      </c>
      <c r="O19" s="8" t="e">
        <f t="shared" ca="1" si="12"/>
        <v>#NAME?</v>
      </c>
      <c r="P19" s="8" t="e">
        <f t="shared" ca="1" si="13"/>
        <v>#NAME?</v>
      </c>
      <c r="Q19" s="8" t="e">
        <f t="shared" ca="1" si="14"/>
        <v>#NAME?</v>
      </c>
      <c r="R19" s="8" t="e">
        <f t="shared" ca="1" si="15"/>
        <v>#NAME?</v>
      </c>
      <c r="S19" s="8" t="e">
        <f ca="1">VIF(G4:H22,2)</f>
        <v>#NAME?</v>
      </c>
      <c r="U19" s="9">
        <f t="shared" si="3"/>
        <v>15</v>
      </c>
      <c r="V19" t="e">
        <f t="shared" ca="1" si="4"/>
        <v>#NAME?</v>
      </c>
      <c r="W19" t="e">
        <f t="shared" ca="1" si="5"/>
        <v>#NAME?</v>
      </c>
      <c r="Z19" t="s">
        <v>67</v>
      </c>
      <c r="AA19" s="13" t="e">
        <f ca="1">-(AA22-2*(AA9+AA10))/2</f>
        <v>#NAME?</v>
      </c>
      <c r="AM19">
        <f t="shared" si="1"/>
        <v>15</v>
      </c>
      <c r="AN19" t="e">
        <f t="shared" ca="1" si="1"/>
        <v>#NAME?</v>
      </c>
      <c r="AO19" t="e">
        <f t="shared" ca="1" si="1"/>
        <v>#NAME?</v>
      </c>
      <c r="AP19" t="e">
        <f t="shared" ca="1" si="6"/>
        <v>#NAME?</v>
      </c>
      <c r="AQ19" t="e">
        <f t="shared" ca="1" si="7"/>
        <v>#NAME?</v>
      </c>
      <c r="AR19" t="e">
        <f t="shared" ca="1" si="8"/>
        <v>#NAME?</v>
      </c>
      <c r="AS19" t="e">
        <f t="shared" ca="1" si="9"/>
        <v>#NAME?</v>
      </c>
      <c r="AU19">
        <f t="shared" si="10"/>
        <v>16</v>
      </c>
      <c r="AV19" t="e">
        <f t="shared" ca="1" si="11"/>
        <v>#NAME?</v>
      </c>
    </row>
    <row r="20" spans="1:48" x14ac:dyDescent="0.35">
      <c r="A20">
        <f t="shared" si="0"/>
        <v>17</v>
      </c>
      <c r="B20" s="6">
        <v>12</v>
      </c>
      <c r="C20" s="7">
        <v>25.32</v>
      </c>
      <c r="D20">
        <v>11.205574770625867</v>
      </c>
      <c r="F20">
        <f t="shared" si="2"/>
        <v>17</v>
      </c>
      <c r="G20" t="e">
        <f ca="1"/>
        <v>#NAME?</v>
      </c>
      <c r="H20" t="e">
        <f ca="1"/>
        <v>#NAME?</v>
      </c>
      <c r="I20" t="e">
        <f ca="1"/>
        <v>#NAME?</v>
      </c>
      <c r="J20" t="e">
        <f ca="1"/>
        <v>#NAME?</v>
      </c>
      <c r="U20" s="9">
        <f t="shared" si="3"/>
        <v>16</v>
      </c>
      <c r="V20" t="e">
        <f t="shared" ca="1" si="4"/>
        <v>#NAME?</v>
      </c>
      <c r="W20" t="e">
        <f t="shared" ca="1" si="5"/>
        <v>#NAME?</v>
      </c>
      <c r="Z20" t="s">
        <v>32</v>
      </c>
      <c r="AA20" s="14" t="e">
        <f ca="1">AA17*LN(AA7/AA17)+2*(AA9+AA10)</f>
        <v>#NAME?</v>
      </c>
      <c r="AM20">
        <f t="shared" si="1"/>
        <v>16</v>
      </c>
      <c r="AN20" t="e">
        <f t="shared" ca="1" si="1"/>
        <v>#NAME?</v>
      </c>
      <c r="AO20" t="e">
        <f t="shared" ca="1" si="1"/>
        <v>#NAME?</v>
      </c>
      <c r="AP20" t="e">
        <f t="shared" ca="1" si="6"/>
        <v>#NAME?</v>
      </c>
      <c r="AQ20" t="e">
        <f t="shared" ca="1" si="7"/>
        <v>#NAME?</v>
      </c>
      <c r="AR20" t="e">
        <f t="shared" ca="1" si="8"/>
        <v>#NAME?</v>
      </c>
      <c r="AS20" t="e">
        <f t="shared" ca="1" si="9"/>
        <v>#NAME?</v>
      </c>
      <c r="AU20">
        <f t="shared" si="10"/>
        <v>17</v>
      </c>
      <c r="AV20" t="e">
        <f t="shared" ca="1" si="11"/>
        <v>#NAME?</v>
      </c>
    </row>
    <row r="21" spans="1:48" x14ac:dyDescent="0.35">
      <c r="A21">
        <f t="shared" si="0"/>
        <v>18</v>
      </c>
      <c r="B21" s="6">
        <v>13.5</v>
      </c>
      <c r="C21" s="7">
        <v>27.895</v>
      </c>
      <c r="D21">
        <f>12.6521164165148-0.2</f>
        <v>12.452116416514802</v>
      </c>
      <c r="F21">
        <f t="shared" si="2"/>
        <v>18</v>
      </c>
      <c r="G21" t="e">
        <f ca="1"/>
        <v>#NAME?</v>
      </c>
      <c r="H21" t="e">
        <f ca="1"/>
        <v>#NAME?</v>
      </c>
      <c r="I21" t="e">
        <f ca="1"/>
        <v>#NAME?</v>
      </c>
      <c r="J21" t="e">
        <f ca="1"/>
        <v>#NAME?</v>
      </c>
      <c r="U21" s="9">
        <f t="shared" si="3"/>
        <v>17</v>
      </c>
      <c r="V21" t="e">
        <f t="shared" ca="1" si="4"/>
        <v>#NAME?</v>
      </c>
      <c r="W21" t="e">
        <f t="shared" ca="1" si="5"/>
        <v>#NAME?</v>
      </c>
      <c r="Z21" t="s">
        <v>68</v>
      </c>
      <c r="AA21" s="14" t="e">
        <f ca="1">AA17*LN(AA7/AA17)+LN(AA17)*(AA9+AA10)</f>
        <v>#NAME?</v>
      </c>
      <c r="AM21">
        <f t="shared" si="1"/>
        <v>17</v>
      </c>
      <c r="AN21" t="e">
        <f t="shared" ca="1" si="1"/>
        <v>#NAME?</v>
      </c>
      <c r="AO21" t="e">
        <f t="shared" ca="1" si="1"/>
        <v>#NAME?</v>
      </c>
      <c r="AP21" t="e">
        <f t="shared" ca="1" si="6"/>
        <v>#NAME?</v>
      </c>
      <c r="AQ21" t="e">
        <f t="shared" ca="1" si="7"/>
        <v>#NAME?</v>
      </c>
      <c r="AR21" t="e">
        <f t="shared" ca="1" si="8"/>
        <v>#NAME?</v>
      </c>
      <c r="AS21" t="e">
        <f t="shared" ca="1" si="9"/>
        <v>#NAME?</v>
      </c>
      <c r="AU21">
        <f t="shared" si="10"/>
        <v>18</v>
      </c>
      <c r="AV21" t="e">
        <f t="shared" ca="1" si="11"/>
        <v>#NAME?</v>
      </c>
    </row>
    <row r="22" spans="1:48" x14ac:dyDescent="0.35">
      <c r="A22">
        <f t="shared" si="0"/>
        <v>19</v>
      </c>
      <c r="B22" s="6">
        <v>16.5</v>
      </c>
      <c r="C22" s="7">
        <v>28.265000000000001</v>
      </c>
      <c r="D22">
        <f>13.4063291686354+0.1</f>
        <v>13.5063291686354</v>
      </c>
      <c r="F22" s="8">
        <f t="shared" si="2"/>
        <v>19</v>
      </c>
      <c r="G22" s="8" t="e">
        <f ca="1"/>
        <v>#NAME?</v>
      </c>
      <c r="H22" s="8" t="e">
        <f ca="1"/>
        <v>#NAME?</v>
      </c>
      <c r="I22" s="8" t="e">
        <f ca="1"/>
        <v>#NAME?</v>
      </c>
      <c r="J22" s="8" t="e">
        <f ca="1"/>
        <v>#NAME?</v>
      </c>
      <c r="U22" s="9">
        <f t="shared" si="3"/>
        <v>18</v>
      </c>
      <c r="V22" t="e">
        <f t="shared" ca="1" si="4"/>
        <v>#NAME?</v>
      </c>
      <c r="W22" t="e">
        <f t="shared" ca="1" si="5"/>
        <v>#NAME?</v>
      </c>
      <c r="Z22" t="s">
        <v>69</v>
      </c>
      <c r="AA22" s="14" t="e">
        <f ca="1">AA17*(1+LN(2*PI()))+AA20</f>
        <v>#NAME?</v>
      </c>
      <c r="AM22">
        <f t="shared" si="1"/>
        <v>18</v>
      </c>
      <c r="AN22" t="e">
        <f t="shared" ca="1" si="1"/>
        <v>#NAME?</v>
      </c>
      <c r="AO22" t="e">
        <f t="shared" ca="1" si="1"/>
        <v>#NAME?</v>
      </c>
      <c r="AP22" t="e">
        <f t="shared" ca="1" si="6"/>
        <v>#NAME?</v>
      </c>
      <c r="AQ22" t="e">
        <f t="shared" ca="1" si="7"/>
        <v>#NAME?</v>
      </c>
      <c r="AR22" t="e">
        <f t="shared" ca="1" si="8"/>
        <v>#NAME?</v>
      </c>
      <c r="AS22" t="e">
        <f t="shared" ca="1" si="9"/>
        <v>#NAME?</v>
      </c>
      <c r="AU22" s="8">
        <f t="shared" si="10"/>
        <v>19</v>
      </c>
      <c r="AV22" s="8" t="e">
        <f t="shared" ca="1" si="11"/>
        <v>#NAME?</v>
      </c>
    </row>
    <row r="23" spans="1:48" x14ac:dyDescent="0.35">
      <c r="A23">
        <f t="shared" si="0"/>
        <v>20</v>
      </c>
      <c r="B23" s="17">
        <v>10</v>
      </c>
      <c r="C23" s="18">
        <v>29.684999999999999</v>
      </c>
      <c r="D23" s="8">
        <f>12.231217930184-0.5</f>
        <v>11.731217930184</v>
      </c>
      <c r="F23">
        <v>20</v>
      </c>
      <c r="G23" s="19">
        <f>B24-B23</f>
        <v>2</v>
      </c>
      <c r="H23" s="19">
        <f t="shared" ref="H23:H25" si="16">C24-C23</f>
        <v>0.31500000000000128</v>
      </c>
      <c r="I23" s="20" t="e">
        <f t="array" aca="1" ref="I23:I25" ca="1">TREND(I4:I22,G4:H22,G23:H25)+J23:J25</f>
        <v>#VALUE!</v>
      </c>
      <c r="J23" s="22" t="e">
        <f ca="1">AV23</f>
        <v>#NAME?</v>
      </c>
      <c r="U23" s="10">
        <f t="shared" si="3"/>
        <v>19</v>
      </c>
      <c r="V23" s="8" t="e">
        <f t="shared" ca="1" si="4"/>
        <v>#NAME?</v>
      </c>
      <c r="W23" s="8" t="e">
        <f t="shared" ca="1" si="5"/>
        <v>#NAME?</v>
      </c>
      <c r="Z23" t="s">
        <v>70</v>
      </c>
      <c r="AA23" s="16" t="e">
        <f ca="1">AA17*(1+LN(2*PI()))+AA21</f>
        <v>#NAME?</v>
      </c>
      <c r="AM23">
        <f t="shared" si="1"/>
        <v>19</v>
      </c>
      <c r="AN23" t="e">
        <f t="shared" ca="1" si="1"/>
        <v>#NAME?</v>
      </c>
      <c r="AO23" t="e">
        <f t="shared" ca="1" si="1"/>
        <v>#NAME?</v>
      </c>
      <c r="AP23" t="e">
        <f t="shared" ca="1" si="6"/>
        <v>#NAME?</v>
      </c>
      <c r="AQ23" t="e">
        <f t="shared" ca="1" si="7"/>
        <v>#NAME?</v>
      </c>
      <c r="AR23" t="e">
        <f t="shared" ca="1" si="8"/>
        <v>#NAME?</v>
      </c>
      <c r="AS23" t="e">
        <f t="shared" ca="1" si="9"/>
        <v>#NAME?</v>
      </c>
      <c r="AU23">
        <f t="shared" si="10"/>
        <v>20</v>
      </c>
      <c r="AV23" t="e">
        <f ca="1">AP24</f>
        <v>#NAME?</v>
      </c>
    </row>
    <row r="24" spans="1:48" x14ac:dyDescent="0.35">
      <c r="A24">
        <v>21</v>
      </c>
      <c r="B24" s="23">
        <v>12</v>
      </c>
      <c r="C24" s="24">
        <v>30</v>
      </c>
      <c r="D24" s="20" t="e">
        <f ca="1">D23+I23</f>
        <v>#VALUE!</v>
      </c>
      <c r="F24">
        <v>21</v>
      </c>
      <c r="G24" s="19">
        <f t="shared" ref="G24:G25" si="17">B25-B24</f>
        <v>2</v>
      </c>
      <c r="H24" s="19">
        <f t="shared" si="16"/>
        <v>0.5</v>
      </c>
      <c r="I24" s="20" t="e">
        <f ca="1"/>
        <v>#VALUE!</v>
      </c>
      <c r="J24" s="22">
        <f t="shared" ref="J24:J25" si="18">AV24</f>
        <v>0</v>
      </c>
      <c r="AM24">
        <f>AM23+1</f>
        <v>20</v>
      </c>
      <c r="AP24" t="e">
        <f ca="1">SUMPRODUCT(AO23,AA4)</f>
        <v>#NAME?</v>
      </c>
      <c r="AQ24" t="e">
        <f ca="1">AA$14*SQRT(SUMSQ(AD$13:AD13))</f>
        <v>#NAME?</v>
      </c>
      <c r="AR24" t="e">
        <f ca="1">AP24-_xlfn.NORM.S.INV(1-AQ$2/2)*AQ24</f>
        <v>#NAME?</v>
      </c>
      <c r="AS24" t="e">
        <f ca="1">AP24+_xlfn.NORM.S.INV(1-AQ$2/2)*AQ24</f>
        <v>#NAME?</v>
      </c>
      <c r="AU24">
        <f t="shared" si="10"/>
        <v>21</v>
      </c>
      <c r="AV24">
        <f t="shared" ref="AV24:AV25" si="19">AP25</f>
        <v>0</v>
      </c>
    </row>
    <row r="25" spans="1:48" x14ac:dyDescent="0.35">
      <c r="A25">
        <v>22</v>
      </c>
      <c r="B25" s="23">
        <v>14</v>
      </c>
      <c r="C25" s="24">
        <v>30.5</v>
      </c>
      <c r="D25" s="20" t="e">
        <f ca="1">D24+I24</f>
        <v>#VALUE!</v>
      </c>
      <c r="F25" s="8">
        <v>22</v>
      </c>
      <c r="G25" s="25">
        <f t="shared" si="17"/>
        <v>1</v>
      </c>
      <c r="H25" s="25">
        <f t="shared" si="16"/>
        <v>1</v>
      </c>
      <c r="I25" s="21" t="e">
        <f ca="1"/>
        <v>#VALUE!</v>
      </c>
      <c r="J25" s="26">
        <f t="shared" si="18"/>
        <v>0</v>
      </c>
      <c r="AM25">
        <f t="shared" ref="AM25:AM26" si="20">AM24+1</f>
        <v>21</v>
      </c>
      <c r="AP25">
        <v>0</v>
      </c>
      <c r="AQ25" t="e">
        <f ca="1">AA$14*SQRT(SUMSQ(AD$13:AD14))</f>
        <v>#NAME?</v>
      </c>
      <c r="AR25" t="e">
        <f t="shared" ref="AR25:AR26" ca="1" si="21">AP25-_xlfn.NORM.S.INV(1-AQ$2/2)*AQ25</f>
        <v>#NAME?</v>
      </c>
      <c r="AS25" t="e">
        <f t="shared" ref="AS25:AS26" ca="1" si="22">AP25+_xlfn.NORM.S.INV(1-AQ$2/2)*AQ25</f>
        <v>#NAME?</v>
      </c>
      <c r="AU25" s="8">
        <f t="shared" si="10"/>
        <v>22</v>
      </c>
      <c r="AV25" s="8">
        <f t="shared" si="19"/>
        <v>0</v>
      </c>
    </row>
    <row r="26" spans="1:48" x14ac:dyDescent="0.35">
      <c r="A26">
        <v>23</v>
      </c>
      <c r="B26" s="27">
        <v>15</v>
      </c>
      <c r="C26" s="28">
        <v>31.5</v>
      </c>
      <c r="D26" s="21" t="e">
        <f ca="1">D25+I25</f>
        <v>#VALUE!</v>
      </c>
      <c r="AM26" s="8">
        <f t="shared" si="20"/>
        <v>22</v>
      </c>
      <c r="AN26" s="8"/>
      <c r="AO26" s="8"/>
      <c r="AP26" s="8">
        <v>0</v>
      </c>
      <c r="AQ26" s="8" t="e">
        <f ca="1">AA$14*SQRT(SUMSQ(AD$13:AD15))</f>
        <v>#NAME?</v>
      </c>
      <c r="AR26" s="8" t="e">
        <f t="shared" ca="1" si="21"/>
        <v>#NAME?</v>
      </c>
      <c r="AS26" s="8" t="e">
        <f t="shared" ca="1" si="22"/>
        <v>#NAME?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B7A82-AC6A-4C68-A0B4-B8200911C0A1}">
  <dimension ref="A1:AY26"/>
  <sheetViews>
    <sheetView workbookViewId="0"/>
  </sheetViews>
  <sheetFormatPr defaultRowHeight="14.5" x14ac:dyDescent="0.35"/>
  <cols>
    <col min="1" max="1" width="4.81640625" customWidth="1"/>
    <col min="2" max="2" width="6.453125" customWidth="1"/>
    <col min="3" max="3" width="7.7265625" customWidth="1"/>
  </cols>
  <sheetData>
    <row r="1" spans="1:51" x14ac:dyDescent="0.35">
      <c r="A1" s="1"/>
      <c r="B1" s="1"/>
      <c r="C1" s="1"/>
      <c r="F1" t="s">
        <v>0</v>
      </c>
      <c r="L1" t="s">
        <v>1</v>
      </c>
      <c r="U1" t="s">
        <v>2</v>
      </c>
      <c r="Y1" t="s">
        <v>3</v>
      </c>
      <c r="AC1" t="s">
        <v>4</v>
      </c>
      <c r="AG1" t="s">
        <v>5</v>
      </c>
      <c r="AM1" t="s">
        <v>6</v>
      </c>
      <c r="AU1" t="s">
        <v>7</v>
      </c>
      <c r="AX1" t="s">
        <v>71</v>
      </c>
    </row>
    <row r="2" spans="1:51" ht="15" thickBot="1" x14ac:dyDescent="0.4">
      <c r="A2" s="2"/>
      <c r="B2" s="2"/>
      <c r="C2" s="2"/>
      <c r="D2" s="2"/>
      <c r="AP2" t="s">
        <v>8</v>
      </c>
      <c r="AQ2">
        <f>0.05</f>
        <v>0.05</v>
      </c>
    </row>
    <row r="3" spans="1:51" ht="15.5" thickTop="1" thickBot="1" x14ac:dyDescent="0.4">
      <c r="B3" s="3" t="s">
        <v>9</v>
      </c>
      <c r="C3" s="3" t="s">
        <v>10</v>
      </c>
      <c r="D3" s="3" t="s">
        <v>11</v>
      </c>
      <c r="F3" s="4" t="s">
        <v>12</v>
      </c>
      <c r="G3" s="4" t="str">
        <f t="array" ref="G3:H3">B3:C3</f>
        <v>X1</v>
      </c>
      <c r="H3" s="4" t="str">
        <v>X2</v>
      </c>
      <c r="I3" s="4" t="str">
        <f>D3</f>
        <v>Y</v>
      </c>
      <c r="J3" s="4" t="s">
        <v>13</v>
      </c>
      <c r="L3" s="5" t="s">
        <v>14</v>
      </c>
      <c r="M3" s="5"/>
      <c r="O3" s="5"/>
      <c r="P3" s="5"/>
      <c r="U3" s="4" t="s">
        <v>12</v>
      </c>
      <c r="V3" s="4" t="s">
        <v>15</v>
      </c>
      <c r="W3" s="4" t="s">
        <v>13</v>
      </c>
      <c r="Y3" s="4" t="s">
        <v>16</v>
      </c>
      <c r="Z3" s="4" t="s">
        <v>17</v>
      </c>
      <c r="AA3" s="4" t="s">
        <v>18</v>
      </c>
      <c r="AC3" s="4" t="s">
        <v>19</v>
      </c>
      <c r="AD3" s="4" t="s">
        <v>20</v>
      </c>
      <c r="AE3" s="4" t="s">
        <v>21</v>
      </c>
      <c r="AG3" s="4" t="s">
        <v>22</v>
      </c>
      <c r="AH3" s="4" t="s">
        <v>23</v>
      </c>
      <c r="AI3" s="4" t="s">
        <v>24</v>
      </c>
      <c r="AJ3" s="4" t="s">
        <v>25</v>
      </c>
      <c r="AK3" s="4" t="s">
        <v>26</v>
      </c>
      <c r="AM3" s="4" t="s">
        <v>12</v>
      </c>
      <c r="AN3" s="4" t="s">
        <v>15</v>
      </c>
      <c r="AO3" s="4" t="s">
        <v>13</v>
      </c>
      <c r="AP3" s="4" t="s">
        <v>27</v>
      </c>
      <c r="AQ3" s="4" t="s">
        <v>24</v>
      </c>
      <c r="AR3" s="4" t="s">
        <v>28</v>
      </c>
      <c r="AS3" s="4" t="s">
        <v>29</v>
      </c>
      <c r="AU3" s="4" t="s">
        <v>12</v>
      </c>
      <c r="AV3" s="4" t="s">
        <v>30</v>
      </c>
      <c r="AX3" s="4" t="s">
        <v>12</v>
      </c>
      <c r="AY3" s="4" t="s">
        <v>30</v>
      </c>
    </row>
    <row r="4" spans="1:51" ht="15" thickTop="1" x14ac:dyDescent="0.35">
      <c r="A4">
        <v>1</v>
      </c>
      <c r="B4" s="6">
        <v>1</v>
      </c>
      <c r="C4" s="7">
        <v>10.895</v>
      </c>
      <c r="D4">
        <f>3.11767564756553+0.7</f>
        <v>3.8176756475655296</v>
      </c>
      <c r="F4">
        <v>1</v>
      </c>
      <c r="G4" s="29" t="e">
        <f t="array" aca="1" ref="G4:G22" ca="1">ADIFF(B4:B23,1)</f>
        <v>#NAME?</v>
      </c>
      <c r="H4" s="29" t="e">
        <f t="array" aca="1" ref="H4:H22" ca="1">ADIFF(C4:C23,1)</f>
        <v>#NAME?</v>
      </c>
      <c r="I4" s="29" t="e">
        <f t="array" aca="1" ref="I4:I22" ca="1">ADIFF(D4:D23,1)</f>
        <v>#NAME?</v>
      </c>
      <c r="J4" s="29" t="e">
        <f t="array" aca="1" ref="J4:J22" ca="1">I4:I22-TREND(I4:I22,G4:H22,,TRUE)</f>
        <v>#NAME?</v>
      </c>
      <c r="L4" t="s">
        <v>31</v>
      </c>
      <c r="M4" t="e">
        <f ca="1">SQRT(M5)</f>
        <v>#NAME?</v>
      </c>
      <c r="O4" t="s">
        <v>32</v>
      </c>
      <c r="P4" t="e">
        <f ca="1">M8*LN(N13/M8)+2*(M12+1)</f>
        <v>#NAME?</v>
      </c>
      <c r="U4">
        <v>0</v>
      </c>
      <c r="V4">
        <v>0</v>
      </c>
      <c r="W4">
        <v>0</v>
      </c>
      <c r="Y4" s="9">
        <v>1</v>
      </c>
      <c r="Z4">
        <v>0</v>
      </c>
      <c r="AA4" t="e">
        <f ca="1">AH5</f>
        <v>#NAME?</v>
      </c>
      <c r="AG4" t="s">
        <v>33</v>
      </c>
      <c r="AH4" t="e">
        <f t="array" aca="1" ref="AH4:AI5" ca="1">ARIMA_Coeff(J4:J22,0,1,0,FALSE)</f>
        <v>#NAME?</v>
      </c>
      <c r="AI4" t="e">
        <f ca="1"/>
        <v>#NAME?</v>
      </c>
      <c r="AJ4" t="e">
        <f ca="1">AH4/AI4</f>
        <v>#NAME?</v>
      </c>
      <c r="AK4" t="e">
        <f ca="1">_xlfn.T.DIST.2T(ABS(AJ4),AA$17-AA$9-AA$10-1)</f>
        <v>#NAME?</v>
      </c>
      <c r="AM4">
        <f>U4</f>
        <v>0</v>
      </c>
      <c r="AN4">
        <f>V4</f>
        <v>0</v>
      </c>
      <c r="AO4">
        <f>W4</f>
        <v>0</v>
      </c>
      <c r="AU4">
        <v>1</v>
      </c>
      <c r="AV4" t="e">
        <f ca="1">J4</f>
        <v>#NAME?</v>
      </c>
      <c r="AX4" s="29">
        <v>1</v>
      </c>
      <c r="AY4" s="29">
        <f>D4</f>
        <v>3.8176756475655296</v>
      </c>
    </row>
    <row r="5" spans="1:51" x14ac:dyDescent="0.35">
      <c r="A5">
        <f t="shared" ref="A5:A23" si="0">A4+1</f>
        <v>2</v>
      </c>
      <c r="B5" s="6">
        <v>2</v>
      </c>
      <c r="C5" s="7">
        <v>11.895</v>
      </c>
      <c r="D5">
        <v>6.5100100000000003</v>
      </c>
      <c r="F5">
        <f>F4+1</f>
        <v>2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L5" t="s">
        <v>34</v>
      </c>
      <c r="M5" t="e">
        <f ca="1">N12/N14</f>
        <v>#NAME?</v>
      </c>
      <c r="O5" t="s">
        <v>35</v>
      </c>
      <c r="P5" t="e">
        <f ca="1">P4+2*(M12+2)*(M12+3)/(M8-M12-3)</f>
        <v>#NAME?</v>
      </c>
      <c r="U5">
        <f>U4+1</f>
        <v>1</v>
      </c>
      <c r="V5" t="e">
        <f ca="1">J4</f>
        <v>#NAME?</v>
      </c>
      <c r="W5" t="e">
        <f ca="1">V5-SUMPRODUCT(W4,AA$4)</f>
        <v>#NAME?</v>
      </c>
      <c r="Y5" s="10" t="s">
        <v>33</v>
      </c>
      <c r="Z5" s="8" t="e">
        <f ca="1">AH4</f>
        <v>#NAME?</v>
      </c>
      <c r="AA5" s="8" t="e">
        <f ca="1">Z5</f>
        <v>#NAME?</v>
      </c>
      <c r="AC5" t="s">
        <v>36</v>
      </c>
      <c r="AG5" s="8" t="s">
        <v>37</v>
      </c>
      <c r="AH5" s="8" t="e">
        <f ca="1"/>
        <v>#NAME?</v>
      </c>
      <c r="AI5" s="8" t="e">
        <f ca="1"/>
        <v>#NAME?</v>
      </c>
      <c r="AJ5" s="8" t="e">
        <f ca="1">AH5/AI5</f>
        <v>#NAME?</v>
      </c>
      <c r="AK5" s="8" t="e">
        <f ca="1">_xlfn.T.DIST.2T(ABS(AJ5),AA$17-AA$9-AA$10-1)</f>
        <v>#NAME?</v>
      </c>
      <c r="AM5">
        <f t="shared" ref="AM5:AO23" si="1">U5</f>
        <v>1</v>
      </c>
      <c r="AN5" t="e">
        <f t="shared" ca="1" si="1"/>
        <v>#NAME?</v>
      </c>
      <c r="AO5" t="e">
        <f t="shared" ca="1" si="1"/>
        <v>#NAME?</v>
      </c>
      <c r="AP5" t="e">
        <f ca="1">AN5-AO5</f>
        <v>#NAME?</v>
      </c>
      <c r="AQ5" t="e">
        <f ca="1">AA$14</f>
        <v>#NAME?</v>
      </c>
      <c r="AR5" t="e">
        <f ca="1">AP5-_xlfn.NORM.S.INV(1-AQ$2/2)*AQ5</f>
        <v>#NAME?</v>
      </c>
      <c r="AS5" t="e">
        <f ca="1">AP5+_xlfn.NORM.S.INV(1-AQ$2/2)*AQ5</f>
        <v>#NAME?</v>
      </c>
      <c r="AU5">
        <f>AU4+1</f>
        <v>2</v>
      </c>
      <c r="AV5" t="e">
        <f ca="1">J5</f>
        <v>#NAME?</v>
      </c>
      <c r="AX5">
        <f>AX4+1</f>
        <v>2</v>
      </c>
      <c r="AY5">
        <f t="shared" ref="AY5:AY23" si="2">D5</f>
        <v>6.5100100000000003</v>
      </c>
    </row>
    <row r="6" spans="1:51" ht="15" thickBot="1" x14ac:dyDescent="0.4">
      <c r="A6">
        <f t="shared" si="0"/>
        <v>3</v>
      </c>
      <c r="B6" s="6">
        <v>3.5</v>
      </c>
      <c r="C6" s="7">
        <v>12.685</v>
      </c>
      <c r="D6">
        <f>4.90676859838178-0.5</f>
        <v>4.4067685983817801</v>
      </c>
      <c r="F6">
        <f t="shared" ref="F6:F22" si="3">F5+1</f>
        <v>3</v>
      </c>
      <c r="G6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L6" t="s">
        <v>38</v>
      </c>
      <c r="M6" t="e">
        <f ca="1">1-(1-M5)*(M8-1)/(M8-M12-1)</f>
        <v>#NAME?</v>
      </c>
      <c r="O6" s="8" t="s">
        <v>39</v>
      </c>
      <c r="P6" s="8" t="e">
        <f ca="1">M8*LN(N13/M8)+(M12+1)*LN(M8)</f>
        <v>#NAME?</v>
      </c>
      <c r="U6">
        <f t="shared" ref="U6:U23" si="4">U5+1</f>
        <v>2</v>
      </c>
      <c r="V6" t="e">
        <f t="shared" ref="V6:V23" ca="1" si="5">J5</f>
        <v>#NAME?</v>
      </c>
      <c r="W6" t="e">
        <f t="shared" ref="W6:W23" ca="1" si="6">V6-SUMPRODUCT(W5,AA$4)</f>
        <v>#NAME?</v>
      </c>
      <c r="AM6">
        <f t="shared" si="1"/>
        <v>2</v>
      </c>
      <c r="AN6" t="e">
        <f t="shared" ca="1" si="1"/>
        <v>#NAME?</v>
      </c>
      <c r="AO6" t="e">
        <f t="shared" ca="1" si="1"/>
        <v>#NAME?</v>
      </c>
      <c r="AP6" t="e">
        <f t="shared" ref="AP6:AP23" ca="1" si="7">AN6-AO6</f>
        <v>#NAME?</v>
      </c>
      <c r="AQ6" t="e">
        <f t="shared" ref="AQ6:AQ23" ca="1" si="8">AA$14</f>
        <v>#NAME?</v>
      </c>
      <c r="AR6" t="e">
        <f t="shared" ref="AR6:AR23" ca="1" si="9">AP6-_xlfn.NORM.S.INV(1-AQ$2/2)*AQ6</f>
        <v>#NAME?</v>
      </c>
      <c r="AS6" t="e">
        <f t="shared" ref="AS6:AS23" ca="1" si="10">AP6+_xlfn.NORM.S.INV(1-AQ$2/2)*AQ6</f>
        <v>#NAME?</v>
      </c>
      <c r="AU6">
        <f t="shared" ref="AU6:AU25" si="11">AU5+1</f>
        <v>3</v>
      </c>
      <c r="AV6" t="e">
        <f t="shared" ref="AV6:AV22" ca="1" si="12">J6</f>
        <v>#NAME?</v>
      </c>
      <c r="AX6">
        <f t="shared" ref="AX6:AX26" si="13">AX5+1</f>
        <v>3</v>
      </c>
      <c r="AY6">
        <f t="shared" si="2"/>
        <v>4.4067685983817801</v>
      </c>
    </row>
    <row r="7" spans="1:51" ht="15" thickTop="1" x14ac:dyDescent="0.35">
      <c r="A7">
        <f t="shared" si="0"/>
        <v>4</v>
      </c>
      <c r="B7" s="6">
        <v>3.5</v>
      </c>
      <c r="C7" s="7">
        <v>13.58</v>
      </c>
      <c r="D7">
        <f>6.11947448226024+0.0001</f>
        <v>6.1195744822602398</v>
      </c>
      <c r="F7">
        <f t="shared" si="3"/>
        <v>4</v>
      </c>
      <c r="G7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L7" t="s">
        <v>40</v>
      </c>
      <c r="M7" t="e">
        <f ca="1">SQRT(O13)</f>
        <v>#NAME?</v>
      </c>
      <c r="U7">
        <f t="shared" si="4"/>
        <v>3</v>
      </c>
      <c r="V7" t="e">
        <f t="shared" ca="1" si="5"/>
        <v>#NAME?</v>
      </c>
      <c r="W7" t="e">
        <f t="shared" ca="1" si="6"/>
        <v>#NAME?</v>
      </c>
      <c r="Z7" t="s">
        <v>41</v>
      </c>
      <c r="AA7" s="11" t="e">
        <f ca="1">SUMSQ(W5:W23)</f>
        <v>#NAME?</v>
      </c>
      <c r="AC7" s="4" t="s">
        <v>19</v>
      </c>
      <c r="AD7" s="4" t="s">
        <v>20</v>
      </c>
      <c r="AE7" s="4" t="s">
        <v>21</v>
      </c>
      <c r="AM7">
        <f t="shared" si="1"/>
        <v>3</v>
      </c>
      <c r="AN7" t="e">
        <f t="shared" ca="1" si="1"/>
        <v>#NAME?</v>
      </c>
      <c r="AO7" t="e">
        <f t="shared" ca="1" si="1"/>
        <v>#NAME?</v>
      </c>
      <c r="AP7" t="e">
        <f t="shared" ca="1" si="7"/>
        <v>#NAME?</v>
      </c>
      <c r="AQ7" t="e">
        <f t="shared" ca="1" si="8"/>
        <v>#NAME?</v>
      </c>
      <c r="AR7" t="e">
        <f t="shared" ca="1" si="9"/>
        <v>#NAME?</v>
      </c>
      <c r="AS7" t="e">
        <f t="shared" ca="1" si="10"/>
        <v>#NAME?</v>
      </c>
      <c r="AU7">
        <f t="shared" si="11"/>
        <v>4</v>
      </c>
      <c r="AV7" t="e">
        <f t="shared" ca="1" si="12"/>
        <v>#NAME?</v>
      </c>
      <c r="AX7">
        <f t="shared" si="13"/>
        <v>4</v>
      </c>
      <c r="AY7">
        <f t="shared" si="2"/>
        <v>6.1195744822602398</v>
      </c>
    </row>
    <row r="8" spans="1:51" x14ac:dyDescent="0.35">
      <c r="A8">
        <f t="shared" si="0"/>
        <v>5</v>
      </c>
      <c r="B8" s="6">
        <v>3</v>
      </c>
      <c r="C8" s="7">
        <v>14.895</v>
      </c>
      <c r="D8">
        <v>8.1353263117657075</v>
      </c>
      <c r="F8">
        <f t="shared" si="3"/>
        <v>5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L8" s="8" t="s">
        <v>42</v>
      </c>
      <c r="M8" s="8">
        <f ca="1">COUNT(I4:I22)</f>
        <v>0</v>
      </c>
      <c r="U8">
        <f t="shared" si="4"/>
        <v>4</v>
      </c>
      <c r="V8" t="e">
        <f t="shared" ca="1" si="5"/>
        <v>#NAME?</v>
      </c>
      <c r="W8" t="e">
        <f t="shared" ca="1" si="6"/>
        <v>#NAME?</v>
      </c>
      <c r="AC8" s="12" t="e">
        <f t="array" aca="1" ref="AC8:AE8" ca="1">MARoots(AA4)</f>
        <v>#NAME?</v>
      </c>
      <c r="AD8" s="12" t="e">
        <f ca="1"/>
        <v>#NAME?</v>
      </c>
      <c r="AE8" s="12" t="e">
        <f ca="1"/>
        <v>#NAME?</v>
      </c>
      <c r="AM8">
        <f t="shared" si="1"/>
        <v>4</v>
      </c>
      <c r="AN8" t="e">
        <f t="shared" ca="1" si="1"/>
        <v>#NAME?</v>
      </c>
      <c r="AO8" t="e">
        <f t="shared" ca="1" si="1"/>
        <v>#NAME?</v>
      </c>
      <c r="AP8" t="e">
        <f t="shared" ca="1" si="7"/>
        <v>#NAME?</v>
      </c>
      <c r="AQ8" t="e">
        <f t="shared" ca="1" si="8"/>
        <v>#NAME?</v>
      </c>
      <c r="AR8" t="e">
        <f t="shared" ca="1" si="9"/>
        <v>#NAME?</v>
      </c>
      <c r="AS8" t="e">
        <f t="shared" ca="1" si="10"/>
        <v>#NAME?</v>
      </c>
      <c r="AU8">
        <f t="shared" si="11"/>
        <v>5</v>
      </c>
      <c r="AV8" t="e">
        <f t="shared" ca="1" si="12"/>
        <v>#NAME?</v>
      </c>
      <c r="AX8">
        <f t="shared" si="13"/>
        <v>5</v>
      </c>
      <c r="AY8">
        <f t="shared" si="2"/>
        <v>8.1353263117657075</v>
      </c>
    </row>
    <row r="9" spans="1:51" x14ac:dyDescent="0.35">
      <c r="A9">
        <f t="shared" si="0"/>
        <v>6</v>
      </c>
      <c r="B9" s="6">
        <v>4.5</v>
      </c>
      <c r="C9" s="7">
        <v>15.7</v>
      </c>
      <c r="D9">
        <v>9.3448674266459744</v>
      </c>
      <c r="F9">
        <f t="shared" si="3"/>
        <v>6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U9">
        <f t="shared" si="4"/>
        <v>5</v>
      </c>
      <c r="V9" t="e">
        <f t="shared" ca="1" si="5"/>
        <v>#NAME?</v>
      </c>
      <c r="W9" t="e">
        <f t="shared" ca="1" si="6"/>
        <v>#NAME?</v>
      </c>
      <c r="Z9" t="s">
        <v>43</v>
      </c>
      <c r="AA9" s="13">
        <v>0</v>
      </c>
      <c r="AM9">
        <f t="shared" si="1"/>
        <v>5</v>
      </c>
      <c r="AN9" t="e">
        <f t="shared" ca="1" si="1"/>
        <v>#NAME?</v>
      </c>
      <c r="AO9" t="e">
        <f t="shared" ca="1" si="1"/>
        <v>#NAME?</v>
      </c>
      <c r="AP9" t="e">
        <f t="shared" ca="1" si="7"/>
        <v>#NAME?</v>
      </c>
      <c r="AQ9" t="e">
        <f t="shared" ca="1" si="8"/>
        <v>#NAME?</v>
      </c>
      <c r="AR9" t="e">
        <f t="shared" ca="1" si="9"/>
        <v>#NAME?</v>
      </c>
      <c r="AS9" t="e">
        <f t="shared" ca="1" si="10"/>
        <v>#NAME?</v>
      </c>
      <c r="AU9">
        <f t="shared" si="11"/>
        <v>6</v>
      </c>
      <c r="AV9" t="e">
        <f t="shared" ca="1" si="12"/>
        <v>#NAME?</v>
      </c>
      <c r="AX9">
        <f t="shared" si="13"/>
        <v>6</v>
      </c>
      <c r="AY9">
        <f t="shared" si="2"/>
        <v>9.3448674266459744</v>
      </c>
    </row>
    <row r="10" spans="1:51" ht="15" thickBot="1" x14ac:dyDescent="0.4">
      <c r="A10">
        <f t="shared" si="0"/>
        <v>7</v>
      </c>
      <c r="B10" s="6">
        <v>5</v>
      </c>
      <c r="C10" s="7">
        <v>16.79</v>
      </c>
      <c r="D10">
        <v>9.1476506838871607</v>
      </c>
      <c r="F10">
        <f t="shared" si="3"/>
        <v>7</v>
      </c>
      <c r="G10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L10" t="s">
        <v>44</v>
      </c>
      <c r="P10" s="9" t="s">
        <v>8</v>
      </c>
      <c r="Q10" s="9">
        <v>0.05</v>
      </c>
      <c r="U10">
        <f t="shared" si="4"/>
        <v>6</v>
      </c>
      <c r="V10" t="e">
        <f t="shared" ca="1" si="5"/>
        <v>#NAME?</v>
      </c>
      <c r="W10" t="e">
        <f t="shared" ca="1" si="6"/>
        <v>#NAME?</v>
      </c>
      <c r="Z10" t="s">
        <v>45</v>
      </c>
      <c r="AA10" s="14">
        <v>1</v>
      </c>
      <c r="AC10" t="s">
        <v>46</v>
      </c>
      <c r="AM10">
        <f t="shared" si="1"/>
        <v>6</v>
      </c>
      <c r="AN10" t="e">
        <f t="shared" ca="1" si="1"/>
        <v>#NAME?</v>
      </c>
      <c r="AO10" t="e">
        <f t="shared" ca="1" si="1"/>
        <v>#NAME?</v>
      </c>
      <c r="AP10" t="e">
        <f t="shared" ca="1" si="7"/>
        <v>#NAME?</v>
      </c>
      <c r="AQ10" t="e">
        <f t="shared" ca="1" si="8"/>
        <v>#NAME?</v>
      </c>
      <c r="AR10" t="e">
        <f t="shared" ca="1" si="9"/>
        <v>#NAME?</v>
      </c>
      <c r="AS10" t="e">
        <f t="shared" ca="1" si="10"/>
        <v>#NAME?</v>
      </c>
      <c r="AU10">
        <f t="shared" si="11"/>
        <v>7</v>
      </c>
      <c r="AV10" t="e">
        <f t="shared" ca="1" si="12"/>
        <v>#NAME?</v>
      </c>
      <c r="AX10">
        <f t="shared" si="13"/>
        <v>7</v>
      </c>
      <c r="AY10">
        <f t="shared" si="2"/>
        <v>9.1476506838871607</v>
      </c>
    </row>
    <row r="11" spans="1:51" ht="15.5" thickTop="1" thickBot="1" x14ac:dyDescent="0.4">
      <c r="A11">
        <f t="shared" si="0"/>
        <v>8</v>
      </c>
      <c r="B11" s="6">
        <v>4.5</v>
      </c>
      <c r="C11" s="7">
        <v>17.475000000000001</v>
      </c>
      <c r="D11">
        <f>8.10149328130298</f>
        <v>8.1014932813029805</v>
      </c>
      <c r="F11">
        <f t="shared" si="3"/>
        <v>8</v>
      </c>
      <c r="G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L11" s="4"/>
      <c r="M11" s="4" t="s">
        <v>47</v>
      </c>
      <c r="N11" s="4" t="s">
        <v>48</v>
      </c>
      <c r="O11" s="4" t="s">
        <v>49</v>
      </c>
      <c r="P11" s="4" t="s">
        <v>50</v>
      </c>
      <c r="Q11" s="4" t="s">
        <v>26</v>
      </c>
      <c r="R11" s="4" t="s">
        <v>51</v>
      </c>
      <c r="U11">
        <f t="shared" si="4"/>
        <v>7</v>
      </c>
      <c r="V11" t="e">
        <f t="shared" ca="1" si="5"/>
        <v>#NAME?</v>
      </c>
      <c r="W11" t="e">
        <f t="shared" ca="1" si="6"/>
        <v>#NAME?</v>
      </c>
      <c r="Z11" t="s">
        <v>52</v>
      </c>
      <c r="AA11" s="14">
        <v>0</v>
      </c>
      <c r="AM11">
        <f t="shared" si="1"/>
        <v>7</v>
      </c>
      <c r="AN11" t="e">
        <f t="shared" ca="1" si="1"/>
        <v>#NAME?</v>
      </c>
      <c r="AO11" t="e">
        <f t="shared" ca="1" si="1"/>
        <v>#NAME?</v>
      </c>
      <c r="AP11" t="e">
        <f t="shared" ca="1" si="7"/>
        <v>#NAME?</v>
      </c>
      <c r="AQ11" t="e">
        <f t="shared" ca="1" si="8"/>
        <v>#NAME?</v>
      </c>
      <c r="AR11" t="e">
        <f t="shared" ca="1" si="9"/>
        <v>#NAME?</v>
      </c>
      <c r="AS11" t="e">
        <f t="shared" ca="1" si="10"/>
        <v>#NAME?</v>
      </c>
      <c r="AU11">
        <f t="shared" si="11"/>
        <v>8</v>
      </c>
      <c r="AV11" t="e">
        <f t="shared" ca="1" si="12"/>
        <v>#NAME?</v>
      </c>
      <c r="AX11">
        <f t="shared" si="13"/>
        <v>8</v>
      </c>
      <c r="AY11">
        <f t="shared" si="2"/>
        <v>8.1014932813029805</v>
      </c>
    </row>
    <row r="12" spans="1:51" ht="15" thickTop="1" x14ac:dyDescent="0.35">
      <c r="A12">
        <f t="shared" si="0"/>
        <v>9</v>
      </c>
      <c r="B12" s="6">
        <v>8</v>
      </c>
      <c r="C12" s="7">
        <v>18.475000000000001</v>
      </c>
      <c r="D12">
        <v>10.146419029172929</v>
      </c>
      <c r="F12">
        <f t="shared" si="3"/>
        <v>9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L12" t="s">
        <v>53</v>
      </c>
      <c r="M12">
        <f ca="1">COUNT(G4:H4)</f>
        <v>0</v>
      </c>
      <c r="N12" t="e">
        <f ca="1">DEVSQ(MMULT(DEsign(G4:H22),M17:M19))</f>
        <v>#NAME?</v>
      </c>
      <c r="O12" t="e">
        <f ca="1">N12/M12</f>
        <v>#NAME?</v>
      </c>
      <c r="P12" t="e">
        <f ca="1">O12/O13</f>
        <v>#NAME?</v>
      </c>
      <c r="Q12" t="e">
        <f ca="1">_xlfn.F.DIST.RT(P12,M12,M13)</f>
        <v>#NAME?</v>
      </c>
      <c r="R12" s="9" t="e">
        <f ca="1">IF(Q12&lt;Q10,"yes","no")</f>
        <v>#NAME?</v>
      </c>
      <c r="U12">
        <f t="shared" si="4"/>
        <v>8</v>
      </c>
      <c r="V12" t="e">
        <f t="shared" ca="1" si="5"/>
        <v>#NAME?</v>
      </c>
      <c r="W12" t="e">
        <f t="shared" ca="1" si="6"/>
        <v>#NAME?</v>
      </c>
      <c r="Z12" t="s">
        <v>54</v>
      </c>
      <c r="AA12" s="14" t="e">
        <f ca="1">AVERAGE(W5:W23)</f>
        <v>#NAME?</v>
      </c>
      <c r="AC12" s="4" t="s">
        <v>16</v>
      </c>
      <c r="AD12" s="4" t="s">
        <v>55</v>
      </c>
      <c r="AM12">
        <f t="shared" si="1"/>
        <v>8</v>
      </c>
      <c r="AN12" t="e">
        <f t="shared" ca="1" si="1"/>
        <v>#NAME?</v>
      </c>
      <c r="AO12" t="e">
        <f t="shared" ca="1" si="1"/>
        <v>#NAME?</v>
      </c>
      <c r="AP12" t="e">
        <f t="shared" ca="1" si="7"/>
        <v>#NAME?</v>
      </c>
      <c r="AQ12" t="e">
        <f t="shared" ca="1" si="8"/>
        <v>#NAME?</v>
      </c>
      <c r="AR12" t="e">
        <f t="shared" ca="1" si="9"/>
        <v>#NAME?</v>
      </c>
      <c r="AS12" t="e">
        <f t="shared" ca="1" si="10"/>
        <v>#NAME?</v>
      </c>
      <c r="AU12">
        <f t="shared" si="11"/>
        <v>9</v>
      </c>
      <c r="AV12" t="e">
        <f t="shared" ca="1" si="12"/>
        <v>#NAME?</v>
      </c>
      <c r="AX12">
        <f t="shared" si="13"/>
        <v>9</v>
      </c>
      <c r="AY12">
        <f t="shared" si="2"/>
        <v>10.146419029172929</v>
      </c>
    </row>
    <row r="13" spans="1:51" x14ac:dyDescent="0.35">
      <c r="A13">
        <f t="shared" si="0"/>
        <v>10</v>
      </c>
      <c r="B13" s="6">
        <v>11</v>
      </c>
      <c r="C13" s="7">
        <v>19.579999999999998</v>
      </c>
      <c r="D13">
        <v>11.045196349004179</v>
      </c>
      <c r="F13">
        <f t="shared" si="3"/>
        <v>10</v>
      </c>
      <c r="G13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L13" t="s">
        <v>56</v>
      </c>
      <c r="M13">
        <f ca="1">M14-M12</f>
        <v>-1</v>
      </c>
      <c r="N13" t="e">
        <f ca="1">N14-N12</f>
        <v>#NAME?</v>
      </c>
      <c r="O13" t="e">
        <f ca="1">N13/M13</f>
        <v>#NAME?</v>
      </c>
      <c r="U13">
        <f t="shared" si="4"/>
        <v>9</v>
      </c>
      <c r="V13" t="e">
        <f t="shared" ca="1" si="5"/>
        <v>#NAME?</v>
      </c>
      <c r="W13" t="e">
        <f t="shared" ca="1" si="6"/>
        <v>#NAME?</v>
      </c>
      <c r="Z13" t="s">
        <v>57</v>
      </c>
      <c r="AA13" s="14" t="e">
        <f ca="1">_xlfn.STDEV.S(W5:W23)</f>
        <v>#NAME?</v>
      </c>
      <c r="AC13" s="29">
        <v>0</v>
      </c>
      <c r="AD13" s="29" t="e">
        <f t="array" aca="1" ref="AD13:AD15" ca="1">PSICoeff(,AA4)</f>
        <v>#NAME?</v>
      </c>
      <c r="AM13">
        <f t="shared" si="1"/>
        <v>9</v>
      </c>
      <c r="AN13" t="e">
        <f t="shared" ca="1" si="1"/>
        <v>#NAME?</v>
      </c>
      <c r="AO13" t="e">
        <f t="shared" ca="1" si="1"/>
        <v>#NAME?</v>
      </c>
      <c r="AP13" t="e">
        <f t="shared" ca="1" si="7"/>
        <v>#NAME?</v>
      </c>
      <c r="AQ13" t="e">
        <f t="shared" ca="1" si="8"/>
        <v>#NAME?</v>
      </c>
      <c r="AR13" t="e">
        <f t="shared" ca="1" si="9"/>
        <v>#NAME?</v>
      </c>
      <c r="AS13" t="e">
        <f t="shared" ca="1" si="10"/>
        <v>#NAME?</v>
      </c>
      <c r="AU13">
        <f t="shared" si="11"/>
        <v>10</v>
      </c>
      <c r="AV13" t="e">
        <f t="shared" ca="1" si="12"/>
        <v>#NAME?</v>
      </c>
      <c r="AX13">
        <f t="shared" si="13"/>
        <v>10</v>
      </c>
      <c r="AY13">
        <f t="shared" si="2"/>
        <v>11.045196349004179</v>
      </c>
    </row>
    <row r="14" spans="1:51" x14ac:dyDescent="0.35">
      <c r="A14">
        <f t="shared" si="0"/>
        <v>11</v>
      </c>
      <c r="B14" s="6">
        <v>7</v>
      </c>
      <c r="C14" s="7">
        <v>20.475000000000001</v>
      </c>
      <c r="D14">
        <f>10.122578080183-0.0001</f>
        <v>10.122478080183001</v>
      </c>
      <c r="F14">
        <f t="shared" si="3"/>
        <v>11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L14" s="8" t="s">
        <v>58</v>
      </c>
      <c r="M14" s="8">
        <f ca="1">M8-1</f>
        <v>-1</v>
      </c>
      <c r="N14" s="8" t="e">
        <f ca="1">DEVSQ(I4:I22)</f>
        <v>#NAME?</v>
      </c>
      <c r="O14" s="8"/>
      <c r="P14" s="8"/>
      <c r="Q14" s="8"/>
      <c r="R14" s="8"/>
      <c r="U14">
        <f t="shared" si="4"/>
        <v>10</v>
      </c>
      <c r="V14" t="e">
        <f t="shared" ca="1" si="5"/>
        <v>#NAME?</v>
      </c>
      <c r="W14" t="e">
        <f t="shared" ca="1" si="6"/>
        <v>#NAME?</v>
      </c>
      <c r="Z14" t="s">
        <v>59</v>
      </c>
      <c r="AA14" s="14" t="e">
        <f ca="1">SQRT(AA7/AA17)</f>
        <v>#NAME?</v>
      </c>
      <c r="AC14">
        <f>AC13+1</f>
        <v>1</v>
      </c>
      <c r="AD14" t="e">
        <f ca="1"/>
        <v>#NAME?</v>
      </c>
      <c r="AM14">
        <f t="shared" si="1"/>
        <v>10</v>
      </c>
      <c r="AN14" t="e">
        <f t="shared" ca="1" si="1"/>
        <v>#NAME?</v>
      </c>
      <c r="AO14" t="e">
        <f t="shared" ca="1" si="1"/>
        <v>#NAME?</v>
      </c>
      <c r="AP14" t="e">
        <f t="shared" ca="1" si="7"/>
        <v>#NAME?</v>
      </c>
      <c r="AQ14" t="e">
        <f t="shared" ca="1" si="8"/>
        <v>#NAME?</v>
      </c>
      <c r="AR14" t="e">
        <f t="shared" ca="1" si="9"/>
        <v>#NAME?</v>
      </c>
      <c r="AS14" t="e">
        <f t="shared" ca="1" si="10"/>
        <v>#NAME?</v>
      </c>
      <c r="AU14">
        <f t="shared" si="11"/>
        <v>11</v>
      </c>
      <c r="AV14" t="e">
        <f t="shared" ca="1" si="12"/>
        <v>#NAME?</v>
      </c>
      <c r="AX14">
        <f t="shared" si="13"/>
        <v>11</v>
      </c>
      <c r="AY14">
        <f t="shared" si="2"/>
        <v>10.122478080183001</v>
      </c>
    </row>
    <row r="15" spans="1:51" ht="15" thickBot="1" x14ac:dyDescent="0.4">
      <c r="A15">
        <f t="shared" si="0"/>
        <v>12</v>
      </c>
      <c r="B15" s="6">
        <v>6.5</v>
      </c>
      <c r="C15" s="7">
        <v>21.37</v>
      </c>
      <c r="D15">
        <f>10.173602244452-0.2</f>
        <v>9.9736022444520014</v>
      </c>
      <c r="F15">
        <f t="shared" si="3"/>
        <v>12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U15">
        <f t="shared" si="4"/>
        <v>11</v>
      </c>
      <c r="V15" t="e">
        <f t="shared" ca="1" si="5"/>
        <v>#NAME?</v>
      </c>
      <c r="W15" t="e">
        <f t="shared" ca="1" si="6"/>
        <v>#NAME?</v>
      </c>
      <c r="Z15" t="s">
        <v>60</v>
      </c>
      <c r="AA15" s="14" t="e">
        <f ca="1">AVERAGE(V5:V23)</f>
        <v>#NAME?</v>
      </c>
      <c r="AC15" s="8">
        <f>AC14+1</f>
        <v>2</v>
      </c>
      <c r="AD15" s="8" t="e">
        <f ca="1"/>
        <v>#NAME?</v>
      </c>
      <c r="AM15">
        <f t="shared" si="1"/>
        <v>11</v>
      </c>
      <c r="AN15" t="e">
        <f t="shared" ca="1" si="1"/>
        <v>#NAME?</v>
      </c>
      <c r="AO15" t="e">
        <f t="shared" ca="1" si="1"/>
        <v>#NAME?</v>
      </c>
      <c r="AP15" t="e">
        <f t="shared" ca="1" si="7"/>
        <v>#NAME?</v>
      </c>
      <c r="AQ15" t="e">
        <f t="shared" ca="1" si="8"/>
        <v>#NAME?</v>
      </c>
      <c r="AR15" t="e">
        <f t="shared" ca="1" si="9"/>
        <v>#NAME?</v>
      </c>
      <c r="AS15" t="e">
        <f t="shared" ca="1" si="10"/>
        <v>#NAME?</v>
      </c>
      <c r="AU15">
        <f t="shared" si="11"/>
        <v>12</v>
      </c>
      <c r="AV15" t="e">
        <f t="shared" ca="1" si="12"/>
        <v>#NAME?</v>
      </c>
      <c r="AX15">
        <f t="shared" si="13"/>
        <v>12</v>
      </c>
      <c r="AY15">
        <f t="shared" si="2"/>
        <v>9.9736022444520014</v>
      </c>
    </row>
    <row r="16" spans="1:51" ht="15" thickTop="1" x14ac:dyDescent="0.35">
      <c r="A16">
        <f t="shared" si="0"/>
        <v>13</v>
      </c>
      <c r="B16" s="6">
        <v>8.5</v>
      </c>
      <c r="C16" s="7">
        <v>22.79</v>
      </c>
      <c r="D16">
        <f>10.8213098008928-0.2</f>
        <v>10.621309800892801</v>
      </c>
      <c r="F16">
        <f t="shared" si="3"/>
        <v>13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L16" s="4"/>
      <c r="M16" s="4" t="s">
        <v>23</v>
      </c>
      <c r="N16" s="4" t="s">
        <v>61</v>
      </c>
      <c r="O16" s="4" t="s">
        <v>62</v>
      </c>
      <c r="P16" s="4" t="s">
        <v>26</v>
      </c>
      <c r="Q16" s="4" t="s">
        <v>28</v>
      </c>
      <c r="R16" s="4" t="s">
        <v>29</v>
      </c>
      <c r="S16" s="4" t="s">
        <v>63</v>
      </c>
      <c r="U16">
        <f t="shared" si="4"/>
        <v>12</v>
      </c>
      <c r="V16" t="e">
        <f t="shared" ca="1" si="5"/>
        <v>#NAME?</v>
      </c>
      <c r="W16" t="e">
        <f t="shared" ca="1" si="6"/>
        <v>#NAME?</v>
      </c>
      <c r="Z16" t="s">
        <v>64</v>
      </c>
      <c r="AA16" s="14" t="e">
        <f ca="1">_xlfn.STDEV.S(V5:V23)</f>
        <v>#NAME?</v>
      </c>
      <c r="AM16">
        <f t="shared" si="1"/>
        <v>12</v>
      </c>
      <c r="AN16" t="e">
        <f t="shared" ca="1" si="1"/>
        <v>#NAME?</v>
      </c>
      <c r="AO16" t="e">
        <f t="shared" ca="1" si="1"/>
        <v>#NAME?</v>
      </c>
      <c r="AP16" t="e">
        <f t="shared" ca="1" si="7"/>
        <v>#NAME?</v>
      </c>
      <c r="AQ16" t="e">
        <f t="shared" ca="1" si="8"/>
        <v>#NAME?</v>
      </c>
      <c r="AR16" t="e">
        <f t="shared" ca="1" si="9"/>
        <v>#NAME?</v>
      </c>
      <c r="AS16" t="e">
        <f t="shared" ca="1" si="10"/>
        <v>#NAME?</v>
      </c>
      <c r="AU16">
        <f t="shared" si="11"/>
        <v>13</v>
      </c>
      <c r="AV16" t="e">
        <f t="shared" ca="1" si="12"/>
        <v>#NAME?</v>
      </c>
      <c r="AX16">
        <f t="shared" si="13"/>
        <v>13</v>
      </c>
      <c r="AY16">
        <f t="shared" si="2"/>
        <v>10.621309800892801</v>
      </c>
    </row>
    <row r="17" spans="1:51" x14ac:dyDescent="0.35">
      <c r="A17">
        <f t="shared" si="0"/>
        <v>14</v>
      </c>
      <c r="B17" s="6">
        <v>9.5</v>
      </c>
      <c r="C17" s="7">
        <v>23.475000000000001</v>
      </c>
      <c r="D17">
        <v>10.084063249573957</v>
      </c>
      <c r="F17">
        <f t="shared" si="3"/>
        <v>14</v>
      </c>
      <c r="G17" t="e">
        <f ca="1"/>
        <v>#NAME?</v>
      </c>
      <c r="H17" t="e">
        <f ca="1"/>
        <v>#NAME?</v>
      </c>
      <c r="I17" t="e">
        <f ca="1"/>
        <v>#NAME?</v>
      </c>
      <c r="J17" t="e">
        <f ca="1"/>
        <v>#NAME?</v>
      </c>
      <c r="L17" t="s">
        <v>65</v>
      </c>
      <c r="M17" t="e">
        <f t="array" aca="1" ref="M17:N19" ca="1">RegCoeff(G4:H22,I4:I22)</f>
        <v>#NAME?</v>
      </c>
      <c r="N17" t="e">
        <f ca="1"/>
        <v>#NAME?</v>
      </c>
      <c r="O17" t="e">
        <f ca="1">M17/N17</f>
        <v>#NAME?</v>
      </c>
      <c r="P17" t="e">
        <f ca="1">_xlfn.T.DIST.2T(ABS(O17),$M$13)</f>
        <v>#NAME?</v>
      </c>
      <c r="Q17" t="e">
        <f ca="1">M17-_xlfn.T.INV.2T(Q$10,$M$13)*N17</f>
        <v>#NAME?</v>
      </c>
      <c r="R17" t="e">
        <f ca="1">M17+_xlfn.T.INV.2T(Q$10,$M$13)*N17</f>
        <v>#NAME?</v>
      </c>
      <c r="U17">
        <f t="shared" si="4"/>
        <v>13</v>
      </c>
      <c r="V17" t="e">
        <f t="shared" ca="1" si="5"/>
        <v>#NAME?</v>
      </c>
      <c r="W17" t="e">
        <f t="shared" ca="1" si="6"/>
        <v>#NAME?</v>
      </c>
      <c r="Z17" t="s">
        <v>66</v>
      </c>
      <c r="AA17" s="16">
        <f ca="1">COUNT(V5:V23)</f>
        <v>0</v>
      </c>
      <c r="AM17">
        <f t="shared" si="1"/>
        <v>13</v>
      </c>
      <c r="AN17" t="e">
        <f t="shared" ca="1" si="1"/>
        <v>#NAME?</v>
      </c>
      <c r="AO17" t="e">
        <f t="shared" ca="1" si="1"/>
        <v>#NAME?</v>
      </c>
      <c r="AP17" t="e">
        <f t="shared" ca="1" si="7"/>
        <v>#NAME?</v>
      </c>
      <c r="AQ17" t="e">
        <f t="shared" ca="1" si="8"/>
        <v>#NAME?</v>
      </c>
      <c r="AR17" t="e">
        <f t="shared" ca="1" si="9"/>
        <v>#NAME?</v>
      </c>
      <c r="AS17" t="e">
        <f t="shared" ca="1" si="10"/>
        <v>#NAME?</v>
      </c>
      <c r="AU17">
        <f t="shared" si="11"/>
        <v>14</v>
      </c>
      <c r="AV17" t="e">
        <f t="shared" ca="1" si="12"/>
        <v>#NAME?</v>
      </c>
      <c r="AX17">
        <f t="shared" si="13"/>
        <v>14</v>
      </c>
      <c r="AY17">
        <f t="shared" si="2"/>
        <v>10.084063249573957</v>
      </c>
    </row>
    <row r="18" spans="1:51" x14ac:dyDescent="0.35">
      <c r="A18">
        <f t="shared" si="0"/>
        <v>15</v>
      </c>
      <c r="B18" s="6">
        <v>15</v>
      </c>
      <c r="C18" s="7">
        <v>23.844999999999999</v>
      </c>
      <c r="D18">
        <v>10.346054055555477</v>
      </c>
      <c r="F18">
        <f t="shared" si="3"/>
        <v>15</v>
      </c>
      <c r="G18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L18" t="str">
        <f t="array" ref="L18:L19">TRANSPOSE(G3:H3)</f>
        <v>X1</v>
      </c>
      <c r="M18" t="e">
        <f ca="1"/>
        <v>#NAME?</v>
      </c>
      <c r="N18" t="e">
        <f ca="1"/>
        <v>#NAME?</v>
      </c>
      <c r="O18" t="e">
        <f t="shared" ref="O18:O19" ca="1" si="14">M18/N18</f>
        <v>#NAME?</v>
      </c>
      <c r="P18" t="e">
        <f t="shared" ref="P18:P19" ca="1" si="15">_xlfn.T.DIST.2T(ABS(O18),$M$13)</f>
        <v>#NAME?</v>
      </c>
      <c r="Q18" t="e">
        <f t="shared" ref="Q18:Q19" ca="1" si="16">M18-_xlfn.T.INV.2T(Q$10,$M$13)*N18</f>
        <v>#NAME?</v>
      </c>
      <c r="R18" t="e">
        <f t="shared" ref="R18:R19" ca="1" si="17">M18+_xlfn.T.INV.2T(Q$10,$M$13)*N18</f>
        <v>#NAME?</v>
      </c>
      <c r="S18" t="e">
        <f ca="1">VIF(G4:H22,1)</f>
        <v>#NAME?</v>
      </c>
      <c r="U18">
        <f t="shared" si="4"/>
        <v>14</v>
      </c>
      <c r="V18" t="e">
        <f t="shared" ca="1" si="5"/>
        <v>#NAME?</v>
      </c>
      <c r="W18" t="e">
        <f t="shared" ca="1" si="6"/>
        <v>#NAME?</v>
      </c>
      <c r="AM18">
        <f t="shared" si="1"/>
        <v>14</v>
      </c>
      <c r="AN18" t="e">
        <f t="shared" ca="1" si="1"/>
        <v>#NAME?</v>
      </c>
      <c r="AO18" t="e">
        <f t="shared" ca="1" si="1"/>
        <v>#NAME?</v>
      </c>
      <c r="AP18" t="e">
        <f t="shared" ca="1" si="7"/>
        <v>#NAME?</v>
      </c>
      <c r="AQ18" t="e">
        <f t="shared" ca="1" si="8"/>
        <v>#NAME?</v>
      </c>
      <c r="AR18" t="e">
        <f t="shared" ca="1" si="9"/>
        <v>#NAME?</v>
      </c>
      <c r="AS18" t="e">
        <f t="shared" ca="1" si="10"/>
        <v>#NAME?</v>
      </c>
      <c r="AU18">
        <f t="shared" si="11"/>
        <v>15</v>
      </c>
      <c r="AV18" t="e">
        <f t="shared" ca="1" si="12"/>
        <v>#NAME?</v>
      </c>
      <c r="AX18">
        <f t="shared" si="13"/>
        <v>15</v>
      </c>
      <c r="AY18">
        <f t="shared" si="2"/>
        <v>10.346054055555477</v>
      </c>
    </row>
    <row r="19" spans="1:51" x14ac:dyDescent="0.35">
      <c r="A19">
        <f t="shared" si="0"/>
        <v>16</v>
      </c>
      <c r="B19" s="6">
        <v>14</v>
      </c>
      <c r="C19" s="7">
        <v>23.12</v>
      </c>
      <c r="D19">
        <f>9.69220293930259-1.8</f>
        <v>7.8922029393025896</v>
      </c>
      <c r="F19">
        <f t="shared" si="3"/>
        <v>16</v>
      </c>
      <c r="G19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L19" s="8" t="str">
        <v>X2</v>
      </c>
      <c r="M19" s="8" t="e">
        <f ca="1"/>
        <v>#NAME?</v>
      </c>
      <c r="N19" s="8" t="e">
        <f ca="1"/>
        <v>#NAME?</v>
      </c>
      <c r="O19" s="8" t="e">
        <f t="shared" ca="1" si="14"/>
        <v>#NAME?</v>
      </c>
      <c r="P19" s="8" t="e">
        <f t="shared" ca="1" si="15"/>
        <v>#NAME?</v>
      </c>
      <c r="Q19" s="8" t="e">
        <f t="shared" ca="1" si="16"/>
        <v>#NAME?</v>
      </c>
      <c r="R19" s="8" t="e">
        <f t="shared" ca="1" si="17"/>
        <v>#NAME?</v>
      </c>
      <c r="S19" s="8" t="e">
        <f ca="1">VIF(G4:H22,2)</f>
        <v>#NAME?</v>
      </c>
      <c r="U19">
        <f t="shared" si="4"/>
        <v>15</v>
      </c>
      <c r="V19" t="e">
        <f t="shared" ca="1" si="5"/>
        <v>#NAME?</v>
      </c>
      <c r="W19" t="e">
        <f t="shared" ca="1" si="6"/>
        <v>#NAME?</v>
      </c>
      <c r="Z19" t="s">
        <v>67</v>
      </c>
      <c r="AA19" s="13" t="e">
        <f ca="1">-(AA22-2*(AA9+AA10))/2</f>
        <v>#NAME?</v>
      </c>
      <c r="AM19">
        <f t="shared" si="1"/>
        <v>15</v>
      </c>
      <c r="AN19" t="e">
        <f t="shared" ca="1" si="1"/>
        <v>#NAME?</v>
      </c>
      <c r="AO19" t="e">
        <f t="shared" ca="1" si="1"/>
        <v>#NAME?</v>
      </c>
      <c r="AP19" t="e">
        <f t="shared" ca="1" si="7"/>
        <v>#NAME?</v>
      </c>
      <c r="AQ19" t="e">
        <f t="shared" ca="1" si="8"/>
        <v>#NAME?</v>
      </c>
      <c r="AR19" t="e">
        <f t="shared" ca="1" si="9"/>
        <v>#NAME?</v>
      </c>
      <c r="AS19" t="e">
        <f t="shared" ca="1" si="10"/>
        <v>#NAME?</v>
      </c>
      <c r="AU19">
        <f t="shared" si="11"/>
        <v>16</v>
      </c>
      <c r="AV19" t="e">
        <f t="shared" ca="1" si="12"/>
        <v>#NAME?</v>
      </c>
      <c r="AX19">
        <f t="shared" si="13"/>
        <v>16</v>
      </c>
      <c r="AY19">
        <f t="shared" si="2"/>
        <v>7.8922029393025896</v>
      </c>
    </row>
    <row r="20" spans="1:51" x14ac:dyDescent="0.35">
      <c r="A20">
        <f t="shared" si="0"/>
        <v>17</v>
      </c>
      <c r="B20" s="6">
        <v>12</v>
      </c>
      <c r="C20" s="7">
        <v>25.32</v>
      </c>
      <c r="D20">
        <v>11.205574770625867</v>
      </c>
      <c r="F20">
        <f t="shared" si="3"/>
        <v>17</v>
      </c>
      <c r="G20" t="e">
        <f ca="1"/>
        <v>#NAME?</v>
      </c>
      <c r="H20" t="e">
        <f ca="1"/>
        <v>#NAME?</v>
      </c>
      <c r="I20" t="e">
        <f ca="1"/>
        <v>#NAME?</v>
      </c>
      <c r="J20" t="e">
        <f ca="1"/>
        <v>#NAME?</v>
      </c>
      <c r="U20">
        <f t="shared" si="4"/>
        <v>16</v>
      </c>
      <c r="V20" t="e">
        <f t="shared" ca="1" si="5"/>
        <v>#NAME?</v>
      </c>
      <c r="W20" t="e">
        <f t="shared" ca="1" si="6"/>
        <v>#NAME?</v>
      </c>
      <c r="Z20" t="s">
        <v>32</v>
      </c>
      <c r="AA20" s="14" t="e">
        <f ca="1">AA17*LN(AA7/AA17)+2*(AA9+AA10)</f>
        <v>#NAME?</v>
      </c>
      <c r="AM20">
        <f t="shared" si="1"/>
        <v>16</v>
      </c>
      <c r="AN20" t="e">
        <f t="shared" ca="1" si="1"/>
        <v>#NAME?</v>
      </c>
      <c r="AO20" t="e">
        <f t="shared" ca="1" si="1"/>
        <v>#NAME?</v>
      </c>
      <c r="AP20" t="e">
        <f t="shared" ca="1" si="7"/>
        <v>#NAME?</v>
      </c>
      <c r="AQ20" t="e">
        <f t="shared" ca="1" si="8"/>
        <v>#NAME?</v>
      </c>
      <c r="AR20" t="e">
        <f t="shared" ca="1" si="9"/>
        <v>#NAME?</v>
      </c>
      <c r="AS20" t="e">
        <f t="shared" ca="1" si="10"/>
        <v>#NAME?</v>
      </c>
      <c r="AU20">
        <f t="shared" si="11"/>
        <v>17</v>
      </c>
      <c r="AV20" t="e">
        <f t="shared" ca="1" si="12"/>
        <v>#NAME?</v>
      </c>
      <c r="AX20">
        <f t="shared" si="13"/>
        <v>17</v>
      </c>
      <c r="AY20">
        <f t="shared" si="2"/>
        <v>11.205574770625867</v>
      </c>
    </row>
    <row r="21" spans="1:51" x14ac:dyDescent="0.35">
      <c r="A21">
        <f t="shared" si="0"/>
        <v>18</v>
      </c>
      <c r="B21" s="6">
        <v>13.5</v>
      </c>
      <c r="C21" s="7">
        <v>27.895</v>
      </c>
      <c r="D21">
        <f>12.6521164165148-0.2</f>
        <v>12.452116416514802</v>
      </c>
      <c r="F21">
        <f t="shared" si="3"/>
        <v>18</v>
      </c>
      <c r="G21" t="e">
        <f ca="1"/>
        <v>#NAME?</v>
      </c>
      <c r="H21" t="e">
        <f ca="1"/>
        <v>#NAME?</v>
      </c>
      <c r="I21" t="e">
        <f ca="1"/>
        <v>#NAME?</v>
      </c>
      <c r="J21" t="e">
        <f ca="1"/>
        <v>#NAME?</v>
      </c>
      <c r="U21">
        <f t="shared" si="4"/>
        <v>17</v>
      </c>
      <c r="V21" t="e">
        <f t="shared" ca="1" si="5"/>
        <v>#NAME?</v>
      </c>
      <c r="W21" t="e">
        <f t="shared" ca="1" si="6"/>
        <v>#NAME?</v>
      </c>
      <c r="Z21" t="s">
        <v>68</v>
      </c>
      <c r="AA21" s="14" t="e">
        <f ca="1">AA17*LN(AA7/AA17)+LN(AA17)*(AA9+AA10)</f>
        <v>#NAME?</v>
      </c>
      <c r="AM21">
        <f t="shared" si="1"/>
        <v>17</v>
      </c>
      <c r="AN21" t="e">
        <f t="shared" ca="1" si="1"/>
        <v>#NAME?</v>
      </c>
      <c r="AO21" t="e">
        <f t="shared" ca="1" si="1"/>
        <v>#NAME?</v>
      </c>
      <c r="AP21" t="e">
        <f t="shared" ca="1" si="7"/>
        <v>#NAME?</v>
      </c>
      <c r="AQ21" t="e">
        <f t="shared" ca="1" si="8"/>
        <v>#NAME?</v>
      </c>
      <c r="AR21" t="e">
        <f t="shared" ca="1" si="9"/>
        <v>#NAME?</v>
      </c>
      <c r="AS21" t="e">
        <f t="shared" ca="1" si="10"/>
        <v>#NAME?</v>
      </c>
      <c r="AU21">
        <f t="shared" si="11"/>
        <v>18</v>
      </c>
      <c r="AV21" t="e">
        <f t="shared" ca="1" si="12"/>
        <v>#NAME?</v>
      </c>
      <c r="AX21">
        <f t="shared" si="13"/>
        <v>18</v>
      </c>
      <c r="AY21">
        <f t="shared" si="2"/>
        <v>12.452116416514802</v>
      </c>
    </row>
    <row r="22" spans="1:51" x14ac:dyDescent="0.35">
      <c r="A22">
        <f t="shared" si="0"/>
        <v>19</v>
      </c>
      <c r="B22" s="6">
        <v>16.5</v>
      </c>
      <c r="C22" s="7">
        <v>28.265000000000001</v>
      </c>
      <c r="D22">
        <f>13.4063291686354+0.1</f>
        <v>13.5063291686354</v>
      </c>
      <c r="F22">
        <f t="shared" si="3"/>
        <v>19</v>
      </c>
      <c r="G22" s="8" t="e">
        <f ca="1"/>
        <v>#NAME?</v>
      </c>
      <c r="H22" s="8" t="e">
        <f ca="1"/>
        <v>#NAME?</v>
      </c>
      <c r="I22" s="8" t="e">
        <f ca="1"/>
        <v>#NAME?</v>
      </c>
      <c r="J22" s="8" t="e">
        <f ca="1"/>
        <v>#NAME?</v>
      </c>
      <c r="U22">
        <f t="shared" si="4"/>
        <v>18</v>
      </c>
      <c r="V22" t="e">
        <f t="shared" ca="1" si="5"/>
        <v>#NAME?</v>
      </c>
      <c r="W22" t="e">
        <f t="shared" ca="1" si="6"/>
        <v>#NAME?</v>
      </c>
      <c r="Z22" t="s">
        <v>69</v>
      </c>
      <c r="AA22" s="14" t="e">
        <f ca="1">AA17*(1+LN(2*PI()))+AA20</f>
        <v>#NAME?</v>
      </c>
      <c r="AM22">
        <f t="shared" si="1"/>
        <v>18</v>
      </c>
      <c r="AN22" t="e">
        <f t="shared" ca="1" si="1"/>
        <v>#NAME?</v>
      </c>
      <c r="AO22" t="e">
        <f t="shared" ca="1" si="1"/>
        <v>#NAME?</v>
      </c>
      <c r="AP22" t="e">
        <f t="shared" ca="1" si="7"/>
        <v>#NAME?</v>
      </c>
      <c r="AQ22" t="e">
        <f t="shared" ca="1" si="8"/>
        <v>#NAME?</v>
      </c>
      <c r="AR22" t="e">
        <f t="shared" ca="1" si="9"/>
        <v>#NAME?</v>
      </c>
      <c r="AS22" t="e">
        <f t="shared" ca="1" si="10"/>
        <v>#NAME?</v>
      </c>
      <c r="AU22" s="8">
        <f t="shared" si="11"/>
        <v>19</v>
      </c>
      <c r="AV22" s="8" t="e">
        <f t="shared" ca="1" si="12"/>
        <v>#NAME?</v>
      </c>
      <c r="AX22">
        <f t="shared" si="13"/>
        <v>19</v>
      </c>
      <c r="AY22">
        <f t="shared" si="2"/>
        <v>13.5063291686354</v>
      </c>
    </row>
    <row r="23" spans="1:51" x14ac:dyDescent="0.35">
      <c r="A23">
        <f t="shared" si="0"/>
        <v>20</v>
      </c>
      <c r="B23" s="17">
        <v>10</v>
      </c>
      <c r="C23" s="18">
        <v>29.684999999999999</v>
      </c>
      <c r="D23" s="8">
        <f>12.231217930184-0.5</f>
        <v>11.731217930184</v>
      </c>
      <c r="G23" s="29" t="e">
        <f t="array" aca="1" ref="G23:G25" ca="1">ADIFF(B23:B26,1)</f>
        <v>#NAME?</v>
      </c>
      <c r="H23" s="29" t="e">
        <f t="array" aca="1" ref="H23:H25" ca="1">ADIFF(C23:C26,1)</f>
        <v>#NAME?</v>
      </c>
      <c r="I23" s="29" t="e">
        <f t="array" aca="1" ref="I23:I25" ca="1">TREND(I4:I22,G4:H22,G23:H25)+J23:J25</f>
        <v>#VALUE!</v>
      </c>
      <c r="J23" s="29" t="e">
        <f ca="1">AP24</f>
        <v>#NAME?</v>
      </c>
      <c r="U23" s="8">
        <f t="shared" si="4"/>
        <v>19</v>
      </c>
      <c r="V23" s="8" t="e">
        <f t="shared" ca="1" si="5"/>
        <v>#NAME?</v>
      </c>
      <c r="W23" s="8" t="e">
        <f t="shared" ca="1" si="6"/>
        <v>#NAME?</v>
      </c>
      <c r="Z23" t="s">
        <v>70</v>
      </c>
      <c r="AA23" s="16" t="e">
        <f ca="1">AA17*(1+LN(2*PI()))+AA21</f>
        <v>#NAME?</v>
      </c>
      <c r="AM23">
        <f t="shared" si="1"/>
        <v>19</v>
      </c>
      <c r="AN23" t="e">
        <f t="shared" ca="1" si="1"/>
        <v>#NAME?</v>
      </c>
      <c r="AO23" t="e">
        <f t="shared" ca="1" si="1"/>
        <v>#NAME?</v>
      </c>
      <c r="AP23" t="e">
        <f t="shared" ca="1" si="7"/>
        <v>#NAME?</v>
      </c>
      <c r="AQ23" t="e">
        <f t="shared" ca="1" si="8"/>
        <v>#NAME?</v>
      </c>
      <c r="AR23" t="e">
        <f t="shared" ca="1" si="9"/>
        <v>#NAME?</v>
      </c>
      <c r="AS23" t="e">
        <f t="shared" ca="1" si="10"/>
        <v>#NAME?</v>
      </c>
      <c r="AU23">
        <f t="shared" si="11"/>
        <v>20</v>
      </c>
      <c r="AV23" t="e">
        <f ca="1">AP24</f>
        <v>#NAME?</v>
      </c>
      <c r="AX23" s="8">
        <f t="shared" si="13"/>
        <v>20</v>
      </c>
      <c r="AY23" s="8">
        <f t="shared" si="2"/>
        <v>11.731217930184</v>
      </c>
    </row>
    <row r="24" spans="1:51" x14ac:dyDescent="0.35">
      <c r="A24">
        <v>21</v>
      </c>
      <c r="B24" s="6">
        <v>12</v>
      </c>
      <c r="C24" s="7">
        <v>30</v>
      </c>
      <c r="G24" t="e">
        <f ca="1"/>
        <v>#NAME?</v>
      </c>
      <c r="H24" t="e">
        <f ca="1"/>
        <v>#NAME?</v>
      </c>
      <c r="I24" t="e">
        <f ca="1"/>
        <v>#VALUE!</v>
      </c>
      <c r="J24">
        <f t="shared" ref="J24:J25" si="18">AP25</f>
        <v>0</v>
      </c>
      <c r="AM24">
        <f>AM23+1</f>
        <v>20</v>
      </c>
      <c r="AP24" t="e">
        <f ca="1">SUMPRODUCT(AO23,AA4)</f>
        <v>#NAME?</v>
      </c>
      <c r="AQ24" t="e">
        <f ca="1">AA$14*SQRT(SUMSQ(AD$13:AD13))</f>
        <v>#NAME?</v>
      </c>
      <c r="AR24" t="e">
        <f ca="1">AP24-_xlfn.NORM.S.INV(1-AQ$2/2)*AQ24</f>
        <v>#NAME?</v>
      </c>
      <c r="AS24" t="e">
        <f ca="1">AP24+_xlfn.NORM.S.INV(1-AQ$2/2)*AQ24</f>
        <v>#NAME?</v>
      </c>
      <c r="AU24">
        <f t="shared" si="11"/>
        <v>21</v>
      </c>
      <c r="AV24">
        <f t="shared" ref="AV24:AV25" si="19">AP25</f>
        <v>0</v>
      </c>
      <c r="AX24" s="29">
        <f t="shared" si="13"/>
        <v>21</v>
      </c>
      <c r="AY24" s="29" t="e">
        <f t="array" aca="1" ref="AY24:AY26" ca="1">SARIMA_PRED(I23:I25,AY4:AY23,1,0)</f>
        <v>#NAME?</v>
      </c>
    </row>
    <row r="25" spans="1:51" x14ac:dyDescent="0.35">
      <c r="A25">
        <v>22</v>
      </c>
      <c r="B25" s="6">
        <v>14</v>
      </c>
      <c r="C25" s="7">
        <v>30.5</v>
      </c>
      <c r="G25" s="8" t="e">
        <f ca="1"/>
        <v>#NAME?</v>
      </c>
      <c r="H25" s="8" t="e">
        <f ca="1"/>
        <v>#NAME?</v>
      </c>
      <c r="I25" s="8" t="e">
        <f ca="1"/>
        <v>#VALUE!</v>
      </c>
      <c r="J25" s="8">
        <f t="shared" si="18"/>
        <v>0</v>
      </c>
      <c r="AM25">
        <f t="shared" ref="AM25:AM26" si="20">AM24+1</f>
        <v>21</v>
      </c>
      <c r="AP25">
        <v>0</v>
      </c>
      <c r="AQ25" t="e">
        <f ca="1">AA$14*SQRT(SUMSQ(AD$13:AD14))</f>
        <v>#NAME?</v>
      </c>
      <c r="AR25" t="e">
        <f t="shared" ref="AR25:AR26" ca="1" si="21">AP25-_xlfn.NORM.S.INV(1-AQ$2/2)*AQ25</f>
        <v>#NAME?</v>
      </c>
      <c r="AS25" t="e">
        <f t="shared" ref="AS25:AS26" ca="1" si="22">AP25+_xlfn.NORM.S.INV(1-AQ$2/2)*AQ25</f>
        <v>#NAME?</v>
      </c>
      <c r="AU25" s="8">
        <f t="shared" si="11"/>
        <v>22</v>
      </c>
      <c r="AV25" s="8">
        <f t="shared" si="19"/>
        <v>0</v>
      </c>
      <c r="AX25">
        <f t="shared" si="13"/>
        <v>22</v>
      </c>
      <c r="AY25" t="e">
        <f ca="1"/>
        <v>#NAME?</v>
      </c>
    </row>
    <row r="26" spans="1:51" x14ac:dyDescent="0.35">
      <c r="A26">
        <v>23</v>
      </c>
      <c r="B26" s="17">
        <v>15</v>
      </c>
      <c r="C26" s="18">
        <v>31.5</v>
      </c>
      <c r="D26" s="8"/>
      <c r="AM26" s="8">
        <f t="shared" si="20"/>
        <v>22</v>
      </c>
      <c r="AN26" s="8"/>
      <c r="AO26" s="8"/>
      <c r="AP26" s="8">
        <v>0</v>
      </c>
      <c r="AQ26" s="8" t="e">
        <f ca="1">AA$14*SQRT(SUMSQ(AD$13:AD15))</f>
        <v>#NAME?</v>
      </c>
      <c r="AR26" s="8" t="e">
        <f t="shared" ca="1" si="21"/>
        <v>#NAME?</v>
      </c>
      <c r="AS26" s="8" t="e">
        <f t="shared" ca="1" si="22"/>
        <v>#NAME?</v>
      </c>
      <c r="AX26" s="8">
        <f t="shared" si="13"/>
        <v>23</v>
      </c>
      <c r="AY26" s="8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ARIMAX 1</vt:lpstr>
      <vt:lpstr>ARIMAX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2025-02-06T09:56:07Z</dcterms:created>
  <dcterms:modified xsi:type="dcterms:W3CDTF">2025-02-06T10:00:05Z</dcterms:modified>
</cp:coreProperties>
</file>