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4790D509-40A6-410C-B7BB-EF2D15171DD4}" xr6:coauthVersionLast="47" xr6:coauthVersionMax="47" xr10:uidLastSave="{00000000-0000-0000-0000-000000000000}"/>
  <bookViews>
    <workbookView xWindow="-110" yWindow="-110" windowWidth="19420" windowHeight="10300" xr2:uid="{829AAB0C-E4F9-4932-A938-8F9C4CBBB2BC}"/>
  </bookViews>
  <sheets>
    <sheet name="Title" sheetId="3" r:id="rId1"/>
    <sheet name="White 1" sheetId="1" r:id="rId2"/>
    <sheet name="White 2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8" i="2" l="1"/>
  <c r="W27" i="2"/>
  <c r="W26" i="2"/>
  <c r="W25" i="2"/>
  <c r="W24" i="2"/>
  <c r="W23" i="2"/>
  <c r="W22" i="2"/>
  <c r="W21" i="2"/>
  <c r="W20" i="2"/>
  <c r="R28" i="2"/>
  <c r="Q28" i="2"/>
  <c r="S28" i="2" s="1"/>
  <c r="R27" i="2"/>
  <c r="Q19" i="2" a="1"/>
  <c r="Q27" i="2" s="1"/>
  <c r="AA10" i="2" a="1"/>
  <c r="AA10" i="2" s="1"/>
  <c r="AA9" i="2" a="1"/>
  <c r="AA9" i="2" s="1"/>
  <c r="AA8" i="2" a="1"/>
  <c r="AA8" i="2" s="1"/>
  <c r="AA7" i="2" a="1"/>
  <c r="AA7" i="2" s="1"/>
  <c r="AA5" i="2" a="1"/>
  <c r="AA5" i="2" s="1"/>
  <c r="AA4" i="2" a="1"/>
  <c r="AA4" i="2" s="1"/>
  <c r="AA3" i="2" a="1"/>
  <c r="AA3" i="2" s="1"/>
  <c r="R21" i="1"/>
  <c r="R20" i="1"/>
  <c r="L19" i="1" a="1"/>
  <c r="L21" i="1" s="1"/>
  <c r="Z12" i="1" a="1"/>
  <c r="Z12" i="1" s="1"/>
  <c r="X12" i="1" a="1"/>
  <c r="X12" i="1" s="1"/>
  <c r="V12" i="1" a="1"/>
  <c r="V12" i="1" s="1"/>
  <c r="V11" i="1" a="1"/>
  <c r="V11" i="1" s="1"/>
  <c r="V10" i="1" a="1"/>
  <c r="V10" i="1" s="1"/>
  <c r="Z9" i="1" a="1"/>
  <c r="Z9" i="1" s="1"/>
  <c r="X9" i="1" a="1"/>
  <c r="X9" i="1" s="1"/>
  <c r="V9" i="1" a="1"/>
  <c r="V9" i="1" s="1"/>
  <c r="Z7" i="1" a="1"/>
  <c r="Z7" i="1" s="1"/>
  <c r="X7" i="1" a="1"/>
  <c r="X7" i="1" s="1"/>
  <c r="V7" i="1" a="1"/>
  <c r="V7" i="1" s="1"/>
  <c r="V6" i="1" a="1"/>
  <c r="V6" i="1" s="1"/>
  <c r="Z5" i="1" a="1"/>
  <c r="Z5" i="1" s="1"/>
  <c r="X5" i="1" a="1"/>
  <c r="X5" i="1" s="1"/>
  <c r="V5" i="1" a="1"/>
  <c r="V5" i="1" s="1"/>
  <c r="K53" i="2"/>
  <c r="J53" i="2"/>
  <c r="I53" i="2"/>
  <c r="H53" i="2"/>
  <c r="G53" i="2"/>
  <c r="F53" i="2"/>
  <c r="K52" i="2"/>
  <c r="J52" i="2"/>
  <c r="I52" i="2"/>
  <c r="H52" i="2"/>
  <c r="G52" i="2"/>
  <c r="F52" i="2"/>
  <c r="K51" i="2"/>
  <c r="J51" i="2"/>
  <c r="I51" i="2"/>
  <c r="H51" i="2"/>
  <c r="G51" i="2"/>
  <c r="F51" i="2"/>
  <c r="K50" i="2"/>
  <c r="J50" i="2"/>
  <c r="I50" i="2"/>
  <c r="H50" i="2"/>
  <c r="G50" i="2"/>
  <c r="F50" i="2"/>
  <c r="K49" i="2"/>
  <c r="J49" i="2"/>
  <c r="I49" i="2"/>
  <c r="H49" i="2"/>
  <c r="G49" i="2"/>
  <c r="F49" i="2"/>
  <c r="K48" i="2"/>
  <c r="J48" i="2"/>
  <c r="I48" i="2"/>
  <c r="H48" i="2"/>
  <c r="G48" i="2"/>
  <c r="F48" i="2"/>
  <c r="K47" i="2"/>
  <c r="J47" i="2"/>
  <c r="I47" i="2"/>
  <c r="H47" i="2"/>
  <c r="G47" i="2"/>
  <c r="F47" i="2"/>
  <c r="K46" i="2"/>
  <c r="J46" i="2"/>
  <c r="I46" i="2"/>
  <c r="H46" i="2"/>
  <c r="G46" i="2"/>
  <c r="F46" i="2"/>
  <c r="K45" i="2"/>
  <c r="J45" i="2"/>
  <c r="I45" i="2"/>
  <c r="H45" i="2"/>
  <c r="G45" i="2"/>
  <c r="F45" i="2"/>
  <c r="K44" i="2"/>
  <c r="J44" i="2"/>
  <c r="I44" i="2"/>
  <c r="H44" i="2"/>
  <c r="G44" i="2"/>
  <c r="F44" i="2"/>
  <c r="K43" i="2"/>
  <c r="J43" i="2"/>
  <c r="I43" i="2"/>
  <c r="H43" i="2"/>
  <c r="G43" i="2"/>
  <c r="F43" i="2"/>
  <c r="K42" i="2"/>
  <c r="J42" i="2"/>
  <c r="I42" i="2"/>
  <c r="H42" i="2"/>
  <c r="G42" i="2"/>
  <c r="F42" i="2"/>
  <c r="K41" i="2"/>
  <c r="J41" i="2"/>
  <c r="I41" i="2"/>
  <c r="H41" i="2"/>
  <c r="G41" i="2"/>
  <c r="F41" i="2"/>
  <c r="K40" i="2"/>
  <c r="J40" i="2"/>
  <c r="I40" i="2"/>
  <c r="H40" i="2"/>
  <c r="G40" i="2"/>
  <c r="F40" i="2"/>
  <c r="K39" i="2"/>
  <c r="J39" i="2"/>
  <c r="I39" i="2"/>
  <c r="H39" i="2"/>
  <c r="G39" i="2"/>
  <c r="F39" i="2"/>
  <c r="K38" i="2"/>
  <c r="J38" i="2"/>
  <c r="I38" i="2"/>
  <c r="H38" i="2"/>
  <c r="G38" i="2"/>
  <c r="F38" i="2"/>
  <c r="K37" i="2"/>
  <c r="J37" i="2"/>
  <c r="I37" i="2"/>
  <c r="H37" i="2"/>
  <c r="G37" i="2"/>
  <c r="F37" i="2"/>
  <c r="K36" i="2"/>
  <c r="J36" i="2"/>
  <c r="I36" i="2"/>
  <c r="H36" i="2"/>
  <c r="G36" i="2"/>
  <c r="F36" i="2"/>
  <c r="K35" i="2"/>
  <c r="J35" i="2"/>
  <c r="I35" i="2"/>
  <c r="H35" i="2"/>
  <c r="G35" i="2"/>
  <c r="F35" i="2"/>
  <c r="K34" i="2"/>
  <c r="J34" i="2"/>
  <c r="I34" i="2"/>
  <c r="H34" i="2"/>
  <c r="G34" i="2"/>
  <c r="F34" i="2"/>
  <c r="K33" i="2"/>
  <c r="J33" i="2"/>
  <c r="I33" i="2"/>
  <c r="H33" i="2"/>
  <c r="G33" i="2"/>
  <c r="F33" i="2"/>
  <c r="K32" i="2"/>
  <c r="J32" i="2"/>
  <c r="I32" i="2"/>
  <c r="H32" i="2"/>
  <c r="G32" i="2"/>
  <c r="F32" i="2"/>
  <c r="K31" i="2"/>
  <c r="J31" i="2"/>
  <c r="I31" i="2"/>
  <c r="H31" i="2"/>
  <c r="G31" i="2"/>
  <c r="F31" i="2"/>
  <c r="K30" i="2"/>
  <c r="J30" i="2"/>
  <c r="I30" i="2"/>
  <c r="H30" i="2"/>
  <c r="G30" i="2"/>
  <c r="F30" i="2"/>
  <c r="K29" i="2"/>
  <c r="J29" i="2"/>
  <c r="I29" i="2"/>
  <c r="H29" i="2"/>
  <c r="G29" i="2"/>
  <c r="F29" i="2"/>
  <c r="K28" i="2"/>
  <c r="J28" i="2"/>
  <c r="I28" i="2"/>
  <c r="H28" i="2"/>
  <c r="G28" i="2"/>
  <c r="F28" i="2"/>
  <c r="K27" i="2"/>
  <c r="J27" i="2"/>
  <c r="I27" i="2"/>
  <c r="H27" i="2"/>
  <c r="G27" i="2"/>
  <c r="F27" i="2"/>
  <c r="K26" i="2"/>
  <c r="J26" i="2"/>
  <c r="I26" i="2"/>
  <c r="H26" i="2"/>
  <c r="G26" i="2"/>
  <c r="F26" i="2"/>
  <c r="K25" i="2"/>
  <c r="J25" i="2"/>
  <c r="I25" i="2"/>
  <c r="H25" i="2"/>
  <c r="G25" i="2"/>
  <c r="F25" i="2"/>
  <c r="K24" i="2"/>
  <c r="J24" i="2"/>
  <c r="I24" i="2"/>
  <c r="H24" i="2"/>
  <c r="G24" i="2"/>
  <c r="F24" i="2"/>
  <c r="K23" i="2"/>
  <c r="J23" i="2"/>
  <c r="I23" i="2"/>
  <c r="H23" i="2"/>
  <c r="G23" i="2"/>
  <c r="F23" i="2"/>
  <c r="K22" i="2"/>
  <c r="J22" i="2"/>
  <c r="I22" i="2"/>
  <c r="H22" i="2"/>
  <c r="G22" i="2"/>
  <c r="F22" i="2"/>
  <c r="K21" i="2"/>
  <c r="J21" i="2"/>
  <c r="I21" i="2"/>
  <c r="H21" i="2"/>
  <c r="G21" i="2"/>
  <c r="F21" i="2"/>
  <c r="P20" i="2" a="1"/>
  <c r="K20" i="2"/>
  <c r="J20" i="2"/>
  <c r="I20" i="2"/>
  <c r="H20" i="2"/>
  <c r="G20" i="2"/>
  <c r="F20" i="2"/>
  <c r="K19" i="2"/>
  <c r="J19" i="2"/>
  <c r="I19" i="2"/>
  <c r="H19" i="2"/>
  <c r="G19" i="2"/>
  <c r="F19" i="2"/>
  <c r="K18" i="2"/>
  <c r="J18" i="2"/>
  <c r="I18" i="2"/>
  <c r="H18" i="2"/>
  <c r="G18" i="2"/>
  <c r="F18" i="2"/>
  <c r="K17" i="2"/>
  <c r="J17" i="2"/>
  <c r="I17" i="2"/>
  <c r="H17" i="2"/>
  <c r="G17" i="2"/>
  <c r="F17" i="2"/>
  <c r="K16" i="2"/>
  <c r="J16" i="2"/>
  <c r="I16" i="2"/>
  <c r="H16" i="2"/>
  <c r="G16" i="2"/>
  <c r="F16" i="2"/>
  <c r="K15" i="2"/>
  <c r="J15" i="2"/>
  <c r="I15" i="2"/>
  <c r="H15" i="2"/>
  <c r="G15" i="2"/>
  <c r="F15" i="2"/>
  <c r="Q14" i="2"/>
  <c r="Y4" i="2" s="1"/>
  <c r="K14" i="2"/>
  <c r="J14" i="2"/>
  <c r="I14" i="2"/>
  <c r="H14" i="2"/>
  <c r="G14" i="2"/>
  <c r="F14" i="2"/>
  <c r="K13" i="2"/>
  <c r="J13" i="2"/>
  <c r="I13" i="2"/>
  <c r="H13" i="2"/>
  <c r="G13" i="2"/>
  <c r="F13" i="2"/>
  <c r="K12" i="2"/>
  <c r="J12" i="2"/>
  <c r="I12" i="2"/>
  <c r="H12" i="2"/>
  <c r="G12" i="2"/>
  <c r="F12" i="2"/>
  <c r="K11" i="2"/>
  <c r="J11" i="2"/>
  <c r="I11" i="2"/>
  <c r="H11" i="2"/>
  <c r="G11" i="2"/>
  <c r="F11" i="2"/>
  <c r="K10" i="2"/>
  <c r="J10" i="2"/>
  <c r="I10" i="2"/>
  <c r="H10" i="2"/>
  <c r="G10" i="2"/>
  <c r="F10" i="2"/>
  <c r="K9" i="2"/>
  <c r="J9" i="2"/>
  <c r="I9" i="2"/>
  <c r="H9" i="2"/>
  <c r="G9" i="2"/>
  <c r="F9" i="2"/>
  <c r="K8" i="2"/>
  <c r="J8" i="2"/>
  <c r="I8" i="2"/>
  <c r="H8" i="2"/>
  <c r="G8" i="2"/>
  <c r="F8" i="2"/>
  <c r="K7" i="2"/>
  <c r="J7" i="2"/>
  <c r="I7" i="2"/>
  <c r="H7" i="2"/>
  <c r="G7" i="2"/>
  <c r="F7" i="2"/>
  <c r="K6" i="2"/>
  <c r="J6" i="2"/>
  <c r="I6" i="2"/>
  <c r="H6" i="2"/>
  <c r="G6" i="2"/>
  <c r="F6" i="2"/>
  <c r="K5" i="2"/>
  <c r="J5" i="2"/>
  <c r="I5" i="2"/>
  <c r="H5" i="2"/>
  <c r="G5" i="2"/>
  <c r="F5" i="2"/>
  <c r="L40" i="2"/>
  <c r="M40" i="2" s="1"/>
  <c r="N40" i="2" s="1"/>
  <c r="L39" i="2"/>
  <c r="M39" i="2" s="1"/>
  <c r="N39" i="2" s="1"/>
  <c r="L38" i="2"/>
  <c r="M38" i="2" s="1"/>
  <c r="N38" i="2" s="1"/>
  <c r="L37" i="2"/>
  <c r="M37" i="2" s="1"/>
  <c r="N37" i="2" s="1"/>
  <c r="L18" i="2"/>
  <c r="M18" i="2" s="1"/>
  <c r="N18" i="2" s="1"/>
  <c r="L17" i="2"/>
  <c r="M17" i="2" s="1"/>
  <c r="N17" i="2" s="1"/>
  <c r="L16" i="2"/>
  <c r="M16" i="2" s="1"/>
  <c r="N16" i="2" s="1"/>
  <c r="L15" i="2"/>
  <c r="M15" i="2" s="1"/>
  <c r="N15" i="2" s="1"/>
  <c r="L4" i="2" a="1"/>
  <c r="L51" i="2" s="1"/>
  <c r="M51" i="2" s="1"/>
  <c r="N51" i="2" s="1"/>
  <c r="K4" i="2"/>
  <c r="J4" i="2"/>
  <c r="I4" i="2"/>
  <c r="H4" i="2"/>
  <c r="G4" i="2"/>
  <c r="F4" i="2"/>
  <c r="H40" i="1"/>
  <c r="I40" i="1" s="1"/>
  <c r="H29" i="1"/>
  <c r="I29" i="1" s="1"/>
  <c r="G29" i="1"/>
  <c r="K20" i="1" a="1"/>
  <c r="K21" i="1" s="1"/>
  <c r="H18" i="1"/>
  <c r="I18" i="1" s="1"/>
  <c r="G18" i="1"/>
  <c r="H17" i="1"/>
  <c r="I17" i="1" s="1"/>
  <c r="F53" i="1"/>
  <c r="H53" i="1" s="1"/>
  <c r="I53" i="1" s="1"/>
  <c r="F52" i="1"/>
  <c r="G52" i="1" s="1"/>
  <c r="F51" i="1"/>
  <c r="F45" i="1"/>
  <c r="H45" i="1" s="1"/>
  <c r="I45" i="1" s="1"/>
  <c r="F44" i="1"/>
  <c r="G44" i="1" s="1"/>
  <c r="F41" i="1"/>
  <c r="H41" i="1" s="1"/>
  <c r="I41" i="1" s="1"/>
  <c r="F40" i="1"/>
  <c r="G40" i="1" s="1"/>
  <c r="F39" i="1"/>
  <c r="F33" i="1"/>
  <c r="H33" i="1" s="1"/>
  <c r="I33" i="1" s="1"/>
  <c r="F32" i="1"/>
  <c r="G32" i="1" s="1"/>
  <c r="F31" i="1"/>
  <c r="F30" i="1"/>
  <c r="H30" i="1" s="1"/>
  <c r="I30" i="1" s="1"/>
  <c r="F29" i="1"/>
  <c r="F28" i="1"/>
  <c r="G28" i="1" s="1"/>
  <c r="F27" i="1"/>
  <c r="F19" i="1"/>
  <c r="F18" i="1"/>
  <c r="F17" i="1"/>
  <c r="G17" i="1" s="1"/>
  <c r="F16" i="1"/>
  <c r="F15" i="1"/>
  <c r="H15" i="1" s="1"/>
  <c r="I15" i="1" s="1"/>
  <c r="F9" i="1"/>
  <c r="H9" i="1" s="1"/>
  <c r="I9" i="1" s="1"/>
  <c r="F8" i="1"/>
  <c r="H8" i="1" s="1"/>
  <c r="I8" i="1" s="1"/>
  <c r="F7" i="1"/>
  <c r="G7" i="1" s="1"/>
  <c r="F6" i="1"/>
  <c r="H6" i="1" s="1"/>
  <c r="I6" i="1" s="1"/>
  <c r="F5" i="1"/>
  <c r="H5" i="1" s="1"/>
  <c r="I5" i="1" s="1"/>
  <c r="F4" i="1" a="1"/>
  <c r="L19" i="1" l="1"/>
  <c r="M14" i="1" s="1"/>
  <c r="M21" i="1"/>
  <c r="Q19" i="2"/>
  <c r="R14" i="2" s="1"/>
  <c r="S14" i="2" s="1"/>
  <c r="R21" i="2"/>
  <c r="Q22" i="2"/>
  <c r="R22" i="2"/>
  <c r="Q23" i="2"/>
  <c r="R23" i="2"/>
  <c r="Q24" i="2"/>
  <c r="Q25" i="2"/>
  <c r="S25" i="2"/>
  <c r="R24" i="2"/>
  <c r="M19" i="1"/>
  <c r="R19" i="2"/>
  <c r="R25" i="2"/>
  <c r="L20" i="1"/>
  <c r="Q20" i="2"/>
  <c r="Q26" i="2"/>
  <c r="M20" i="1"/>
  <c r="R20" i="2"/>
  <c r="R26" i="2"/>
  <c r="S26" i="2" s="1"/>
  <c r="Q21" i="2"/>
  <c r="S21" i="2" s="1"/>
  <c r="P25" i="2"/>
  <c r="P24" i="2"/>
  <c r="P21" i="2"/>
  <c r="P23" i="2"/>
  <c r="P22" i="2"/>
  <c r="K20" i="1"/>
  <c r="H44" i="1"/>
  <c r="I44" i="1" s="1"/>
  <c r="H31" i="1"/>
  <c r="I31" i="1" s="1"/>
  <c r="G31" i="1"/>
  <c r="G8" i="1"/>
  <c r="G45" i="1"/>
  <c r="H52" i="1"/>
  <c r="I52" i="1" s="1"/>
  <c r="L19" i="2"/>
  <c r="M19" i="2" s="1"/>
  <c r="N19" i="2" s="1"/>
  <c r="L41" i="2"/>
  <c r="M41" i="2" s="1"/>
  <c r="N41" i="2" s="1"/>
  <c r="P27" i="2"/>
  <c r="G15" i="1"/>
  <c r="H32" i="1"/>
  <c r="I32" i="1" s="1"/>
  <c r="P28" i="2"/>
  <c r="G53" i="1"/>
  <c r="L43" i="2"/>
  <c r="M43" i="2" s="1"/>
  <c r="N43" i="2" s="1"/>
  <c r="H39" i="1"/>
  <c r="I39" i="1" s="1"/>
  <c r="G39" i="1"/>
  <c r="H7" i="1"/>
  <c r="I7" i="1" s="1"/>
  <c r="G33" i="1"/>
  <c r="L5" i="2"/>
  <c r="M5" i="2" s="1"/>
  <c r="N5" i="2" s="1"/>
  <c r="L27" i="2"/>
  <c r="M27" i="2" s="1"/>
  <c r="N27" i="2" s="1"/>
  <c r="L49" i="2"/>
  <c r="M49" i="2" s="1"/>
  <c r="N49" i="2" s="1"/>
  <c r="G5" i="1"/>
  <c r="N21" i="1"/>
  <c r="L6" i="2"/>
  <c r="M6" i="2" s="1"/>
  <c r="N6" i="2" s="1"/>
  <c r="L28" i="2"/>
  <c r="M28" i="2" s="1"/>
  <c r="N28" i="2" s="1"/>
  <c r="L50" i="2"/>
  <c r="M50" i="2" s="1"/>
  <c r="N50" i="2" s="1"/>
  <c r="P26" i="2"/>
  <c r="H19" i="1"/>
  <c r="I19" i="1" s="1"/>
  <c r="G19" i="1"/>
  <c r="G9" i="1"/>
  <c r="G41" i="1"/>
  <c r="L7" i="2"/>
  <c r="M7" i="2" s="1"/>
  <c r="N7" i="2" s="1"/>
  <c r="L29" i="2"/>
  <c r="M29" i="2" s="1"/>
  <c r="N29" i="2" s="1"/>
  <c r="H27" i="1"/>
  <c r="I27" i="1" s="1"/>
  <c r="G27" i="1"/>
  <c r="H51" i="1"/>
  <c r="I51" i="1" s="1"/>
  <c r="G51" i="1"/>
  <c r="G6" i="1"/>
  <c r="P20" i="2"/>
  <c r="L48" i="2"/>
  <c r="M48" i="2" s="1"/>
  <c r="N48" i="2" s="1"/>
  <c r="L36" i="2"/>
  <c r="M36" i="2" s="1"/>
  <c r="N36" i="2" s="1"/>
  <c r="L24" i="2"/>
  <c r="M24" i="2" s="1"/>
  <c r="N24" i="2" s="1"/>
  <c r="L12" i="2"/>
  <c r="M12" i="2" s="1"/>
  <c r="N12" i="2" s="1"/>
  <c r="L8" i="2"/>
  <c r="M8" i="2" s="1"/>
  <c r="N8" i="2" s="1"/>
  <c r="L47" i="2"/>
  <c r="M47" i="2" s="1"/>
  <c r="N47" i="2" s="1"/>
  <c r="L35" i="2"/>
  <c r="M35" i="2" s="1"/>
  <c r="N35" i="2" s="1"/>
  <c r="L23" i="2"/>
  <c r="M23" i="2" s="1"/>
  <c r="N23" i="2" s="1"/>
  <c r="L11" i="2"/>
  <c r="M11" i="2" s="1"/>
  <c r="N11" i="2" s="1"/>
  <c r="L46" i="2"/>
  <c r="M46" i="2" s="1"/>
  <c r="N46" i="2" s="1"/>
  <c r="L34" i="2"/>
  <c r="M34" i="2" s="1"/>
  <c r="N34" i="2" s="1"/>
  <c r="L22" i="2"/>
  <c r="M22" i="2" s="1"/>
  <c r="N22" i="2" s="1"/>
  <c r="L10" i="2"/>
  <c r="M10" i="2" s="1"/>
  <c r="N10" i="2" s="1"/>
  <c r="L45" i="2"/>
  <c r="M45" i="2" s="1"/>
  <c r="N45" i="2" s="1"/>
  <c r="L33" i="2"/>
  <c r="M33" i="2" s="1"/>
  <c r="N33" i="2" s="1"/>
  <c r="L21" i="2"/>
  <c r="M21" i="2" s="1"/>
  <c r="N21" i="2" s="1"/>
  <c r="L9" i="2"/>
  <c r="M9" i="2" s="1"/>
  <c r="N9" i="2" s="1"/>
  <c r="L44" i="2"/>
  <c r="M44" i="2" s="1"/>
  <c r="N44" i="2" s="1"/>
  <c r="L32" i="2"/>
  <c r="M32" i="2" s="1"/>
  <c r="N32" i="2" s="1"/>
  <c r="L20" i="2"/>
  <c r="M20" i="2" s="1"/>
  <c r="N20" i="2" s="1"/>
  <c r="L25" i="2"/>
  <c r="M25" i="2" s="1"/>
  <c r="N25" i="2" s="1"/>
  <c r="L42" i="2"/>
  <c r="M42" i="2" s="1"/>
  <c r="N42" i="2" s="1"/>
  <c r="H16" i="1"/>
  <c r="I16" i="1" s="1"/>
  <c r="G16" i="1"/>
  <c r="L4" i="2"/>
  <c r="M4" i="2" s="1"/>
  <c r="N4" i="2" s="1"/>
  <c r="L26" i="2"/>
  <c r="M26" i="2" s="1"/>
  <c r="N26" i="2" s="1"/>
  <c r="S23" i="2"/>
  <c r="F50" i="1"/>
  <c r="F38" i="1"/>
  <c r="F26" i="1"/>
  <c r="F14" i="1"/>
  <c r="F49" i="1"/>
  <c r="F37" i="1"/>
  <c r="F25" i="1"/>
  <c r="F13" i="1"/>
  <c r="F10" i="1"/>
  <c r="F48" i="1"/>
  <c r="F36" i="1"/>
  <c r="F24" i="1"/>
  <c r="F12" i="1"/>
  <c r="F46" i="1"/>
  <c r="F47" i="1"/>
  <c r="F35" i="1"/>
  <c r="F23" i="1"/>
  <c r="F11" i="1"/>
  <c r="F34" i="1"/>
  <c r="F22" i="1"/>
  <c r="F20" i="1"/>
  <c r="F42" i="1"/>
  <c r="H28" i="1"/>
  <c r="I28" i="1" s="1"/>
  <c r="L13" i="2"/>
  <c r="M13" i="2" s="1"/>
  <c r="N13" i="2" s="1"/>
  <c r="L30" i="2"/>
  <c r="M30" i="2" s="1"/>
  <c r="N30" i="2" s="1"/>
  <c r="L52" i="2"/>
  <c r="M52" i="2" s="1"/>
  <c r="N52" i="2" s="1"/>
  <c r="Y8" i="2"/>
  <c r="G30" i="1"/>
  <c r="F4" i="1"/>
  <c r="F21" i="1"/>
  <c r="F43" i="1"/>
  <c r="L14" i="2"/>
  <c r="M14" i="2" s="1"/>
  <c r="N14" i="2" s="1"/>
  <c r="L31" i="2"/>
  <c r="M31" i="2" s="1"/>
  <c r="N31" i="2" s="1"/>
  <c r="L53" i="2"/>
  <c r="M53" i="2" s="1"/>
  <c r="N53" i="2" s="1"/>
  <c r="S27" i="2"/>
  <c r="N19" i="1" l="1"/>
  <c r="S24" i="2"/>
  <c r="S22" i="2"/>
  <c r="S19" i="2"/>
  <c r="S20" i="2"/>
  <c r="N20" i="1"/>
  <c r="G12" i="1"/>
  <c r="H12" i="1"/>
  <c r="I12" i="1" s="1"/>
  <c r="G50" i="1"/>
  <c r="H50" i="1"/>
  <c r="I50" i="1" s="1"/>
  <c r="G24" i="1"/>
  <c r="H24" i="1"/>
  <c r="I24" i="1" s="1"/>
  <c r="G36" i="1"/>
  <c r="H36" i="1"/>
  <c r="I36" i="1" s="1"/>
  <c r="H42" i="1"/>
  <c r="I42" i="1" s="1"/>
  <c r="G42" i="1"/>
  <c r="G48" i="1"/>
  <c r="H48" i="1"/>
  <c r="I48" i="1" s="1"/>
  <c r="H20" i="1"/>
  <c r="I20" i="1" s="1"/>
  <c r="G20" i="1"/>
  <c r="H10" i="1"/>
  <c r="I10" i="1" s="1"/>
  <c r="G10" i="1"/>
  <c r="H43" i="1"/>
  <c r="I43" i="1" s="1"/>
  <c r="G43" i="1"/>
  <c r="H22" i="1"/>
  <c r="I22" i="1" s="1"/>
  <c r="G22" i="1"/>
  <c r="H13" i="1"/>
  <c r="I13" i="1" s="1"/>
  <c r="G13" i="1"/>
  <c r="R16" i="2"/>
  <c r="Q10" i="2"/>
  <c r="H21" i="1"/>
  <c r="I21" i="1" s="1"/>
  <c r="G21" i="1"/>
  <c r="H34" i="1"/>
  <c r="I34" i="1" s="1"/>
  <c r="G34" i="1"/>
  <c r="H25" i="1"/>
  <c r="I25" i="1" s="1"/>
  <c r="G25" i="1"/>
  <c r="H4" i="1"/>
  <c r="I4" i="1" s="1"/>
  <c r="G4" i="1"/>
  <c r="L14" i="1" s="1"/>
  <c r="G11" i="1"/>
  <c r="H11" i="1"/>
  <c r="I11" i="1" s="1"/>
  <c r="G37" i="1"/>
  <c r="H37" i="1"/>
  <c r="I37" i="1" s="1"/>
  <c r="G49" i="1"/>
  <c r="H49" i="1"/>
  <c r="I49" i="1" s="1"/>
  <c r="H35" i="1"/>
  <c r="I35" i="1" s="1"/>
  <c r="G35" i="1"/>
  <c r="H14" i="1"/>
  <c r="I14" i="1" s="1"/>
  <c r="G14" i="1"/>
  <c r="H47" i="1"/>
  <c r="I47" i="1" s="1"/>
  <c r="G47" i="1"/>
  <c r="H26" i="1"/>
  <c r="I26" i="1" s="1"/>
  <c r="G26" i="1"/>
  <c r="H23" i="1"/>
  <c r="I23" i="1" s="1"/>
  <c r="G23" i="1"/>
  <c r="H46" i="1"/>
  <c r="I46" i="1" s="1"/>
  <c r="G46" i="1"/>
  <c r="H38" i="1"/>
  <c r="I38" i="1" s="1"/>
  <c r="G38" i="1"/>
  <c r="T6" i="1" l="1"/>
  <c r="T10" i="1"/>
  <c r="N14" i="1"/>
  <c r="Q16" i="2"/>
  <c r="Q15" i="2" s="1"/>
  <c r="R15" i="2"/>
  <c r="S15" i="2" s="1"/>
  <c r="Q7" i="2"/>
  <c r="L10" i="1"/>
  <c r="M16" i="1"/>
  <c r="L16" i="1" l="1"/>
  <c r="L15" i="1" s="1"/>
  <c r="Y7" i="2"/>
  <c r="Q6" i="2"/>
  <c r="Q8" i="2"/>
  <c r="T6" i="2"/>
  <c r="T7" i="2" s="1"/>
  <c r="M15" i="1"/>
  <c r="N15" i="1" s="1"/>
  <c r="L9" i="1" s="1"/>
  <c r="L7" i="1"/>
  <c r="Q9" i="2"/>
  <c r="T14" i="2"/>
  <c r="U14" i="2" s="1"/>
  <c r="V14" i="2" s="1"/>
  <c r="V25" i="2"/>
  <c r="U25" i="2"/>
  <c r="U19" i="2"/>
  <c r="V27" i="2"/>
  <c r="V20" i="2"/>
  <c r="Y9" i="2"/>
  <c r="V28" i="2"/>
  <c r="U20" i="2"/>
  <c r="V26" i="2"/>
  <c r="U27" i="2"/>
  <c r="U21" i="2"/>
  <c r="V19" i="2"/>
  <c r="U28" i="2"/>
  <c r="T19" i="2"/>
  <c r="U24" i="2"/>
  <c r="V22" i="2"/>
  <c r="T20" i="2"/>
  <c r="T25" i="2"/>
  <c r="U22" i="2"/>
  <c r="T28" i="2"/>
  <c r="T22" i="2"/>
  <c r="U26" i="2"/>
  <c r="V24" i="2"/>
  <c r="V23" i="2"/>
  <c r="V21" i="2"/>
  <c r="U23" i="2"/>
  <c r="T23" i="2"/>
  <c r="T27" i="2"/>
  <c r="T24" i="2"/>
  <c r="T26" i="2"/>
  <c r="T21" i="2"/>
  <c r="T8" i="2"/>
  <c r="Y3" i="2"/>
  <c r="Y5" i="2" s="1"/>
  <c r="O14" i="1"/>
  <c r="P14" i="1" s="1"/>
  <c r="Q14" i="1" s="1"/>
  <c r="T9" i="1" l="1"/>
  <c r="T12" i="1" s="1"/>
  <c r="L6" i="1"/>
  <c r="L8" i="1"/>
  <c r="Y10" i="2"/>
  <c r="O8" i="1"/>
  <c r="T11" i="1"/>
  <c r="P20" i="1"/>
  <c r="Q21" i="1"/>
  <c r="O20" i="1"/>
  <c r="Q19" i="1"/>
  <c r="P19" i="1"/>
  <c r="P21" i="1"/>
  <c r="Q20" i="1"/>
  <c r="O19" i="1"/>
  <c r="O21" i="1"/>
  <c r="O6" i="1"/>
  <c r="O7" i="1" s="1"/>
  <c r="T5" i="1"/>
  <c r="T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<sst xmlns="http://schemas.openxmlformats.org/spreadsheetml/2006/main" count="199" uniqueCount="102">
  <si>
    <t>Shortened White Test</t>
  </si>
  <si>
    <t>Poverty</t>
  </si>
  <si>
    <t>Inf Mort</t>
  </si>
  <si>
    <t>White</t>
  </si>
  <si>
    <t>Crime</t>
  </si>
  <si>
    <t>ypred</t>
  </si>
  <si>
    <t>ypred-sq</t>
  </si>
  <si>
    <t>resid</t>
  </si>
  <si>
    <t>res-sq</t>
  </si>
  <si>
    <t>Regression Analysis</t>
  </si>
  <si>
    <t>Alabama</t>
  </si>
  <si>
    <t>Alaska</t>
  </si>
  <si>
    <t>OVERALL FIT</t>
  </si>
  <si>
    <t>LM</t>
  </si>
  <si>
    <t>Arizona</t>
  </si>
  <si>
    <t>Multiple R</t>
  </si>
  <si>
    <t>AIC</t>
  </si>
  <si>
    <t>df</t>
  </si>
  <si>
    <t>Arkansas</t>
  </si>
  <si>
    <t>R Square</t>
  </si>
  <si>
    <t>AICc</t>
  </si>
  <si>
    <t>p-value</t>
  </si>
  <si>
    <t>California</t>
  </si>
  <si>
    <t>Adjusted R Square</t>
  </si>
  <si>
    <t>SBC</t>
  </si>
  <si>
    <t>Colorado</t>
  </si>
  <si>
    <t>Standard Error</t>
  </si>
  <si>
    <t>F</t>
  </si>
  <si>
    <t>Connecticut</t>
  </si>
  <si>
    <t>Observations</t>
  </si>
  <si>
    <t>df1</t>
  </si>
  <si>
    <t>Delaware</t>
  </si>
  <si>
    <t>df2</t>
  </si>
  <si>
    <t>Florida</t>
  </si>
  <si>
    <t>ANOVA</t>
  </si>
  <si>
    <t>Alpha</t>
  </si>
  <si>
    <t>Georgia</t>
  </si>
  <si>
    <t>SS</t>
  </si>
  <si>
    <t>MS</t>
  </si>
  <si>
    <t>sig</t>
  </si>
  <si>
    <t>Hawaii</t>
  </si>
  <si>
    <t>Regression</t>
  </si>
  <si>
    <t>Idaho</t>
  </si>
  <si>
    <t>Residual</t>
  </si>
  <si>
    <t>Illinois</t>
  </si>
  <si>
    <t>Total</t>
  </si>
  <si>
    <t>Indiana</t>
  </si>
  <si>
    <t>Iowa</t>
  </si>
  <si>
    <t>coeff</t>
  </si>
  <si>
    <t>std err</t>
  </si>
  <si>
    <t>t stat</t>
  </si>
  <si>
    <t>lower</t>
  </si>
  <si>
    <t>upper</t>
  </si>
  <si>
    <t>vif</t>
  </si>
  <si>
    <t>Kansas</t>
  </si>
  <si>
    <t>Intercept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</si>
  <si>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</si>
  <si>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</si>
  <si>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</si>
  <si>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</si>
  <si>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</si>
  <si>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</si>
  <si>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</si>
  <si>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</si>
  <si>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</si>
  <si>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</si>
  <si>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</si>
  <si>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</si>
  <si>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</si>
  <si>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</si>
  <si>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</si>
  <si>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</si>
  <si>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</si>
  <si>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</si>
  <si>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</si>
  <si>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</si>
  <si>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</si>
  <si>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</si>
  <si>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</si>
  <si>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</si>
  <si>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</si>
  <si>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</si>
  <si>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</si>
  <si>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</si>
  <si>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</si>
  <si>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</si>
  <si>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</si>
  <si>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</si>
  <si>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</si>
  <si>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</si>
  <si>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Full White Test</t>
  </si>
  <si>
    <t>I-sq</t>
  </si>
  <si>
    <t>W-sq</t>
  </si>
  <si>
    <t>C-sq</t>
  </si>
  <si>
    <t>I*W</t>
  </si>
  <si>
    <t>I*C</t>
  </si>
  <si>
    <t>W*C</t>
  </si>
  <si>
    <t>pred</t>
  </si>
  <si>
    <t>Real Statistics Using Excel</t>
  </si>
  <si>
    <t>Updated</t>
  </si>
  <si>
    <t>Copyright © 2013 - 2025 Charles Zaiontz</t>
  </si>
  <si>
    <t>White Test for Heteroskedasticity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</si>
</sst>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ourier New"/>
      <family val="3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9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/>
    <xf numFmtId="0" fontId="2" fillId="0" borderId="0" xfId="1" applyFont="1" applyAlignment="1">
      <alignment horizontal="right"/>
    </xf>
    <xf numFmtId="164" fontId="2" fillId="0" borderId="0" xfId="1" quotePrefix="1" applyNumberFormat="1" applyFont="1" applyAlignment="1">
      <alignment horizontal="right"/>
    </xf>
    <xf numFmtId="164" fontId="2" fillId="0" borderId="0" xfId="0" applyNumberFormat="1" applyFont="1"/>
    <xf numFmtId="3" fontId="2" fillId="0" borderId="0" xfId="1" applyNumberFormat="1" applyFont="1" applyAlignment="1">
      <alignment horizontal="right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65" fontId="2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0" fontId="4" fillId="0" borderId="7" xfId="0" applyFont="1" applyBorder="1" applyAlignment="1">
      <alignment horizontal="center"/>
    </xf>
    <xf numFmtId="164" fontId="2" fillId="0" borderId="0" xfId="1" applyNumberFormat="1" applyFont="1" applyAlignment="1">
      <alignment horizontal="right"/>
    </xf>
    <xf numFmtId="0" fontId="2" fillId="0" borderId="2" xfId="0" applyFont="1" applyBorder="1"/>
    <xf numFmtId="0" fontId="2" fillId="0" borderId="2" xfId="1" applyFont="1" applyBorder="1" applyAlignment="1">
      <alignment horizontal="right"/>
    </xf>
    <xf numFmtId="164" fontId="2" fillId="0" borderId="2" xfId="1" quotePrefix="1" applyNumberFormat="1" applyFont="1" applyBorder="1" applyAlignment="1">
      <alignment horizontal="right"/>
    </xf>
    <xf numFmtId="164" fontId="2" fillId="0" borderId="2" xfId="0" applyNumberFormat="1" applyFont="1" applyBorder="1"/>
    <xf numFmtId="3" fontId="2" fillId="0" borderId="2" xfId="1" applyNumberFormat="1" applyFont="1" applyBorder="1" applyAlignment="1">
      <alignment horizontal="right" wrapText="1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5" fillId="0" borderId="0" xfId="0" applyFont="1"/>
    <xf numFmtId="0" fontId="5" fillId="0" borderId="0" xfId="1" applyFont="1" applyAlignment="1">
      <alignment horizontal="right"/>
    </xf>
    <xf numFmtId="164" fontId="5" fillId="0" borderId="0" xfId="1" quotePrefix="1" applyNumberFormat="1" applyFont="1" applyAlignment="1">
      <alignment horizontal="right"/>
    </xf>
    <xf numFmtId="164" fontId="5" fillId="0" borderId="0" xfId="0" applyNumberFormat="1" applyFont="1"/>
    <xf numFmtId="3" fontId="5" fillId="0" borderId="0" xfId="1" applyNumberFormat="1" applyFont="1" applyAlignment="1">
      <alignment horizontal="right" wrapText="1"/>
    </xf>
    <xf numFmtId="165" fontId="5" fillId="0" borderId="0" xfId="1" applyNumberFormat="1" applyFont="1" applyAlignment="1">
      <alignment horizontal="right"/>
    </xf>
    <xf numFmtId="164" fontId="5" fillId="0" borderId="0" xfId="1" applyNumberFormat="1" applyFont="1" applyAlignment="1">
      <alignment horizontal="right"/>
    </xf>
    <xf numFmtId="0" fontId="5" fillId="0" borderId="2" xfId="0" applyFont="1" applyBorder="1"/>
    <xf numFmtId="0" fontId="5" fillId="0" borderId="2" xfId="1" applyFont="1" applyBorder="1" applyAlignment="1">
      <alignment horizontal="right"/>
    </xf>
    <xf numFmtId="164" fontId="5" fillId="0" borderId="2" xfId="1" quotePrefix="1" applyNumberFormat="1" applyFont="1" applyBorder="1" applyAlignment="1">
      <alignment horizontal="right"/>
    </xf>
    <xf numFmtId="164" fontId="5" fillId="0" borderId="2" xfId="0" applyNumberFormat="1" applyFont="1" applyBorder="1"/>
    <xf numFmtId="3" fontId="5" fillId="0" borderId="2" xfId="1" applyNumberFormat="1" applyFont="1" applyBorder="1" applyAlignment="1">
      <alignment horizontal="right" wrapText="1"/>
    </xf>
    <xf numFmtId="15" fontId="0" fillId="0" borderId="0" xfId="0" applyNumberFormat="1"/>
  </cellXfs>
  <cellStyles count="2">
    <cellStyle name="Normal" xfId="0" builtinId="0"/>
    <cellStyle name="Normal 2" xfId="1" xr:uid="{849954B3-EABC-4D01-97B4-49593464B8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68FE0-AEA0-41E0-A2A1-831050261629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98</v>
      </c>
    </row>
    <row r="2" spans="1:2" x14ac:dyDescent="0.35">
      <c r="A2" t="s">
        <v>101</v>
      </c>
    </row>
    <row r="4" spans="1:2" x14ac:dyDescent="0.35">
      <c r="A4" t="s">
        <v>99</v>
      </c>
      <c r="B4" s="38">
        <v>45945</v>
      </c>
    </row>
    <row r="6" spans="1:2" x14ac:dyDescent="0.35">
      <c r="A6" s="5" t="s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7DB47-5D2A-4879-BA55-2966932990EF}">
  <dimension ref="A1:Z53"/>
  <sheetViews>
    <sheetView topLeftCell="K1" workbookViewId="0">
      <selection activeCell="K1" sqref="K1"/>
    </sheetView>
  </sheetViews>
  <sheetFormatPr defaultRowHeight="14.5" x14ac:dyDescent="0.35"/>
  <cols>
    <col min="1" max="1" width="10.54296875" customWidth="1"/>
    <col min="2" max="5" width="8.08984375" customWidth="1"/>
    <col min="6" max="7" width="9.1796875" customWidth="1"/>
    <col min="10" max="10" width="3.7265625" customWidth="1"/>
    <col min="11" max="11" width="12.81640625" customWidth="1"/>
    <col min="19" max="19" width="7.6328125" customWidth="1"/>
    <col min="21" max="21" width="2.36328125" customWidth="1"/>
    <col min="22" max="22" width="20.08984375" customWidth="1"/>
    <col min="23" max="23" width="3.36328125" customWidth="1"/>
    <col min="25" max="25" width="3.90625" customWidth="1"/>
    <col min="26" max="26" width="29.26953125" customWidth="1"/>
  </cols>
  <sheetData>
    <row r="1" spans="1:26" x14ac:dyDescent="0.35">
      <c r="A1" s="1" t="s">
        <v>0</v>
      </c>
    </row>
    <row r="3" spans="1:26" x14ac:dyDescent="0.35">
      <c r="A3" s="2"/>
      <c r="B3" s="3" t="s">
        <v>1</v>
      </c>
      <c r="C3" s="3" t="s">
        <v>2</v>
      </c>
      <c r="D3" s="3" t="s">
        <v>3</v>
      </c>
      <c r="E3" s="3" t="s">
        <v>4</v>
      </c>
      <c r="F3" s="4" t="s">
        <v>5</v>
      </c>
      <c r="G3" s="4" t="s">
        <v>6</v>
      </c>
      <c r="H3" s="4" t="s">
        <v>7</v>
      </c>
      <c r="I3" s="4" t="s">
        <v>8</v>
      </c>
      <c r="K3" t="s">
        <v>9</v>
      </c>
    </row>
    <row r="4" spans="1:26" x14ac:dyDescent="0.35">
      <c r="A4" s="5" t="s">
        <v>10</v>
      </c>
      <c r="B4" s="6">
        <v>15.7</v>
      </c>
      <c r="C4" s="7">
        <v>9</v>
      </c>
      <c r="D4" s="8">
        <v>71.027177760140717</v>
      </c>
      <c r="E4" s="9">
        <v>448</v>
      </c>
      <c r="F4">
        <f t="array" ref="F4:F53">TREND(B4:B53,C4:E53)</f>
        <v>15.168482465280009</v>
      </c>
      <c r="G4">
        <f>F4^2</f>
        <v>230.0828602995071</v>
      </c>
      <c r="H4">
        <f>B4-F4</f>
        <v>0.53151753471999008</v>
      </c>
      <c r="I4">
        <f>H4^2</f>
        <v>0.28251088971481586</v>
      </c>
    </row>
    <row r="5" spans="1:26" ht="15" thickBot="1" x14ac:dyDescent="0.4">
      <c r="A5" s="5" t="s">
        <v>11</v>
      </c>
      <c r="B5" s="6">
        <v>8.4</v>
      </c>
      <c r="C5" s="7">
        <v>6.9</v>
      </c>
      <c r="D5" s="8">
        <v>70.62318863808899</v>
      </c>
      <c r="E5" s="9">
        <v>661.2</v>
      </c>
      <c r="F5">
        <v>12.770194096327922</v>
      </c>
      <c r="G5">
        <f t="shared" ref="G5:G53" si="0">F5^2</f>
        <v>163.0778572578885</v>
      </c>
      <c r="H5">
        <f t="shared" ref="H5:H53" si="1">B5-F5</f>
        <v>-4.3701940963279213</v>
      </c>
      <c r="I5">
        <f t="shared" ref="I5:I53" si="2">H5^2</f>
        <v>19.098596439579417</v>
      </c>
      <c r="K5" s="11" t="s">
        <v>12</v>
      </c>
      <c r="L5" s="11"/>
      <c r="N5" s="11"/>
      <c r="O5" s="11"/>
      <c r="S5" t="s">
        <v>13</v>
      </c>
      <c r="T5" s="12" t="e">
        <f ca="1">L10*L7</f>
        <v>#NAME?</v>
      </c>
      <c r="V5" t="e" cm="1">
        <f t="array" aca="1" ref="V5" ca="1">FTEXT(T5)</f>
        <v>#NAME?</v>
      </c>
      <c r="X5" t="e" cm="1">
        <f t="array" aca="1" ref="X5" ca="1">WhiteStat(C4:E53,B4:B53)</f>
        <v>#NAME?</v>
      </c>
      <c r="Z5" t="e" cm="1">
        <f t="array" aca="1" ref="Z5" ca="1">FTEXT(X5)</f>
        <v>#NAME?</v>
      </c>
    </row>
    <row r="6" spans="1:26" ht="15" thickTop="1" x14ac:dyDescent="0.35">
      <c r="A6" s="5" t="s">
        <v>14</v>
      </c>
      <c r="B6" s="6">
        <v>14.7</v>
      </c>
      <c r="C6" s="7">
        <v>6.4</v>
      </c>
      <c r="D6" s="8">
        <v>86.505696765320337</v>
      </c>
      <c r="E6" s="9">
        <v>482.7</v>
      </c>
      <c r="F6">
        <v>12.453734351399657</v>
      </c>
      <c r="G6">
        <f t="shared" si="0"/>
        <v>155.09549929523183</v>
      </c>
      <c r="H6">
        <f t="shared" si="1"/>
        <v>2.2462656486003425</v>
      </c>
      <c r="I6">
        <f t="shared" si="2"/>
        <v>5.0457093640819171</v>
      </c>
      <c r="K6" t="s">
        <v>15</v>
      </c>
      <c r="L6" t="e">
        <f ca="1">SQRT(L7)</f>
        <v>#NAME?</v>
      </c>
      <c r="N6" t="s">
        <v>16</v>
      </c>
      <c r="O6" t="e">
        <f ca="1">L10*LN(M15/L10)+2*(L14+1)</f>
        <v>#NAME?</v>
      </c>
      <c r="S6" t="s">
        <v>17</v>
      </c>
      <c r="T6" s="13">
        <f>L14</f>
        <v>2</v>
      </c>
      <c r="V6" t="e" cm="1">
        <f t="array" aca="1" ref="V6" ca="1">FTEXT(T6)</f>
        <v>#NAME?</v>
      </c>
    </row>
    <row r="7" spans="1:26" x14ac:dyDescent="0.35">
      <c r="A7" s="5" t="s">
        <v>18</v>
      </c>
      <c r="B7" s="6">
        <v>17.3</v>
      </c>
      <c r="C7" s="7">
        <v>8.5</v>
      </c>
      <c r="D7" s="8">
        <v>80.783955956979611</v>
      </c>
      <c r="E7" s="9">
        <v>529.4</v>
      </c>
      <c r="F7">
        <v>14.998941387354511</v>
      </c>
      <c r="G7">
        <f t="shared" si="0"/>
        <v>224.96824274129608</v>
      </c>
      <c r="H7">
        <f t="shared" si="1"/>
        <v>2.3010586126454893</v>
      </c>
      <c r="I7">
        <f t="shared" si="2"/>
        <v>5.2948707388299843</v>
      </c>
      <c r="K7" t="s">
        <v>19</v>
      </c>
      <c r="L7" t="e">
        <f ca="1">M14/M16</f>
        <v>#NAME?</v>
      </c>
      <c r="N7" t="s">
        <v>20</v>
      </c>
      <c r="O7" t="e">
        <f ca="1">O6+2*(L14+2)*(L14+3)/(L10-L14-3)</f>
        <v>#NAME?</v>
      </c>
      <c r="S7" t="s">
        <v>21</v>
      </c>
      <c r="T7" s="14" t="e">
        <f ca="1">_xlfn.CHISQ.DIST.RT(T5,T6)</f>
        <v>#NAME?</v>
      </c>
      <c r="V7" t="e" cm="1">
        <f t="array" aca="1" ref="V7" ca="1">FTEXT(T7)</f>
        <v>#NAME?</v>
      </c>
      <c r="X7" t="e" cm="1">
        <f t="array" aca="1" ref="X7" ca="1">WhiteTest(C4:E53,B4:B53)</f>
        <v>#NAME?</v>
      </c>
      <c r="Z7" t="e" cm="1">
        <f t="array" aca="1" ref="Z7" ca="1">FTEXT(X7)</f>
        <v>#NAME?</v>
      </c>
    </row>
    <row r="8" spans="1:26" x14ac:dyDescent="0.35">
      <c r="A8" s="5" t="s">
        <v>22</v>
      </c>
      <c r="B8" s="6">
        <v>13.3</v>
      </c>
      <c r="C8" s="7">
        <v>5</v>
      </c>
      <c r="D8" s="8">
        <v>76.640052174481781</v>
      </c>
      <c r="E8" s="9">
        <v>522.6</v>
      </c>
      <c r="F8">
        <v>10.360946134637627</v>
      </c>
      <c r="G8">
        <f t="shared" si="0"/>
        <v>107.3492048048624</v>
      </c>
      <c r="H8">
        <f t="shared" si="1"/>
        <v>2.9390538653623732</v>
      </c>
      <c r="I8">
        <f t="shared" si="2"/>
        <v>8.6380376235015071</v>
      </c>
      <c r="K8" t="s">
        <v>23</v>
      </c>
      <c r="L8" t="e">
        <f ca="1">1-(1-L7)*(L10-1)/(L10-L14-1)</f>
        <v>#NAME?</v>
      </c>
      <c r="N8" s="10" t="s">
        <v>24</v>
      </c>
      <c r="O8" s="10" t="e">
        <f ca="1">L10*LN(M15/L10)+(L14+1)*LN(L10)</f>
        <v>#NAME?</v>
      </c>
    </row>
    <row r="9" spans="1:26" x14ac:dyDescent="0.35">
      <c r="A9" s="5" t="s">
        <v>25</v>
      </c>
      <c r="B9" s="6">
        <v>11.4</v>
      </c>
      <c r="C9" s="7">
        <v>5.7</v>
      </c>
      <c r="D9" s="8">
        <v>89.734092175332663</v>
      </c>
      <c r="E9" s="9">
        <v>347.8</v>
      </c>
      <c r="F9">
        <v>11.483693052508372</v>
      </c>
      <c r="G9">
        <f t="shared" si="0"/>
        <v>131.87520612422904</v>
      </c>
      <c r="H9">
        <f t="shared" si="1"/>
        <v>-8.3693052508371224E-2</v>
      </c>
      <c r="I9">
        <f t="shared" si="2"/>
        <v>7.0045270381689827E-3</v>
      </c>
      <c r="K9" t="s">
        <v>26</v>
      </c>
      <c r="L9" t="e">
        <f ca="1">SQRT(N15)</f>
        <v>#NAME?</v>
      </c>
      <c r="S9" t="s">
        <v>27</v>
      </c>
      <c r="T9" s="12" t="e">
        <f ca="1">(L7/L14)/((1-L7)/L15)</f>
        <v>#NAME?</v>
      </c>
      <c r="V9" t="e" cm="1">
        <f t="array" aca="1" ref="V9" ca="1">FTEXT(T9)</f>
        <v>#NAME?</v>
      </c>
      <c r="X9" t="e" cm="1">
        <f t="array" aca="1" ref="X9" ca="1">WhiteTest(C4:E53,B4:B53,FALSE)</f>
        <v>#NAME?</v>
      </c>
      <c r="Z9" t="e" cm="1">
        <f t="array" aca="1" ref="Z9" ca="1">FTEXT(X9)</f>
        <v>#NAME?</v>
      </c>
    </row>
    <row r="10" spans="1:26" x14ac:dyDescent="0.35">
      <c r="A10" s="5" t="s">
        <v>28</v>
      </c>
      <c r="B10" s="6">
        <v>9.3000000000000007</v>
      </c>
      <c r="C10" s="7">
        <v>6.2</v>
      </c>
      <c r="D10" s="8">
        <v>84.278652322083644</v>
      </c>
      <c r="E10" s="9">
        <v>256</v>
      </c>
      <c r="F10">
        <v>11.79470492807466</v>
      </c>
      <c r="G10">
        <f t="shared" si="0"/>
        <v>139.11506434034868</v>
      </c>
      <c r="H10">
        <f t="shared" si="1"/>
        <v>-2.4947049280746594</v>
      </c>
      <c r="I10">
        <f t="shared" si="2"/>
        <v>6.223552678159991</v>
      </c>
      <c r="K10" s="10" t="s">
        <v>29</v>
      </c>
      <c r="L10" s="10">
        <f>COUNT(I4:I53)</f>
        <v>50</v>
      </c>
      <c r="S10" t="s">
        <v>30</v>
      </c>
      <c r="T10" s="13">
        <f>L14</f>
        <v>2</v>
      </c>
      <c r="V10" t="e" cm="1">
        <f t="array" aca="1" ref="V10" ca="1">FTEXT(T10)</f>
        <v>#NAME?</v>
      </c>
    </row>
    <row r="11" spans="1:26" x14ac:dyDescent="0.35">
      <c r="A11" s="5" t="s">
        <v>31</v>
      </c>
      <c r="B11" s="15">
        <v>10</v>
      </c>
      <c r="C11" s="7">
        <v>8.3000000000000007</v>
      </c>
      <c r="D11" s="8">
        <v>74.266056727126113</v>
      </c>
      <c r="E11" s="9">
        <v>689.2</v>
      </c>
      <c r="F11">
        <v>14.733447771089935</v>
      </c>
      <c r="G11">
        <f t="shared" si="0"/>
        <v>217.07448322343498</v>
      </c>
      <c r="H11">
        <f t="shared" si="1"/>
        <v>-4.733447771089935</v>
      </c>
      <c r="I11">
        <f t="shared" si="2"/>
        <v>22.405527801636275</v>
      </c>
      <c r="S11" t="s">
        <v>32</v>
      </c>
      <c r="T11" s="13">
        <f>L15</f>
        <v>47</v>
      </c>
      <c r="V11" t="e" cm="1">
        <f t="array" aca="1" ref="V11" ca="1">FTEXT(T11)</f>
        <v>#NAME?</v>
      </c>
    </row>
    <row r="12" spans="1:26" ht="15" thickBot="1" x14ac:dyDescent="0.4">
      <c r="A12" s="5" t="s">
        <v>33</v>
      </c>
      <c r="B12" s="6">
        <v>13.2</v>
      </c>
      <c r="C12" s="7">
        <v>7.3</v>
      </c>
      <c r="D12" s="8">
        <v>79.811068541941054</v>
      </c>
      <c r="E12" s="9">
        <v>722.6</v>
      </c>
      <c r="F12">
        <v>13.702989401864992</v>
      </c>
      <c r="G12">
        <f t="shared" si="0"/>
        <v>187.77191854762427</v>
      </c>
      <c r="H12">
        <f t="shared" si="1"/>
        <v>-0.5029894018649923</v>
      </c>
      <c r="I12">
        <f t="shared" si="2"/>
        <v>0.25299833838850272</v>
      </c>
      <c r="K12" t="s">
        <v>34</v>
      </c>
      <c r="O12" s="16" t="s">
        <v>35</v>
      </c>
      <c r="P12" s="16">
        <v>0.05</v>
      </c>
      <c r="S12" t="s">
        <v>21</v>
      </c>
      <c r="T12" s="14" t="e">
        <f ca="1">_xlfn.F.DIST.RT(T9,T10,T11)</f>
        <v>#NAME?</v>
      </c>
      <c r="V12" t="e" cm="1">
        <f t="array" aca="1" ref="V12" ca="1">FTEXT(T12)</f>
        <v>#NAME?</v>
      </c>
      <c r="X12" t="e" cm="1">
        <f t="array" aca="1" ref="X12" ca="1">WhiteTest(C4:E53,B4:B53,FALSE)</f>
        <v>#NAME?</v>
      </c>
      <c r="Z12" t="e" cm="1">
        <f t="array" aca="1" ref="Z12" ca="1">FTEXT(X12)</f>
        <v>#NAME?</v>
      </c>
    </row>
    <row r="13" spans="1:26" ht="15" thickTop="1" x14ac:dyDescent="0.35">
      <c r="A13" s="5" t="s">
        <v>36</v>
      </c>
      <c r="B13" s="6">
        <v>14.7</v>
      </c>
      <c r="C13" s="7">
        <v>8.1</v>
      </c>
      <c r="D13" s="8">
        <v>65.387718279566343</v>
      </c>
      <c r="E13" s="9">
        <v>493.2</v>
      </c>
      <c r="F13">
        <v>13.876437321067451</v>
      </c>
      <c r="G13">
        <f t="shared" si="0"/>
        <v>192.55551272551361</v>
      </c>
      <c r="H13">
        <f t="shared" si="1"/>
        <v>0.82356267893254831</v>
      </c>
      <c r="I13">
        <f t="shared" si="2"/>
        <v>0.67825548613055564</v>
      </c>
      <c r="K13" s="17"/>
      <c r="L13" s="17" t="s">
        <v>17</v>
      </c>
      <c r="M13" s="17" t="s">
        <v>37</v>
      </c>
      <c r="N13" s="17" t="s">
        <v>38</v>
      </c>
      <c r="O13" s="17" t="s">
        <v>27</v>
      </c>
      <c r="P13" s="17" t="s">
        <v>21</v>
      </c>
      <c r="Q13" s="17" t="s">
        <v>39</v>
      </c>
    </row>
    <row r="14" spans="1:26" x14ac:dyDescent="0.35">
      <c r="A14" s="5" t="s">
        <v>40</v>
      </c>
      <c r="B14" s="6">
        <v>9.1</v>
      </c>
      <c r="C14" s="7">
        <v>5.6</v>
      </c>
      <c r="D14" s="8">
        <v>29.667333748383395</v>
      </c>
      <c r="E14" s="9">
        <v>272.8</v>
      </c>
      <c r="F14">
        <v>9.0671031505498636</v>
      </c>
      <c r="G14">
        <f t="shared" si="0"/>
        <v>82.212359542711269</v>
      </c>
      <c r="H14">
        <f t="shared" si="1"/>
        <v>3.2896849450136045E-2</v>
      </c>
      <c r="I14">
        <f t="shared" si="2"/>
        <v>1.0822027037449163E-3</v>
      </c>
      <c r="K14" t="s">
        <v>41</v>
      </c>
      <c r="L14">
        <f>COUNT(F4:G4)</f>
        <v>2</v>
      </c>
      <c r="M14" t="e">
        <f ca="1">DEVSQ(MMULT(DEsign(F4:G53),L19:L21))</f>
        <v>#NAME?</v>
      </c>
      <c r="N14" t="e">
        <f ca="1">M14/L14</f>
        <v>#NAME?</v>
      </c>
      <c r="O14" t="e">
        <f ca="1">N14/N15</f>
        <v>#NAME?</v>
      </c>
      <c r="P14" t="e">
        <f ca="1">_xlfn.F.DIST.RT(O14,L14,L15)</f>
        <v>#NAME?</v>
      </c>
      <c r="Q14" s="16" t="e">
        <f ca="1">IF(P14&lt;P12,"yes","no")</f>
        <v>#NAME?</v>
      </c>
    </row>
    <row r="15" spans="1:26" x14ac:dyDescent="0.35">
      <c r="A15" s="5" t="s">
        <v>42</v>
      </c>
      <c r="B15" s="6">
        <v>12.6</v>
      </c>
      <c r="C15" s="7">
        <v>6.8</v>
      </c>
      <c r="D15" s="8">
        <v>94.600660447193093</v>
      </c>
      <c r="E15" s="9">
        <v>239.4</v>
      </c>
      <c r="F15">
        <v>12.913696631816233</v>
      </c>
      <c r="G15">
        <f t="shared" si="0"/>
        <v>166.76356069858193</v>
      </c>
      <c r="H15">
        <f t="shared" si="1"/>
        <v>-0.31369663181623331</v>
      </c>
      <c r="I15">
        <f t="shared" si="2"/>
        <v>9.8405576812849435E-2</v>
      </c>
      <c r="K15" t="s">
        <v>43</v>
      </c>
      <c r="L15">
        <f>L16-L14</f>
        <v>47</v>
      </c>
      <c r="M15" t="e">
        <f ca="1">M16-M14</f>
        <v>#NAME?</v>
      </c>
      <c r="N15" t="e">
        <f ca="1">M15/L15</f>
        <v>#NAME?</v>
      </c>
    </row>
    <row r="16" spans="1:26" x14ac:dyDescent="0.35">
      <c r="A16" s="5" t="s">
        <v>44</v>
      </c>
      <c r="B16" s="6">
        <v>12.2</v>
      </c>
      <c r="C16" s="7">
        <v>7.3</v>
      </c>
      <c r="D16" s="8">
        <v>79.13310968601246</v>
      </c>
      <c r="E16" s="9">
        <v>533.20000000000005</v>
      </c>
      <c r="F16">
        <v>13.409129334359276</v>
      </c>
      <c r="G16">
        <f t="shared" si="0"/>
        <v>179.80474950557445</v>
      </c>
      <c r="H16">
        <f t="shared" si="1"/>
        <v>-1.2091293343592771</v>
      </c>
      <c r="I16">
        <f t="shared" si="2"/>
        <v>1.4619937472081084</v>
      </c>
      <c r="K16" s="10" t="s">
        <v>45</v>
      </c>
      <c r="L16" s="10">
        <f>L10-1</f>
        <v>49</v>
      </c>
      <c r="M16" s="10">
        <f>DEVSQ(I4:I53)</f>
        <v>3104.9169973942689</v>
      </c>
      <c r="N16" s="10"/>
      <c r="O16" s="10"/>
      <c r="P16" s="10"/>
      <c r="Q16" s="10"/>
    </row>
    <row r="17" spans="1:18" ht="15" thickBot="1" x14ac:dyDescent="0.4">
      <c r="A17" s="5" t="s">
        <v>46</v>
      </c>
      <c r="B17" s="6">
        <v>13.1</v>
      </c>
      <c r="C17" s="7">
        <v>8</v>
      </c>
      <c r="D17" s="8">
        <v>88.000000627274659</v>
      </c>
      <c r="E17" s="9">
        <v>333.6</v>
      </c>
      <c r="F17">
        <v>14.343063758629301</v>
      </c>
      <c r="G17">
        <f t="shared" si="0"/>
        <v>205.72347798410527</v>
      </c>
      <c r="H17">
        <f t="shared" si="1"/>
        <v>-1.243063758629301</v>
      </c>
      <c r="I17">
        <f t="shared" si="2"/>
        <v>1.5452075080176051</v>
      </c>
    </row>
    <row r="18" spans="1:18" ht="15" thickTop="1" x14ac:dyDescent="0.35">
      <c r="A18" s="5" t="s">
        <v>47</v>
      </c>
      <c r="B18" s="6">
        <v>11.5</v>
      </c>
      <c r="C18" s="7">
        <v>5.0999999999999996</v>
      </c>
      <c r="D18" s="8">
        <v>94.170464820794294</v>
      </c>
      <c r="E18" s="9">
        <v>294.7</v>
      </c>
      <c r="F18">
        <v>10.801749432233862</v>
      </c>
      <c r="G18">
        <f t="shared" si="0"/>
        <v>116.67779079676457</v>
      </c>
      <c r="H18">
        <f t="shared" si="1"/>
        <v>0.69825056776613792</v>
      </c>
      <c r="I18">
        <f t="shared" si="2"/>
        <v>0.48755385538573398</v>
      </c>
      <c r="K18" s="17"/>
      <c r="L18" s="17" t="s">
        <v>48</v>
      </c>
      <c r="M18" s="17" t="s">
        <v>49</v>
      </c>
      <c r="N18" s="17" t="s">
        <v>50</v>
      </c>
      <c r="O18" s="17" t="s">
        <v>21</v>
      </c>
      <c r="P18" s="17" t="s">
        <v>51</v>
      </c>
      <c r="Q18" s="17" t="s">
        <v>52</v>
      </c>
      <c r="R18" s="17" t="s">
        <v>53</v>
      </c>
    </row>
    <row r="19" spans="1:18" x14ac:dyDescent="0.35">
      <c r="A19" s="5" t="s">
        <v>54</v>
      </c>
      <c r="B19" s="6">
        <v>11.3</v>
      </c>
      <c r="C19" s="7">
        <v>7.1</v>
      </c>
      <c r="D19" s="8">
        <v>88.703716524620162</v>
      </c>
      <c r="E19" s="9">
        <v>452.7</v>
      </c>
      <c r="F19">
        <v>13.386495433605791</v>
      </c>
      <c r="G19">
        <f t="shared" si="0"/>
        <v>179.19825999394871</v>
      </c>
      <c r="H19">
        <f t="shared" si="1"/>
        <v>-2.0864954336057906</v>
      </c>
      <c r="I19">
        <f t="shared" si="2"/>
        <v>4.3534631944578157</v>
      </c>
      <c r="K19" t="s">
        <v>55</v>
      </c>
      <c r="L19" t="e">
        <f t="array" aca="1" ref="L19:M21" ca="1">RegCoeff(F4:G53,I4:I53)</f>
        <v>#NAME?</v>
      </c>
      <c r="M19" t="e">
        <f ca="1"/>
        <v>#NAME?</v>
      </c>
      <c r="N19" t="e">
        <f ca="1">L19/M19</f>
        <v>#NAME?</v>
      </c>
      <c r="O19" t="e">
        <f ca="1">_xlfn.T.DIST.2T(ABS(N19),$L$15)</f>
        <v>#NAME?</v>
      </c>
      <c r="P19" t="e">
        <f ca="1">L19-_xlfn.T.INV.2T(P$12,$L$15)*M19</f>
        <v>#NAME?</v>
      </c>
      <c r="Q19" t="e">
        <f ca="1">L19+_xlfn.T.INV.2T(P$12,$L$15)*M19</f>
        <v>#NAME?</v>
      </c>
    </row>
    <row r="20" spans="1:18" x14ac:dyDescent="0.35">
      <c r="A20" s="5" t="s">
        <v>56</v>
      </c>
      <c r="B20" s="6">
        <v>17.3</v>
      </c>
      <c r="C20" s="7">
        <v>7.5</v>
      </c>
      <c r="D20" s="8">
        <v>89.904327345935869</v>
      </c>
      <c r="E20" s="9">
        <v>295</v>
      </c>
      <c r="F20">
        <v>13.717687401385909</v>
      </c>
      <c r="G20">
        <f t="shared" si="0"/>
        <v>188.17494764214169</v>
      </c>
      <c r="H20">
        <f t="shared" si="1"/>
        <v>3.5823125986140916</v>
      </c>
      <c r="I20">
        <f t="shared" si="2"/>
        <v>12.832963554189245</v>
      </c>
      <c r="K20" t="str">
        <f t="array" ref="K20:K21">TRANSPOSE(F3:G3)</f>
        <v>ypred</v>
      </c>
      <c r="L20" t="e">
        <f ca="1"/>
        <v>#NAME?</v>
      </c>
      <c r="M20" t="e">
        <f ca="1"/>
        <v>#NAME?</v>
      </c>
      <c r="N20" t="e">
        <f t="shared" ref="N20:N21" ca="1" si="3">L20/M20</f>
        <v>#NAME?</v>
      </c>
      <c r="O20" t="e">
        <f t="shared" ref="O20:O21" ca="1" si="4">_xlfn.T.DIST.2T(ABS(N20),$L$15)</f>
        <v>#NAME?</v>
      </c>
      <c r="P20" t="e">
        <f t="shared" ref="P20:P21" ca="1" si="5">L20-_xlfn.T.INV.2T(P$12,$L$15)*M20</f>
        <v>#NAME?</v>
      </c>
      <c r="Q20" t="e">
        <f t="shared" ref="Q20:Q21" ca="1" si="6">L20+_xlfn.T.INV.2T(P$12,$L$15)*M20</f>
        <v>#NAME?</v>
      </c>
      <c r="R20" t="e">
        <f ca="1">VIF(F4:G53,1)</f>
        <v>#NAME?</v>
      </c>
    </row>
    <row r="21" spans="1:18" x14ac:dyDescent="0.35">
      <c r="A21" s="5" t="s">
        <v>57</v>
      </c>
      <c r="B21" s="6">
        <v>17.3</v>
      </c>
      <c r="C21" s="7">
        <v>9.9</v>
      </c>
      <c r="D21" s="8">
        <v>64.839543701408999</v>
      </c>
      <c r="E21" s="9">
        <v>729.5</v>
      </c>
      <c r="F21">
        <v>16.495289411657392</v>
      </c>
      <c r="G21">
        <f t="shared" si="0"/>
        <v>272.09457277433648</v>
      </c>
      <c r="H21">
        <f t="shared" si="1"/>
        <v>0.80471058834260845</v>
      </c>
      <c r="I21">
        <f t="shared" si="2"/>
        <v>0.64755913099070705</v>
      </c>
      <c r="K21" s="10" t="str">
        <v>ypred-sq</v>
      </c>
      <c r="L21" s="10" t="e">
        <f ca="1"/>
        <v>#NAME?</v>
      </c>
      <c r="M21" s="10" t="e">
        <f ca="1"/>
        <v>#NAME?</v>
      </c>
      <c r="N21" s="10" t="e">
        <f t="shared" ca="1" si="3"/>
        <v>#NAME?</v>
      </c>
      <c r="O21" s="10" t="e">
        <f t="shared" ca="1" si="4"/>
        <v>#NAME?</v>
      </c>
      <c r="P21" s="10" t="e">
        <f t="shared" ca="1" si="5"/>
        <v>#NAME?</v>
      </c>
      <c r="Q21" s="10" t="e">
        <f t="shared" ca="1" si="6"/>
        <v>#NAME?</v>
      </c>
      <c r="R21" s="10" t="e">
        <f ca="1">VIF(F4:G53,2)</f>
        <v>#NAME?</v>
      </c>
    </row>
    <row r="22" spans="1:18" x14ac:dyDescent="0.35">
      <c r="A22" s="5" t="s">
        <v>58</v>
      </c>
      <c r="B22" s="6">
        <v>12.3</v>
      </c>
      <c r="C22" s="7">
        <v>6.3</v>
      </c>
      <c r="D22" s="8">
        <v>96.389852756187835</v>
      </c>
      <c r="E22" s="9">
        <v>118</v>
      </c>
      <c r="F22">
        <v>12.166437679535267</v>
      </c>
      <c r="G22">
        <f t="shared" si="0"/>
        <v>148.02220581001549</v>
      </c>
      <c r="H22">
        <f t="shared" si="1"/>
        <v>0.13356232046473338</v>
      </c>
      <c r="I22">
        <f t="shared" si="2"/>
        <v>1.7838893447924137E-2</v>
      </c>
    </row>
    <row r="23" spans="1:18" x14ac:dyDescent="0.35">
      <c r="A23" s="5" t="s">
        <v>59</v>
      </c>
      <c r="B23" s="6">
        <v>8.1</v>
      </c>
      <c r="C23" s="7">
        <v>8</v>
      </c>
      <c r="D23" s="8">
        <v>63.398020838196281</v>
      </c>
      <c r="E23" s="9">
        <v>641.9</v>
      </c>
      <c r="F23">
        <v>13.887597669367663</v>
      </c>
      <c r="G23">
        <f t="shared" si="0"/>
        <v>192.86536902622615</v>
      </c>
      <c r="H23">
        <f t="shared" si="1"/>
        <v>-5.7875976693676634</v>
      </c>
      <c r="I23">
        <f t="shared" si="2"/>
        <v>33.496286782470008</v>
      </c>
    </row>
    <row r="24" spans="1:18" x14ac:dyDescent="0.35">
      <c r="A24" s="5" t="s">
        <v>60</v>
      </c>
      <c r="B24" s="15">
        <v>10</v>
      </c>
      <c r="C24" s="7">
        <v>4.8</v>
      </c>
      <c r="D24" s="8">
        <v>86.203669547721617</v>
      </c>
      <c r="E24" s="9">
        <v>431.5</v>
      </c>
      <c r="F24">
        <v>10.32299043884211</v>
      </c>
      <c r="G24">
        <f t="shared" si="0"/>
        <v>106.56413160042563</v>
      </c>
      <c r="H24">
        <f t="shared" si="1"/>
        <v>-0.32299043884211009</v>
      </c>
      <c r="I24">
        <f t="shared" si="2"/>
        <v>0.10432282358341886</v>
      </c>
    </row>
    <row r="25" spans="1:18" x14ac:dyDescent="0.35">
      <c r="A25" s="5" t="s">
        <v>61</v>
      </c>
      <c r="B25" s="6">
        <v>14.4</v>
      </c>
      <c r="C25" s="7">
        <v>7.4</v>
      </c>
      <c r="D25" s="8">
        <v>81.183409037427396</v>
      </c>
      <c r="E25" s="9">
        <v>536</v>
      </c>
      <c r="F25">
        <v>13.615527563643827</v>
      </c>
      <c r="G25">
        <f t="shared" si="0"/>
        <v>185.3825908363448</v>
      </c>
      <c r="H25">
        <f t="shared" si="1"/>
        <v>0.78447243635617347</v>
      </c>
      <c r="I25">
        <f t="shared" si="2"/>
        <v>0.61539700340259063</v>
      </c>
    </row>
    <row r="26" spans="1:18" x14ac:dyDescent="0.35">
      <c r="A26" s="5" t="s">
        <v>62</v>
      </c>
      <c r="B26" s="6">
        <v>9.6</v>
      </c>
      <c r="C26" s="7">
        <v>5.2</v>
      </c>
      <c r="D26" s="8">
        <v>89.045556531854984</v>
      </c>
      <c r="E26" s="9">
        <v>288.7</v>
      </c>
      <c r="F26">
        <v>10.734985254448009</v>
      </c>
      <c r="G26">
        <f t="shared" si="0"/>
        <v>115.23990841321618</v>
      </c>
      <c r="H26">
        <f t="shared" si="1"/>
        <v>-1.1349852544480097</v>
      </c>
      <c r="I26">
        <f t="shared" si="2"/>
        <v>1.2881915278144134</v>
      </c>
    </row>
    <row r="27" spans="1:18" x14ac:dyDescent="0.35">
      <c r="A27" s="5" t="s">
        <v>63</v>
      </c>
      <c r="B27" s="6">
        <v>21.2</v>
      </c>
      <c r="C27" s="7">
        <v>10.6</v>
      </c>
      <c r="D27" s="8">
        <v>60.598179144073846</v>
      </c>
      <c r="E27" s="9">
        <v>291.3</v>
      </c>
      <c r="F27">
        <v>16.613871588317885</v>
      </c>
      <c r="G27">
        <f t="shared" si="0"/>
        <v>276.02072915311624</v>
      </c>
      <c r="H27">
        <f t="shared" si="1"/>
        <v>4.5861284116821146</v>
      </c>
      <c r="I27">
        <f t="shared" si="2"/>
        <v>21.032573808437917</v>
      </c>
    </row>
    <row r="28" spans="1:18" x14ac:dyDescent="0.35">
      <c r="A28" s="5" t="s">
        <v>64</v>
      </c>
      <c r="B28" s="6">
        <v>13.4</v>
      </c>
      <c r="C28" s="7">
        <v>7.4</v>
      </c>
      <c r="D28" s="8">
        <v>85.028888093842554</v>
      </c>
      <c r="E28" s="9">
        <v>504.9</v>
      </c>
      <c r="F28">
        <v>13.711013366979067</v>
      </c>
      <c r="G28">
        <f t="shared" si="0"/>
        <v>187.99188754947866</v>
      </c>
      <c r="H28">
        <f t="shared" si="1"/>
        <v>-0.31101336697906667</v>
      </c>
      <c r="I28">
        <f t="shared" si="2"/>
        <v>9.67293144396556E-2</v>
      </c>
    </row>
    <row r="29" spans="1:18" x14ac:dyDescent="0.35">
      <c r="A29" s="5" t="s">
        <v>65</v>
      </c>
      <c r="B29" s="6">
        <v>14.8</v>
      </c>
      <c r="C29" s="7">
        <v>5.8</v>
      </c>
      <c r="D29" s="8">
        <v>90.467729264863962</v>
      </c>
      <c r="E29" s="9">
        <v>287.5</v>
      </c>
      <c r="F29">
        <v>11.55256440695972</v>
      </c>
      <c r="G29">
        <f t="shared" si="0"/>
        <v>133.46174437695257</v>
      </c>
      <c r="H29">
        <f t="shared" si="1"/>
        <v>3.2474355930402812</v>
      </c>
      <c r="I29">
        <f t="shared" si="2"/>
        <v>10.545837930944883</v>
      </c>
    </row>
    <row r="30" spans="1:18" x14ac:dyDescent="0.35">
      <c r="A30" s="5" t="s">
        <v>66</v>
      </c>
      <c r="B30" s="6">
        <v>10.8</v>
      </c>
      <c r="C30" s="7">
        <v>5.6</v>
      </c>
      <c r="D30" s="8">
        <v>91.372477335833381</v>
      </c>
      <c r="E30" s="9">
        <v>302.39999999999998</v>
      </c>
      <c r="F30">
        <v>11.350737524842538</v>
      </c>
      <c r="G30">
        <f t="shared" si="0"/>
        <v>128.8392423578685</v>
      </c>
      <c r="H30">
        <f t="shared" si="1"/>
        <v>-0.55073752484253724</v>
      </c>
      <c r="I30">
        <f t="shared" si="2"/>
        <v>0.30331182126968431</v>
      </c>
    </row>
    <row r="31" spans="1:18" x14ac:dyDescent="0.35">
      <c r="A31" s="5" t="s">
        <v>67</v>
      </c>
      <c r="B31" s="6">
        <v>11.3</v>
      </c>
      <c r="C31" s="7">
        <v>6.4</v>
      </c>
      <c r="D31" s="8">
        <v>80.891227371165002</v>
      </c>
      <c r="E31" s="9">
        <v>750.6</v>
      </c>
      <c r="F31">
        <v>12.630597532474958</v>
      </c>
      <c r="G31">
        <f t="shared" si="0"/>
        <v>159.53199402736251</v>
      </c>
      <c r="H31">
        <f t="shared" si="1"/>
        <v>-1.3305975324749575</v>
      </c>
      <c r="I31">
        <f t="shared" si="2"/>
        <v>1.7704897934284456</v>
      </c>
    </row>
    <row r="32" spans="1:18" x14ac:dyDescent="0.35">
      <c r="A32" s="5" t="s">
        <v>68</v>
      </c>
      <c r="B32" s="6">
        <v>7.6</v>
      </c>
      <c r="C32" s="7">
        <v>6.1</v>
      </c>
      <c r="D32" s="8">
        <v>95.487186970145373</v>
      </c>
      <c r="E32" s="9">
        <v>137.30000000000001</v>
      </c>
      <c r="F32">
        <v>11.905207608821607</v>
      </c>
      <c r="G32">
        <f t="shared" si="0"/>
        <v>141.73396820914388</v>
      </c>
      <c r="H32">
        <f t="shared" si="1"/>
        <v>-4.3052076088216076</v>
      </c>
      <c r="I32">
        <f t="shared" si="2"/>
        <v>18.534812555055463</v>
      </c>
    </row>
    <row r="33" spans="1:9" x14ac:dyDescent="0.35">
      <c r="A33" s="5" t="s">
        <v>69</v>
      </c>
      <c r="B33" s="6">
        <v>8.6999999999999993</v>
      </c>
      <c r="C33" s="7">
        <v>5.5</v>
      </c>
      <c r="D33" s="8">
        <v>76.032117342828414</v>
      </c>
      <c r="E33" s="9">
        <v>329.3</v>
      </c>
      <c r="F33">
        <v>10.703770804947251</v>
      </c>
      <c r="G33">
        <f t="shared" si="0"/>
        <v>114.57070944484111</v>
      </c>
      <c r="H33">
        <f t="shared" si="1"/>
        <v>-2.0037708049472513</v>
      </c>
      <c r="I33">
        <f t="shared" si="2"/>
        <v>4.0150974387589553</v>
      </c>
    </row>
    <row r="34" spans="1:9" x14ac:dyDescent="0.35">
      <c r="A34" s="5" t="s">
        <v>70</v>
      </c>
      <c r="B34" s="6">
        <v>17.100000000000001</v>
      </c>
      <c r="C34" s="7">
        <v>5.8</v>
      </c>
      <c r="D34" s="8">
        <v>83.996520785584835</v>
      </c>
      <c r="E34" s="9">
        <v>664.2</v>
      </c>
      <c r="F34">
        <v>11.852963983075886</v>
      </c>
      <c r="G34">
        <f t="shared" si="0"/>
        <v>140.49275518409419</v>
      </c>
      <c r="H34">
        <f t="shared" si="1"/>
        <v>5.247036016924115</v>
      </c>
      <c r="I34">
        <f t="shared" si="2"/>
        <v>27.531386962898882</v>
      </c>
    </row>
    <row r="35" spans="1:9" x14ac:dyDescent="0.35">
      <c r="A35" s="5" t="s">
        <v>71</v>
      </c>
      <c r="B35" s="6">
        <v>13.6</v>
      </c>
      <c r="C35" s="7">
        <v>5.6</v>
      </c>
      <c r="D35" s="8">
        <v>73.422529169257928</v>
      </c>
      <c r="E35" s="9">
        <v>414.1</v>
      </c>
      <c r="F35">
        <v>10.857452575591561</v>
      </c>
      <c r="G35">
        <f t="shared" si="0"/>
        <v>117.88427643121982</v>
      </c>
      <c r="H35">
        <f t="shared" si="1"/>
        <v>2.7425474244084391</v>
      </c>
      <c r="I35">
        <f t="shared" si="2"/>
        <v>7.5215663751293631</v>
      </c>
    </row>
    <row r="36" spans="1:9" x14ac:dyDescent="0.35">
      <c r="A36" s="5" t="s">
        <v>72</v>
      </c>
      <c r="B36" s="6">
        <v>14.6</v>
      </c>
      <c r="C36" s="7">
        <v>8.1</v>
      </c>
      <c r="D36" s="8">
        <v>73.937344387272134</v>
      </c>
      <c r="E36" s="9">
        <v>466.4</v>
      </c>
      <c r="F36">
        <v>14.148922758102401</v>
      </c>
      <c r="G36">
        <f t="shared" si="0"/>
        <v>200.19201521474807</v>
      </c>
      <c r="H36">
        <f t="shared" si="1"/>
        <v>0.45107724189759857</v>
      </c>
      <c r="I36">
        <f t="shared" si="2"/>
        <v>0.20347067815794465</v>
      </c>
    </row>
    <row r="37" spans="1:9" x14ac:dyDescent="0.35">
      <c r="A37" s="5" t="s">
        <v>73</v>
      </c>
      <c r="B37" s="18">
        <v>12</v>
      </c>
      <c r="C37" s="7">
        <v>5.8</v>
      </c>
      <c r="D37" s="8">
        <v>91.393509706444945</v>
      </c>
      <c r="E37" s="9">
        <v>142.4</v>
      </c>
      <c r="F37">
        <v>11.379935658704408</v>
      </c>
      <c r="G37">
        <f t="shared" si="0"/>
        <v>129.50293559625212</v>
      </c>
      <c r="H37">
        <f t="shared" si="1"/>
        <v>0.62006434129559196</v>
      </c>
      <c r="I37">
        <f t="shared" si="2"/>
        <v>0.38447978734633637</v>
      </c>
    </row>
    <row r="38" spans="1:9" x14ac:dyDescent="0.35">
      <c r="A38" s="5" t="s">
        <v>74</v>
      </c>
      <c r="B38" s="6">
        <v>13.4</v>
      </c>
      <c r="C38" s="7">
        <v>7.8</v>
      </c>
      <c r="D38" s="8">
        <v>84.764237226305966</v>
      </c>
      <c r="E38" s="9">
        <v>343.2</v>
      </c>
      <c r="F38">
        <v>13.983290890156367</v>
      </c>
      <c r="G38">
        <f t="shared" si="0"/>
        <v>195.53242411873003</v>
      </c>
      <c r="H38">
        <f t="shared" si="1"/>
        <v>-0.58329089015636626</v>
      </c>
      <c r="I38">
        <f t="shared" si="2"/>
        <v>0.34022826253940613</v>
      </c>
    </row>
    <row r="39" spans="1:9" x14ac:dyDescent="0.35">
      <c r="A39" s="5" t="s">
        <v>75</v>
      </c>
      <c r="B39" s="6">
        <v>15.9</v>
      </c>
      <c r="C39" s="7">
        <v>8</v>
      </c>
      <c r="D39" s="8">
        <v>78.141238608693655</v>
      </c>
      <c r="E39" s="9">
        <v>499.6</v>
      </c>
      <c r="F39">
        <v>14.22089410117899</v>
      </c>
      <c r="G39">
        <f t="shared" si="0"/>
        <v>202.23382903694738</v>
      </c>
      <c r="H39">
        <f t="shared" si="1"/>
        <v>1.6791058988210104</v>
      </c>
      <c r="I39">
        <f t="shared" si="2"/>
        <v>2.8193966194555129</v>
      </c>
    </row>
    <row r="40" spans="1:9" x14ac:dyDescent="0.35">
      <c r="A40" s="5" t="s">
        <v>76</v>
      </c>
      <c r="B40" s="6">
        <v>13.6</v>
      </c>
      <c r="C40" s="7">
        <v>5.5</v>
      </c>
      <c r="D40" s="8">
        <v>90.140446325387984</v>
      </c>
      <c r="E40" s="9">
        <v>287.60000000000002</v>
      </c>
      <c r="F40">
        <v>11.157006478778396</v>
      </c>
      <c r="G40">
        <f t="shared" si="0"/>
        <v>124.47879356750309</v>
      </c>
      <c r="H40">
        <f t="shared" si="1"/>
        <v>2.4429935212216041</v>
      </c>
      <c r="I40">
        <f t="shared" si="2"/>
        <v>5.9682173447307321</v>
      </c>
    </row>
    <row r="41" spans="1:9" x14ac:dyDescent="0.35">
      <c r="A41" s="5" t="s">
        <v>77</v>
      </c>
      <c r="B41" s="6">
        <v>12.1</v>
      </c>
      <c r="C41" s="7">
        <v>7.6</v>
      </c>
      <c r="D41" s="8">
        <v>85.424563507935517</v>
      </c>
      <c r="E41" s="9">
        <v>416.5</v>
      </c>
      <c r="F41">
        <v>13.855600457391626</v>
      </c>
      <c r="G41">
        <f t="shared" si="0"/>
        <v>191.97766403487103</v>
      </c>
      <c r="H41">
        <f t="shared" si="1"/>
        <v>-1.7556004573916262</v>
      </c>
      <c r="I41">
        <f t="shared" si="2"/>
        <v>3.0821329659936869</v>
      </c>
    </row>
    <row r="42" spans="1:9" x14ac:dyDescent="0.35">
      <c r="A42" s="5" t="s">
        <v>78</v>
      </c>
      <c r="B42" s="6">
        <v>11.7</v>
      </c>
      <c r="C42" s="7">
        <v>6.1</v>
      </c>
      <c r="D42" s="8">
        <v>88.483880668602993</v>
      </c>
      <c r="E42" s="9">
        <v>227.3</v>
      </c>
      <c r="F42">
        <v>11.778733948462614</v>
      </c>
      <c r="G42">
        <f t="shared" si="0"/>
        <v>138.73857342866569</v>
      </c>
      <c r="H42">
        <f t="shared" si="1"/>
        <v>-7.8733948462614833E-2</v>
      </c>
      <c r="I42">
        <f t="shared" si="2"/>
        <v>6.1990346405136889E-3</v>
      </c>
    </row>
    <row r="43" spans="1:9" x14ac:dyDescent="0.35">
      <c r="A43" s="5" t="s">
        <v>79</v>
      </c>
      <c r="B43" s="6">
        <v>15.7</v>
      </c>
      <c r="C43" s="7">
        <v>8.4</v>
      </c>
      <c r="D43" s="8">
        <v>68.748136077503446</v>
      </c>
      <c r="E43" s="9">
        <v>788.3</v>
      </c>
      <c r="F43">
        <v>14.801806207135078</v>
      </c>
      <c r="G43">
        <f t="shared" si="0"/>
        <v>219.09346699358252</v>
      </c>
      <c r="H43">
        <f t="shared" si="1"/>
        <v>0.89819379286492129</v>
      </c>
      <c r="I43">
        <f t="shared" si="2"/>
        <v>0.80675208954107314</v>
      </c>
    </row>
    <row r="44" spans="1:9" x14ac:dyDescent="0.35">
      <c r="A44" s="5" t="s">
        <v>80</v>
      </c>
      <c r="B44" s="6">
        <v>12.5</v>
      </c>
      <c r="C44" s="7">
        <v>6.9</v>
      </c>
      <c r="D44" s="8">
        <v>88.189790025789804</v>
      </c>
      <c r="E44" s="9">
        <v>169.2</v>
      </c>
      <c r="F44">
        <v>12.708957171550267</v>
      </c>
      <c r="G44">
        <f t="shared" si="0"/>
        <v>161.51759238829897</v>
      </c>
      <c r="H44">
        <f t="shared" si="1"/>
        <v>-0.20895717155026716</v>
      </c>
      <c r="I44">
        <f t="shared" si="2"/>
        <v>4.3663099542287781E-2</v>
      </c>
    </row>
    <row r="45" spans="1:9" x14ac:dyDescent="0.35">
      <c r="A45" s="5" t="s">
        <v>81</v>
      </c>
      <c r="B45" s="6">
        <v>15.5</v>
      </c>
      <c r="C45" s="7">
        <v>8.6999999999999993</v>
      </c>
      <c r="D45" s="8">
        <v>80.371971305033981</v>
      </c>
      <c r="E45" s="9">
        <v>753.3</v>
      </c>
      <c r="F45">
        <v>15.558122806587869</v>
      </c>
      <c r="G45">
        <f t="shared" si="0"/>
        <v>242.05518526486961</v>
      </c>
      <c r="H45">
        <f t="shared" si="1"/>
        <v>-5.8122806587869391E-2</v>
      </c>
      <c r="I45">
        <f t="shared" si="2"/>
        <v>3.3782606456508736E-3</v>
      </c>
    </row>
    <row r="46" spans="1:9" x14ac:dyDescent="0.35">
      <c r="A46" s="5" t="s">
        <v>82</v>
      </c>
      <c r="B46" s="6">
        <v>15.8</v>
      </c>
      <c r="C46" s="7">
        <v>6.2</v>
      </c>
      <c r="D46" s="8">
        <v>82.402677784750395</v>
      </c>
      <c r="E46" s="9">
        <v>510.6</v>
      </c>
      <c r="F46">
        <v>12.088470187680537</v>
      </c>
      <c r="G46">
        <f t="shared" si="0"/>
        <v>146.13111147844111</v>
      </c>
      <c r="H46">
        <f t="shared" si="1"/>
        <v>3.7115298123194638</v>
      </c>
      <c r="I46">
        <f t="shared" si="2"/>
        <v>13.775453547736154</v>
      </c>
    </row>
    <row r="47" spans="1:9" x14ac:dyDescent="0.35">
      <c r="A47" s="5" t="s">
        <v>83</v>
      </c>
      <c r="B47" s="6">
        <v>9.6</v>
      </c>
      <c r="C47" s="7">
        <v>5.0999999999999996</v>
      </c>
      <c r="D47" s="8">
        <v>92.915461931338129</v>
      </c>
      <c r="E47" s="9">
        <v>234.8</v>
      </c>
      <c r="F47">
        <v>10.671011249440653</v>
      </c>
      <c r="G47">
        <f t="shared" si="0"/>
        <v>113.87048108568897</v>
      </c>
      <c r="H47">
        <f t="shared" si="1"/>
        <v>-1.0710112494406534</v>
      </c>
      <c r="I47">
        <f t="shared" si="2"/>
        <v>1.1470650964284295</v>
      </c>
    </row>
    <row r="48" spans="1:9" x14ac:dyDescent="0.35">
      <c r="A48" s="5" t="s">
        <v>84</v>
      </c>
      <c r="B48" s="6">
        <v>10.6</v>
      </c>
      <c r="C48" s="7">
        <v>5.5</v>
      </c>
      <c r="D48" s="8">
        <v>96.408807764739961</v>
      </c>
      <c r="E48" s="9">
        <v>124.3</v>
      </c>
      <c r="F48">
        <v>11.15258597785637</v>
      </c>
      <c r="G48">
        <f t="shared" si="0"/>
        <v>124.38017399347854</v>
      </c>
      <c r="H48">
        <f t="shared" si="1"/>
        <v>-0.55258597785637065</v>
      </c>
      <c r="I48">
        <f t="shared" si="2"/>
        <v>0.30535126292348136</v>
      </c>
    </row>
    <row r="49" spans="1:9" x14ac:dyDescent="0.35">
      <c r="A49" s="5" t="s">
        <v>85</v>
      </c>
      <c r="B49" s="6">
        <v>10.199999999999999</v>
      </c>
      <c r="C49" s="7">
        <v>7.1</v>
      </c>
      <c r="D49" s="8">
        <v>73.031896017666924</v>
      </c>
      <c r="E49" s="9">
        <v>269.7</v>
      </c>
      <c r="F49">
        <v>12.557052100872401</v>
      </c>
      <c r="G49">
        <f t="shared" si="0"/>
        <v>157.67955746402399</v>
      </c>
      <c r="H49">
        <f t="shared" si="1"/>
        <v>-2.3570521008724015</v>
      </c>
      <c r="I49">
        <f t="shared" si="2"/>
        <v>5.5556946062270018</v>
      </c>
    </row>
    <row r="50" spans="1:9" x14ac:dyDescent="0.35">
      <c r="A50" s="5" t="s">
        <v>86</v>
      </c>
      <c r="B50" s="6">
        <v>11.3</v>
      </c>
      <c r="C50" s="7">
        <v>4.7</v>
      </c>
      <c r="D50" s="8">
        <v>84.290902250404002</v>
      </c>
      <c r="E50" s="9">
        <v>333.1</v>
      </c>
      <c r="F50">
        <v>9.9856930226674407</v>
      </c>
      <c r="G50">
        <f t="shared" si="0"/>
        <v>99.71406514294921</v>
      </c>
      <c r="H50">
        <f t="shared" si="1"/>
        <v>1.31430697733256</v>
      </c>
      <c r="I50">
        <f t="shared" si="2"/>
        <v>1.7274028306650504</v>
      </c>
    </row>
    <row r="51" spans="1:9" x14ac:dyDescent="0.35">
      <c r="A51" s="5" t="s">
        <v>87</v>
      </c>
      <c r="B51" s="18">
        <v>17</v>
      </c>
      <c r="C51" s="7">
        <v>7.4</v>
      </c>
      <c r="D51" s="8">
        <v>94.524786328554711</v>
      </c>
      <c r="E51" s="9">
        <v>275.2</v>
      </c>
      <c r="F51">
        <v>13.729451814140557</v>
      </c>
      <c r="G51">
        <f t="shared" si="0"/>
        <v>188.49784711680743</v>
      </c>
      <c r="H51">
        <f t="shared" si="1"/>
        <v>3.2705481858594432</v>
      </c>
      <c r="I51">
        <f t="shared" si="2"/>
        <v>10.696485436028494</v>
      </c>
    </row>
    <row r="52" spans="1:9" x14ac:dyDescent="0.35">
      <c r="A52" s="5" t="s">
        <v>88</v>
      </c>
      <c r="B52" s="6">
        <v>10.4</v>
      </c>
      <c r="C52" s="7">
        <v>6.4</v>
      </c>
      <c r="D52" s="8">
        <v>89.673695670212709</v>
      </c>
      <c r="E52" s="9">
        <v>290.89999999999998</v>
      </c>
      <c r="F52">
        <v>12.296174498038839</v>
      </c>
      <c r="G52">
        <f t="shared" si="0"/>
        <v>151.19590728622069</v>
      </c>
      <c r="H52">
        <f t="shared" si="1"/>
        <v>-1.8961744980388389</v>
      </c>
      <c r="I52">
        <f t="shared" si="2"/>
        <v>3.5954777270128426</v>
      </c>
    </row>
    <row r="53" spans="1:9" x14ac:dyDescent="0.35">
      <c r="A53" s="19" t="s">
        <v>89</v>
      </c>
      <c r="B53" s="20">
        <v>9.4</v>
      </c>
      <c r="C53" s="21">
        <v>7</v>
      </c>
      <c r="D53" s="22">
        <v>93.867286940458214</v>
      </c>
      <c r="E53" s="23">
        <v>239.3</v>
      </c>
      <c r="F53" s="10">
        <v>13.142787209565174</v>
      </c>
      <c r="G53" s="10">
        <f t="shared" si="0"/>
        <v>172.73285563590994</v>
      </c>
      <c r="H53" s="10">
        <f t="shared" si="1"/>
        <v>-3.742787209565174</v>
      </c>
      <c r="I53" s="10">
        <f t="shared" si="2"/>
        <v>14.008456096084661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D86C3-15A3-4D0C-8A6B-1DEAC29899B6}">
  <dimension ref="A1:AA53"/>
  <sheetViews>
    <sheetView workbookViewId="0"/>
  </sheetViews>
  <sheetFormatPr defaultRowHeight="14.5" x14ac:dyDescent="0.35"/>
  <cols>
    <col min="1" max="1" width="12.26953125" customWidth="1"/>
    <col min="2" max="11" width="7.6328125" customWidth="1"/>
    <col min="12" max="12" width="9.1796875" customWidth="1"/>
    <col min="16" max="16" width="16.08984375" customWidth="1"/>
    <col min="26" max="26" width="3" customWidth="1"/>
    <col min="27" max="27" width="20.90625" customWidth="1"/>
  </cols>
  <sheetData>
    <row r="1" spans="1:27" x14ac:dyDescent="0.35">
      <c r="A1" s="1" t="s">
        <v>90</v>
      </c>
    </row>
    <row r="3" spans="1:27" x14ac:dyDescent="0.35">
      <c r="A3" s="24"/>
      <c r="B3" s="25" t="s">
        <v>1</v>
      </c>
      <c r="C3" s="25" t="s">
        <v>2</v>
      </c>
      <c r="D3" s="25" t="s">
        <v>3</v>
      </c>
      <c r="E3" s="25" t="s">
        <v>4</v>
      </c>
      <c r="F3" s="25" t="s">
        <v>91</v>
      </c>
      <c r="G3" s="25" t="s">
        <v>92</v>
      </c>
      <c r="H3" s="25" t="s">
        <v>93</v>
      </c>
      <c r="I3" s="25" t="s">
        <v>94</v>
      </c>
      <c r="J3" s="25" t="s">
        <v>95</v>
      </c>
      <c r="K3" s="25" t="s">
        <v>96</v>
      </c>
      <c r="L3" s="4" t="s">
        <v>97</v>
      </c>
      <c r="M3" s="4" t="s">
        <v>7</v>
      </c>
      <c r="N3" s="4" t="s">
        <v>8</v>
      </c>
      <c r="P3" t="s">
        <v>9</v>
      </c>
      <c r="X3" t="s">
        <v>13</v>
      </c>
      <c r="Y3" s="12" t="e">
        <f ca="1">Q10*Q7</f>
        <v>#NAME?</v>
      </c>
      <c r="AA3" t="e" cm="1">
        <f t="array" aca="1" ref="AA3" ca="1">FTEXT(Y3)</f>
        <v>#NAME?</v>
      </c>
    </row>
    <row r="4" spans="1:27" x14ac:dyDescent="0.35">
      <c r="A4" s="26" t="s">
        <v>10</v>
      </c>
      <c r="B4" s="27">
        <v>15.7</v>
      </c>
      <c r="C4" s="28">
        <v>9</v>
      </c>
      <c r="D4" s="29">
        <v>71.027177760140717</v>
      </c>
      <c r="E4" s="30">
        <v>448</v>
      </c>
      <c r="F4" s="30">
        <f>C4^2</f>
        <v>81</v>
      </c>
      <c r="G4" s="30">
        <f t="shared" ref="G4:H19" si="0">D4^2</f>
        <v>5044.8599805706281</v>
      </c>
      <c r="H4" s="30">
        <f t="shared" si="0"/>
        <v>200704</v>
      </c>
      <c r="I4" s="30">
        <f>C4*D4</f>
        <v>639.24459984126645</v>
      </c>
      <c r="J4" s="30">
        <f>C4*E4</f>
        <v>4032</v>
      </c>
      <c r="K4" s="30">
        <f>D4*E4</f>
        <v>31820.175636543041</v>
      </c>
      <c r="L4">
        <f t="array" ref="L4:L53">TREND(B4:B53,C4:E53)</f>
        <v>15.168482465280009</v>
      </c>
      <c r="M4">
        <f>B4-L4</f>
        <v>0.53151753471999008</v>
      </c>
      <c r="N4">
        <f>M4^2</f>
        <v>0.28251088971481586</v>
      </c>
      <c r="X4" t="s">
        <v>17</v>
      </c>
      <c r="Y4" s="13">
        <f>Q14</f>
        <v>9</v>
      </c>
      <c r="AA4" t="e" cm="1">
        <f t="array" aca="1" ref="AA4" ca="1">FTEXT(Y4)</f>
        <v>#NAME?</v>
      </c>
    </row>
    <row r="5" spans="1:27" ht="15" thickBot="1" x14ac:dyDescent="0.4">
      <c r="A5" s="26" t="s">
        <v>11</v>
      </c>
      <c r="B5" s="27">
        <v>8.4</v>
      </c>
      <c r="C5" s="28">
        <v>6.9</v>
      </c>
      <c r="D5" s="29">
        <v>70.62318863808899</v>
      </c>
      <c r="E5" s="30">
        <v>661.2</v>
      </c>
      <c r="F5" s="30">
        <f t="shared" ref="F5:H53" si="1">C5^2</f>
        <v>47.610000000000007</v>
      </c>
      <c r="G5" s="30">
        <f t="shared" si="0"/>
        <v>4987.6347734111023</v>
      </c>
      <c r="H5" s="30">
        <f t="shared" si="0"/>
        <v>437185.44000000006</v>
      </c>
      <c r="I5" s="30">
        <f t="shared" ref="I5:I53" si="2">C5*D5</f>
        <v>487.30000160281406</v>
      </c>
      <c r="J5" s="30">
        <f t="shared" ref="J5:J53" si="3">C5*E5</f>
        <v>4562.2800000000007</v>
      </c>
      <c r="K5" s="30">
        <f t="shared" ref="K5:K53" si="4">D5*E5</f>
        <v>46696.052327504447</v>
      </c>
      <c r="L5">
        <v>12.770194096327922</v>
      </c>
      <c r="M5">
        <f t="shared" ref="M5:M53" si="5">B5-L5</f>
        <v>-4.3701940963279213</v>
      </c>
      <c r="N5">
        <f t="shared" ref="N5:N53" si="6">M5^2</f>
        <v>19.098596439579417</v>
      </c>
      <c r="P5" s="11" t="s">
        <v>12</v>
      </c>
      <c r="Q5" s="11"/>
      <c r="S5" s="11"/>
      <c r="T5" s="11"/>
      <c r="X5" t="s">
        <v>21</v>
      </c>
      <c r="Y5" s="14" t="e">
        <f ca="1">_xlfn.CHISQ.DIST.RT(Y3,Y4)</f>
        <v>#NAME?</v>
      </c>
      <c r="AA5" t="e" cm="1">
        <f t="array" aca="1" ref="AA5" ca="1">FTEXT(Y5)</f>
        <v>#NAME?</v>
      </c>
    </row>
    <row r="6" spans="1:27" ht="15" thickTop="1" x14ac:dyDescent="0.35">
      <c r="A6" s="26" t="s">
        <v>14</v>
      </c>
      <c r="B6" s="27">
        <v>14.7</v>
      </c>
      <c r="C6" s="28">
        <v>6.4</v>
      </c>
      <c r="D6" s="29">
        <v>86.505696765320337</v>
      </c>
      <c r="E6" s="30">
        <v>482.7</v>
      </c>
      <c r="F6" s="30">
        <f t="shared" si="1"/>
        <v>40.960000000000008</v>
      </c>
      <c r="G6" s="30">
        <f t="shared" si="0"/>
        <v>7483.2355728535531</v>
      </c>
      <c r="H6" s="30">
        <f t="shared" si="0"/>
        <v>232999.28999999998</v>
      </c>
      <c r="I6" s="30">
        <f t="shared" si="2"/>
        <v>553.63645929805023</v>
      </c>
      <c r="J6" s="30">
        <f t="shared" si="3"/>
        <v>3089.28</v>
      </c>
      <c r="K6" s="30">
        <f t="shared" si="4"/>
        <v>41756.299828620125</v>
      </c>
      <c r="L6">
        <v>12.453734351399657</v>
      </c>
      <c r="M6">
        <f t="shared" si="5"/>
        <v>2.2462656486003425</v>
      </c>
      <c r="N6">
        <f t="shared" si="6"/>
        <v>5.0457093640819171</v>
      </c>
      <c r="P6" t="s">
        <v>15</v>
      </c>
      <c r="Q6" t="e">
        <f ca="1">SQRT(Q7)</f>
        <v>#NAME?</v>
      </c>
      <c r="S6" t="s">
        <v>16</v>
      </c>
      <c r="T6" t="e">
        <f ca="1">Q10*LN(R15/Q10)+2*(Q14+1)</f>
        <v>#NAME?</v>
      </c>
    </row>
    <row r="7" spans="1:27" x14ac:dyDescent="0.35">
      <c r="A7" s="26" t="s">
        <v>18</v>
      </c>
      <c r="B7" s="27">
        <v>17.3</v>
      </c>
      <c r="C7" s="28">
        <v>8.5</v>
      </c>
      <c r="D7" s="29">
        <v>80.783955956979611</v>
      </c>
      <c r="E7" s="30">
        <v>529.4</v>
      </c>
      <c r="F7" s="30">
        <f t="shared" si="1"/>
        <v>72.25</v>
      </c>
      <c r="G7" s="30">
        <f t="shared" si="0"/>
        <v>6526.0475400592213</v>
      </c>
      <c r="H7" s="30">
        <f t="shared" si="0"/>
        <v>280264.36</v>
      </c>
      <c r="I7" s="30">
        <f t="shared" si="2"/>
        <v>686.66362563432665</v>
      </c>
      <c r="J7" s="30">
        <f t="shared" si="3"/>
        <v>4499.8999999999996</v>
      </c>
      <c r="K7" s="30">
        <f t="shared" si="4"/>
        <v>42767.026283625004</v>
      </c>
      <c r="L7">
        <v>14.998941387354511</v>
      </c>
      <c r="M7">
        <f t="shared" si="5"/>
        <v>2.3010586126454893</v>
      </c>
      <c r="N7">
        <f t="shared" si="6"/>
        <v>5.2948707388299843</v>
      </c>
      <c r="P7" t="s">
        <v>19</v>
      </c>
      <c r="Q7" t="e">
        <f ca="1">R14/R16</f>
        <v>#NAME?</v>
      </c>
      <c r="S7" t="s">
        <v>20</v>
      </c>
      <c r="T7" t="e">
        <f ca="1">T6+2*(Q14+2)*(Q14+3)/(Q10-Q14-3)</f>
        <v>#NAME?</v>
      </c>
      <c r="X7" t="s">
        <v>27</v>
      </c>
      <c r="Y7" s="12" t="e">
        <f ca="1">(Q7/Q14)/((1-Q7)/Q15)</f>
        <v>#NAME?</v>
      </c>
      <c r="AA7" t="e" cm="1">
        <f t="array" aca="1" ref="AA7" ca="1">FTEXT(Y7)</f>
        <v>#NAME?</v>
      </c>
    </row>
    <row r="8" spans="1:27" x14ac:dyDescent="0.35">
      <c r="A8" s="26" t="s">
        <v>22</v>
      </c>
      <c r="B8" s="27">
        <v>13.3</v>
      </c>
      <c r="C8" s="28">
        <v>5</v>
      </c>
      <c r="D8" s="29">
        <v>76.640052174481781</v>
      </c>
      <c r="E8" s="30">
        <v>522.6</v>
      </c>
      <c r="F8" s="30">
        <f t="shared" si="1"/>
        <v>25</v>
      </c>
      <c r="G8" s="30">
        <f t="shared" si="0"/>
        <v>5873.6975973072895</v>
      </c>
      <c r="H8" s="30">
        <f t="shared" si="0"/>
        <v>273110.76</v>
      </c>
      <c r="I8" s="30">
        <f t="shared" si="2"/>
        <v>383.20026087240888</v>
      </c>
      <c r="J8" s="30">
        <f t="shared" si="3"/>
        <v>2613</v>
      </c>
      <c r="K8" s="30">
        <f t="shared" si="4"/>
        <v>40052.091266384181</v>
      </c>
      <c r="L8">
        <v>10.360946134637627</v>
      </c>
      <c r="M8">
        <f t="shared" si="5"/>
        <v>2.9390538653623732</v>
      </c>
      <c r="N8">
        <f t="shared" si="6"/>
        <v>8.6380376235015071</v>
      </c>
      <c r="P8" t="s">
        <v>23</v>
      </c>
      <c r="Q8" t="e">
        <f ca="1">1-(1-Q7)*(Q10-1)/(Q10-Q14-1)</f>
        <v>#NAME?</v>
      </c>
      <c r="S8" s="10" t="s">
        <v>24</v>
      </c>
      <c r="T8" s="10" t="e">
        <f ca="1">Q10*LN(R15/Q10)+(Q14+1)*LN(Q10)</f>
        <v>#NAME?</v>
      </c>
      <c r="X8" t="s">
        <v>30</v>
      </c>
      <c r="Y8" s="13">
        <f>Q14</f>
        <v>9</v>
      </c>
      <c r="AA8" t="e" cm="1">
        <f t="array" aca="1" ref="AA8" ca="1">FTEXT(Y8)</f>
        <v>#NAME?</v>
      </c>
    </row>
    <row r="9" spans="1:27" x14ac:dyDescent="0.35">
      <c r="A9" s="26" t="s">
        <v>25</v>
      </c>
      <c r="B9" s="27">
        <v>11.4</v>
      </c>
      <c r="C9" s="28">
        <v>5.7</v>
      </c>
      <c r="D9" s="29">
        <v>89.734092175332663</v>
      </c>
      <c r="E9" s="30">
        <v>347.8</v>
      </c>
      <c r="F9" s="30">
        <f t="shared" si="1"/>
        <v>32.49</v>
      </c>
      <c r="G9" s="30">
        <f t="shared" si="0"/>
        <v>8052.2072985310988</v>
      </c>
      <c r="H9" s="30">
        <f t="shared" si="0"/>
        <v>120964.84000000001</v>
      </c>
      <c r="I9" s="30">
        <f t="shared" si="2"/>
        <v>511.4843253993962</v>
      </c>
      <c r="J9" s="30">
        <f t="shared" si="3"/>
        <v>1982.46</v>
      </c>
      <c r="K9" s="30">
        <f t="shared" si="4"/>
        <v>31209.517258580701</v>
      </c>
      <c r="L9">
        <v>11.483693052508372</v>
      </c>
      <c r="M9">
        <f t="shared" si="5"/>
        <v>-8.3693052508371224E-2</v>
      </c>
      <c r="N9">
        <f t="shared" si="6"/>
        <v>7.0045270381689827E-3</v>
      </c>
      <c r="P9" t="s">
        <v>26</v>
      </c>
      <c r="Q9" t="e">
        <f ca="1">SQRT(S15)</f>
        <v>#NAME?</v>
      </c>
      <c r="X9" t="s">
        <v>32</v>
      </c>
      <c r="Y9" s="13">
        <f>Q15</f>
        <v>40</v>
      </c>
      <c r="AA9" t="e" cm="1">
        <f t="array" aca="1" ref="AA9" ca="1">FTEXT(Y9)</f>
        <v>#NAME?</v>
      </c>
    </row>
    <row r="10" spans="1:27" x14ac:dyDescent="0.35">
      <c r="A10" s="26" t="s">
        <v>28</v>
      </c>
      <c r="B10" s="27">
        <v>9.3000000000000007</v>
      </c>
      <c r="C10" s="28">
        <v>6.2</v>
      </c>
      <c r="D10" s="29">
        <v>84.278652322083644</v>
      </c>
      <c r="E10" s="30">
        <v>256</v>
      </c>
      <c r="F10" s="30">
        <f t="shared" si="1"/>
        <v>38.440000000000005</v>
      </c>
      <c r="G10" s="30">
        <f t="shared" si="0"/>
        <v>7102.891237226655</v>
      </c>
      <c r="H10" s="30">
        <f t="shared" si="0"/>
        <v>65536</v>
      </c>
      <c r="I10" s="30">
        <f t="shared" si="2"/>
        <v>522.52764439691862</v>
      </c>
      <c r="J10" s="30">
        <f t="shared" si="3"/>
        <v>1587.2</v>
      </c>
      <c r="K10" s="30">
        <f t="shared" si="4"/>
        <v>21575.334994453413</v>
      </c>
      <c r="L10">
        <v>11.79470492807466</v>
      </c>
      <c r="M10">
        <f t="shared" si="5"/>
        <v>-2.4947049280746594</v>
      </c>
      <c r="N10">
        <f t="shared" si="6"/>
        <v>6.223552678159991</v>
      </c>
      <c r="P10" s="10" t="s">
        <v>29</v>
      </c>
      <c r="Q10" s="10">
        <f>COUNT(N4:N53)</f>
        <v>50</v>
      </c>
      <c r="X10" t="s">
        <v>21</v>
      </c>
      <c r="Y10" s="14" t="e">
        <f ca="1">_xlfn.F.DIST.RT(Y7,Y8,Y9)</f>
        <v>#NAME?</v>
      </c>
      <c r="AA10" t="e" cm="1">
        <f t="array" aca="1" ref="AA10" ca="1">FTEXT(Y10)</f>
        <v>#NAME?</v>
      </c>
    </row>
    <row r="11" spans="1:27" x14ac:dyDescent="0.35">
      <c r="A11" s="26" t="s">
        <v>31</v>
      </c>
      <c r="B11" s="31">
        <v>10</v>
      </c>
      <c r="C11" s="28">
        <v>8.3000000000000007</v>
      </c>
      <c r="D11" s="29">
        <v>74.266056727126113</v>
      </c>
      <c r="E11" s="30">
        <v>689.2</v>
      </c>
      <c r="F11" s="30">
        <f t="shared" si="1"/>
        <v>68.890000000000015</v>
      </c>
      <c r="G11" s="30">
        <f t="shared" si="0"/>
        <v>5515.4471817967142</v>
      </c>
      <c r="H11" s="30">
        <f t="shared" si="0"/>
        <v>474996.64000000007</v>
      </c>
      <c r="I11" s="30">
        <f t="shared" si="2"/>
        <v>616.40827083514682</v>
      </c>
      <c r="J11" s="30">
        <f t="shared" si="3"/>
        <v>5720.3600000000006</v>
      </c>
      <c r="K11" s="30">
        <f t="shared" si="4"/>
        <v>51184.166296335323</v>
      </c>
      <c r="L11">
        <v>14.733447771089935</v>
      </c>
      <c r="M11">
        <f t="shared" si="5"/>
        <v>-4.733447771089935</v>
      </c>
      <c r="N11">
        <f t="shared" si="6"/>
        <v>22.405527801636275</v>
      </c>
    </row>
    <row r="12" spans="1:27" ht="15" thickBot="1" x14ac:dyDescent="0.4">
      <c r="A12" s="26" t="s">
        <v>33</v>
      </c>
      <c r="B12" s="27">
        <v>13.2</v>
      </c>
      <c r="C12" s="28">
        <v>7.3</v>
      </c>
      <c r="D12" s="29">
        <v>79.811068541941054</v>
      </c>
      <c r="E12" s="30">
        <v>722.6</v>
      </c>
      <c r="F12" s="30">
        <f t="shared" si="1"/>
        <v>53.29</v>
      </c>
      <c r="G12" s="30">
        <f t="shared" si="0"/>
        <v>6369.8066618064131</v>
      </c>
      <c r="H12" s="30">
        <f t="shared" si="0"/>
        <v>522150.76</v>
      </c>
      <c r="I12" s="30">
        <f t="shared" si="2"/>
        <v>582.62080035616964</v>
      </c>
      <c r="J12" s="30">
        <f t="shared" si="3"/>
        <v>5274.9800000000005</v>
      </c>
      <c r="K12" s="30">
        <f t="shared" si="4"/>
        <v>57671.478128406605</v>
      </c>
      <c r="L12">
        <v>13.702989401864992</v>
      </c>
      <c r="M12">
        <f t="shared" si="5"/>
        <v>-0.5029894018649923</v>
      </c>
      <c r="N12">
        <f t="shared" si="6"/>
        <v>0.25299833838850272</v>
      </c>
      <c r="P12" t="s">
        <v>34</v>
      </c>
      <c r="T12" s="16" t="s">
        <v>35</v>
      </c>
      <c r="U12" s="16">
        <v>0.05</v>
      </c>
    </row>
    <row r="13" spans="1:27" ht="15" thickTop="1" x14ac:dyDescent="0.35">
      <c r="A13" s="26" t="s">
        <v>36</v>
      </c>
      <c r="B13" s="27">
        <v>14.7</v>
      </c>
      <c r="C13" s="28">
        <v>8.1</v>
      </c>
      <c r="D13" s="29">
        <v>65.387718279566343</v>
      </c>
      <c r="E13" s="30">
        <v>493.2</v>
      </c>
      <c r="F13" s="30">
        <f t="shared" si="1"/>
        <v>65.61</v>
      </c>
      <c r="G13" s="30">
        <f t="shared" si="0"/>
        <v>4275.5537018079349</v>
      </c>
      <c r="H13" s="30">
        <f t="shared" si="0"/>
        <v>243246.24</v>
      </c>
      <c r="I13" s="30">
        <f t="shared" si="2"/>
        <v>529.64051806448731</v>
      </c>
      <c r="J13" s="30">
        <f t="shared" si="3"/>
        <v>3994.9199999999996</v>
      </c>
      <c r="K13" s="30">
        <f t="shared" si="4"/>
        <v>32249.222655482121</v>
      </c>
      <c r="L13">
        <v>13.876437321067451</v>
      </c>
      <c r="M13">
        <f t="shared" si="5"/>
        <v>0.82356267893254831</v>
      </c>
      <c r="N13">
        <f t="shared" si="6"/>
        <v>0.67825548613055564</v>
      </c>
      <c r="P13" s="17"/>
      <c r="Q13" s="17" t="s">
        <v>17</v>
      </c>
      <c r="R13" s="17" t="s">
        <v>37</v>
      </c>
      <c r="S13" s="17" t="s">
        <v>38</v>
      </c>
      <c r="T13" s="17" t="s">
        <v>27</v>
      </c>
      <c r="U13" s="17" t="s">
        <v>21</v>
      </c>
      <c r="V13" s="17" t="s">
        <v>39</v>
      </c>
    </row>
    <row r="14" spans="1:27" x14ac:dyDescent="0.35">
      <c r="A14" s="26" t="s">
        <v>40</v>
      </c>
      <c r="B14" s="27">
        <v>9.1</v>
      </c>
      <c r="C14" s="28">
        <v>5.6</v>
      </c>
      <c r="D14" s="29">
        <v>29.667333748383395</v>
      </c>
      <c r="E14" s="30">
        <v>272.8</v>
      </c>
      <c r="F14" s="30">
        <f t="shared" si="1"/>
        <v>31.359999999999996</v>
      </c>
      <c r="G14" s="30">
        <f t="shared" si="0"/>
        <v>880.15069173796837</v>
      </c>
      <c r="H14" s="30">
        <f t="shared" si="0"/>
        <v>74419.840000000011</v>
      </c>
      <c r="I14" s="30">
        <f t="shared" si="2"/>
        <v>166.137068990947</v>
      </c>
      <c r="J14" s="30">
        <f t="shared" si="3"/>
        <v>1527.68</v>
      </c>
      <c r="K14" s="30">
        <f t="shared" si="4"/>
        <v>8093.2486465589909</v>
      </c>
      <c r="L14">
        <v>9.0671031505498636</v>
      </c>
      <c r="M14">
        <f t="shared" si="5"/>
        <v>3.2896849450136045E-2</v>
      </c>
      <c r="N14">
        <f t="shared" si="6"/>
        <v>1.0822027037449163E-3</v>
      </c>
      <c r="P14" t="s">
        <v>41</v>
      </c>
      <c r="Q14">
        <f>COUNT(C4:K4)</f>
        <v>9</v>
      </c>
      <c r="R14" t="e">
        <f ca="1">DEVSQ(MMULT(DEsign(C4:K53),Q19:Q28))</f>
        <v>#NAME?</v>
      </c>
      <c r="S14" t="e">
        <f ca="1">R14/Q14</f>
        <v>#NAME?</v>
      </c>
      <c r="T14" t="e">
        <f ca="1">S14/S15</f>
        <v>#NAME?</v>
      </c>
      <c r="U14" t="e">
        <f ca="1">_xlfn.F.DIST.RT(T14,Q14,Q15)</f>
        <v>#NAME?</v>
      </c>
      <c r="V14" s="16" t="e">
        <f ca="1">IF(U14&lt;U12,"yes","no")</f>
        <v>#NAME?</v>
      </c>
    </row>
    <row r="15" spans="1:27" x14ac:dyDescent="0.35">
      <c r="A15" s="26" t="s">
        <v>42</v>
      </c>
      <c r="B15" s="27">
        <v>12.6</v>
      </c>
      <c r="C15" s="28">
        <v>6.8</v>
      </c>
      <c r="D15" s="29">
        <v>94.600660447193093</v>
      </c>
      <c r="E15" s="30">
        <v>239.4</v>
      </c>
      <c r="F15" s="30">
        <f t="shared" si="1"/>
        <v>46.239999999999995</v>
      </c>
      <c r="G15" s="30">
        <f t="shared" si="0"/>
        <v>8949.2849570451235</v>
      </c>
      <c r="H15" s="30">
        <f t="shared" si="0"/>
        <v>57312.36</v>
      </c>
      <c r="I15" s="30">
        <f t="shared" si="2"/>
        <v>643.28449104091305</v>
      </c>
      <c r="J15" s="30">
        <f t="shared" si="3"/>
        <v>1627.92</v>
      </c>
      <c r="K15" s="30">
        <f t="shared" si="4"/>
        <v>22647.398111058028</v>
      </c>
      <c r="L15">
        <v>12.913696631816233</v>
      </c>
      <c r="M15">
        <f t="shared" si="5"/>
        <v>-0.31369663181623331</v>
      </c>
      <c r="N15">
        <f t="shared" si="6"/>
        <v>9.8405576812849435E-2</v>
      </c>
      <c r="P15" t="s">
        <v>43</v>
      </c>
      <c r="Q15">
        <f>Q16-Q14</f>
        <v>40</v>
      </c>
      <c r="R15" t="e">
        <f ca="1">R16-R14</f>
        <v>#NAME?</v>
      </c>
      <c r="S15" t="e">
        <f ca="1">R15/Q15</f>
        <v>#NAME?</v>
      </c>
    </row>
    <row r="16" spans="1:27" x14ac:dyDescent="0.35">
      <c r="A16" s="26" t="s">
        <v>44</v>
      </c>
      <c r="B16" s="27">
        <v>12.2</v>
      </c>
      <c r="C16" s="28">
        <v>7.3</v>
      </c>
      <c r="D16" s="29">
        <v>79.13310968601246</v>
      </c>
      <c r="E16" s="30">
        <v>533.20000000000005</v>
      </c>
      <c r="F16" s="30">
        <f t="shared" si="1"/>
        <v>53.29</v>
      </c>
      <c r="G16" s="30">
        <f t="shared" si="0"/>
        <v>6262.0490485784794</v>
      </c>
      <c r="H16" s="30">
        <f t="shared" si="0"/>
        <v>284302.24000000005</v>
      </c>
      <c r="I16" s="30">
        <f t="shared" si="2"/>
        <v>577.67170070789098</v>
      </c>
      <c r="J16" s="30">
        <f t="shared" si="3"/>
        <v>3892.36</v>
      </c>
      <c r="K16" s="30">
        <f t="shared" si="4"/>
        <v>42193.774084581848</v>
      </c>
      <c r="L16">
        <v>13.409129334359276</v>
      </c>
      <c r="M16">
        <f t="shared" si="5"/>
        <v>-1.2091293343592771</v>
      </c>
      <c r="N16">
        <f t="shared" si="6"/>
        <v>1.4619937472081084</v>
      </c>
      <c r="P16" s="10" t="s">
        <v>45</v>
      </c>
      <c r="Q16" s="10">
        <f>Q10-1</f>
        <v>49</v>
      </c>
      <c r="R16" s="10">
        <f>DEVSQ(N4:N53)</f>
        <v>3104.9169973942689</v>
      </c>
      <c r="S16" s="10"/>
      <c r="T16" s="10"/>
      <c r="U16" s="10"/>
      <c r="V16" s="10"/>
    </row>
    <row r="17" spans="1:23" ht="15" thickBot="1" x14ac:dyDescent="0.4">
      <c r="A17" s="26" t="s">
        <v>46</v>
      </c>
      <c r="B17" s="27">
        <v>13.1</v>
      </c>
      <c r="C17" s="28">
        <v>8</v>
      </c>
      <c r="D17" s="29">
        <v>88.000000627274659</v>
      </c>
      <c r="E17" s="30">
        <v>333.6</v>
      </c>
      <c r="F17" s="30">
        <f t="shared" si="1"/>
        <v>64</v>
      </c>
      <c r="G17" s="30">
        <f t="shared" si="0"/>
        <v>7744.0001104003404</v>
      </c>
      <c r="H17" s="30">
        <f t="shared" si="0"/>
        <v>111288.96000000002</v>
      </c>
      <c r="I17" s="30">
        <f t="shared" si="2"/>
        <v>704.00000501819727</v>
      </c>
      <c r="J17" s="30">
        <f t="shared" si="3"/>
        <v>2668.8</v>
      </c>
      <c r="K17" s="30">
        <f t="shared" si="4"/>
        <v>29356.800209258829</v>
      </c>
      <c r="L17">
        <v>14.343063758629301</v>
      </c>
      <c r="M17">
        <f t="shared" si="5"/>
        <v>-1.243063758629301</v>
      </c>
      <c r="N17">
        <f t="shared" si="6"/>
        <v>1.5452075080176051</v>
      </c>
    </row>
    <row r="18" spans="1:23" ht="15" thickTop="1" x14ac:dyDescent="0.35">
      <c r="A18" s="26" t="s">
        <v>47</v>
      </c>
      <c r="B18" s="27">
        <v>11.5</v>
      </c>
      <c r="C18" s="28">
        <v>5.0999999999999996</v>
      </c>
      <c r="D18" s="29">
        <v>94.170464820794294</v>
      </c>
      <c r="E18" s="30">
        <v>294.7</v>
      </c>
      <c r="F18" s="30">
        <f t="shared" si="1"/>
        <v>26.009999999999998</v>
      </c>
      <c r="G18" s="30">
        <f t="shared" si="0"/>
        <v>8868.0764445644563</v>
      </c>
      <c r="H18" s="30">
        <f t="shared" si="0"/>
        <v>86848.09</v>
      </c>
      <c r="I18" s="30">
        <f t="shared" si="2"/>
        <v>480.26937058605085</v>
      </c>
      <c r="J18" s="30">
        <f t="shared" si="3"/>
        <v>1502.9699999999998</v>
      </c>
      <c r="K18" s="30">
        <f t="shared" si="4"/>
        <v>27752.035982688078</v>
      </c>
      <c r="L18">
        <v>10.801749432233862</v>
      </c>
      <c r="M18">
        <f t="shared" si="5"/>
        <v>0.69825056776613792</v>
      </c>
      <c r="N18">
        <f t="shared" si="6"/>
        <v>0.48755385538573398</v>
      </c>
      <c r="P18" s="17"/>
      <c r="Q18" s="17" t="s">
        <v>48</v>
      </c>
      <c r="R18" s="17" t="s">
        <v>49</v>
      </c>
      <c r="S18" s="17" t="s">
        <v>50</v>
      </c>
      <c r="T18" s="17" t="s">
        <v>21</v>
      </c>
      <c r="U18" s="17" t="s">
        <v>51</v>
      </c>
      <c r="V18" s="17" t="s">
        <v>52</v>
      </c>
      <c r="W18" s="17" t="s">
        <v>53</v>
      </c>
    </row>
    <row r="19" spans="1:23" x14ac:dyDescent="0.35">
      <c r="A19" s="26" t="s">
        <v>54</v>
      </c>
      <c r="B19" s="27">
        <v>11.3</v>
      </c>
      <c r="C19" s="28">
        <v>7.1</v>
      </c>
      <c r="D19" s="29">
        <v>88.703716524620162</v>
      </c>
      <c r="E19" s="30">
        <v>452.7</v>
      </c>
      <c r="F19" s="30">
        <f t="shared" si="1"/>
        <v>50.41</v>
      </c>
      <c r="G19" s="30">
        <f t="shared" si="0"/>
        <v>7868.3493252801718</v>
      </c>
      <c r="H19" s="30">
        <f t="shared" si="0"/>
        <v>204937.28999999998</v>
      </c>
      <c r="I19" s="30">
        <f t="shared" si="2"/>
        <v>629.79638732480316</v>
      </c>
      <c r="J19" s="30">
        <f t="shared" si="3"/>
        <v>3214.1699999999996</v>
      </c>
      <c r="K19" s="30">
        <f t="shared" si="4"/>
        <v>40156.17247069555</v>
      </c>
      <c r="L19">
        <v>13.386495433605791</v>
      </c>
      <c r="M19">
        <f t="shared" si="5"/>
        <v>-2.0864954336057906</v>
      </c>
      <c r="N19">
        <f t="shared" si="6"/>
        <v>4.3534631944578157</v>
      </c>
      <c r="P19" t="s">
        <v>55</v>
      </c>
      <c r="Q19" t="e">
        <f t="array" aca="1" ref="Q19:R28" ca="1">RegCoeff(C4:K53,N4:N53)</f>
        <v>#NAME?</v>
      </c>
      <c r="R19" t="e">
        <f ca="1"/>
        <v>#NAME?</v>
      </c>
      <c r="S19" t="e">
        <f ca="1">Q19/R19</f>
        <v>#NAME?</v>
      </c>
      <c r="T19" t="e">
        <f ca="1">_xlfn.T.DIST.2T(ABS(S19),$Q$15)</f>
        <v>#NAME?</v>
      </c>
      <c r="U19" t="e">
        <f ca="1">Q19-_xlfn.T.INV.2T(U$12,$Q$15)*R19</f>
        <v>#NAME?</v>
      </c>
      <c r="V19" t="e">
        <f ca="1">Q19+_xlfn.T.INV.2T(U$12,$Q$15)*R19</f>
        <v>#NAME?</v>
      </c>
    </row>
    <row r="20" spans="1:23" x14ac:dyDescent="0.35">
      <c r="A20" s="26" t="s">
        <v>56</v>
      </c>
      <c r="B20" s="27">
        <v>17.3</v>
      </c>
      <c r="C20" s="28">
        <v>7.5</v>
      </c>
      <c r="D20" s="29">
        <v>89.904327345935869</v>
      </c>
      <c r="E20" s="30">
        <v>295</v>
      </c>
      <c r="F20" s="30">
        <f t="shared" si="1"/>
        <v>56.25</v>
      </c>
      <c r="G20" s="30">
        <f t="shared" si="1"/>
        <v>8082.7880755251917</v>
      </c>
      <c r="H20" s="30">
        <f t="shared" si="1"/>
        <v>87025</v>
      </c>
      <c r="I20" s="30">
        <f t="shared" si="2"/>
        <v>674.28245509451904</v>
      </c>
      <c r="J20" s="30">
        <f t="shared" si="3"/>
        <v>2212.5</v>
      </c>
      <c r="K20" s="30">
        <f t="shared" si="4"/>
        <v>26521.776567051082</v>
      </c>
      <c r="L20">
        <v>13.717687401385909</v>
      </c>
      <c r="M20">
        <f t="shared" si="5"/>
        <v>3.5823125986140916</v>
      </c>
      <c r="N20">
        <f t="shared" si="6"/>
        <v>12.832963554189245</v>
      </c>
      <c r="P20" t="str">
        <f t="array" ref="P20:P28">TRANSPOSE(C3:K3)</f>
        <v>Inf Mort</v>
      </c>
      <c r="Q20" t="e">
        <f ca="1"/>
        <v>#NAME?</v>
      </c>
      <c r="R20" t="e">
        <f ca="1"/>
        <v>#NAME?</v>
      </c>
      <c r="S20" t="e">
        <f t="shared" ref="S20:S28" ca="1" si="7">Q20/R20</f>
        <v>#NAME?</v>
      </c>
      <c r="T20" t="e">
        <f t="shared" ref="T20:T28" ca="1" si="8">_xlfn.T.DIST.2T(ABS(S20),$Q$15)</f>
        <v>#NAME?</v>
      </c>
      <c r="U20" t="e">
        <f t="shared" ref="U20:U28" ca="1" si="9">Q20-_xlfn.T.INV.2T(U$12,$Q$15)*R20</f>
        <v>#NAME?</v>
      </c>
      <c r="V20" t="e">
        <f t="shared" ref="V20:V28" ca="1" si="10">Q20+_xlfn.T.INV.2T(U$12,$Q$15)*R20</f>
        <v>#NAME?</v>
      </c>
      <c r="W20" t="e">
        <f ca="1">VIF(C4:K53,1)</f>
        <v>#NAME?</v>
      </c>
    </row>
    <row r="21" spans="1:23" x14ac:dyDescent="0.35">
      <c r="A21" s="26" t="s">
        <v>57</v>
      </c>
      <c r="B21" s="27">
        <v>17.3</v>
      </c>
      <c r="C21" s="28">
        <v>9.9</v>
      </c>
      <c r="D21" s="29">
        <v>64.839543701408999</v>
      </c>
      <c r="E21" s="30">
        <v>729.5</v>
      </c>
      <c r="F21" s="30">
        <f t="shared" si="1"/>
        <v>98.01</v>
      </c>
      <c r="G21" s="30">
        <f t="shared" si="1"/>
        <v>4204.1664274069271</v>
      </c>
      <c r="H21" s="30">
        <f t="shared" si="1"/>
        <v>532170.25</v>
      </c>
      <c r="I21" s="30">
        <f t="shared" si="2"/>
        <v>641.91148264394917</v>
      </c>
      <c r="J21" s="30">
        <f t="shared" si="3"/>
        <v>7222.05</v>
      </c>
      <c r="K21" s="30">
        <f t="shared" si="4"/>
        <v>47300.447130177869</v>
      </c>
      <c r="L21">
        <v>16.495289411657392</v>
      </c>
      <c r="M21">
        <f t="shared" si="5"/>
        <v>0.80471058834260845</v>
      </c>
      <c r="N21">
        <f t="shared" si="6"/>
        <v>0.64755913099070705</v>
      </c>
      <c r="P21" t="str">
        <v>White</v>
      </c>
      <c r="Q21" t="e">
        <f ca="1"/>
        <v>#NAME?</v>
      </c>
      <c r="R21" t="e">
        <f ca="1"/>
        <v>#NAME?</v>
      </c>
      <c r="S21" t="e">
        <f t="shared" ca="1" si="7"/>
        <v>#NAME?</v>
      </c>
      <c r="T21" t="e">
        <f t="shared" ca="1" si="8"/>
        <v>#NAME?</v>
      </c>
      <c r="U21" t="e">
        <f t="shared" ca="1" si="9"/>
        <v>#NAME?</v>
      </c>
      <c r="V21" t="e">
        <f t="shared" ca="1" si="10"/>
        <v>#NAME?</v>
      </c>
      <c r="W21" t="e">
        <f ca="1">VIF(C4:K53,2)</f>
        <v>#NAME?</v>
      </c>
    </row>
    <row r="22" spans="1:23" x14ac:dyDescent="0.35">
      <c r="A22" s="26" t="s">
        <v>58</v>
      </c>
      <c r="B22" s="27">
        <v>12.3</v>
      </c>
      <c r="C22" s="28">
        <v>6.3</v>
      </c>
      <c r="D22" s="29">
        <v>96.389852756187835</v>
      </c>
      <c r="E22" s="30">
        <v>118</v>
      </c>
      <c r="F22" s="30">
        <f t="shared" si="1"/>
        <v>39.69</v>
      </c>
      <c r="G22" s="30">
        <f t="shared" si="1"/>
        <v>9291.0037143595709</v>
      </c>
      <c r="H22" s="30">
        <f t="shared" si="1"/>
        <v>13924</v>
      </c>
      <c r="I22" s="30">
        <f t="shared" si="2"/>
        <v>607.25607236398332</v>
      </c>
      <c r="J22" s="30">
        <f t="shared" si="3"/>
        <v>743.4</v>
      </c>
      <c r="K22" s="30">
        <f t="shared" si="4"/>
        <v>11374.002625230165</v>
      </c>
      <c r="L22">
        <v>12.166437679535267</v>
      </c>
      <c r="M22">
        <f t="shared" si="5"/>
        <v>0.13356232046473338</v>
      </c>
      <c r="N22">
        <f t="shared" si="6"/>
        <v>1.7838893447924137E-2</v>
      </c>
      <c r="P22" t="str">
        <v>Crime</v>
      </c>
      <c r="Q22" t="e">
        <f ca="1"/>
        <v>#NAME?</v>
      </c>
      <c r="R22" t="e">
        <f ca="1"/>
        <v>#NAME?</v>
      </c>
      <c r="S22" t="e">
        <f t="shared" ca="1" si="7"/>
        <v>#NAME?</v>
      </c>
      <c r="T22" t="e">
        <f t="shared" ca="1" si="8"/>
        <v>#NAME?</v>
      </c>
      <c r="U22" t="e">
        <f t="shared" ca="1" si="9"/>
        <v>#NAME?</v>
      </c>
      <c r="V22" t="e">
        <f t="shared" ca="1" si="10"/>
        <v>#NAME?</v>
      </c>
      <c r="W22" t="e">
        <f ca="1">VIF(C4:K53,3)</f>
        <v>#NAME?</v>
      </c>
    </row>
    <row r="23" spans="1:23" x14ac:dyDescent="0.35">
      <c r="A23" s="26" t="s">
        <v>59</v>
      </c>
      <c r="B23" s="27">
        <v>8.1</v>
      </c>
      <c r="C23" s="28">
        <v>8</v>
      </c>
      <c r="D23" s="29">
        <v>63.398020838196281</v>
      </c>
      <c r="E23" s="30">
        <v>641.9</v>
      </c>
      <c r="F23" s="30">
        <f t="shared" si="1"/>
        <v>64</v>
      </c>
      <c r="G23" s="30">
        <f t="shared" si="1"/>
        <v>4019.3090462003697</v>
      </c>
      <c r="H23" s="30">
        <f t="shared" si="1"/>
        <v>412035.61</v>
      </c>
      <c r="I23" s="30">
        <f t="shared" si="2"/>
        <v>507.18416670557025</v>
      </c>
      <c r="J23" s="30">
        <f t="shared" si="3"/>
        <v>5135.2</v>
      </c>
      <c r="K23" s="30">
        <f t="shared" si="4"/>
        <v>40695.189576038189</v>
      </c>
      <c r="L23">
        <v>13.887597669367663</v>
      </c>
      <c r="M23">
        <f t="shared" si="5"/>
        <v>-5.7875976693676634</v>
      </c>
      <c r="N23">
        <f t="shared" si="6"/>
        <v>33.496286782470008</v>
      </c>
      <c r="P23" t="str">
        <v>I-sq</v>
      </c>
      <c r="Q23" t="e">
        <f ca="1"/>
        <v>#NAME?</v>
      </c>
      <c r="R23" t="e">
        <f ca="1"/>
        <v>#NAME?</v>
      </c>
      <c r="S23" t="e">
        <f t="shared" ca="1" si="7"/>
        <v>#NAME?</v>
      </c>
      <c r="T23" t="e">
        <f t="shared" ca="1" si="8"/>
        <v>#NAME?</v>
      </c>
      <c r="U23" t="e">
        <f t="shared" ca="1" si="9"/>
        <v>#NAME?</v>
      </c>
      <c r="V23" t="e">
        <f t="shared" ca="1" si="10"/>
        <v>#NAME?</v>
      </c>
      <c r="W23" t="e">
        <f ca="1">VIF(C4:K53,4)</f>
        <v>#NAME?</v>
      </c>
    </row>
    <row r="24" spans="1:23" x14ac:dyDescent="0.35">
      <c r="A24" s="26" t="s">
        <v>60</v>
      </c>
      <c r="B24" s="31">
        <v>10</v>
      </c>
      <c r="C24" s="28">
        <v>4.8</v>
      </c>
      <c r="D24" s="29">
        <v>86.203669547721617</v>
      </c>
      <c r="E24" s="30">
        <v>431.5</v>
      </c>
      <c r="F24" s="30">
        <f t="shared" si="1"/>
        <v>23.04</v>
      </c>
      <c r="G24" s="30">
        <f t="shared" si="1"/>
        <v>7431.0726434927874</v>
      </c>
      <c r="H24" s="30">
        <f t="shared" si="1"/>
        <v>186192.25</v>
      </c>
      <c r="I24" s="30">
        <f t="shared" si="2"/>
        <v>413.77761382906374</v>
      </c>
      <c r="J24" s="30">
        <f t="shared" si="3"/>
        <v>2071.1999999999998</v>
      </c>
      <c r="K24" s="30">
        <f t="shared" si="4"/>
        <v>37196.883409841881</v>
      </c>
      <c r="L24">
        <v>10.32299043884211</v>
      </c>
      <c r="M24">
        <f t="shared" si="5"/>
        <v>-0.32299043884211009</v>
      </c>
      <c r="N24">
        <f t="shared" si="6"/>
        <v>0.10432282358341886</v>
      </c>
      <c r="P24" t="str">
        <v>W-sq</v>
      </c>
      <c r="Q24" t="e">
        <f ca="1"/>
        <v>#NAME?</v>
      </c>
      <c r="R24" t="e">
        <f ca="1"/>
        <v>#NAME?</v>
      </c>
      <c r="S24" t="e">
        <f t="shared" ca="1" si="7"/>
        <v>#NAME?</v>
      </c>
      <c r="T24" t="e">
        <f t="shared" ca="1" si="8"/>
        <v>#NAME?</v>
      </c>
      <c r="U24" t="e">
        <f t="shared" ca="1" si="9"/>
        <v>#NAME?</v>
      </c>
      <c r="V24" t="e">
        <f t="shared" ca="1" si="10"/>
        <v>#NAME?</v>
      </c>
      <c r="W24" t="e">
        <f ca="1">VIF(C4:K53,5)</f>
        <v>#NAME?</v>
      </c>
    </row>
    <row r="25" spans="1:23" x14ac:dyDescent="0.35">
      <c r="A25" s="26" t="s">
        <v>61</v>
      </c>
      <c r="B25" s="27">
        <v>14.4</v>
      </c>
      <c r="C25" s="28">
        <v>7.4</v>
      </c>
      <c r="D25" s="29">
        <v>81.183409037427396</v>
      </c>
      <c r="E25" s="30">
        <v>536</v>
      </c>
      <c r="F25" s="30">
        <f t="shared" si="1"/>
        <v>54.760000000000005</v>
      </c>
      <c r="G25" s="30">
        <f t="shared" si="1"/>
        <v>6590.745902938248</v>
      </c>
      <c r="H25" s="30">
        <f t="shared" si="1"/>
        <v>287296</v>
      </c>
      <c r="I25" s="30">
        <f t="shared" si="2"/>
        <v>600.7572268769627</v>
      </c>
      <c r="J25" s="30">
        <f t="shared" si="3"/>
        <v>3966.4</v>
      </c>
      <c r="K25" s="30">
        <f t="shared" si="4"/>
        <v>43514.307244061085</v>
      </c>
      <c r="L25">
        <v>13.615527563643827</v>
      </c>
      <c r="M25">
        <f t="shared" si="5"/>
        <v>0.78447243635617347</v>
      </c>
      <c r="N25">
        <f t="shared" si="6"/>
        <v>0.61539700340259063</v>
      </c>
      <c r="P25" t="str">
        <v>C-sq</v>
      </c>
      <c r="Q25" t="e">
        <f ca="1"/>
        <v>#NAME?</v>
      </c>
      <c r="R25" t="e">
        <f ca="1"/>
        <v>#NAME?</v>
      </c>
      <c r="S25" t="e">
        <f t="shared" ca="1" si="7"/>
        <v>#NAME?</v>
      </c>
      <c r="T25" t="e">
        <f t="shared" ca="1" si="8"/>
        <v>#NAME?</v>
      </c>
      <c r="U25" t="e">
        <f t="shared" ca="1" si="9"/>
        <v>#NAME?</v>
      </c>
      <c r="V25" t="e">
        <f t="shared" ca="1" si="10"/>
        <v>#NAME?</v>
      </c>
      <c r="W25" t="e">
        <f ca="1">VIF(C4:K53,6)</f>
        <v>#NAME?</v>
      </c>
    </row>
    <row r="26" spans="1:23" x14ac:dyDescent="0.35">
      <c r="A26" s="26" t="s">
        <v>62</v>
      </c>
      <c r="B26" s="27">
        <v>9.6</v>
      </c>
      <c r="C26" s="28">
        <v>5.2</v>
      </c>
      <c r="D26" s="29">
        <v>89.045556531854984</v>
      </c>
      <c r="E26" s="30">
        <v>288.7</v>
      </c>
      <c r="F26" s="30">
        <f t="shared" si="1"/>
        <v>27.040000000000003</v>
      </c>
      <c r="G26" s="30">
        <f t="shared" si="1"/>
        <v>7929.1111380677821</v>
      </c>
      <c r="H26" s="30">
        <f t="shared" si="1"/>
        <v>83347.689999999988</v>
      </c>
      <c r="I26" s="30">
        <f t="shared" si="2"/>
        <v>463.03689396564596</v>
      </c>
      <c r="J26" s="30">
        <f t="shared" si="3"/>
        <v>1501.24</v>
      </c>
      <c r="K26" s="30">
        <f t="shared" si="4"/>
        <v>25707.452170746532</v>
      </c>
      <c r="L26">
        <v>10.734985254448009</v>
      </c>
      <c r="M26">
        <f t="shared" si="5"/>
        <v>-1.1349852544480097</v>
      </c>
      <c r="N26">
        <f t="shared" si="6"/>
        <v>1.2881915278144134</v>
      </c>
      <c r="P26" t="str">
        <v>I*W</v>
      </c>
      <c r="Q26" t="e">
        <f ca="1"/>
        <v>#NAME?</v>
      </c>
      <c r="R26" t="e">
        <f ca="1"/>
        <v>#NAME?</v>
      </c>
      <c r="S26" t="e">
        <f t="shared" ca="1" si="7"/>
        <v>#NAME?</v>
      </c>
      <c r="T26" t="e">
        <f t="shared" ca="1" si="8"/>
        <v>#NAME?</v>
      </c>
      <c r="U26" t="e">
        <f t="shared" ca="1" si="9"/>
        <v>#NAME?</v>
      </c>
      <c r="V26" t="e">
        <f t="shared" ca="1" si="10"/>
        <v>#NAME?</v>
      </c>
      <c r="W26" t="e">
        <f ca="1">VIF(C4:K53,7)</f>
        <v>#NAME?</v>
      </c>
    </row>
    <row r="27" spans="1:23" x14ac:dyDescent="0.35">
      <c r="A27" s="26" t="s">
        <v>63</v>
      </c>
      <c r="B27" s="27">
        <v>21.2</v>
      </c>
      <c r="C27" s="28">
        <v>10.6</v>
      </c>
      <c r="D27" s="29">
        <v>60.598179144073846</v>
      </c>
      <c r="E27" s="30">
        <v>291.3</v>
      </c>
      <c r="F27" s="30">
        <f t="shared" si="1"/>
        <v>112.36</v>
      </c>
      <c r="G27" s="30">
        <f t="shared" si="1"/>
        <v>3672.1393155772666</v>
      </c>
      <c r="H27" s="30">
        <f t="shared" si="1"/>
        <v>84855.69</v>
      </c>
      <c r="I27" s="30">
        <f t="shared" si="2"/>
        <v>642.34069892718276</v>
      </c>
      <c r="J27" s="30">
        <f t="shared" si="3"/>
        <v>3087.78</v>
      </c>
      <c r="K27" s="30">
        <f t="shared" si="4"/>
        <v>17652.249584668712</v>
      </c>
      <c r="L27">
        <v>16.613871588317885</v>
      </c>
      <c r="M27">
        <f t="shared" si="5"/>
        <v>4.5861284116821146</v>
      </c>
      <c r="N27">
        <f t="shared" si="6"/>
        <v>21.032573808437917</v>
      </c>
      <c r="P27" t="str">
        <v>I*C</v>
      </c>
      <c r="Q27" t="e">
        <f ca="1"/>
        <v>#NAME?</v>
      </c>
      <c r="R27" t="e">
        <f ca="1"/>
        <v>#NAME?</v>
      </c>
      <c r="S27" t="e">
        <f t="shared" ca="1" si="7"/>
        <v>#NAME?</v>
      </c>
      <c r="T27" t="e">
        <f t="shared" ca="1" si="8"/>
        <v>#NAME?</v>
      </c>
      <c r="U27" t="e">
        <f t="shared" ca="1" si="9"/>
        <v>#NAME?</v>
      </c>
      <c r="V27" t="e">
        <f t="shared" ca="1" si="10"/>
        <v>#NAME?</v>
      </c>
      <c r="W27" t="e">
        <f ca="1">VIF(C4:K53,8)</f>
        <v>#NAME?</v>
      </c>
    </row>
    <row r="28" spans="1:23" x14ac:dyDescent="0.35">
      <c r="A28" s="26" t="s">
        <v>64</v>
      </c>
      <c r="B28" s="27">
        <v>13.4</v>
      </c>
      <c r="C28" s="28">
        <v>7.4</v>
      </c>
      <c r="D28" s="29">
        <v>85.028888093842554</v>
      </c>
      <c r="E28" s="30">
        <v>504.9</v>
      </c>
      <c r="F28" s="30">
        <f t="shared" si="1"/>
        <v>54.760000000000005</v>
      </c>
      <c r="G28" s="30">
        <f t="shared" si="1"/>
        <v>7229.9118104751997</v>
      </c>
      <c r="H28" s="30">
        <f t="shared" si="1"/>
        <v>254924.00999999998</v>
      </c>
      <c r="I28" s="30">
        <f t="shared" si="2"/>
        <v>629.2137718944349</v>
      </c>
      <c r="J28" s="30">
        <f t="shared" si="3"/>
        <v>3736.26</v>
      </c>
      <c r="K28" s="30">
        <f t="shared" si="4"/>
        <v>42931.085598581107</v>
      </c>
      <c r="L28">
        <v>13.711013366979067</v>
      </c>
      <c r="M28">
        <f t="shared" si="5"/>
        <v>-0.31101336697906667</v>
      </c>
      <c r="N28">
        <f t="shared" si="6"/>
        <v>9.67293144396556E-2</v>
      </c>
      <c r="P28" s="10" t="str">
        <v>W*C</v>
      </c>
      <c r="Q28" s="10" t="e">
        <f ca="1"/>
        <v>#NAME?</v>
      </c>
      <c r="R28" s="10" t="e">
        <f ca="1"/>
        <v>#NAME?</v>
      </c>
      <c r="S28" s="10" t="e">
        <f t="shared" ca="1" si="7"/>
        <v>#NAME?</v>
      </c>
      <c r="T28" s="10" t="e">
        <f t="shared" ca="1" si="8"/>
        <v>#NAME?</v>
      </c>
      <c r="U28" s="10" t="e">
        <f t="shared" ca="1" si="9"/>
        <v>#NAME?</v>
      </c>
      <c r="V28" s="10" t="e">
        <f t="shared" ca="1" si="10"/>
        <v>#NAME?</v>
      </c>
      <c r="W28" s="10" t="e">
        <f ca="1">VIF(C4:K53,9)</f>
        <v>#NAME?</v>
      </c>
    </row>
    <row r="29" spans="1:23" x14ac:dyDescent="0.35">
      <c r="A29" s="26" t="s">
        <v>65</v>
      </c>
      <c r="B29" s="27">
        <v>14.8</v>
      </c>
      <c r="C29" s="28">
        <v>5.8</v>
      </c>
      <c r="D29" s="29">
        <v>90.467729264863962</v>
      </c>
      <c r="E29" s="30">
        <v>287.5</v>
      </c>
      <c r="F29" s="30">
        <f t="shared" si="1"/>
        <v>33.64</v>
      </c>
      <c r="G29" s="30">
        <f t="shared" si="1"/>
        <v>8184.4100383407231</v>
      </c>
      <c r="H29" s="30">
        <f t="shared" si="1"/>
        <v>82656.25</v>
      </c>
      <c r="I29" s="30">
        <f t="shared" si="2"/>
        <v>524.71282973621101</v>
      </c>
      <c r="J29" s="30">
        <f t="shared" si="3"/>
        <v>1667.5</v>
      </c>
      <c r="K29" s="30">
        <f t="shared" si="4"/>
        <v>26009.472163648388</v>
      </c>
      <c r="L29">
        <v>11.55256440695972</v>
      </c>
      <c r="M29">
        <f t="shared" si="5"/>
        <v>3.2474355930402812</v>
      </c>
      <c r="N29">
        <f t="shared" si="6"/>
        <v>10.545837930944883</v>
      </c>
    </row>
    <row r="30" spans="1:23" x14ac:dyDescent="0.35">
      <c r="A30" s="26" t="s">
        <v>66</v>
      </c>
      <c r="B30" s="27">
        <v>10.8</v>
      </c>
      <c r="C30" s="28">
        <v>5.6</v>
      </c>
      <c r="D30" s="29">
        <v>91.372477335833381</v>
      </c>
      <c r="E30" s="30">
        <v>302.39999999999998</v>
      </c>
      <c r="F30" s="30">
        <f t="shared" si="1"/>
        <v>31.359999999999996</v>
      </c>
      <c r="G30" s="30">
        <f t="shared" si="1"/>
        <v>8348.9296144873842</v>
      </c>
      <c r="H30" s="30">
        <f t="shared" si="1"/>
        <v>91445.75999999998</v>
      </c>
      <c r="I30" s="30">
        <f t="shared" si="2"/>
        <v>511.68587308066691</v>
      </c>
      <c r="J30" s="30">
        <f t="shared" si="3"/>
        <v>1693.4399999999998</v>
      </c>
      <c r="K30" s="30">
        <f t="shared" si="4"/>
        <v>27631.037146356011</v>
      </c>
      <c r="L30">
        <v>11.350737524842538</v>
      </c>
      <c r="M30">
        <f t="shared" si="5"/>
        <v>-0.55073752484253724</v>
      </c>
      <c r="N30">
        <f t="shared" si="6"/>
        <v>0.30331182126968431</v>
      </c>
    </row>
    <row r="31" spans="1:23" x14ac:dyDescent="0.35">
      <c r="A31" s="26" t="s">
        <v>67</v>
      </c>
      <c r="B31" s="27">
        <v>11.3</v>
      </c>
      <c r="C31" s="28">
        <v>6.4</v>
      </c>
      <c r="D31" s="29">
        <v>80.891227371165002</v>
      </c>
      <c r="E31" s="30">
        <v>750.6</v>
      </c>
      <c r="F31" s="30">
        <f t="shared" si="1"/>
        <v>40.960000000000008</v>
      </c>
      <c r="G31" s="30">
        <f t="shared" si="1"/>
        <v>6543.3906656135141</v>
      </c>
      <c r="H31" s="30">
        <f t="shared" si="1"/>
        <v>563400.36</v>
      </c>
      <c r="I31" s="30">
        <f t="shared" si="2"/>
        <v>517.70385517545606</v>
      </c>
      <c r="J31" s="30">
        <f t="shared" si="3"/>
        <v>4803.84</v>
      </c>
      <c r="K31" s="30">
        <f t="shared" si="4"/>
        <v>60716.955264796452</v>
      </c>
      <c r="L31">
        <v>12.630597532474958</v>
      </c>
      <c r="M31">
        <f t="shared" si="5"/>
        <v>-1.3305975324749575</v>
      </c>
      <c r="N31">
        <f t="shared" si="6"/>
        <v>1.7704897934284456</v>
      </c>
    </row>
    <row r="32" spans="1:23" x14ac:dyDescent="0.35">
      <c r="A32" s="26" t="s">
        <v>68</v>
      </c>
      <c r="B32" s="27">
        <v>7.6</v>
      </c>
      <c r="C32" s="28">
        <v>6.1</v>
      </c>
      <c r="D32" s="29">
        <v>95.487186970145373</v>
      </c>
      <c r="E32" s="30">
        <v>137.30000000000001</v>
      </c>
      <c r="F32" s="30">
        <f t="shared" si="1"/>
        <v>37.209999999999994</v>
      </c>
      <c r="G32" s="30">
        <f t="shared" si="1"/>
        <v>9117.8028754714996</v>
      </c>
      <c r="H32" s="30">
        <f t="shared" si="1"/>
        <v>18851.290000000005</v>
      </c>
      <c r="I32" s="30">
        <f t="shared" si="2"/>
        <v>582.47184051788679</v>
      </c>
      <c r="J32" s="30">
        <f t="shared" si="3"/>
        <v>837.53</v>
      </c>
      <c r="K32" s="30">
        <f t="shared" si="4"/>
        <v>13110.390771000961</v>
      </c>
      <c r="L32">
        <v>11.905207608821607</v>
      </c>
      <c r="M32">
        <f t="shared" si="5"/>
        <v>-4.3052076088216076</v>
      </c>
      <c r="N32">
        <f t="shared" si="6"/>
        <v>18.534812555055463</v>
      </c>
    </row>
    <row r="33" spans="1:14" x14ac:dyDescent="0.35">
      <c r="A33" s="26" t="s">
        <v>69</v>
      </c>
      <c r="B33" s="27">
        <v>8.6999999999999993</v>
      </c>
      <c r="C33" s="28">
        <v>5.5</v>
      </c>
      <c r="D33" s="29">
        <v>76.032117342828414</v>
      </c>
      <c r="E33" s="30">
        <v>329.3</v>
      </c>
      <c r="F33" s="30">
        <f t="shared" si="1"/>
        <v>30.25</v>
      </c>
      <c r="G33" s="30">
        <f t="shared" si="1"/>
        <v>5780.8828676336288</v>
      </c>
      <c r="H33" s="30">
        <f t="shared" si="1"/>
        <v>108438.49</v>
      </c>
      <c r="I33" s="30">
        <f t="shared" si="2"/>
        <v>418.1766453855563</v>
      </c>
      <c r="J33" s="30">
        <f t="shared" si="3"/>
        <v>1811.15</v>
      </c>
      <c r="K33" s="30">
        <f t="shared" si="4"/>
        <v>25037.376240993399</v>
      </c>
      <c r="L33">
        <v>10.703770804947251</v>
      </c>
      <c r="M33">
        <f t="shared" si="5"/>
        <v>-2.0037708049472513</v>
      </c>
      <c r="N33">
        <f t="shared" si="6"/>
        <v>4.0150974387589553</v>
      </c>
    </row>
    <row r="34" spans="1:14" x14ac:dyDescent="0.35">
      <c r="A34" s="26" t="s">
        <v>70</v>
      </c>
      <c r="B34" s="27">
        <v>17.100000000000001</v>
      </c>
      <c r="C34" s="28">
        <v>5.8</v>
      </c>
      <c r="D34" s="29">
        <v>83.996520785584835</v>
      </c>
      <c r="E34" s="30">
        <v>664.2</v>
      </c>
      <c r="F34" s="30">
        <f t="shared" si="1"/>
        <v>33.64</v>
      </c>
      <c r="G34" s="30">
        <f t="shared" si="1"/>
        <v>7055.4155040831856</v>
      </c>
      <c r="H34" s="30">
        <f t="shared" si="1"/>
        <v>441161.64000000007</v>
      </c>
      <c r="I34" s="30">
        <f t="shared" si="2"/>
        <v>487.17982055639203</v>
      </c>
      <c r="J34" s="30">
        <f t="shared" si="3"/>
        <v>3852.36</v>
      </c>
      <c r="K34" s="30">
        <f t="shared" si="4"/>
        <v>55790.489105785455</v>
      </c>
      <c r="L34">
        <v>11.852963983075886</v>
      </c>
      <c r="M34">
        <f t="shared" si="5"/>
        <v>5.247036016924115</v>
      </c>
      <c r="N34">
        <f t="shared" si="6"/>
        <v>27.531386962898882</v>
      </c>
    </row>
    <row r="35" spans="1:14" x14ac:dyDescent="0.35">
      <c r="A35" s="26" t="s">
        <v>71</v>
      </c>
      <c r="B35" s="27">
        <v>13.6</v>
      </c>
      <c r="C35" s="28">
        <v>5.6</v>
      </c>
      <c r="D35" s="29">
        <v>73.422529169257928</v>
      </c>
      <c r="E35" s="30">
        <v>414.1</v>
      </c>
      <c r="F35" s="30">
        <f t="shared" si="1"/>
        <v>31.359999999999996</v>
      </c>
      <c r="G35" s="30">
        <f t="shared" si="1"/>
        <v>5390.867789610531</v>
      </c>
      <c r="H35" s="30">
        <f t="shared" si="1"/>
        <v>171478.81000000003</v>
      </c>
      <c r="I35" s="30">
        <f t="shared" si="2"/>
        <v>411.16616334784436</v>
      </c>
      <c r="J35" s="30">
        <f t="shared" si="3"/>
        <v>2318.96</v>
      </c>
      <c r="K35" s="30">
        <f t="shared" si="4"/>
        <v>30404.269328989711</v>
      </c>
      <c r="L35">
        <v>10.857452575591561</v>
      </c>
      <c r="M35">
        <f t="shared" si="5"/>
        <v>2.7425474244084391</v>
      </c>
      <c r="N35">
        <f t="shared" si="6"/>
        <v>7.5215663751293631</v>
      </c>
    </row>
    <row r="36" spans="1:14" x14ac:dyDescent="0.35">
      <c r="A36" s="26" t="s">
        <v>72</v>
      </c>
      <c r="B36" s="27">
        <v>14.6</v>
      </c>
      <c r="C36" s="28">
        <v>8.1</v>
      </c>
      <c r="D36" s="29">
        <v>73.937344387272134</v>
      </c>
      <c r="E36" s="30">
        <v>466.4</v>
      </c>
      <c r="F36" s="30">
        <f t="shared" si="1"/>
        <v>65.61</v>
      </c>
      <c r="G36" s="30">
        <f t="shared" si="1"/>
        <v>5466.730895042082</v>
      </c>
      <c r="H36" s="30">
        <f t="shared" si="1"/>
        <v>217528.95999999999</v>
      </c>
      <c r="I36" s="30">
        <f t="shared" si="2"/>
        <v>598.89248953690424</v>
      </c>
      <c r="J36" s="30">
        <f t="shared" si="3"/>
        <v>3777.8399999999997</v>
      </c>
      <c r="K36" s="30">
        <f t="shared" si="4"/>
        <v>34484.377422223719</v>
      </c>
      <c r="L36">
        <v>14.148922758102401</v>
      </c>
      <c r="M36">
        <f t="shared" si="5"/>
        <v>0.45107724189759857</v>
      </c>
      <c r="N36">
        <f t="shared" si="6"/>
        <v>0.20347067815794465</v>
      </c>
    </row>
    <row r="37" spans="1:14" x14ac:dyDescent="0.35">
      <c r="A37" s="26" t="s">
        <v>73</v>
      </c>
      <c r="B37" s="32">
        <v>12</v>
      </c>
      <c r="C37" s="28">
        <v>5.8</v>
      </c>
      <c r="D37" s="29">
        <v>91.393509706444945</v>
      </c>
      <c r="E37" s="30">
        <v>142.4</v>
      </c>
      <c r="F37" s="30">
        <f t="shared" si="1"/>
        <v>33.64</v>
      </c>
      <c r="G37" s="30">
        <f t="shared" si="1"/>
        <v>8352.7736164620455</v>
      </c>
      <c r="H37" s="30">
        <f t="shared" si="1"/>
        <v>20277.760000000002</v>
      </c>
      <c r="I37" s="30">
        <f t="shared" si="2"/>
        <v>530.08235629738067</v>
      </c>
      <c r="J37" s="30">
        <f t="shared" si="3"/>
        <v>825.92</v>
      </c>
      <c r="K37" s="30">
        <f t="shared" si="4"/>
        <v>13014.435782197761</v>
      </c>
      <c r="L37">
        <v>11.379935658704408</v>
      </c>
      <c r="M37">
        <f t="shared" si="5"/>
        <v>0.62006434129559196</v>
      </c>
      <c r="N37">
        <f t="shared" si="6"/>
        <v>0.38447978734633637</v>
      </c>
    </row>
    <row r="38" spans="1:14" x14ac:dyDescent="0.35">
      <c r="A38" s="26" t="s">
        <v>74</v>
      </c>
      <c r="B38" s="27">
        <v>13.4</v>
      </c>
      <c r="C38" s="28">
        <v>7.8</v>
      </c>
      <c r="D38" s="29">
        <v>84.764237226305966</v>
      </c>
      <c r="E38" s="30">
        <v>343.2</v>
      </c>
      <c r="F38" s="30">
        <f t="shared" si="1"/>
        <v>60.839999999999996</v>
      </c>
      <c r="G38" s="30">
        <f t="shared" si="1"/>
        <v>7184.9759125574737</v>
      </c>
      <c r="H38" s="30">
        <f t="shared" si="1"/>
        <v>117786.23999999999</v>
      </c>
      <c r="I38" s="30">
        <f t="shared" si="2"/>
        <v>661.1610503651865</v>
      </c>
      <c r="J38" s="30">
        <f t="shared" si="3"/>
        <v>2676.96</v>
      </c>
      <c r="K38" s="30">
        <f t="shared" si="4"/>
        <v>29091.086216068208</v>
      </c>
      <c r="L38">
        <v>13.983290890156367</v>
      </c>
      <c r="M38">
        <f t="shared" si="5"/>
        <v>-0.58329089015636626</v>
      </c>
      <c r="N38">
        <f t="shared" si="6"/>
        <v>0.34022826253940613</v>
      </c>
    </row>
    <row r="39" spans="1:14" x14ac:dyDescent="0.35">
      <c r="A39" s="26" t="s">
        <v>75</v>
      </c>
      <c r="B39" s="27">
        <v>15.9</v>
      </c>
      <c r="C39" s="28">
        <v>8</v>
      </c>
      <c r="D39" s="29">
        <v>78.141238608693655</v>
      </c>
      <c r="E39" s="30">
        <v>499.6</v>
      </c>
      <c r="F39" s="30">
        <f t="shared" si="1"/>
        <v>64</v>
      </c>
      <c r="G39" s="30">
        <f t="shared" si="1"/>
        <v>6106.0531713007958</v>
      </c>
      <c r="H39" s="30">
        <f t="shared" si="1"/>
        <v>249600.16000000003</v>
      </c>
      <c r="I39" s="30">
        <f t="shared" si="2"/>
        <v>625.12990886954924</v>
      </c>
      <c r="J39" s="30">
        <f t="shared" si="3"/>
        <v>3996.8</v>
      </c>
      <c r="K39" s="30">
        <f t="shared" si="4"/>
        <v>39039.362808903352</v>
      </c>
      <c r="L39">
        <v>14.22089410117899</v>
      </c>
      <c r="M39">
        <f t="shared" si="5"/>
        <v>1.6791058988210104</v>
      </c>
      <c r="N39">
        <f t="shared" si="6"/>
        <v>2.8193966194555129</v>
      </c>
    </row>
    <row r="40" spans="1:14" x14ac:dyDescent="0.35">
      <c r="A40" s="26" t="s">
        <v>76</v>
      </c>
      <c r="B40" s="27">
        <v>13.6</v>
      </c>
      <c r="C40" s="28">
        <v>5.5</v>
      </c>
      <c r="D40" s="29">
        <v>90.140446325387984</v>
      </c>
      <c r="E40" s="30">
        <v>287.60000000000002</v>
      </c>
      <c r="F40" s="30">
        <f t="shared" si="1"/>
        <v>30.25</v>
      </c>
      <c r="G40" s="30">
        <f t="shared" si="1"/>
        <v>8125.3000637401519</v>
      </c>
      <c r="H40" s="30">
        <f t="shared" si="1"/>
        <v>82713.760000000009</v>
      </c>
      <c r="I40" s="30">
        <f t="shared" si="2"/>
        <v>495.77245478963391</v>
      </c>
      <c r="J40" s="30">
        <f t="shared" si="3"/>
        <v>1581.8000000000002</v>
      </c>
      <c r="K40" s="30">
        <f t="shared" si="4"/>
        <v>25924.392363181585</v>
      </c>
      <c r="L40">
        <v>11.157006478778396</v>
      </c>
      <c r="M40">
        <f t="shared" si="5"/>
        <v>2.4429935212216041</v>
      </c>
      <c r="N40">
        <f t="shared" si="6"/>
        <v>5.9682173447307321</v>
      </c>
    </row>
    <row r="41" spans="1:14" x14ac:dyDescent="0.35">
      <c r="A41" s="26" t="s">
        <v>77</v>
      </c>
      <c r="B41" s="27">
        <v>12.1</v>
      </c>
      <c r="C41" s="28">
        <v>7.6</v>
      </c>
      <c r="D41" s="29">
        <v>85.424563507935517</v>
      </c>
      <c r="E41" s="30">
        <v>416.5</v>
      </c>
      <c r="F41" s="30">
        <f t="shared" si="1"/>
        <v>57.76</v>
      </c>
      <c r="G41" s="30">
        <f t="shared" si="1"/>
        <v>7297.3560505213081</v>
      </c>
      <c r="H41" s="30">
        <f t="shared" si="1"/>
        <v>173472.25</v>
      </c>
      <c r="I41" s="30">
        <f t="shared" si="2"/>
        <v>649.22668266030985</v>
      </c>
      <c r="J41" s="30">
        <f t="shared" si="3"/>
        <v>3165.3999999999996</v>
      </c>
      <c r="K41" s="30">
        <f t="shared" si="4"/>
        <v>35579.330701055143</v>
      </c>
      <c r="L41">
        <v>13.855600457391626</v>
      </c>
      <c r="M41">
        <f t="shared" si="5"/>
        <v>-1.7556004573916262</v>
      </c>
      <c r="N41">
        <f t="shared" si="6"/>
        <v>3.0821329659936869</v>
      </c>
    </row>
    <row r="42" spans="1:14" x14ac:dyDescent="0.35">
      <c r="A42" s="26" t="s">
        <v>78</v>
      </c>
      <c r="B42" s="27">
        <v>11.7</v>
      </c>
      <c r="C42" s="28">
        <v>6.1</v>
      </c>
      <c r="D42" s="29">
        <v>88.483880668602993</v>
      </c>
      <c r="E42" s="30">
        <v>227.3</v>
      </c>
      <c r="F42" s="30">
        <f t="shared" si="1"/>
        <v>37.209999999999994</v>
      </c>
      <c r="G42" s="30">
        <f t="shared" si="1"/>
        <v>7829.3971381755746</v>
      </c>
      <c r="H42" s="30">
        <f t="shared" si="1"/>
        <v>51665.290000000008</v>
      </c>
      <c r="I42" s="30">
        <f t="shared" si="2"/>
        <v>539.75167207847824</v>
      </c>
      <c r="J42" s="30">
        <f t="shared" si="3"/>
        <v>1386.53</v>
      </c>
      <c r="K42" s="30">
        <f t="shared" si="4"/>
        <v>20112.38607597346</v>
      </c>
      <c r="L42">
        <v>11.778733948462614</v>
      </c>
      <c r="M42">
        <f t="shared" si="5"/>
        <v>-7.8733948462614833E-2</v>
      </c>
      <c r="N42">
        <f t="shared" si="6"/>
        <v>6.1990346405136889E-3</v>
      </c>
    </row>
    <row r="43" spans="1:14" x14ac:dyDescent="0.35">
      <c r="A43" s="26" t="s">
        <v>79</v>
      </c>
      <c r="B43" s="27">
        <v>15.7</v>
      </c>
      <c r="C43" s="28">
        <v>8.4</v>
      </c>
      <c r="D43" s="29">
        <v>68.748136077503446</v>
      </c>
      <c r="E43" s="30">
        <v>788.3</v>
      </c>
      <c r="F43" s="30">
        <f t="shared" si="1"/>
        <v>70.56</v>
      </c>
      <c r="G43" s="30">
        <f t="shared" si="1"/>
        <v>4726.306214130931</v>
      </c>
      <c r="H43" s="30">
        <f t="shared" si="1"/>
        <v>621416.8899999999</v>
      </c>
      <c r="I43" s="30">
        <f t="shared" si="2"/>
        <v>577.48434305102899</v>
      </c>
      <c r="J43" s="30">
        <f t="shared" si="3"/>
        <v>6621.72</v>
      </c>
      <c r="K43" s="30">
        <f t="shared" si="4"/>
        <v>54194.155669895961</v>
      </c>
      <c r="L43">
        <v>14.801806207135078</v>
      </c>
      <c r="M43">
        <f t="shared" si="5"/>
        <v>0.89819379286492129</v>
      </c>
      <c r="N43">
        <f t="shared" si="6"/>
        <v>0.80675208954107314</v>
      </c>
    </row>
    <row r="44" spans="1:14" x14ac:dyDescent="0.35">
      <c r="A44" s="26" t="s">
        <v>80</v>
      </c>
      <c r="B44" s="27">
        <v>12.5</v>
      </c>
      <c r="C44" s="28">
        <v>6.9</v>
      </c>
      <c r="D44" s="29">
        <v>88.189790025789804</v>
      </c>
      <c r="E44" s="30">
        <v>169.2</v>
      </c>
      <c r="F44" s="30">
        <f t="shared" si="1"/>
        <v>47.610000000000007</v>
      </c>
      <c r="G44" s="30">
        <f t="shared" si="1"/>
        <v>7777.4390647928949</v>
      </c>
      <c r="H44" s="30">
        <f t="shared" si="1"/>
        <v>28628.639999999996</v>
      </c>
      <c r="I44" s="30">
        <f t="shared" si="2"/>
        <v>608.50955117794967</v>
      </c>
      <c r="J44" s="30">
        <f t="shared" si="3"/>
        <v>1167.48</v>
      </c>
      <c r="K44" s="30">
        <f t="shared" si="4"/>
        <v>14921.712472363633</v>
      </c>
      <c r="L44">
        <v>12.708957171550267</v>
      </c>
      <c r="M44">
        <f t="shared" si="5"/>
        <v>-0.20895717155026716</v>
      </c>
      <c r="N44">
        <f t="shared" si="6"/>
        <v>4.3663099542287781E-2</v>
      </c>
    </row>
    <row r="45" spans="1:14" x14ac:dyDescent="0.35">
      <c r="A45" s="26" t="s">
        <v>81</v>
      </c>
      <c r="B45" s="27">
        <v>15.5</v>
      </c>
      <c r="C45" s="28">
        <v>8.6999999999999993</v>
      </c>
      <c r="D45" s="29">
        <v>80.371971305033981</v>
      </c>
      <c r="E45" s="30">
        <v>753.3</v>
      </c>
      <c r="F45" s="30">
        <f t="shared" si="1"/>
        <v>75.689999999999984</v>
      </c>
      <c r="G45" s="30">
        <f t="shared" si="1"/>
        <v>6459.6537714572059</v>
      </c>
      <c r="H45" s="30">
        <f t="shared" si="1"/>
        <v>567460.8899999999</v>
      </c>
      <c r="I45" s="30">
        <f t="shared" si="2"/>
        <v>699.23615035379555</v>
      </c>
      <c r="J45" s="30">
        <f t="shared" si="3"/>
        <v>6553.7099999999991</v>
      </c>
      <c r="K45" s="30">
        <f t="shared" si="4"/>
        <v>60544.205984082095</v>
      </c>
      <c r="L45">
        <v>15.558122806587869</v>
      </c>
      <c r="M45">
        <f t="shared" si="5"/>
        <v>-5.8122806587869391E-2</v>
      </c>
      <c r="N45">
        <f t="shared" si="6"/>
        <v>3.3782606456508736E-3</v>
      </c>
    </row>
    <row r="46" spans="1:14" x14ac:dyDescent="0.35">
      <c r="A46" s="26" t="s">
        <v>82</v>
      </c>
      <c r="B46" s="27">
        <v>15.8</v>
      </c>
      <c r="C46" s="28">
        <v>6.2</v>
      </c>
      <c r="D46" s="29">
        <v>82.402677784750395</v>
      </c>
      <c r="E46" s="30">
        <v>510.6</v>
      </c>
      <c r="F46" s="30">
        <f t="shared" si="1"/>
        <v>38.440000000000005</v>
      </c>
      <c r="G46" s="30">
        <f t="shared" si="1"/>
        <v>6790.2013060973959</v>
      </c>
      <c r="H46" s="30">
        <f t="shared" si="1"/>
        <v>260712.36000000002</v>
      </c>
      <c r="I46" s="30">
        <f t="shared" si="2"/>
        <v>510.89660226545249</v>
      </c>
      <c r="J46" s="30">
        <f t="shared" si="3"/>
        <v>3165.7200000000003</v>
      </c>
      <c r="K46" s="30">
        <f t="shared" si="4"/>
        <v>42074.807276893553</v>
      </c>
      <c r="L46">
        <v>12.088470187680537</v>
      </c>
      <c r="M46">
        <f t="shared" si="5"/>
        <v>3.7115298123194638</v>
      </c>
      <c r="N46">
        <f t="shared" si="6"/>
        <v>13.775453547736154</v>
      </c>
    </row>
    <row r="47" spans="1:14" x14ac:dyDescent="0.35">
      <c r="A47" s="26" t="s">
        <v>83</v>
      </c>
      <c r="B47" s="27">
        <v>9.6</v>
      </c>
      <c r="C47" s="28">
        <v>5.0999999999999996</v>
      </c>
      <c r="D47" s="29">
        <v>92.915461931338129</v>
      </c>
      <c r="E47" s="30">
        <v>234.8</v>
      </c>
      <c r="F47" s="30">
        <f t="shared" si="1"/>
        <v>26.009999999999998</v>
      </c>
      <c r="G47" s="30">
        <f t="shared" si="1"/>
        <v>8633.2830659139454</v>
      </c>
      <c r="H47" s="30">
        <f t="shared" si="1"/>
        <v>55131.040000000008</v>
      </c>
      <c r="I47" s="30">
        <f t="shared" si="2"/>
        <v>473.8688558498244</v>
      </c>
      <c r="J47" s="30">
        <f t="shared" si="3"/>
        <v>1197.48</v>
      </c>
      <c r="K47" s="30">
        <f t="shared" si="4"/>
        <v>21816.550461478193</v>
      </c>
      <c r="L47">
        <v>10.671011249440653</v>
      </c>
      <c r="M47">
        <f t="shared" si="5"/>
        <v>-1.0710112494406534</v>
      </c>
      <c r="N47">
        <f t="shared" si="6"/>
        <v>1.1470650964284295</v>
      </c>
    </row>
    <row r="48" spans="1:14" x14ac:dyDescent="0.35">
      <c r="A48" s="26" t="s">
        <v>84</v>
      </c>
      <c r="B48" s="27">
        <v>10.6</v>
      </c>
      <c r="C48" s="28">
        <v>5.5</v>
      </c>
      <c r="D48" s="29">
        <v>96.408807764739961</v>
      </c>
      <c r="E48" s="30">
        <v>124.3</v>
      </c>
      <c r="F48" s="30">
        <f t="shared" si="1"/>
        <v>30.25</v>
      </c>
      <c r="G48" s="30">
        <f t="shared" si="1"/>
        <v>9294.6582146185847</v>
      </c>
      <c r="H48" s="30">
        <f t="shared" si="1"/>
        <v>15450.49</v>
      </c>
      <c r="I48" s="30">
        <f t="shared" si="2"/>
        <v>530.2484427060698</v>
      </c>
      <c r="J48" s="30">
        <f t="shared" si="3"/>
        <v>683.65</v>
      </c>
      <c r="K48" s="30">
        <f t="shared" si="4"/>
        <v>11983.614805157176</v>
      </c>
      <c r="L48">
        <v>11.15258597785637</v>
      </c>
      <c r="M48">
        <f t="shared" si="5"/>
        <v>-0.55258597785637065</v>
      </c>
      <c r="N48">
        <f t="shared" si="6"/>
        <v>0.30535126292348136</v>
      </c>
    </row>
    <row r="49" spans="1:14" x14ac:dyDescent="0.35">
      <c r="A49" s="26" t="s">
        <v>85</v>
      </c>
      <c r="B49" s="27">
        <v>10.199999999999999</v>
      </c>
      <c r="C49" s="28">
        <v>7.1</v>
      </c>
      <c r="D49" s="29">
        <v>73.031896017666924</v>
      </c>
      <c r="E49" s="30">
        <v>269.7</v>
      </c>
      <c r="F49" s="30">
        <f t="shared" si="1"/>
        <v>50.41</v>
      </c>
      <c r="G49" s="30">
        <f t="shared" si="1"/>
        <v>5333.6578359353134</v>
      </c>
      <c r="H49" s="30">
        <f t="shared" si="1"/>
        <v>72738.09</v>
      </c>
      <c r="I49" s="30">
        <f t="shared" si="2"/>
        <v>518.52646172543518</v>
      </c>
      <c r="J49" s="30">
        <f t="shared" si="3"/>
        <v>1914.87</v>
      </c>
      <c r="K49" s="30">
        <f t="shared" si="4"/>
        <v>19696.702355964768</v>
      </c>
      <c r="L49">
        <v>12.557052100872401</v>
      </c>
      <c r="M49">
        <f t="shared" si="5"/>
        <v>-2.3570521008724015</v>
      </c>
      <c r="N49">
        <f t="shared" si="6"/>
        <v>5.5556946062270018</v>
      </c>
    </row>
    <row r="50" spans="1:14" x14ac:dyDescent="0.35">
      <c r="A50" s="26" t="s">
        <v>86</v>
      </c>
      <c r="B50" s="27">
        <v>11.3</v>
      </c>
      <c r="C50" s="28">
        <v>4.7</v>
      </c>
      <c r="D50" s="29">
        <v>84.290902250404002</v>
      </c>
      <c r="E50" s="30">
        <v>333.1</v>
      </c>
      <c r="F50" s="30">
        <f t="shared" si="1"/>
        <v>22.090000000000003</v>
      </c>
      <c r="G50" s="30">
        <f t="shared" si="1"/>
        <v>7104.9562021871625</v>
      </c>
      <c r="H50" s="30">
        <f t="shared" si="1"/>
        <v>110955.61000000002</v>
      </c>
      <c r="I50" s="30">
        <f t="shared" si="2"/>
        <v>396.16724057689885</v>
      </c>
      <c r="J50" s="30">
        <f t="shared" si="3"/>
        <v>1565.5700000000002</v>
      </c>
      <c r="K50" s="30">
        <f t="shared" si="4"/>
        <v>28077.299539609576</v>
      </c>
      <c r="L50">
        <v>9.9856930226674407</v>
      </c>
      <c r="M50">
        <f t="shared" si="5"/>
        <v>1.31430697733256</v>
      </c>
      <c r="N50">
        <f t="shared" si="6"/>
        <v>1.7274028306650504</v>
      </c>
    </row>
    <row r="51" spans="1:14" x14ac:dyDescent="0.35">
      <c r="A51" s="26" t="s">
        <v>87</v>
      </c>
      <c r="B51" s="32">
        <v>17</v>
      </c>
      <c r="C51" s="28">
        <v>7.4</v>
      </c>
      <c r="D51" s="29">
        <v>94.524786328554711</v>
      </c>
      <c r="E51" s="30">
        <v>275.2</v>
      </c>
      <c r="F51" s="30">
        <f t="shared" si="1"/>
        <v>54.760000000000005</v>
      </c>
      <c r="G51" s="30">
        <f t="shared" si="1"/>
        <v>8934.9352304589229</v>
      </c>
      <c r="H51" s="30">
        <f t="shared" si="1"/>
        <v>75735.039999999994</v>
      </c>
      <c r="I51" s="30">
        <f t="shared" si="2"/>
        <v>699.4834188313049</v>
      </c>
      <c r="J51" s="30">
        <f t="shared" si="3"/>
        <v>2036.48</v>
      </c>
      <c r="K51" s="30">
        <f t="shared" si="4"/>
        <v>26013.221197618255</v>
      </c>
      <c r="L51">
        <v>13.729451814140557</v>
      </c>
      <c r="M51">
        <f t="shared" si="5"/>
        <v>3.2705481858594432</v>
      </c>
      <c r="N51">
        <f t="shared" si="6"/>
        <v>10.696485436028494</v>
      </c>
    </row>
    <row r="52" spans="1:14" x14ac:dyDescent="0.35">
      <c r="A52" s="26" t="s">
        <v>88</v>
      </c>
      <c r="B52" s="27">
        <v>10.4</v>
      </c>
      <c r="C52" s="28">
        <v>6.4</v>
      </c>
      <c r="D52" s="29">
        <v>89.673695670212709</v>
      </c>
      <c r="E52" s="30">
        <v>290.89999999999998</v>
      </c>
      <c r="F52" s="30">
        <f t="shared" si="1"/>
        <v>40.960000000000008</v>
      </c>
      <c r="G52" s="30">
        <f t="shared" si="1"/>
        <v>8041.3716951539254</v>
      </c>
      <c r="H52" s="30">
        <f t="shared" si="1"/>
        <v>84622.809999999983</v>
      </c>
      <c r="I52" s="30">
        <f t="shared" si="2"/>
        <v>573.91165228936131</v>
      </c>
      <c r="J52" s="30">
        <f t="shared" si="3"/>
        <v>1861.76</v>
      </c>
      <c r="K52" s="30">
        <f t="shared" si="4"/>
        <v>26086.078070464875</v>
      </c>
      <c r="L52">
        <v>12.296174498038839</v>
      </c>
      <c r="M52">
        <f t="shared" si="5"/>
        <v>-1.8961744980388389</v>
      </c>
      <c r="N52">
        <f t="shared" si="6"/>
        <v>3.5954777270128426</v>
      </c>
    </row>
    <row r="53" spans="1:14" x14ac:dyDescent="0.35">
      <c r="A53" s="33" t="s">
        <v>89</v>
      </c>
      <c r="B53" s="34">
        <v>9.4</v>
      </c>
      <c r="C53" s="35">
        <v>7</v>
      </c>
      <c r="D53" s="36">
        <v>93.867286940458214</v>
      </c>
      <c r="E53" s="37">
        <v>239.3</v>
      </c>
      <c r="F53" s="30">
        <f t="shared" si="1"/>
        <v>49</v>
      </c>
      <c r="G53" s="30">
        <f t="shared" si="1"/>
        <v>8811.0675575623172</v>
      </c>
      <c r="H53" s="30">
        <f t="shared" si="1"/>
        <v>57264.490000000005</v>
      </c>
      <c r="I53" s="30">
        <f t="shared" si="2"/>
        <v>657.07100858320746</v>
      </c>
      <c r="J53" s="30">
        <f t="shared" si="3"/>
        <v>1675.1000000000001</v>
      </c>
      <c r="K53" s="30">
        <f t="shared" si="4"/>
        <v>22462.44176485165</v>
      </c>
      <c r="L53">
        <v>13.142787209565174</v>
      </c>
      <c r="M53">
        <f t="shared" si="5"/>
        <v>-3.742787209565174</v>
      </c>
      <c r="N53">
        <f t="shared" si="6"/>
        <v>14.008456096084661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White 1</vt:lpstr>
      <vt:lpstr>White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2025-10-15T08:16:17Z</dcterms:created>
  <dcterms:modified xsi:type="dcterms:W3CDTF">2025-10-15T08:19:15Z</dcterms:modified>
</cp:coreProperties>
</file>