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321D9B74-C5D9-428D-8DE5-859C0F5D1C22}" xr6:coauthVersionLast="47" xr6:coauthVersionMax="47" xr10:uidLastSave="{00000000-0000-0000-0000-000000000000}"/>
  <bookViews>
    <workbookView xWindow="-110" yWindow="-110" windowWidth="19420" windowHeight="10300" xr2:uid="{2AF3775F-E3CB-4991-AA69-6D92EC160467}"/>
  </bookViews>
  <sheets>
    <sheet name="Title" sheetId="2" r:id="rId1"/>
    <sheet name="Special" sheetId="1" r:id="rId2"/>
    <sheet name="Row" sheetId="3" r:id="rId3"/>
    <sheet name="Col" sheetId="4" r:id="rId4"/>
    <sheet name="Int" sheetId="5" r:id="rId5"/>
  </sheets>
  <externalReferences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0" i="5" l="1"/>
  <c r="W10" i="5"/>
  <c r="U4" i="5" a="1"/>
  <c r="U4" i="5" s="1"/>
  <c r="U5" i="5" a="1"/>
  <c r="U5" i="5" s="1"/>
  <c r="U6" i="5" a="1"/>
  <c r="U6" i="5" s="1"/>
  <c r="U3" i="5" a="1"/>
  <c r="U3" i="5" s="1"/>
  <c r="P3" i="5" a="1"/>
  <c r="P3" i="5" s="1"/>
  <c r="Q2" i="5" a="1"/>
  <c r="Q2" i="5" s="1"/>
  <c r="N22" i="5"/>
  <c r="L22" i="5" a="1"/>
  <c r="L22" i="5" s="1"/>
  <c r="M22" i="5" a="1"/>
  <c r="M22" i="5" s="1"/>
  <c r="K22" i="5" a="1"/>
  <c r="K22" i="5" s="1"/>
  <c r="N20" i="5" a="1"/>
  <c r="N20" i="5" s="1"/>
  <c r="N21" i="5" a="1"/>
  <c r="N21" i="5" s="1"/>
  <c r="N19" i="5" a="1"/>
  <c r="N19" i="5" s="1"/>
  <c r="K20" i="5" a="1"/>
  <c r="K20" i="5" s="1"/>
  <c r="L20" i="5" a="1"/>
  <c r="L20" i="5" s="1"/>
  <c r="M20" i="5" a="1"/>
  <c r="M20" i="5" s="1"/>
  <c r="K21" i="5" a="1"/>
  <c r="K21" i="5"/>
  <c r="L21" i="5" a="1"/>
  <c r="L21" i="5" s="1"/>
  <c r="M21" i="5" a="1"/>
  <c r="M21" i="5" s="1"/>
  <c r="L19" i="5" a="1"/>
  <c r="L19" i="5" s="1"/>
  <c r="M19" i="5" a="1"/>
  <c r="M19" i="5" s="1"/>
  <c r="K19" i="5" a="1"/>
  <c r="K19" i="5" s="1"/>
  <c r="L15" i="5" a="1"/>
  <c r="L15" i="5"/>
  <c r="M15" i="5" a="1"/>
  <c r="M15" i="5" s="1"/>
  <c r="N15" i="5" a="1"/>
  <c r="N15" i="5"/>
  <c r="K15" i="5" a="1"/>
  <c r="K15" i="5" s="1"/>
  <c r="N13" i="5" a="1"/>
  <c r="N13" i="5" s="1"/>
  <c r="N14" i="5" a="1"/>
  <c r="N14" i="5" s="1"/>
  <c r="N12" i="5" a="1"/>
  <c r="N12" i="5" s="1"/>
  <c r="K13" i="5" a="1"/>
  <c r="K13" i="5" s="1"/>
  <c r="L13" i="5" a="1"/>
  <c r="L13" i="5" s="1"/>
  <c r="M13" i="5" a="1"/>
  <c r="M13" i="5" s="1"/>
  <c r="K14" i="5" a="1"/>
  <c r="K14" i="5"/>
  <c r="L14" i="5" a="1"/>
  <c r="L14" i="5" s="1"/>
  <c r="M14" i="5" a="1"/>
  <c r="M14" i="5" s="1"/>
  <c r="L12" i="5" a="1"/>
  <c r="L12" i="5" s="1"/>
  <c r="M12" i="5" a="1"/>
  <c r="M12" i="5" s="1"/>
  <c r="K12" i="5" a="1"/>
  <c r="K12" i="5" s="1"/>
  <c r="L8" i="5" a="1"/>
  <c r="L8" i="5" s="1"/>
  <c r="M8" i="5" a="1"/>
  <c r="M8" i="5" s="1"/>
  <c r="N8" i="5" a="1"/>
  <c r="N8" i="5"/>
  <c r="K8" i="5" a="1"/>
  <c r="K8" i="5" s="1"/>
  <c r="N6" i="5" a="1"/>
  <c r="N6" i="5" s="1"/>
  <c r="N7" i="5" a="1"/>
  <c r="N7" i="5" s="1"/>
  <c r="N5" i="5" a="1"/>
  <c r="N5" i="5" s="1"/>
  <c r="K3" i="5"/>
  <c r="K6" i="5" a="1"/>
  <c r="K6" i="5" s="1"/>
  <c r="L6" i="5" a="1"/>
  <c r="L6" i="5" s="1"/>
  <c r="M6" i="5" a="1"/>
  <c r="M6" i="5" s="1"/>
  <c r="K7" i="5" a="1"/>
  <c r="K7" i="5"/>
  <c r="L7" i="5" a="1"/>
  <c r="L7" i="5" s="1"/>
  <c r="M7" i="5" a="1"/>
  <c r="M7" i="5" s="1"/>
  <c r="L5" i="5" a="1"/>
  <c r="L5" i="5" s="1"/>
  <c r="M5" i="5" a="1"/>
  <c r="M5" i="5" s="1"/>
  <c r="K5" i="5" a="1"/>
  <c r="K5" i="5" s="1"/>
  <c r="T9" i="4"/>
  <c r="R9" i="4"/>
  <c r="S6" i="4"/>
  <c r="P9" i="4" s="1"/>
  <c r="R6" i="4"/>
  <c r="Q6" i="4"/>
  <c r="S3" i="4" a="1"/>
  <c r="S3" i="4" s="1"/>
  <c r="R3" i="4" a="1"/>
  <c r="R3" i="4" s="1"/>
  <c r="P3" i="4" a="1"/>
  <c r="P3" i="4" s="1"/>
  <c r="N22" i="4"/>
  <c r="L22" i="4" a="1"/>
  <c r="L22" i="4" s="1"/>
  <c r="M22" i="4" a="1"/>
  <c r="M22" i="4" s="1"/>
  <c r="K22" i="4" a="1"/>
  <c r="K22" i="4" s="1"/>
  <c r="N20" i="4" a="1"/>
  <c r="N20" i="4" s="1"/>
  <c r="N21" i="4" a="1"/>
  <c r="N21" i="4" s="1"/>
  <c r="N19" i="4" a="1"/>
  <c r="N19" i="4" s="1"/>
  <c r="K20" i="4" a="1"/>
  <c r="K20" i="4" s="1"/>
  <c r="L20" i="4" a="1"/>
  <c r="L20" i="4" s="1"/>
  <c r="M20" i="4" a="1"/>
  <c r="M20" i="4" s="1"/>
  <c r="K21" i="4" a="1"/>
  <c r="K21" i="4" s="1"/>
  <c r="L21" i="4" a="1"/>
  <c r="L21" i="4" s="1"/>
  <c r="M21" i="4" a="1"/>
  <c r="M21" i="4"/>
  <c r="L19" i="4" a="1"/>
  <c r="L19" i="4" s="1"/>
  <c r="M19" i="4" a="1"/>
  <c r="M19" i="4" s="1"/>
  <c r="K19" i="4" a="1"/>
  <c r="K19" i="4" s="1"/>
  <c r="L15" i="4" a="1"/>
  <c r="L15" i="4"/>
  <c r="M15" i="4" a="1"/>
  <c r="M15" i="4"/>
  <c r="N15" i="4" a="1"/>
  <c r="N15" i="4"/>
  <c r="K15" i="4" a="1"/>
  <c r="K15" i="4" s="1"/>
  <c r="N13" i="4" a="1"/>
  <c r="N13" i="4"/>
  <c r="N14" i="4" a="1"/>
  <c r="N14" i="4"/>
  <c r="N12" i="4" a="1"/>
  <c r="N12" i="4" s="1"/>
  <c r="K13" i="4" a="1"/>
  <c r="K13" i="4" s="1"/>
  <c r="L13" i="4" a="1"/>
  <c r="L13" i="4" s="1"/>
  <c r="M13" i="4" a="1"/>
  <c r="M13" i="4" s="1"/>
  <c r="K14" i="4" a="1"/>
  <c r="K14" i="4"/>
  <c r="L14" i="4" a="1"/>
  <c r="L14" i="4" s="1"/>
  <c r="M14" i="4" a="1"/>
  <c r="M14" i="4" s="1"/>
  <c r="L12" i="4" a="1"/>
  <c r="L12" i="4" s="1"/>
  <c r="M12" i="4" a="1"/>
  <c r="M12" i="4"/>
  <c r="K12" i="4" a="1"/>
  <c r="K12" i="4" s="1"/>
  <c r="L8" i="4" a="1"/>
  <c r="L8" i="4"/>
  <c r="M8" i="4" a="1"/>
  <c r="M8" i="4"/>
  <c r="N8" i="4" a="1"/>
  <c r="N8" i="4" s="1"/>
  <c r="K8" i="4" a="1"/>
  <c r="K8" i="4" s="1"/>
  <c r="N6" i="4" a="1"/>
  <c r="N6" i="4" s="1"/>
  <c r="N7" i="4" a="1"/>
  <c r="N7" i="4" s="1"/>
  <c r="N5" i="4" a="1"/>
  <c r="N5" i="4"/>
  <c r="K3" i="4"/>
  <c r="K6" i="4" a="1"/>
  <c r="K6" i="4" s="1"/>
  <c r="L6" i="4" a="1"/>
  <c r="L6" i="4" s="1"/>
  <c r="M6" i="4" a="1"/>
  <c r="M6" i="4" s="1"/>
  <c r="K7" i="4" a="1"/>
  <c r="K7" i="4" s="1"/>
  <c r="L7" i="4" a="1"/>
  <c r="L7" i="4" s="1"/>
  <c r="M7" i="4" a="1"/>
  <c r="M7" i="4" s="1"/>
  <c r="L5" i="4" a="1"/>
  <c r="L5" i="4" s="1"/>
  <c r="M5" i="4" a="1"/>
  <c r="M5" i="4" s="1"/>
  <c r="K5" i="4" a="1"/>
  <c r="K5" i="4" s="1"/>
  <c r="T9" i="3"/>
  <c r="R9" i="3"/>
  <c r="S6" i="3"/>
  <c r="P9" i="3" s="1"/>
  <c r="Q9" i="3" s="1"/>
  <c r="R6" i="3"/>
  <c r="Q6" i="3"/>
  <c r="P4" i="3"/>
  <c r="R4" i="3"/>
  <c r="S4" i="3"/>
  <c r="P5" i="3"/>
  <c r="R5" i="3"/>
  <c r="S5" i="3"/>
  <c r="S3" i="3"/>
  <c r="R3" i="3"/>
  <c r="P3" i="3"/>
  <c r="N22" i="3"/>
  <c r="L22" i="3" a="1"/>
  <c r="L22" i="3" s="1"/>
  <c r="M22" i="3" a="1"/>
  <c r="M22" i="3" s="1"/>
  <c r="K22" i="3" a="1"/>
  <c r="K22" i="3" s="1"/>
  <c r="N20" i="3" a="1"/>
  <c r="N20" i="3" s="1"/>
  <c r="N21" i="3" a="1"/>
  <c r="N21" i="3" s="1"/>
  <c r="N19" i="3" a="1"/>
  <c r="N19" i="3" s="1"/>
  <c r="K20" i="3" a="1"/>
  <c r="K20" i="3" s="1"/>
  <c r="L20" i="3" a="1"/>
  <c r="L20" i="3" s="1"/>
  <c r="M20" i="3" a="1"/>
  <c r="M20" i="3" s="1"/>
  <c r="K21" i="3" a="1"/>
  <c r="K21" i="3"/>
  <c r="L21" i="3" a="1"/>
  <c r="L21" i="3" s="1"/>
  <c r="M21" i="3" a="1"/>
  <c r="M21" i="3" s="1"/>
  <c r="L19" i="3" a="1"/>
  <c r="L19" i="3" s="1"/>
  <c r="M19" i="3" a="1"/>
  <c r="M19" i="3" s="1"/>
  <c r="K19" i="3" a="1"/>
  <c r="K19" i="3" s="1"/>
  <c r="L15" i="3" a="1"/>
  <c r="L15" i="3" s="1"/>
  <c r="M15" i="3" a="1"/>
  <c r="M15" i="3" s="1"/>
  <c r="N15" i="3" a="1"/>
  <c r="N15" i="3" s="1"/>
  <c r="K15" i="3" a="1"/>
  <c r="K15" i="3" s="1"/>
  <c r="N13" i="3" a="1"/>
  <c r="N13" i="3"/>
  <c r="N14" i="3" a="1"/>
  <c r="N14" i="3" s="1"/>
  <c r="N12" i="3" a="1"/>
  <c r="N12" i="3" s="1"/>
  <c r="K13" i="3" a="1"/>
  <c r="K13" i="3" s="1"/>
  <c r="L13" i="3" a="1"/>
  <c r="L13" i="3" s="1"/>
  <c r="M13" i="3" a="1"/>
  <c r="M13" i="3" s="1"/>
  <c r="K14" i="3" a="1"/>
  <c r="K14" i="3" s="1"/>
  <c r="L14" i="3" a="1"/>
  <c r="L14" i="3" s="1"/>
  <c r="M14" i="3" a="1"/>
  <c r="M14" i="3" s="1"/>
  <c r="L12" i="3" a="1"/>
  <c r="L12" i="3" s="1"/>
  <c r="M12" i="3" a="1"/>
  <c r="M12" i="3" s="1"/>
  <c r="K12" i="3" a="1"/>
  <c r="K12" i="3" s="1"/>
  <c r="L8" i="3" a="1"/>
  <c r="L8" i="3" s="1"/>
  <c r="M8" i="3" a="1"/>
  <c r="M8" i="3" s="1"/>
  <c r="N8" i="3" a="1"/>
  <c r="N8" i="3"/>
  <c r="K8" i="3" a="1"/>
  <c r="K8" i="3"/>
  <c r="N6" i="3" a="1"/>
  <c r="N6" i="3" s="1"/>
  <c r="N7" i="3" a="1"/>
  <c r="N7" i="3"/>
  <c r="N5" i="3" a="1"/>
  <c r="N5" i="3" s="1"/>
  <c r="K3" i="3"/>
  <c r="K6" i="3" a="1"/>
  <c r="K6" i="3" s="1"/>
  <c r="L6" i="3" a="1"/>
  <c r="L6" i="3" s="1"/>
  <c r="M6" i="3" a="1"/>
  <c r="M6" i="3" s="1"/>
  <c r="K7" i="3" a="1"/>
  <c r="K7" i="3" s="1"/>
  <c r="L7" i="3" a="1"/>
  <c r="L7" i="3"/>
  <c r="M7" i="3" a="1"/>
  <c r="M7" i="3" s="1"/>
  <c r="L5" i="3" a="1"/>
  <c r="L5" i="3" s="1"/>
  <c r="M5" i="3" a="1"/>
  <c r="M5" i="3" s="1"/>
  <c r="K5" i="3" a="1"/>
  <c r="K5" i="3" s="1"/>
  <c r="K18" i="5" a="1"/>
  <c r="J19" i="5" a="1"/>
  <c r="K11" i="5" a="1"/>
  <c r="J12" i="5" a="1"/>
  <c r="K4" i="5" a="1"/>
  <c r="J5" i="5" a="1"/>
  <c r="F3" i="5" a="1"/>
  <c r="K18" i="4" a="1"/>
  <c r="J19" i="4" a="1"/>
  <c r="K11" i="4" a="1"/>
  <c r="J12" i="4" a="1"/>
  <c r="K4" i="4" a="1"/>
  <c r="J5" i="4" a="1"/>
  <c r="F3" i="4" a="1"/>
  <c r="K18" i="3" a="1"/>
  <c r="J19" i="3" a="1"/>
  <c r="K11" i="3" a="1"/>
  <c r="J12" i="3" a="1"/>
  <c r="K4" i="3" a="1"/>
  <c r="J5" i="3" a="1"/>
  <c r="F3" i="3" a="1"/>
  <c r="V3" i="5" l="1" a="1"/>
  <c r="V3" i="5" s="1"/>
  <c r="X3" i="5" s="1"/>
  <c r="V5" i="5" a="1"/>
  <c r="V5" i="5" s="1"/>
  <c r="W5" i="5" s="1"/>
  <c r="V4" i="5" a="1"/>
  <c r="V4" i="5" s="1"/>
  <c r="W4" i="5" s="1"/>
  <c r="V6" i="5" a="1"/>
  <c r="V6" i="5" s="1"/>
  <c r="Y5" i="5"/>
  <c r="P5" i="5"/>
  <c r="P4" i="5"/>
  <c r="S2" i="5"/>
  <c r="R2" i="5"/>
  <c r="K18" i="5"/>
  <c r="L18" i="5"/>
  <c r="M18" i="5"/>
  <c r="J19" i="5"/>
  <c r="J20" i="5"/>
  <c r="J21" i="5"/>
  <c r="L11" i="5"/>
  <c r="M11" i="5"/>
  <c r="K11" i="5"/>
  <c r="J12" i="5"/>
  <c r="J13" i="5"/>
  <c r="J14" i="5"/>
  <c r="K4" i="5"/>
  <c r="L4" i="5"/>
  <c r="M4" i="5"/>
  <c r="J5" i="5"/>
  <c r="J6" i="5"/>
  <c r="J7" i="5"/>
  <c r="G3" i="5"/>
  <c r="G7" i="5"/>
  <c r="G11" i="5"/>
  <c r="G15" i="5"/>
  <c r="G19" i="5"/>
  <c r="G23" i="5"/>
  <c r="G27" i="5"/>
  <c r="G31" i="5"/>
  <c r="G35" i="5"/>
  <c r="G39" i="5"/>
  <c r="G43" i="5"/>
  <c r="G47" i="5"/>
  <c r="G8" i="5"/>
  <c r="G12" i="5"/>
  <c r="G16" i="5"/>
  <c r="G20" i="5"/>
  <c r="G32" i="5"/>
  <c r="G36" i="5"/>
  <c r="G44" i="5"/>
  <c r="H4" i="5"/>
  <c r="H20" i="5"/>
  <c r="H28" i="5"/>
  <c r="H36" i="5"/>
  <c r="H44" i="5"/>
  <c r="F5" i="5"/>
  <c r="F17" i="5"/>
  <c r="F25" i="5"/>
  <c r="F37" i="5"/>
  <c r="G9" i="5"/>
  <c r="G21" i="5"/>
  <c r="G29" i="5"/>
  <c r="G41" i="5"/>
  <c r="H5" i="5"/>
  <c r="H21" i="5"/>
  <c r="H29" i="5"/>
  <c r="H41" i="5"/>
  <c r="F6" i="5"/>
  <c r="F18" i="5"/>
  <c r="F26" i="5"/>
  <c r="F42" i="5"/>
  <c r="G10" i="5"/>
  <c r="G26" i="5"/>
  <c r="G38" i="5"/>
  <c r="H10" i="5"/>
  <c r="H18" i="5"/>
  <c r="H26" i="5"/>
  <c r="H38" i="5"/>
  <c r="F3" i="5"/>
  <c r="F15" i="5"/>
  <c r="F23" i="5"/>
  <c r="F35" i="5"/>
  <c r="F47" i="5"/>
  <c r="H3" i="5"/>
  <c r="H7" i="5"/>
  <c r="H11" i="5"/>
  <c r="H15" i="5"/>
  <c r="H19" i="5"/>
  <c r="H23" i="5"/>
  <c r="H27" i="5"/>
  <c r="H31" i="5"/>
  <c r="H35" i="5"/>
  <c r="H39" i="5"/>
  <c r="H43" i="5"/>
  <c r="H47" i="5"/>
  <c r="G24" i="5"/>
  <c r="H12" i="5"/>
  <c r="F13" i="5"/>
  <c r="F29" i="5"/>
  <c r="F45" i="5"/>
  <c r="G5" i="5"/>
  <c r="G33" i="5"/>
  <c r="H13" i="5"/>
  <c r="H25" i="5"/>
  <c r="H37" i="5"/>
  <c r="F10" i="5"/>
  <c r="F22" i="5"/>
  <c r="F34" i="5"/>
  <c r="G14" i="5"/>
  <c r="G22" i="5"/>
  <c r="G34" i="5"/>
  <c r="G46" i="5"/>
  <c r="H14" i="5"/>
  <c r="H30" i="5"/>
  <c r="H46" i="5"/>
  <c r="F7" i="5"/>
  <c r="F27" i="5"/>
  <c r="F39" i="5"/>
  <c r="F4" i="5"/>
  <c r="F8" i="5"/>
  <c r="F12" i="5"/>
  <c r="F16" i="5"/>
  <c r="F20" i="5"/>
  <c r="F24" i="5"/>
  <c r="F28" i="5"/>
  <c r="F32" i="5"/>
  <c r="F36" i="5"/>
  <c r="F40" i="5"/>
  <c r="F44" i="5"/>
  <c r="G4" i="5"/>
  <c r="G28" i="5"/>
  <c r="G40" i="5"/>
  <c r="H8" i="5"/>
  <c r="H16" i="5"/>
  <c r="H24" i="5"/>
  <c r="H32" i="5"/>
  <c r="H40" i="5"/>
  <c r="F9" i="5"/>
  <c r="F21" i="5"/>
  <c r="F33" i="5"/>
  <c r="F41" i="5"/>
  <c r="G13" i="5"/>
  <c r="G17" i="5"/>
  <c r="G25" i="5"/>
  <c r="G37" i="5"/>
  <c r="G45" i="5"/>
  <c r="H9" i="5"/>
  <c r="H17" i="5"/>
  <c r="H33" i="5"/>
  <c r="H45" i="5"/>
  <c r="F14" i="5"/>
  <c r="F30" i="5"/>
  <c r="F38" i="5"/>
  <c r="F46" i="5"/>
  <c r="G6" i="5"/>
  <c r="G18" i="5"/>
  <c r="G30" i="5"/>
  <c r="G42" i="5"/>
  <c r="H6" i="5"/>
  <c r="H22" i="5"/>
  <c r="H34" i="5"/>
  <c r="H42" i="5"/>
  <c r="F11" i="5"/>
  <c r="F19" i="5"/>
  <c r="F31" i="5"/>
  <c r="F43" i="5"/>
  <c r="X9" i="4"/>
  <c r="Q9" i="4"/>
  <c r="V9" i="4"/>
  <c r="U9" i="4"/>
  <c r="S5" i="4"/>
  <c r="S4" i="4"/>
  <c r="R5" i="4"/>
  <c r="R4" i="4"/>
  <c r="P5" i="4"/>
  <c r="P4" i="4"/>
  <c r="K18" i="4"/>
  <c r="L18" i="4"/>
  <c r="M18" i="4"/>
  <c r="J19" i="4"/>
  <c r="J20" i="4"/>
  <c r="J21" i="4"/>
  <c r="K11" i="4"/>
  <c r="L11" i="4"/>
  <c r="M11" i="4"/>
  <c r="J13" i="4"/>
  <c r="J12" i="4"/>
  <c r="J14" i="4"/>
  <c r="K4" i="4"/>
  <c r="L4" i="4"/>
  <c r="M4" i="4"/>
  <c r="J7" i="4"/>
  <c r="J6" i="4"/>
  <c r="J5" i="4"/>
  <c r="H6" i="4"/>
  <c r="H10" i="4"/>
  <c r="H14" i="4"/>
  <c r="H18" i="4"/>
  <c r="H22" i="4"/>
  <c r="H26" i="4"/>
  <c r="H30" i="4"/>
  <c r="H34" i="4"/>
  <c r="H38" i="4"/>
  <c r="H42" i="4"/>
  <c r="H46" i="4"/>
  <c r="F3" i="4"/>
  <c r="F7" i="4"/>
  <c r="F11" i="4"/>
  <c r="F15" i="4"/>
  <c r="F19" i="4"/>
  <c r="F23" i="4"/>
  <c r="F27" i="4"/>
  <c r="F31" i="4"/>
  <c r="F35" i="4"/>
  <c r="F39" i="4"/>
  <c r="F43" i="4"/>
  <c r="F47" i="4"/>
  <c r="F8" i="4"/>
  <c r="F16" i="4"/>
  <c r="F24" i="4"/>
  <c r="F32" i="4"/>
  <c r="F40" i="4"/>
  <c r="G4" i="4"/>
  <c r="G16" i="4"/>
  <c r="G24" i="4"/>
  <c r="G32" i="4"/>
  <c r="G40" i="4"/>
  <c r="H8" i="4"/>
  <c r="H12" i="4"/>
  <c r="H20" i="4"/>
  <c r="H28" i="4"/>
  <c r="H36" i="4"/>
  <c r="H44" i="4"/>
  <c r="F9" i="4"/>
  <c r="F21" i="4"/>
  <c r="F29" i="4"/>
  <c r="F41" i="4"/>
  <c r="G9" i="4"/>
  <c r="G21" i="4"/>
  <c r="G33" i="4"/>
  <c r="G41" i="4"/>
  <c r="H13" i="4"/>
  <c r="H25" i="4"/>
  <c r="H41" i="4"/>
  <c r="F10" i="4"/>
  <c r="F22" i="4"/>
  <c r="F38" i="4"/>
  <c r="F46" i="4"/>
  <c r="G18" i="4"/>
  <c r="G26" i="4"/>
  <c r="G38" i="4"/>
  <c r="G3" i="4"/>
  <c r="G7" i="4"/>
  <c r="G11" i="4"/>
  <c r="G15" i="4"/>
  <c r="G19" i="4"/>
  <c r="G23" i="4"/>
  <c r="G27" i="4"/>
  <c r="G31" i="4"/>
  <c r="G35" i="4"/>
  <c r="G39" i="4"/>
  <c r="G43" i="4"/>
  <c r="G47" i="4"/>
  <c r="H7" i="4"/>
  <c r="H11" i="4"/>
  <c r="H15" i="4"/>
  <c r="H19" i="4"/>
  <c r="H23" i="4"/>
  <c r="H27" i="4"/>
  <c r="H31" i="4"/>
  <c r="H35" i="4"/>
  <c r="H39" i="4"/>
  <c r="H43" i="4"/>
  <c r="H47" i="4"/>
  <c r="F4" i="4"/>
  <c r="F12" i="4"/>
  <c r="F20" i="4"/>
  <c r="F28" i="4"/>
  <c r="F36" i="4"/>
  <c r="F44" i="4"/>
  <c r="G8" i="4"/>
  <c r="G12" i="4"/>
  <c r="G20" i="4"/>
  <c r="G28" i="4"/>
  <c r="G36" i="4"/>
  <c r="G44" i="4"/>
  <c r="H4" i="4"/>
  <c r="H16" i="4"/>
  <c r="H24" i="4"/>
  <c r="H32" i="4"/>
  <c r="H40" i="4"/>
  <c r="F5" i="4"/>
  <c r="F25" i="4"/>
  <c r="F33" i="4"/>
  <c r="F45" i="4"/>
  <c r="G5" i="4"/>
  <c r="G17" i="4"/>
  <c r="G29" i="4"/>
  <c r="H17" i="4"/>
  <c r="H21" i="4"/>
  <c r="H37" i="4"/>
  <c r="F18" i="4"/>
  <c r="F34" i="4"/>
  <c r="G14" i="4"/>
  <c r="G30" i="4"/>
  <c r="G46" i="4"/>
  <c r="H3" i="4"/>
  <c r="F13" i="4"/>
  <c r="F37" i="4"/>
  <c r="G13" i="4"/>
  <c r="G25" i="4"/>
  <c r="G37" i="4"/>
  <c r="G45" i="4"/>
  <c r="H5" i="4"/>
  <c r="H29" i="4"/>
  <c r="H45" i="4"/>
  <c r="F6" i="4"/>
  <c r="F26" i="4"/>
  <c r="F42" i="4"/>
  <c r="G6" i="4"/>
  <c r="G34" i="4"/>
  <c r="F17" i="4"/>
  <c r="H9" i="4"/>
  <c r="H33" i="4"/>
  <c r="F14" i="4"/>
  <c r="F30" i="4"/>
  <c r="G10" i="4"/>
  <c r="G22" i="4"/>
  <c r="G42" i="4"/>
  <c r="X9" i="3"/>
  <c r="Y9" i="3"/>
  <c r="S9" i="3"/>
  <c r="W9" i="3" s="1"/>
  <c r="U9" i="3"/>
  <c r="V9" i="3"/>
  <c r="K18" i="3"/>
  <c r="L18" i="3"/>
  <c r="M18" i="3"/>
  <c r="J19" i="3"/>
  <c r="J20" i="3"/>
  <c r="J21" i="3"/>
  <c r="K11" i="3"/>
  <c r="L11" i="3"/>
  <c r="M11" i="3"/>
  <c r="J12" i="3"/>
  <c r="J13" i="3"/>
  <c r="J14" i="3"/>
  <c r="K4" i="3"/>
  <c r="L4" i="3"/>
  <c r="M4" i="3"/>
  <c r="J5" i="3"/>
  <c r="J6" i="3"/>
  <c r="J7" i="3"/>
  <c r="F3" i="3"/>
  <c r="F7" i="3"/>
  <c r="F11" i="3"/>
  <c r="F15" i="3"/>
  <c r="F19" i="3"/>
  <c r="F23" i="3"/>
  <c r="F27" i="3"/>
  <c r="F31" i="3"/>
  <c r="F35" i="3"/>
  <c r="F39" i="3"/>
  <c r="F43" i="3"/>
  <c r="F47" i="3"/>
  <c r="H19" i="3"/>
  <c r="H35" i="3"/>
  <c r="H47" i="3"/>
  <c r="F12" i="3"/>
  <c r="F28" i="3"/>
  <c r="F40" i="3"/>
  <c r="G8" i="3"/>
  <c r="G20" i="3"/>
  <c r="G32" i="3"/>
  <c r="H12" i="3"/>
  <c r="H24" i="3"/>
  <c r="H36" i="3"/>
  <c r="F5" i="3"/>
  <c r="F17" i="3"/>
  <c r="F29" i="3"/>
  <c r="F41" i="3"/>
  <c r="G13" i="3"/>
  <c r="G25" i="3"/>
  <c r="G37" i="3"/>
  <c r="H13" i="3"/>
  <c r="H21" i="3"/>
  <c r="H33" i="3"/>
  <c r="H45" i="3"/>
  <c r="F14" i="3"/>
  <c r="F26" i="3"/>
  <c r="F38" i="3"/>
  <c r="G14" i="3"/>
  <c r="G22" i="3"/>
  <c r="G34" i="3"/>
  <c r="G46" i="3"/>
  <c r="H14" i="3"/>
  <c r="H26" i="3"/>
  <c r="H38" i="3"/>
  <c r="G3" i="3"/>
  <c r="G7" i="3"/>
  <c r="G11" i="3"/>
  <c r="G15" i="3"/>
  <c r="G19" i="3"/>
  <c r="G23" i="3"/>
  <c r="G27" i="3"/>
  <c r="G31" i="3"/>
  <c r="G35" i="3"/>
  <c r="G39" i="3"/>
  <c r="G43" i="3"/>
  <c r="G47" i="3"/>
  <c r="H11" i="3"/>
  <c r="H31" i="3"/>
  <c r="H43" i="3"/>
  <c r="F4" i="3"/>
  <c r="F16" i="3"/>
  <c r="F24" i="3"/>
  <c r="F36" i="3"/>
  <c r="F44" i="3"/>
  <c r="G4" i="3"/>
  <c r="G16" i="3"/>
  <c r="G28" i="3"/>
  <c r="G40" i="3"/>
  <c r="H4" i="3"/>
  <c r="H16" i="3"/>
  <c r="H28" i="3"/>
  <c r="H40" i="3"/>
  <c r="F13" i="3"/>
  <c r="F25" i="3"/>
  <c r="F33" i="3"/>
  <c r="F45" i="3"/>
  <c r="G9" i="3"/>
  <c r="G21" i="3"/>
  <c r="G33" i="3"/>
  <c r="G45" i="3"/>
  <c r="H5" i="3"/>
  <c r="H17" i="3"/>
  <c r="H29" i="3"/>
  <c r="H37" i="3"/>
  <c r="F10" i="3"/>
  <c r="F22" i="3"/>
  <c r="F30" i="3"/>
  <c r="F46" i="3"/>
  <c r="G6" i="3"/>
  <c r="G18" i="3"/>
  <c r="G30" i="3"/>
  <c r="G42" i="3"/>
  <c r="H10" i="3"/>
  <c r="H18" i="3"/>
  <c r="H30" i="3"/>
  <c r="H42" i="3"/>
  <c r="H3" i="3"/>
  <c r="H7" i="3"/>
  <c r="H15" i="3"/>
  <c r="H23" i="3"/>
  <c r="H27" i="3"/>
  <c r="H39" i="3"/>
  <c r="F8" i="3"/>
  <c r="F20" i="3"/>
  <c r="F32" i="3"/>
  <c r="G12" i="3"/>
  <c r="G24" i="3"/>
  <c r="G36" i="3"/>
  <c r="G44" i="3"/>
  <c r="H8" i="3"/>
  <c r="H20" i="3"/>
  <c r="H32" i="3"/>
  <c r="H44" i="3"/>
  <c r="F9" i="3"/>
  <c r="F21" i="3"/>
  <c r="F37" i="3"/>
  <c r="G5" i="3"/>
  <c r="G17" i="3"/>
  <c r="G29" i="3"/>
  <c r="G41" i="3"/>
  <c r="H9" i="3"/>
  <c r="H25" i="3"/>
  <c r="H41" i="3"/>
  <c r="F6" i="3"/>
  <c r="F18" i="3"/>
  <c r="F34" i="3"/>
  <c r="F42" i="3"/>
  <c r="G10" i="3"/>
  <c r="G26" i="3"/>
  <c r="G38" i="3"/>
  <c r="H6" i="3"/>
  <c r="H22" i="3"/>
  <c r="H34" i="3"/>
  <c r="H46" i="3"/>
  <c r="Y3" i="5" l="1"/>
  <c r="W3" i="5"/>
  <c r="Y4" i="5"/>
  <c r="X4" i="5"/>
  <c r="W6" i="5"/>
  <c r="X6" i="5"/>
  <c r="Y6" i="5"/>
  <c r="X5" i="5"/>
  <c r="Y9" i="4"/>
  <c r="S9" i="4"/>
  <c r="W9" i="4" s="1"/>
  <c r="X7" i="5" l="1"/>
  <c r="W7" i="5"/>
  <c r="Y7" i="5"/>
  <c r="U10" i="5" s="1"/>
  <c r="V10" i="5" l="1"/>
  <c r="AD10" i="5" s="1"/>
  <c r="AA10" i="5"/>
  <c r="AC10" i="5"/>
  <c r="Z10" i="5"/>
  <c r="X10" i="5" l="1"/>
  <c r="AB10" i="5" s="1"/>
  <c r="AC59" i="1" l="1" a="1"/>
  <c r="AC49" i="1" a="1"/>
  <c r="AE49" i="1" s="1"/>
  <c r="AC37" i="1" a="1"/>
  <c r="AG29" i="1" a="1"/>
  <c r="AG29" i="1" s="1"/>
  <c r="AG28" i="1" a="1"/>
  <c r="AG28" i="1" s="1"/>
  <c r="AC25" i="1" a="1"/>
  <c r="AE25" i="1" s="1"/>
  <c r="J23" i="1"/>
  <c r="I23" i="1"/>
  <c r="H23" i="1"/>
  <c r="G23" i="1"/>
  <c r="J22" i="1"/>
  <c r="I22" i="1"/>
  <c r="H22" i="1"/>
  <c r="G22" i="1"/>
  <c r="F22" i="1"/>
  <c r="J21" i="1"/>
  <c r="I21" i="1"/>
  <c r="H21" i="1"/>
  <c r="G21" i="1"/>
  <c r="F21" i="1"/>
  <c r="J20" i="1"/>
  <c r="I20" i="1"/>
  <c r="H20" i="1"/>
  <c r="G20" i="1"/>
  <c r="F20" i="1"/>
  <c r="I19" i="1"/>
  <c r="H19" i="1"/>
  <c r="G19" i="1"/>
  <c r="AC18" i="1"/>
  <c r="J16" i="1"/>
  <c r="I16" i="1"/>
  <c r="H16" i="1"/>
  <c r="G16" i="1"/>
  <c r="AD15" i="1" s="1" a="1"/>
  <c r="AE16" i="1"/>
  <c r="AE15" i="1" a="1"/>
  <c r="AE17" i="1" s="1"/>
  <c r="J15" i="1"/>
  <c r="AD6" i="1" s="1"/>
  <c r="I15" i="1"/>
  <c r="H15" i="1"/>
  <c r="G15" i="1"/>
  <c r="F15" i="1"/>
  <c r="AB38" i="1" s="1" a="1"/>
  <c r="J14" i="1"/>
  <c r="N6" i="1" s="1"/>
  <c r="I14" i="1"/>
  <c r="H14" i="1"/>
  <c r="G14" i="1"/>
  <c r="F14" i="1"/>
  <c r="J13" i="1"/>
  <c r="I13" i="1"/>
  <c r="H13" i="1"/>
  <c r="G13" i="1"/>
  <c r="F13" i="1"/>
  <c r="AB4" i="1" s="1"/>
  <c r="I12" i="1"/>
  <c r="H12" i="1"/>
  <c r="G12" i="1"/>
  <c r="O10" i="1"/>
  <c r="N10" i="1"/>
  <c r="M10" i="1"/>
  <c r="J9" i="1"/>
  <c r="I9" i="1"/>
  <c r="H9" i="1"/>
  <c r="G9" i="1"/>
  <c r="M7" i="1" s="1"/>
  <c r="J8" i="1"/>
  <c r="I8" i="1"/>
  <c r="H8" i="1"/>
  <c r="G8" i="1"/>
  <c r="F8" i="1"/>
  <c r="AC7" i="1"/>
  <c r="J7" i="1"/>
  <c r="I7" i="1"/>
  <c r="H7" i="1"/>
  <c r="G7" i="1"/>
  <c r="F7" i="1"/>
  <c r="AE6" i="1"/>
  <c r="J6" i="1"/>
  <c r="M6" i="1" s="1"/>
  <c r="O6" i="1" s="1"/>
  <c r="I6" i="1"/>
  <c r="H6" i="1"/>
  <c r="G6" i="1"/>
  <c r="F6" i="1"/>
  <c r="AE5" i="1"/>
  <c r="AD5" i="1"/>
  <c r="AB5" i="1"/>
  <c r="I5" i="1"/>
  <c r="H5" i="1"/>
  <c r="G5" i="1"/>
  <c r="AD4" i="1"/>
  <c r="AD7" i="1" s="1"/>
  <c r="AD17" i="1" l="1"/>
  <c r="AD16" i="1"/>
  <c r="AD15" i="1"/>
  <c r="AD18" i="1" s="1"/>
  <c r="AD25" i="1"/>
  <c r="AD59" i="1"/>
  <c r="AE59" i="1"/>
  <c r="AC59" i="1"/>
  <c r="N9" i="1"/>
  <c r="AI65" i="1"/>
  <c r="AK65" i="1" s="1"/>
  <c r="AC25" i="1"/>
  <c r="R7" i="1"/>
  <c r="O7" i="1"/>
  <c r="AH10" i="1"/>
  <c r="AG10" i="1"/>
  <c r="AB40" i="1"/>
  <c r="AB39" i="1"/>
  <c r="AB38" i="1"/>
  <c r="AD37" i="1"/>
  <c r="AE37" i="1"/>
  <c r="AC37" i="1"/>
  <c r="AJ10" i="1"/>
  <c r="AE15" i="1"/>
  <c r="AE18" i="1" s="1"/>
  <c r="AB21" i="1" s="1"/>
  <c r="AB15" i="1" a="1"/>
  <c r="AD49" i="1"/>
  <c r="AB60" i="1" a="1"/>
  <c r="N7" i="1"/>
  <c r="N8" i="1" s="1"/>
  <c r="M9" i="1"/>
  <c r="R6" i="1" s="1"/>
  <c r="AE4" i="1"/>
  <c r="AE7" i="1" s="1"/>
  <c r="AB10" i="1" s="1"/>
  <c r="AC10" i="1" s="1"/>
  <c r="AB26" i="1" a="1"/>
  <c r="AI45" i="1"/>
  <c r="AK45" i="1" s="1"/>
  <c r="AD10" i="1"/>
  <c r="AF10" i="1" s="1"/>
  <c r="AD21" i="1"/>
  <c r="AF21" i="1" s="1"/>
  <c r="AB6" i="1"/>
  <c r="AC49" i="1"/>
  <c r="AI33" i="1"/>
  <c r="AK33" i="1" s="1"/>
  <c r="AI55" i="1"/>
  <c r="AK55" i="1" s="1"/>
  <c r="G4" i="1"/>
  <c r="AB50" i="1" a="1"/>
  <c r="AE10" i="1" l="1"/>
  <c r="AI10" i="1" s="1"/>
  <c r="AK10" i="1"/>
  <c r="AH21" i="1"/>
  <c r="AC21" i="1"/>
  <c r="AG21" i="1"/>
  <c r="AJ21" i="1"/>
  <c r="M8" i="1"/>
  <c r="AB51" i="1"/>
  <c r="AB50" i="1"/>
  <c r="AG50" i="1" s="1" a="1"/>
  <c r="AG50" i="1" s="1"/>
  <c r="AB52" i="1"/>
  <c r="AG51" i="1" s="1" a="1"/>
  <c r="AG51" i="1" s="1"/>
  <c r="AG40" i="1" a="1"/>
  <c r="AG40" i="1" s="1"/>
  <c r="AG41" i="1" a="1"/>
  <c r="AG41" i="1" s="1"/>
  <c r="O9" i="1"/>
  <c r="P6" i="1" s="1"/>
  <c r="Q6" i="1" s="1"/>
  <c r="AB62" i="1"/>
  <c r="AB61" i="1"/>
  <c r="AB60" i="1"/>
  <c r="AB15" i="1"/>
  <c r="AB17" i="1"/>
  <c r="AB16" i="1"/>
  <c r="AG38" i="1" a="1"/>
  <c r="AG38" i="1" s="1"/>
  <c r="AG39" i="1" a="1"/>
  <c r="AG39" i="1" s="1"/>
  <c r="AB28" i="1"/>
  <c r="AG27" i="1" s="1" a="1"/>
  <c r="AG27" i="1" s="1"/>
  <c r="AB27" i="1"/>
  <c r="AB26" i="1"/>
  <c r="AH50" i="1" l="1" a="1"/>
  <c r="AH50" i="1" s="1"/>
  <c r="AK50" i="1" s="1"/>
  <c r="R8" i="1"/>
  <c r="O8" i="1"/>
  <c r="P8" i="1" s="1"/>
  <c r="Q8" i="1" s="1"/>
  <c r="P7" i="1"/>
  <c r="Q7" i="1" s="1"/>
  <c r="AH27" i="1" a="1"/>
  <c r="AH27" i="1" s="1"/>
  <c r="AK27" i="1" s="1"/>
  <c r="AI39" i="1"/>
  <c r="AH39" i="1" a="1"/>
  <c r="AH39" i="1" s="1"/>
  <c r="AK39" i="1" s="1"/>
  <c r="AG26" i="1" a="1"/>
  <c r="AG26" i="1" s="1"/>
  <c r="AH28" i="1" a="1"/>
  <c r="AH28" i="1" s="1"/>
  <c r="AH29" i="1" a="1"/>
  <c r="AH29" i="1" s="1"/>
  <c r="AH41" i="1" a="1"/>
  <c r="AH41" i="1" s="1"/>
  <c r="AI41" i="1" s="1"/>
  <c r="AK51" i="1"/>
  <c r="AJ51" i="1"/>
  <c r="AI51" i="1"/>
  <c r="AH51" i="1" a="1"/>
  <c r="AH51" i="1" s="1"/>
  <c r="AH38" i="1" a="1"/>
  <c r="AH38" i="1" s="1"/>
  <c r="AJ38" i="1"/>
  <c r="AK38" i="1"/>
  <c r="AI38" i="1"/>
  <c r="AE21" i="1"/>
  <c r="AI21" i="1" s="1"/>
  <c r="AK21" i="1"/>
  <c r="AG61" i="1" a="1"/>
  <c r="AG61" i="1" s="1"/>
  <c r="AG60" i="1" a="1"/>
  <c r="AG60" i="1" s="1"/>
  <c r="AK40" i="1"/>
  <c r="AI40" i="1"/>
  <c r="AH40" i="1" a="1"/>
  <c r="AH40" i="1" s="1"/>
  <c r="AJ40" i="1" s="1"/>
  <c r="AJ41" i="1" l="1"/>
  <c r="AI42" i="1"/>
  <c r="AJ39" i="1"/>
  <c r="AJ42" i="1" s="1"/>
  <c r="AI50" i="1"/>
  <c r="AH60" i="1" a="1"/>
  <c r="AH60" i="1" s="1"/>
  <c r="AK60" i="1" s="1"/>
  <c r="AK41" i="1"/>
  <c r="AK42" i="1" s="1"/>
  <c r="AG45" i="1" s="1"/>
  <c r="AK61" i="1"/>
  <c r="AH61" i="1" a="1"/>
  <c r="AH61" i="1" s="1"/>
  <c r="AI61" i="1" s="1"/>
  <c r="AI27" i="1"/>
  <c r="AJ27" i="1"/>
  <c r="AK28" i="1"/>
  <c r="AJ28" i="1"/>
  <c r="AI28" i="1"/>
  <c r="AH26" i="1" a="1"/>
  <c r="AH26" i="1" s="1"/>
  <c r="AI26" i="1" s="1"/>
  <c r="AJ50" i="1"/>
  <c r="AJ29" i="1"/>
  <c r="AK29" i="1"/>
  <c r="AI29" i="1"/>
  <c r="AI30" i="1" l="1"/>
  <c r="AH45" i="1"/>
  <c r="AM45" i="1"/>
  <c r="AL45" i="1"/>
  <c r="AO45" i="1"/>
  <c r="AK52" i="1"/>
  <c r="AG55" i="1" s="1"/>
  <c r="AJ52" i="1"/>
  <c r="AI52" i="1"/>
  <c r="AJ61" i="1"/>
  <c r="AJ26" i="1"/>
  <c r="AJ30" i="1" s="1"/>
  <c r="AK26" i="1"/>
  <c r="AK30" i="1" s="1"/>
  <c r="AG33" i="1" s="1"/>
  <c r="AI60" i="1"/>
  <c r="AJ60" i="1"/>
  <c r="AO33" i="1" l="1"/>
  <c r="AH33" i="1"/>
  <c r="AM33" i="1"/>
  <c r="AL33" i="1"/>
  <c r="AJ45" i="1"/>
  <c r="AN45" i="1" s="1"/>
  <c r="AP45" i="1"/>
  <c r="AI62" i="1"/>
  <c r="AK62" i="1"/>
  <c r="AG65" i="1" s="1"/>
  <c r="AJ62" i="1"/>
  <c r="AO55" i="1"/>
  <c r="AL55" i="1"/>
  <c r="AH55" i="1"/>
  <c r="AM55" i="1"/>
  <c r="AJ33" i="1" l="1"/>
  <c r="AN33" i="1" s="1"/>
  <c r="AP33" i="1"/>
  <c r="AJ55" i="1"/>
  <c r="AN55" i="1" s="1"/>
  <c r="AP55" i="1"/>
  <c r="AO65" i="1"/>
  <c r="AM65" i="1"/>
  <c r="AL65" i="1"/>
  <c r="AH65" i="1"/>
  <c r="AP65" i="1" l="1"/>
  <c r="AJ65" i="1"/>
  <c r="AN65" i="1" s="1"/>
</calcChain>
</file>

<file path=xl/sharedStrings.xml><?xml version="1.0" encoding="utf-8"?>
<sst xmlns="http://schemas.openxmlformats.org/spreadsheetml/2006/main" count="233" uniqueCount="54">
  <si>
    <t>Contrasts for two-way ANOVA</t>
  </si>
  <si>
    <t>Descriptive Statistics</t>
  </si>
  <si>
    <t>Two Factor Anova</t>
  </si>
  <si>
    <t>CONTRAST: ROWS</t>
  </si>
  <si>
    <t>Body Location</t>
  </si>
  <si>
    <t>Groups</t>
  </si>
  <si>
    <t>c</t>
  </si>
  <si>
    <t>mean</t>
  </si>
  <si>
    <t>n</t>
  </si>
  <si>
    <t>Climate</t>
  </si>
  <si>
    <t>Arm</t>
  </si>
  <si>
    <t>Neck</t>
  </si>
  <si>
    <t>Foot</t>
  </si>
  <si>
    <t>COUNT</t>
  </si>
  <si>
    <t>ANOVA</t>
  </si>
  <si>
    <t>Alpha</t>
  </si>
  <si>
    <t>Cold</t>
  </si>
  <si>
    <t>SS</t>
  </si>
  <si>
    <t>df</t>
  </si>
  <si>
    <t>MS</t>
  </si>
  <si>
    <t>F</t>
  </si>
  <si>
    <t>p-value</t>
  </si>
  <si>
    <t>p eta-sq</t>
  </si>
  <si>
    <t>sig</t>
  </si>
  <si>
    <t>Rows</t>
  </si>
  <si>
    <t>Columns</t>
  </si>
  <si>
    <t>Inter</t>
  </si>
  <si>
    <t>T TEST</t>
  </si>
  <si>
    <t>Within</t>
  </si>
  <si>
    <t>std err</t>
  </si>
  <si>
    <t>t-stat</t>
  </si>
  <si>
    <t>t-crit</t>
  </si>
  <si>
    <t>lower</t>
  </si>
  <si>
    <t>upper</t>
  </si>
  <si>
    <t>Cohen d</t>
  </si>
  <si>
    <t>effect r</t>
  </si>
  <si>
    <t>Dry</t>
  </si>
  <si>
    <t>Total</t>
  </si>
  <si>
    <t>MEAN</t>
  </si>
  <si>
    <t>CONTRAST: COLUMNS</t>
  </si>
  <si>
    <t>Humid</t>
  </si>
  <si>
    <t>VARIANCE</t>
  </si>
  <si>
    <t>CONTRAST</t>
  </si>
  <si>
    <t>CONTRAST: INTERACTIONS</t>
  </si>
  <si>
    <t>row</t>
  </si>
  <si>
    <t>column</t>
  </si>
  <si>
    <t>Real Statistics Using Excel</t>
  </si>
  <si>
    <t>Updated</t>
  </si>
  <si>
    <t>Copyright © 2013 - 2025 Charles Zaiontz</t>
  </si>
  <si>
    <t>Contrasts for Two Factor ANOVA with Replications</t>
  </si>
  <si>
    <t>Input data in standard format</t>
  </si>
  <si>
    <t>group</t>
  </si>
  <si>
    <t>contrast</t>
  </si>
  <si>
    <t>size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</si>
</sst>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</fills>
  <borders count="4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5" xfId="0" applyBorder="1"/>
    <xf numFmtId="0" fontId="0" fillId="0" borderId="5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6" xfId="0" applyBorder="1"/>
    <xf numFmtId="0" fontId="0" fillId="2" borderId="6" xfId="0" applyFill="1" applyBorder="1"/>
    <xf numFmtId="0" fontId="0" fillId="0" borderId="7" xfId="0" applyBorder="1"/>
    <xf numFmtId="0" fontId="0" fillId="0" borderId="8" xfId="0" applyBorder="1"/>
    <xf numFmtId="0" fontId="0" fillId="2" borderId="0" xfId="0" applyFill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2" borderId="14" xfId="0" applyFill="1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2" borderId="23" xfId="0" applyFill="1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35" xfId="0" applyBorder="1" applyAlignment="1">
      <alignment horizontal="center"/>
    </xf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0" fillId="2" borderId="24" xfId="0" applyFill="1" applyBorder="1"/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16" xfId="0" applyFill="1" applyBorder="1"/>
    <xf numFmtId="0" fontId="0" fillId="2" borderId="36" xfId="0" applyFill="1" applyBorder="1"/>
    <xf numFmtId="0" fontId="0" fillId="2" borderId="37" xfId="0" applyFill="1" applyBorder="1"/>
    <xf numFmtId="0" fontId="0" fillId="2" borderId="38" xfId="0" applyFill="1" applyBorder="1"/>
    <xf numFmtId="0" fontId="0" fillId="2" borderId="39" xfId="0" applyFill="1" applyBorder="1"/>
    <xf numFmtId="0" fontId="0" fillId="2" borderId="29" xfId="0" applyFill="1" applyBorder="1"/>
    <xf numFmtId="0" fontId="0" fillId="0" borderId="40" xfId="0" applyBorder="1"/>
    <xf numFmtId="0" fontId="0" fillId="0" borderId="41" xfId="0" applyBorder="1"/>
    <xf numFmtId="0" fontId="0" fillId="0" borderId="41" xfId="0" applyBorder="1" applyAlignment="1">
      <alignment horizontal="center"/>
    </xf>
    <xf numFmtId="0" fontId="0" fillId="2" borderId="42" xfId="0" applyFill="1" applyBorder="1"/>
    <xf numFmtId="0" fontId="0" fillId="2" borderId="43" xfId="0" applyFill="1" applyBorder="1"/>
    <xf numFmtId="0" fontId="0" fillId="2" borderId="44" xfId="0" applyFill="1" applyBorder="1"/>
    <xf numFmtId="15" fontId="0" fillId="0" borderId="0" xfId="0" applyNumberFormat="1"/>
    <xf numFmtId="0" fontId="3" fillId="0" borderId="0" xfId="0" applyFont="1"/>
    <xf numFmtId="0" fontId="0" fillId="0" borderId="42" xfId="0" applyBorder="1"/>
    <xf numFmtId="0" fontId="0" fillId="0" borderId="43" xfId="0" applyBorder="1"/>
    <xf numFmtId="0" fontId="0" fillId="0" borderId="44" xfId="0" applyBorder="1"/>
    <xf numFmtId="0" fontId="0" fillId="0" borderId="39" xfId="0" applyBorder="1"/>
    <xf numFmtId="0" fontId="0" fillId="0" borderId="0" xfId="0" applyBorder="1"/>
    <xf numFmtId="0" fontId="0" fillId="0" borderId="45" xfId="0" applyBorder="1"/>
    <xf numFmtId="0" fontId="0" fillId="2" borderId="40" xfId="0" applyFill="1" applyBorder="1"/>
    <xf numFmtId="0" fontId="0" fillId="2" borderId="0" xfId="0" applyFill="1" applyBorder="1"/>
    <xf numFmtId="0" fontId="0" fillId="2" borderId="45" xfId="0" applyFill="1" applyBorder="1"/>
    <xf numFmtId="0" fontId="0" fillId="2" borderId="11" xfId="0" applyFill="1" applyBorder="1"/>
    <xf numFmtId="0" fontId="0" fillId="0" borderId="46" xfId="0" applyBorder="1"/>
    <xf numFmtId="0" fontId="0" fillId="0" borderId="47" xfId="0" applyBorder="1"/>
    <xf numFmtId="0" fontId="0" fillId="0" borderId="47" xfId="0" applyBorder="1" applyAlignment="1">
      <alignment horizontal="center"/>
    </xf>
    <xf numFmtId="0" fontId="0" fillId="0" borderId="0" xfId="0" applyBorder="1" applyAlignment="1">
      <alignment horizontal="right"/>
    </xf>
    <xf numFmtId="0" fontId="0" fillId="0" borderId="0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</sheetNames>
    <definedNames>
      <definedName name="Anova2Std"/>
      <definedName name="SortUnique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5A8B8-7E51-4450-801B-D2B94C25BD99}">
  <sheetPr codeName="Sheet1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46</v>
      </c>
    </row>
    <row r="2" spans="1:2" x14ac:dyDescent="0.35">
      <c r="A2" t="s">
        <v>49</v>
      </c>
    </row>
    <row r="4" spans="1:2" x14ac:dyDescent="0.35">
      <c r="A4" t="s">
        <v>47</v>
      </c>
      <c r="B4" s="65">
        <v>45963</v>
      </c>
    </row>
    <row r="6" spans="1:2" x14ac:dyDescent="0.35">
      <c r="A6" s="66" t="s">
        <v>48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E4146-5623-4963-A4DC-5AA2CA151FD3}">
  <sheetPr codeName="Sheet2"/>
  <dimension ref="A1:AP65"/>
  <sheetViews>
    <sheetView zoomScale="104" workbookViewId="0"/>
  </sheetViews>
  <sheetFormatPr defaultRowHeight="14.5" x14ac:dyDescent="0.35"/>
  <cols>
    <col min="1" max="1" width="7.81640625" customWidth="1"/>
    <col min="2" max="4" width="7.26953125" customWidth="1"/>
    <col min="32" max="32" width="9.1796875" customWidth="1"/>
  </cols>
  <sheetData>
    <row r="1" spans="1:37" x14ac:dyDescent="0.35">
      <c r="A1" s="1" t="s">
        <v>0</v>
      </c>
    </row>
    <row r="2" spans="1:37" ht="15" thickBot="1" x14ac:dyDescent="0.4">
      <c r="F2" t="s">
        <v>1</v>
      </c>
      <c r="L2" t="s">
        <v>2</v>
      </c>
      <c r="AB2" t="s">
        <v>3</v>
      </c>
    </row>
    <row r="3" spans="1:37" ht="15" thickTop="1" x14ac:dyDescent="0.35">
      <c r="B3" s="2" t="s">
        <v>4</v>
      </c>
      <c r="C3" s="3"/>
      <c r="D3" s="4"/>
      <c r="AB3" s="5" t="s">
        <v>5</v>
      </c>
      <c r="AC3" s="5" t="s">
        <v>6</v>
      </c>
      <c r="AD3" s="5" t="s">
        <v>7</v>
      </c>
      <c r="AE3" s="5" t="s">
        <v>8</v>
      </c>
    </row>
    <row r="4" spans="1:37" ht="15" thickBot="1" x14ac:dyDescent="0.4">
      <c r="A4" s="6" t="s">
        <v>9</v>
      </c>
      <c r="B4" s="7" t="s">
        <v>10</v>
      </c>
      <c r="C4" s="7" t="s">
        <v>11</v>
      </c>
      <c r="D4" s="7" t="s">
        <v>12</v>
      </c>
      <c r="F4" t="s">
        <v>13</v>
      </c>
      <c r="G4" t="str">
        <f>IF(COUNTIF(G6:I8,G6)=COUNT(G6:I8),"balanced","unbalanced")</f>
        <v>balanced</v>
      </c>
      <c r="L4" t="s">
        <v>14</v>
      </c>
      <c r="P4" s="8" t="s">
        <v>15</v>
      </c>
      <c r="Q4" s="8">
        <v>0.05</v>
      </c>
      <c r="AB4" s="9" t="str">
        <f>F13</f>
        <v>Cold</v>
      </c>
      <c r="AC4" s="10">
        <v>-1</v>
      </c>
      <c r="AD4" s="9">
        <f>J13</f>
        <v>17.533333333333335</v>
      </c>
      <c r="AE4" s="9">
        <f>J6</f>
        <v>15</v>
      </c>
    </row>
    <row r="5" spans="1:37" ht="15" thickTop="1" x14ac:dyDescent="0.35">
      <c r="A5" s="11" t="s">
        <v>16</v>
      </c>
      <c r="B5" s="12">
        <v>15</v>
      </c>
      <c r="C5" s="12">
        <v>21</v>
      </c>
      <c r="D5" s="12">
        <v>11</v>
      </c>
      <c r="G5" s="8" t="str">
        <f>B4</f>
        <v>Arm</v>
      </c>
      <c r="H5" s="8" t="str">
        <f>C4</f>
        <v>Neck</v>
      </c>
      <c r="I5" s="8" t="str">
        <f>D4</f>
        <v>Foot</v>
      </c>
      <c r="L5" s="5"/>
      <c r="M5" s="5" t="s">
        <v>17</v>
      </c>
      <c r="N5" s="5" t="s">
        <v>18</v>
      </c>
      <c r="O5" s="5" t="s">
        <v>19</v>
      </c>
      <c r="P5" s="5" t="s">
        <v>20</v>
      </c>
      <c r="Q5" s="5" t="s">
        <v>21</v>
      </c>
      <c r="R5" s="5" t="s">
        <v>22</v>
      </c>
      <c r="AB5" t="str">
        <f>F14</f>
        <v>Dry</v>
      </c>
      <c r="AC5" s="13"/>
      <c r="AD5">
        <f>J14</f>
        <v>25.133333333333333</v>
      </c>
      <c r="AE5">
        <f>J7</f>
        <v>15</v>
      </c>
    </row>
    <row r="6" spans="1:37" x14ac:dyDescent="0.35">
      <c r="A6" s="14"/>
      <c r="B6" s="15">
        <v>23</v>
      </c>
      <c r="C6" s="15">
        <v>11</v>
      </c>
      <c r="D6" s="15">
        <v>8</v>
      </c>
      <c r="F6" t="str">
        <f>A5</f>
        <v>Cold</v>
      </c>
      <c r="G6" s="16">
        <f>COUNT(B5:B9)</f>
        <v>5</v>
      </c>
      <c r="H6" s="17">
        <f>COUNT(C5:C9)</f>
        <v>5</v>
      </c>
      <c r="I6" s="18">
        <f>COUNT(D5:D9)</f>
        <v>5</v>
      </c>
      <c r="J6">
        <f>COUNT(B5:D9)</f>
        <v>15</v>
      </c>
      <c r="L6" t="s">
        <v>24</v>
      </c>
      <c r="M6">
        <f>DEVSQ(J13:J15)*J6</f>
        <v>1255.2444444444438</v>
      </c>
      <c r="N6">
        <f>COUNT(J13:J15)-1</f>
        <v>2</v>
      </c>
      <c r="O6">
        <f>M6/N6</f>
        <v>627.62222222222192</v>
      </c>
      <c r="P6">
        <f>O6/O9</f>
        <v>11.132439889633419</v>
      </c>
      <c r="Q6">
        <f>FDIST(P6,N6,N9)</f>
        <v>1.7223508725008627E-4</v>
      </c>
      <c r="R6">
        <f>M6/(M6+M9)</f>
        <v>0.38213208134327337</v>
      </c>
      <c r="AB6" s="19" t="str">
        <f>F15</f>
        <v>Humid</v>
      </c>
      <c r="AC6" s="20">
        <v>1</v>
      </c>
      <c r="AD6" s="19">
        <f>J15</f>
        <v>30.4</v>
      </c>
      <c r="AE6" s="19">
        <f>J8</f>
        <v>15</v>
      </c>
    </row>
    <row r="7" spans="1:37" x14ac:dyDescent="0.35">
      <c r="A7" s="14"/>
      <c r="B7" s="15">
        <v>26</v>
      </c>
      <c r="C7" s="15">
        <v>28</v>
      </c>
      <c r="D7" s="15">
        <v>2</v>
      </c>
      <c r="F7" t="str">
        <f>A10</f>
        <v>Dry</v>
      </c>
      <c r="G7" s="21">
        <f>COUNT(B10:B14)</f>
        <v>5</v>
      </c>
      <c r="H7">
        <f>COUNT(C10:C14)</f>
        <v>5</v>
      </c>
      <c r="I7" s="22">
        <f>COUNT(D10:D14)</f>
        <v>5</v>
      </c>
      <c r="J7">
        <f>COUNT(B10:D14)</f>
        <v>15</v>
      </c>
      <c r="L7" t="s">
        <v>25</v>
      </c>
      <c r="M7">
        <f>DEVSQ(G16:I16)*G9</f>
        <v>98.711111111111208</v>
      </c>
      <c r="N7">
        <f>COUNT(G16:I16)-1</f>
        <v>2</v>
      </c>
      <c r="O7">
        <f>M7/N7</f>
        <v>49.355555555555604</v>
      </c>
      <c r="P7">
        <f>O7/O9</f>
        <v>0.8754434371304699</v>
      </c>
      <c r="Q7">
        <f>FDIST(P7,N7,N9)</f>
        <v>0.42535951679577555</v>
      </c>
      <c r="R7">
        <f>M7/(M7+M9)</f>
        <v>4.6380019629544599E-2</v>
      </c>
      <c r="AC7">
        <f>SUM(AC4:AC6)</f>
        <v>0</v>
      </c>
      <c r="AD7">
        <f>SUMPRODUCT(AC4:AC6,AD4:AD6)</f>
        <v>12.866666666666664</v>
      </c>
      <c r="AE7">
        <f>1/SUMPRODUCT(AC4:AC6^2,1/AE4:AE6)</f>
        <v>7.5</v>
      </c>
    </row>
    <row r="8" spans="1:37" ht="15" thickBot="1" x14ac:dyDescent="0.4">
      <c r="A8" s="14"/>
      <c r="B8" s="15">
        <v>19</v>
      </c>
      <c r="C8" s="15">
        <v>16</v>
      </c>
      <c r="D8" s="15">
        <v>19</v>
      </c>
      <c r="F8" t="str">
        <f>A15</f>
        <v>Humid</v>
      </c>
      <c r="G8" s="23">
        <f>COUNT(B15:B19)</f>
        <v>5</v>
      </c>
      <c r="H8" s="24">
        <f>COUNT(C15:C19)</f>
        <v>5</v>
      </c>
      <c r="I8" s="25">
        <f>COUNT(D15:D19)</f>
        <v>5</v>
      </c>
      <c r="J8">
        <f>COUNT(B15:D19)</f>
        <v>15</v>
      </c>
      <c r="L8" t="s">
        <v>26</v>
      </c>
      <c r="M8">
        <f>M10-M6-M7-M9</f>
        <v>882.75555555555525</v>
      </c>
      <c r="N8">
        <f>N7*N6</f>
        <v>4</v>
      </c>
      <c r="O8">
        <f>M8/N8</f>
        <v>220.68888888888881</v>
      </c>
      <c r="P8">
        <f>O8/O9</f>
        <v>3.9144659046117445</v>
      </c>
      <c r="Q8">
        <f>FDIST(P8,N8,N9)</f>
        <v>9.7039309182118672E-3</v>
      </c>
      <c r="R8">
        <f>M8/(M8+M9)</f>
        <v>0.30310706873397625</v>
      </c>
      <c r="AB8" t="s">
        <v>27</v>
      </c>
      <c r="AG8" t="s">
        <v>15</v>
      </c>
      <c r="AH8">
        <v>0.05</v>
      </c>
    </row>
    <row r="9" spans="1:37" ht="15" thickTop="1" x14ac:dyDescent="0.35">
      <c r="A9" s="26"/>
      <c r="B9" s="27">
        <v>31</v>
      </c>
      <c r="C9" s="27">
        <v>23</v>
      </c>
      <c r="D9" s="28">
        <v>10</v>
      </c>
      <c r="G9">
        <f>COUNT(B5:B19)</f>
        <v>15</v>
      </c>
      <c r="H9">
        <f>COUNT(C5:C19)</f>
        <v>15</v>
      </c>
      <c r="I9">
        <f>COUNT(D5:D19)</f>
        <v>15</v>
      </c>
      <c r="J9">
        <f>COUNT(B5:D19)</f>
        <v>45</v>
      </c>
      <c r="L9" t="s">
        <v>28</v>
      </c>
      <c r="M9">
        <f>SUM(G20:I22)*(G6-1)</f>
        <v>2029.6000000000001</v>
      </c>
      <c r="N9">
        <f>N10-N6-N7-N8</f>
        <v>36</v>
      </c>
      <c r="O9">
        <f>M9/N9</f>
        <v>56.37777777777778</v>
      </c>
      <c r="AB9" s="5" t="s">
        <v>29</v>
      </c>
      <c r="AC9" s="5" t="s">
        <v>30</v>
      </c>
      <c r="AD9" s="5" t="s">
        <v>18</v>
      </c>
      <c r="AE9" s="5" t="s">
        <v>21</v>
      </c>
      <c r="AF9" s="5" t="s">
        <v>31</v>
      </c>
      <c r="AG9" s="5" t="s">
        <v>32</v>
      </c>
      <c r="AH9" s="5" t="s">
        <v>33</v>
      </c>
      <c r="AI9" s="5" t="s">
        <v>23</v>
      </c>
      <c r="AJ9" s="5" t="s">
        <v>34</v>
      </c>
      <c r="AK9" s="5" t="s">
        <v>35</v>
      </c>
    </row>
    <row r="10" spans="1:37" x14ac:dyDescent="0.35">
      <c r="A10" s="11" t="s">
        <v>36</v>
      </c>
      <c r="B10" s="12">
        <v>33</v>
      </c>
      <c r="C10" s="12">
        <v>25</v>
      </c>
      <c r="D10" s="12">
        <v>30</v>
      </c>
      <c r="L10" s="19" t="s">
        <v>37</v>
      </c>
      <c r="M10" s="19">
        <f>O10*N10</f>
        <v>4266.3111111111102</v>
      </c>
      <c r="N10" s="19">
        <f>J9-1</f>
        <v>44</v>
      </c>
      <c r="O10" s="19">
        <f>J23</f>
        <v>96.961616161616135</v>
      </c>
      <c r="P10" s="19"/>
      <c r="Q10" s="19"/>
      <c r="R10" s="19"/>
      <c r="AB10" s="30">
        <f>SQRT(SUMPRODUCT(G20:I22*(G6:I8-1))/(AE7*AD10))</f>
        <v>2.74172154622548</v>
      </c>
      <c r="AC10" s="30">
        <f>AD7/AB10</f>
        <v>4.6929151811131824</v>
      </c>
      <c r="AD10" s="30">
        <f>SUM(G6:I8)-COUNT(G6:I8)</f>
        <v>36</v>
      </c>
      <c r="AE10" s="30">
        <f>TDIST(ABS(AC10),AD10,2)</f>
        <v>3.8250150461591423E-5</v>
      </c>
      <c r="AF10" s="30">
        <f>TINV(AH8,AD10)</f>
        <v>2.028094000980452</v>
      </c>
      <c r="AG10" s="30">
        <f>AD7-AB10*AF10</f>
        <v>7.3061976464079184</v>
      </c>
      <c r="AH10" s="30">
        <f>AD7+AB10*AF10</f>
        <v>18.427135686925411</v>
      </c>
      <c r="AI10" s="31" t="str">
        <f>IF(AE10&lt;AH8,"yes","no")</f>
        <v>yes</v>
      </c>
      <c r="AJ10" s="30">
        <f>ABS(AD7)/(AB10*SQRT(AE7))</f>
        <v>1.7136103367694215</v>
      </c>
      <c r="AK10" s="30">
        <f>SQRT(AC10^2/(AC10^2+AD10))</f>
        <v>0.61608540449644889</v>
      </c>
    </row>
    <row r="11" spans="1:37" x14ac:dyDescent="0.35">
      <c r="A11" s="26"/>
      <c r="B11" s="27">
        <v>26</v>
      </c>
      <c r="C11" s="27">
        <v>29</v>
      </c>
      <c r="D11" s="27">
        <v>29</v>
      </c>
      <c r="F11" t="s">
        <v>38</v>
      </c>
    </row>
    <row r="12" spans="1:37" x14ac:dyDescent="0.35">
      <c r="A12" s="26"/>
      <c r="B12" s="27">
        <v>15</v>
      </c>
      <c r="C12" s="27">
        <v>17</v>
      </c>
      <c r="D12" s="27">
        <v>39</v>
      </c>
      <c r="G12" s="8" t="str">
        <f>B4</f>
        <v>Arm</v>
      </c>
      <c r="H12" s="8" t="str">
        <f>C4</f>
        <v>Neck</v>
      </c>
      <c r="I12" s="8" t="str">
        <f>D4</f>
        <v>Foot</v>
      </c>
    </row>
    <row r="13" spans="1:37" ht="15" thickBot="1" x14ac:dyDescent="0.4">
      <c r="A13" s="26"/>
      <c r="B13" s="27">
        <v>18</v>
      </c>
      <c r="C13" s="27">
        <v>22</v>
      </c>
      <c r="D13" s="27">
        <v>25</v>
      </c>
      <c r="F13" t="str">
        <f>A5</f>
        <v>Cold</v>
      </c>
      <c r="G13" s="32">
        <f>AVERAGE(B5:B9)</f>
        <v>22.8</v>
      </c>
      <c r="H13" s="33">
        <f>AVERAGE(C5:C9)</f>
        <v>19.8</v>
      </c>
      <c r="I13" s="34">
        <f>AVERAGE(D5:D9)</f>
        <v>10</v>
      </c>
      <c r="J13">
        <f>AVERAGE(B5:D9)</f>
        <v>17.533333333333335</v>
      </c>
      <c r="AB13" t="s">
        <v>39</v>
      </c>
    </row>
    <row r="14" spans="1:37" ht="15" thickTop="1" x14ac:dyDescent="0.35">
      <c r="A14" s="26"/>
      <c r="B14" s="27">
        <v>33</v>
      </c>
      <c r="C14" s="27">
        <v>12</v>
      </c>
      <c r="D14" s="28">
        <v>24</v>
      </c>
      <c r="F14" t="str">
        <f>A10</f>
        <v>Dry</v>
      </c>
      <c r="G14" s="35">
        <f>AVERAGE(B10:B14)</f>
        <v>25</v>
      </c>
      <c r="H14">
        <f>AVERAGE(C10:C14)</f>
        <v>21</v>
      </c>
      <c r="I14" s="22">
        <f>AVERAGE(D10:D14)</f>
        <v>29.4</v>
      </c>
      <c r="J14">
        <f>AVERAGE(B10:D14)</f>
        <v>25.133333333333333</v>
      </c>
      <c r="AB14" s="5" t="s">
        <v>5</v>
      </c>
      <c r="AC14" s="5" t="s">
        <v>6</v>
      </c>
      <c r="AD14" s="5" t="s">
        <v>7</v>
      </c>
      <c r="AE14" s="5" t="s">
        <v>8</v>
      </c>
    </row>
    <row r="15" spans="1:37" x14ac:dyDescent="0.35">
      <c r="A15" s="11" t="s">
        <v>40</v>
      </c>
      <c r="B15" s="12">
        <v>28</v>
      </c>
      <c r="C15" s="12">
        <v>16</v>
      </c>
      <c r="D15" s="12">
        <v>26</v>
      </c>
      <c r="F15" t="str">
        <f>A15</f>
        <v>Humid</v>
      </c>
      <c r="G15" s="36">
        <f>AVERAGE(B15:B19)</f>
        <v>28</v>
      </c>
      <c r="H15" s="37">
        <f>AVERAGE(C15:C19)</f>
        <v>26</v>
      </c>
      <c r="I15" s="38">
        <f>AVERAGE(D15:D19)</f>
        <v>37.200000000000003</v>
      </c>
      <c r="J15">
        <f>AVERAGE(B15:D19)</f>
        <v>30.4</v>
      </c>
      <c r="AB15" s="9" t="str">
        <f t="array" ref="AB15:AB17">TRANSPOSE(G12:I12)</f>
        <v>Arm</v>
      </c>
      <c r="AC15" s="10">
        <v>-1</v>
      </c>
      <c r="AD15" s="9">
        <f t="array" ref="AD15:AD17">TRANSPOSE(G16:I16)</f>
        <v>25.266666666666666</v>
      </c>
      <c r="AE15" s="9">
        <f t="array" ref="AE15:AE17">TRANSPOSE(G9:I9)</f>
        <v>15</v>
      </c>
    </row>
    <row r="16" spans="1:37" x14ac:dyDescent="0.35">
      <c r="A16" s="39"/>
      <c r="B16" s="40">
        <v>20</v>
      </c>
      <c r="C16" s="40">
        <v>18</v>
      </c>
      <c r="D16" s="40">
        <v>37</v>
      </c>
      <c r="G16">
        <f>AVERAGE(B5:B19)</f>
        <v>25.266666666666666</v>
      </c>
      <c r="H16">
        <f>AVERAGE(C5:C19)</f>
        <v>22.266666666666666</v>
      </c>
      <c r="I16">
        <f>AVERAGE(D5:D19)</f>
        <v>25.533333333333335</v>
      </c>
      <c r="J16">
        <f>AVERAGE(B5:D19)</f>
        <v>24.355555555555554</v>
      </c>
      <c r="AB16" t="str">
        <v>Neck</v>
      </c>
      <c r="AC16" s="13"/>
      <c r="AD16">
        <v>22.266666666666666</v>
      </c>
      <c r="AE16">
        <v>15</v>
      </c>
    </row>
    <row r="17" spans="1:42" x14ac:dyDescent="0.35">
      <c r="A17" s="39"/>
      <c r="B17" s="40">
        <v>18</v>
      </c>
      <c r="C17" s="40">
        <v>26</v>
      </c>
      <c r="D17" s="40">
        <v>39</v>
      </c>
      <c r="AB17" s="29" t="str">
        <v>Foot</v>
      </c>
      <c r="AC17" s="41">
        <v>1</v>
      </c>
      <c r="AD17" s="29">
        <v>25.533333333333335</v>
      </c>
      <c r="AE17" s="29">
        <v>15</v>
      </c>
    </row>
    <row r="18" spans="1:42" x14ac:dyDescent="0.35">
      <c r="A18" s="39"/>
      <c r="B18" s="40">
        <v>36</v>
      </c>
      <c r="C18" s="40">
        <v>36</v>
      </c>
      <c r="D18" s="40">
        <v>34</v>
      </c>
      <c r="F18" t="s">
        <v>41</v>
      </c>
      <c r="AC18">
        <f>SUM(AC15:AC17)</f>
        <v>0</v>
      </c>
      <c r="AD18">
        <f>SUMPRODUCT(AC15:AC17,AD15:AD17)</f>
        <v>0.26666666666666927</v>
      </c>
      <c r="AE18">
        <f>1/SUMPRODUCT(AC15:AC17^2,1/AE15:AE17)</f>
        <v>7.5</v>
      </c>
    </row>
    <row r="19" spans="1:42" ht="15" thickBot="1" x14ac:dyDescent="0.4">
      <c r="A19" s="42"/>
      <c r="B19" s="43">
        <v>38</v>
      </c>
      <c r="C19" s="43">
        <v>34</v>
      </c>
      <c r="D19" s="43">
        <v>50</v>
      </c>
      <c r="G19" s="8" t="str">
        <f>B4</f>
        <v>Arm</v>
      </c>
      <c r="H19" s="8" t="str">
        <f>C4</f>
        <v>Neck</v>
      </c>
      <c r="I19" s="8" t="str">
        <f>D4</f>
        <v>Foot</v>
      </c>
      <c r="AB19" t="s">
        <v>27</v>
      </c>
      <c r="AG19" t="s">
        <v>15</v>
      </c>
      <c r="AH19">
        <v>0.05</v>
      </c>
    </row>
    <row r="20" spans="1:42" ht="15" thickTop="1" x14ac:dyDescent="0.35">
      <c r="A20" s="39"/>
      <c r="F20" t="str">
        <f>A5</f>
        <v>Cold</v>
      </c>
      <c r="G20" s="32">
        <f>VAR(B5:B9)</f>
        <v>38.200000000000045</v>
      </c>
      <c r="H20" s="33">
        <f>VAR(C5:C9)</f>
        <v>42.699999999999989</v>
      </c>
      <c r="I20" s="34">
        <f>VAR(D5:D9)</f>
        <v>37.5</v>
      </c>
      <c r="J20">
        <f>VAR(B5:D9)</f>
        <v>65.838095238095249</v>
      </c>
      <c r="AB20" s="5" t="s">
        <v>29</v>
      </c>
      <c r="AC20" s="5" t="s">
        <v>30</v>
      </c>
      <c r="AD20" s="5" t="s">
        <v>18</v>
      </c>
      <c r="AE20" s="5" t="s">
        <v>21</v>
      </c>
      <c r="AF20" s="5" t="s">
        <v>31</v>
      </c>
      <c r="AG20" s="5" t="s">
        <v>32</v>
      </c>
      <c r="AH20" s="5" t="s">
        <v>33</v>
      </c>
      <c r="AI20" s="5" t="s">
        <v>23</v>
      </c>
      <c r="AJ20" s="5" t="s">
        <v>34</v>
      </c>
      <c r="AK20" s="5" t="s">
        <v>35</v>
      </c>
    </row>
    <row r="21" spans="1:42" x14ac:dyDescent="0.35">
      <c r="A21" s="39"/>
      <c r="F21" t="str">
        <f>A10</f>
        <v>Dry</v>
      </c>
      <c r="G21" s="35">
        <f>VAR(B10:B14)</f>
        <v>69.5</v>
      </c>
      <c r="H21">
        <f>VAR(C10:C14)</f>
        <v>44.5</v>
      </c>
      <c r="I21" s="22">
        <f>VAR(D10:D14)</f>
        <v>35.299999999999955</v>
      </c>
      <c r="J21">
        <f>VAR(B10:D14)</f>
        <v>55.266666666666687</v>
      </c>
      <c r="AB21" s="44">
        <f>SQRT(SUMPRODUCT(G20:I22*(G6:I8-1))/(AE18*AD21))</f>
        <v>2.74172154622548</v>
      </c>
      <c r="AC21" s="44">
        <f>AD18/AB21</f>
        <v>9.7262490800274187E-2</v>
      </c>
      <c r="AD21" s="44">
        <f>SUM(G6:I8)-COUNT(G6:I8)</f>
        <v>36</v>
      </c>
      <c r="AE21" s="44">
        <f>TDIST(ABS(AC21),AD21,2)</f>
        <v>0.92305743569365706</v>
      </c>
      <c r="AF21" s="44">
        <f>TINV(AH19,AD21)</f>
        <v>2.028094000980452</v>
      </c>
      <c r="AG21" s="44">
        <f>AD18-AB21*AF21</f>
        <v>-5.293802353592076</v>
      </c>
      <c r="AH21" s="44">
        <f>AD18+AB21*AF21</f>
        <v>5.8271356869254145</v>
      </c>
      <c r="AI21" s="45" t="str">
        <f>IF(AE21&lt;AH19,"yes","no")</f>
        <v>no</v>
      </c>
      <c r="AJ21" s="44">
        <f>ABS(AD18)/(AB21*SQRT(AE18))</f>
        <v>3.5515240140299248E-2</v>
      </c>
      <c r="AK21" s="44">
        <f>SQRT(AC21^2/(AC21^2+AD21))</f>
        <v>1.620828568639009E-2</v>
      </c>
    </row>
    <row r="22" spans="1:42" x14ac:dyDescent="0.35">
      <c r="A22" s="39"/>
      <c r="F22" t="str">
        <f>A15</f>
        <v>Humid</v>
      </c>
      <c r="G22" s="46">
        <f>VAR(B15:B19)</f>
        <v>82</v>
      </c>
      <c r="H22" s="47">
        <f>VAR(C15:C19)</f>
        <v>82</v>
      </c>
      <c r="I22" s="48">
        <f>VAR(D15:D19)</f>
        <v>75.700000000000045</v>
      </c>
      <c r="J22">
        <f>VAR(B15:D19)</f>
        <v>93.971428571428604</v>
      </c>
    </row>
    <row r="23" spans="1:42" x14ac:dyDescent="0.35">
      <c r="A23" s="39"/>
      <c r="G23">
        <f>VAR(B5:B19)</f>
        <v>59.066666666666606</v>
      </c>
      <c r="H23">
        <f>VAR(C5:C19)</f>
        <v>56.06666666666667</v>
      </c>
      <c r="I23">
        <f>VAR(D5:D19)</f>
        <v>182.55238095238096</v>
      </c>
      <c r="J23">
        <f>VAR(B5:D19)</f>
        <v>96.961616161616135</v>
      </c>
    </row>
    <row r="24" spans="1:42" ht="15" thickBot="1" x14ac:dyDescent="0.4">
      <c r="A24" s="39"/>
      <c r="AB24" t="s">
        <v>42</v>
      </c>
      <c r="AG24" t="s">
        <v>43</v>
      </c>
    </row>
    <row r="25" spans="1:42" ht="15" thickTop="1" x14ac:dyDescent="0.35">
      <c r="A25" s="39"/>
      <c r="AC25" t="str">
        <f t="array" ref="AC25:AE25">G12:I12</f>
        <v>Arm</v>
      </c>
      <c r="AD25" t="str">
        <v>Neck</v>
      </c>
      <c r="AE25" t="str">
        <v>Foot</v>
      </c>
      <c r="AG25" s="5" t="s">
        <v>44</v>
      </c>
      <c r="AH25" s="5" t="s">
        <v>45</v>
      </c>
      <c r="AI25" s="5" t="s">
        <v>6</v>
      </c>
      <c r="AJ25" s="5" t="s">
        <v>7</v>
      </c>
      <c r="AK25" s="5" t="s">
        <v>8</v>
      </c>
    </row>
    <row r="26" spans="1:42" x14ac:dyDescent="0.35">
      <c r="A26" s="39"/>
      <c r="AB26" t="str">
        <f t="array" ref="AB26:AB28">F13:F15</f>
        <v>Cold</v>
      </c>
      <c r="AC26" s="49"/>
      <c r="AD26" s="50"/>
      <c r="AE26" s="51">
        <v>-1</v>
      </c>
      <c r="AG26" t="str">
        <f t="array" ref="AG26">IFERROR(INDEX($AB$26:$AB$28,SMALL(IF($AC$26:$AE$28&lt;&gt;"",ROW($AC$26:$AE$28)-MIN(ROW($AC$26:$AE$28))+1,""),ROW(A1))),"")</f>
        <v>Cold</v>
      </c>
      <c r="AH26" t="str">
        <f t="array" ref="AH26">IFERROR(INDEX($AC$25:$AE$25,,SMALL(IF($AC$26:$AE$28&lt;&gt;"",IF(ROW($AC$26:$AE$28)=MATCH(AG26,$AB$26:$AB$28,0)+ROW($AC$26)-1,COLUMN($AC$26:$AE$28)-COLUMN($AC$26)+1,""),""),COUNTIF($AG$26:AG26,AG26))),"")</f>
        <v>Foot</v>
      </c>
      <c r="AI26">
        <f>IFERROR(INDEX($AC$26:$AE$28,MATCH(AG26,$F$13:$F$15),MATCH(AH26,$G$12:$I$12,0)),0)</f>
        <v>-1</v>
      </c>
      <c r="AJ26">
        <f>IFERROR(INDEX($G$13:$I$15,MATCH(AG26,$F$13:$F$15),MATCH(AH26,$G$12:$I$12,0)),"")</f>
        <v>10</v>
      </c>
      <c r="AK26">
        <f>IFERROR(INDEX($G$6:$I$8,MATCH(AG26,$F$6:$F$8),MATCH(AH26,$G$5:$I$5,0)),1)</f>
        <v>5</v>
      </c>
    </row>
    <row r="27" spans="1:42" x14ac:dyDescent="0.35">
      <c r="A27" s="39"/>
      <c r="AB27" t="str">
        <v>Dry</v>
      </c>
      <c r="AC27" s="52"/>
      <c r="AD27" s="13"/>
      <c r="AE27" s="53"/>
      <c r="AG27" t="str">
        <f t="array" ref="AG27">IFERROR(INDEX($AB$26:$AB$28,SMALL(IF($AC$26:$AE$28&lt;&gt;"",ROW($AC$26:$AE$28)-MIN(ROW($AC$26:$AE$28))+1,""),ROW(A2))),"")</f>
        <v>Humid</v>
      </c>
      <c r="AH27" t="str">
        <f t="array" ref="AH27">IFERROR(INDEX($AC$25:$AE$25,,SMALL(IF($AC$26:$AE$28&lt;&gt;"",IF(ROW($AC$26:$AE$28)=MATCH(AG27,$AB$26:$AB$28,0)+ROW($AC$26)-1,COLUMN($AC$26:$AE$28)-COLUMN($AC$26)+1,""),""),COUNTIF($AG$26:AG27,AG27))),"")</f>
        <v>Foot</v>
      </c>
      <c r="AI27">
        <f>IFERROR(INDEX($AC$26:$AE$28,MATCH(AG27,$F$13:$F$15),MATCH(AH27,$G$12:$I$12,0)),0)</f>
        <v>1</v>
      </c>
      <c r="AJ27">
        <f>IFERROR(INDEX($G$13:$I$15,MATCH(AG27,$F$13:$F$15),MATCH(AH27,$G$12:$I$12,0)),"")</f>
        <v>37.200000000000003</v>
      </c>
      <c r="AK27">
        <f>IFERROR(INDEX($G$6:$I$8,MATCH(AG27,$F$6:$F$8),MATCH(AH27,$G$5:$I$5,0)),1)</f>
        <v>5</v>
      </c>
    </row>
    <row r="28" spans="1:42" x14ac:dyDescent="0.35">
      <c r="A28" s="39"/>
      <c r="AB28" t="str">
        <v>Humid</v>
      </c>
      <c r="AC28" s="54"/>
      <c r="AD28" s="55"/>
      <c r="AE28" s="56">
        <v>1</v>
      </c>
      <c r="AG28" t="str">
        <f t="array" ref="AG28">IFERROR(INDEX($AB$26:$AB$28,SMALL(IF($AC$26:$AE$28&lt;&gt;"",ROW($AC$26:$AE$28)-MIN(ROW($AC$26:$AE$28))+1,""),ROW(A3))),"")</f>
        <v/>
      </c>
      <c r="AH28" t="str">
        <f t="array" ref="AH28">IFERROR(INDEX($AC$25:$AE$25,,SMALL(IF($AC$26:$AE$28&lt;&gt;"",IF(ROW($AC$26:$AE$28)=MATCH(AG28,$AB$26:$AB$28,0)+ROW($AC$26)-1,COLUMN($AC$26:$AE$28)-COLUMN($AC$26)+1,""),""),COUNTIF($AG$26:AG28,AG28))),"")</f>
        <v/>
      </c>
      <c r="AI28">
        <f>IFERROR(INDEX($AC$26:$AE$28,MATCH(AG28,$F$13:$F$15),MATCH(AH28,$G$12:$I$12,0)),0)</f>
        <v>0</v>
      </c>
      <c r="AJ28" t="str">
        <f>IFERROR(INDEX($G$13:$I$15,MATCH(AG28,$F$13:$F$15),MATCH(AH28,$G$12:$I$12,0)),"")</f>
        <v/>
      </c>
      <c r="AK28">
        <f>IFERROR(INDEX($G$6:$I$8,MATCH(AG28,$F$6:$F$8),MATCH(AH28,$G$5:$I$5,0)),1)</f>
        <v>1</v>
      </c>
    </row>
    <row r="29" spans="1:42" x14ac:dyDescent="0.35">
      <c r="A29" s="39"/>
      <c r="AG29" t="str">
        <f t="array" ref="AG29">IFERROR(INDEX($AB$26:$AB$28,SMALL(IF($AC$26:$AE$28&lt;&gt;"",ROW($AC$26:$AE$28)-MIN(ROW($AC$26:$AE$28))+1,""),ROW(A4))),"")</f>
        <v/>
      </c>
      <c r="AH29" t="str">
        <f t="array" ref="AH29">IFERROR(INDEX($AC$25:$AE$25,,SMALL(IF($AC$26:$AE$28&lt;&gt;"",IF(ROW($AC$26:$AE$28)=MATCH(AG29,$AB$26:$AB$28,0)+ROW($AC$26)-1,COLUMN($AC$26:$AE$28)-COLUMN($AC$26)+1,""),""),COUNTIF($AG$26:AG29,AG29))),"")</f>
        <v/>
      </c>
      <c r="AI29">
        <f>IFERROR(INDEX($AC$26:$AE$28,MATCH(AG29,$F$13:$F$15),MATCH(AH29,$G$12:$I$12,0)),0)</f>
        <v>0</v>
      </c>
      <c r="AJ29" t="str">
        <f>IFERROR(INDEX($G$13:$I$15,MATCH(AG29,$F$13:$F$15),MATCH(AH29,$G$12:$I$12,0)),"")</f>
        <v/>
      </c>
      <c r="AK29">
        <f>IFERROR(INDEX($G$6:$I$8,MATCH(AG29,$F$6:$F$8),MATCH(AH29,$G$5:$I$5,0)),1)</f>
        <v>1</v>
      </c>
    </row>
    <row r="30" spans="1:42" x14ac:dyDescent="0.35">
      <c r="A30" s="39"/>
      <c r="AG30" s="9"/>
      <c r="AH30" s="9"/>
      <c r="AI30" s="9">
        <f>SUM(AI26:AI29)</f>
        <v>0</v>
      </c>
      <c r="AJ30" s="9">
        <f>SUMPRODUCT(AI26:AI29,AJ26:AJ29)</f>
        <v>27.200000000000003</v>
      </c>
      <c r="AK30" s="9">
        <f>1/SUMPRODUCT(AI26:AI29^2,1/AK26:AK29)</f>
        <v>2.5</v>
      </c>
    </row>
    <row r="31" spans="1:42" ht="15" thickBot="1" x14ac:dyDescent="0.4">
      <c r="A31" s="39"/>
      <c r="AG31" t="s">
        <v>27</v>
      </c>
      <c r="AN31" t="s">
        <v>15</v>
      </c>
      <c r="AO31">
        <v>0.05</v>
      </c>
    </row>
    <row r="32" spans="1:42" ht="15" thickTop="1" x14ac:dyDescent="0.35">
      <c r="A32" s="39"/>
      <c r="AG32" s="5" t="s">
        <v>29</v>
      </c>
      <c r="AH32" s="5" t="s">
        <v>30</v>
      </c>
      <c r="AI32" s="5" t="s">
        <v>18</v>
      </c>
      <c r="AJ32" s="5" t="s">
        <v>21</v>
      </c>
      <c r="AK32" s="5" t="s">
        <v>31</v>
      </c>
      <c r="AL32" s="5" t="s">
        <v>32</v>
      </c>
      <c r="AM32" s="5" t="s">
        <v>33</v>
      </c>
      <c r="AN32" s="5" t="s">
        <v>23</v>
      </c>
      <c r="AO32" s="5" t="s">
        <v>34</v>
      </c>
      <c r="AP32" s="5" t="s">
        <v>35</v>
      </c>
    </row>
    <row r="33" spans="1:42" x14ac:dyDescent="0.35">
      <c r="A33" s="39"/>
      <c r="AG33" s="44">
        <f>SQRT(SUMPRODUCT(G20:I22*(G6:I8-1))/(AK30*AI33))</f>
        <v>4.7488010182688338</v>
      </c>
      <c r="AH33" s="44">
        <f>AJ30/AG33</f>
        <v>5.7277615750503079</v>
      </c>
      <c r="AI33" s="44">
        <f>SUM(G6:I8)-COUNT(G6:I8)</f>
        <v>36</v>
      </c>
      <c r="AJ33" s="44">
        <f>TDIST(ABS(AH33),AI33,2)</f>
        <v>1.6063932356798048E-6</v>
      </c>
      <c r="AK33" s="44">
        <f>TINV(AO31,AI33)</f>
        <v>2.028094000980452</v>
      </c>
      <c r="AL33" s="44">
        <f>AJ30-AG33*AK33</f>
        <v>17.568985142999118</v>
      </c>
      <c r="AM33" s="44">
        <f>AJ30+AG33*AK33</f>
        <v>36.831014857000888</v>
      </c>
      <c r="AN33" s="45" t="str">
        <f>IF(AJ33&lt;AO31,"yes","no")</f>
        <v>yes</v>
      </c>
      <c r="AO33" s="44">
        <f>ABS(AJ30)/(AG33*SQRT(AK30))</f>
        <v>3.6225544943104877</v>
      </c>
      <c r="AP33" s="44">
        <f>SQRT(AH33^2/(AH33^2+AI33))</f>
        <v>0.69050658220622163</v>
      </c>
    </row>
    <row r="34" spans="1:42" x14ac:dyDescent="0.35">
      <c r="A34" s="39"/>
    </row>
    <row r="35" spans="1:42" x14ac:dyDescent="0.35">
      <c r="A35" s="39"/>
    </row>
    <row r="36" spans="1:42" ht="15" thickBot="1" x14ac:dyDescent="0.4">
      <c r="A36" s="39"/>
      <c r="AB36" t="s">
        <v>42</v>
      </c>
      <c r="AG36" t="s">
        <v>43</v>
      </c>
    </row>
    <row r="37" spans="1:42" ht="15" thickTop="1" x14ac:dyDescent="0.35">
      <c r="A37" s="39"/>
      <c r="AC37" t="str">
        <f t="array" ref="AC37:AE37">G12:I12</f>
        <v>Arm</v>
      </c>
      <c r="AD37" t="str">
        <v>Neck</v>
      </c>
      <c r="AE37" t="str">
        <v>Foot</v>
      </c>
      <c r="AG37" s="5" t="s">
        <v>44</v>
      </c>
      <c r="AH37" s="5" t="s">
        <v>45</v>
      </c>
      <c r="AI37" s="5" t="s">
        <v>6</v>
      </c>
      <c r="AJ37" s="5" t="s">
        <v>7</v>
      </c>
      <c r="AK37" s="5" t="s">
        <v>8</v>
      </c>
    </row>
    <row r="38" spans="1:42" x14ac:dyDescent="0.35">
      <c r="AB38" t="str">
        <f t="array" ref="AB38:AB40">F13:F15</f>
        <v>Cold</v>
      </c>
      <c r="AC38" s="49">
        <v>-0.5</v>
      </c>
      <c r="AD38" s="50">
        <v>-0.5</v>
      </c>
      <c r="AE38" s="51"/>
      <c r="AG38" t="str">
        <f t="array" ref="AG38">IFERROR(INDEX($AB$38:$AB$40,SMALL(IF($AC$38:$AE$40&lt;&gt;"",ROW($AC$38:$AE$40)-MIN(ROW($AC$38:$AE$40))+1,""),ROW(A1))),"")</f>
        <v>Cold</v>
      </c>
      <c r="AH38" t="str">
        <f t="array" ref="AH38">IFERROR(INDEX($AC$37:$AE$37,,SMALL(IF($AC$38:$AE$40&lt;&gt;"",IF(ROW($AC$38:$AE$40)=MATCH(AG38,$AB$38:$AB$40,0)+ROW($AC$38)-1,COLUMN($AC$38:$AE$40)-COLUMN($AC$38)+1,""),""),COUNTIF($AG$38:AG38,AG38))),"")</f>
        <v>Arm</v>
      </c>
      <c r="AI38">
        <f>IFERROR(INDEX($AC$38:$AE$40,MATCH(AG38,$F$13:$F$15),MATCH(AH38,$G$12:$I$12,0)),0)</f>
        <v>-0.5</v>
      </c>
      <c r="AJ38">
        <f>IFERROR(INDEX($G$13:$I$15,MATCH(AG38,$F$13:$F$15),MATCH(AH38,$G$12:$I$12,0)),"")</f>
        <v>22.8</v>
      </c>
      <c r="AK38">
        <f>IFERROR(INDEX($G$6:$I$8,MATCH(AG38,$F$6:$F$8),MATCH(AH38,$G$5:$I$5,0)),1)</f>
        <v>5</v>
      </c>
    </row>
    <row r="39" spans="1:42" x14ac:dyDescent="0.35">
      <c r="AB39" t="str">
        <v>Dry</v>
      </c>
      <c r="AC39" s="52"/>
      <c r="AD39" s="13"/>
      <c r="AE39" s="53"/>
      <c r="AG39" t="str">
        <f t="array" ref="AG39">IFERROR(INDEX($AB$38:$AB$40,SMALL(IF($AC$38:$AE$40&lt;&gt;"",ROW($AC$38:$AE$40)-MIN(ROW($AC$38:$AE$40))+1,""),ROW(A2))),"")</f>
        <v>Cold</v>
      </c>
      <c r="AH39" t="str">
        <f t="array" ref="AH39">IFERROR(INDEX($AC$37:$AE$37,,SMALL(IF($AC$38:$AE$40&lt;&gt;"",IF(ROW($AC$38:$AE$40)=MATCH(AG39,$AB$38:$AB$40,0)+ROW($AC$38)-1,COLUMN($AC$38:$AE$40)-COLUMN($AC$38)+1,""),""),COUNTIF($AG$38:AG39,AG39))),"")</f>
        <v>Neck</v>
      </c>
      <c r="AI39">
        <f>IFERROR(INDEX($AC$38:$AE$40,MATCH(AG39,$F$13:$F$15),MATCH(AH39,$G$12:$I$12,0)),0)</f>
        <v>-0.5</v>
      </c>
      <c r="AJ39">
        <f>IFERROR(INDEX($G$13:$I$15,MATCH(AG39,$F$13:$F$15),MATCH(AH39,$G$12:$I$12,0)),"")</f>
        <v>19.8</v>
      </c>
      <c r="AK39">
        <f>IFERROR(INDEX($G$6:$I$8,MATCH(AG39,$F$6:$F$8),MATCH(AH39,$G$5:$I$5,0)),1)</f>
        <v>5</v>
      </c>
    </row>
    <row r="40" spans="1:42" x14ac:dyDescent="0.35">
      <c r="A40" s="71"/>
      <c r="B40" s="71"/>
      <c r="C40" s="71"/>
      <c r="D40" s="71"/>
      <c r="E40" s="71"/>
      <c r="AB40" t="str">
        <v>Humid</v>
      </c>
      <c r="AC40" s="54">
        <v>0.5</v>
      </c>
      <c r="AD40" s="55">
        <v>0.5</v>
      </c>
      <c r="AE40" s="56"/>
      <c r="AG40" t="str">
        <f t="array" ref="AG40">IFERROR(INDEX($AB$38:$AB$40,SMALL(IF($AC$38:$AE$40&lt;&gt;"",ROW($AC$38:$AE$40)-MIN(ROW($AC$38:$AE$40))+1,""),ROW(A3))),"")</f>
        <v>Humid</v>
      </c>
      <c r="AH40" t="str">
        <f t="array" ref="AH40">IFERROR(INDEX($AC$37:$AE$37,,SMALL(IF($AC$38:$AE$40&lt;&gt;"",IF(ROW($AC$38:$AE$40)=MATCH(AG40,$AB$38:$AB$40,0)+ROW($AC$38)-1,COLUMN($AC$38:$AE$40)-COLUMN($AC$38)+1,""),""),COUNTIF($AG$38:AG40,AG40))),"")</f>
        <v>Arm</v>
      </c>
      <c r="AI40">
        <f>IFERROR(INDEX($AC$38:$AE$40,MATCH(AG40,$F$13:$F$15),MATCH(AH40,$G$12:$I$12,0)),0)</f>
        <v>0.5</v>
      </c>
      <c r="AJ40">
        <f>IFERROR(INDEX($G$13:$I$15,MATCH(AG40,$F$13:$F$15),MATCH(AH40,$G$12:$I$12,0)),"")</f>
        <v>28</v>
      </c>
      <c r="AK40">
        <f>IFERROR(INDEX($G$6:$I$8,MATCH(AG40,$F$6:$F$8),MATCH(AH40,$G$5:$I$5,0)),1)</f>
        <v>5</v>
      </c>
    </row>
    <row r="41" spans="1:42" x14ac:dyDescent="0.35">
      <c r="A41" s="71"/>
      <c r="B41" s="71"/>
      <c r="C41" s="71"/>
      <c r="D41" s="71"/>
      <c r="E41" s="71"/>
      <c r="AG41" t="str">
        <f t="array" ref="AG41">IFERROR(INDEX($AB$38:$AB$40,SMALL(IF($AC$38:$AE$40&lt;&gt;"",ROW($AC$38:$AE$40)-MIN(ROW($AC$38:$AE$40))+1,""),ROW(A4))),"")</f>
        <v>Humid</v>
      </c>
      <c r="AH41" t="str">
        <f t="array" ref="AH41">IFERROR(INDEX($AC$37:$AE$37,,SMALL(IF($AC$38:$AE$40&lt;&gt;"",IF(ROW($AC$38:$AE$40)=MATCH(AG41,$AB$38:$AB$40,0)+ROW($AC$38)-1,COLUMN($AC$38:$AE$40)-COLUMN($AC$38)+1,""),""),COUNTIF($AG$38:AG41,AG41))),"")</f>
        <v>Neck</v>
      </c>
      <c r="AI41">
        <f>IFERROR(INDEX($AC$38:$AE$40,MATCH(AG41,$F$13:$F$15),MATCH(AH41,$G$12:$I$12,0)),0)</f>
        <v>0.5</v>
      </c>
      <c r="AJ41">
        <f>IFERROR(INDEX($G$13:$I$15,MATCH(AG41,$F$13:$F$15),MATCH(AH41,$G$12:$I$12,0)),"")</f>
        <v>26</v>
      </c>
      <c r="AK41">
        <f>IFERROR(INDEX($G$6:$I$8,MATCH(AG41,$F$6:$F$8),MATCH(AH41,$G$5:$I$5,0)),1)</f>
        <v>5</v>
      </c>
    </row>
    <row r="42" spans="1:42" x14ac:dyDescent="0.35">
      <c r="A42" s="71"/>
      <c r="B42" s="81"/>
      <c r="C42" s="81"/>
      <c r="D42" s="81"/>
      <c r="E42" s="71"/>
      <c r="AG42" s="9"/>
      <c r="AH42" s="9"/>
      <c r="AI42" s="9">
        <f>SUM(AI38:AI41)</f>
        <v>0</v>
      </c>
      <c r="AJ42" s="9">
        <f>SUMPRODUCT(AI38:AI41,AJ38:AJ41)</f>
        <v>5.6999999999999993</v>
      </c>
      <c r="AK42" s="9">
        <f>1/SUMPRODUCT(AI38:AI41^2,1/AK38:AK41)</f>
        <v>5</v>
      </c>
    </row>
    <row r="43" spans="1:42" ht="15" thickBot="1" x14ac:dyDescent="0.4">
      <c r="A43" s="71"/>
      <c r="B43" s="80"/>
      <c r="C43" s="80"/>
      <c r="D43" s="80"/>
      <c r="E43" s="71"/>
      <c r="AG43" t="s">
        <v>27</v>
      </c>
      <c r="AN43" t="s">
        <v>15</v>
      </c>
      <c r="AO43">
        <v>0.05</v>
      </c>
    </row>
    <row r="44" spans="1:42" ht="15" thickTop="1" x14ac:dyDescent="0.35">
      <c r="A44" s="71"/>
      <c r="B44" s="71"/>
      <c r="C44" s="71"/>
      <c r="D44" s="71"/>
      <c r="E44" s="71"/>
      <c r="AG44" s="5" t="s">
        <v>29</v>
      </c>
      <c r="AH44" s="5" t="s">
        <v>30</v>
      </c>
      <c r="AI44" s="5" t="s">
        <v>18</v>
      </c>
      <c r="AJ44" s="5" t="s">
        <v>21</v>
      </c>
      <c r="AK44" s="5" t="s">
        <v>31</v>
      </c>
      <c r="AL44" s="5" t="s">
        <v>32</v>
      </c>
      <c r="AM44" s="5" t="s">
        <v>33</v>
      </c>
      <c r="AN44" s="5" t="s">
        <v>23</v>
      </c>
      <c r="AO44" s="5" t="s">
        <v>34</v>
      </c>
      <c r="AP44" s="5" t="s">
        <v>35</v>
      </c>
    </row>
    <row r="45" spans="1:42" x14ac:dyDescent="0.35">
      <c r="A45" s="71"/>
      <c r="B45" s="71"/>
      <c r="C45" s="71"/>
      <c r="D45" s="71"/>
      <c r="E45" s="71"/>
      <c r="AG45" s="44">
        <f>SQRT(SUMPRODUCT(G20:I22*(G6:I8-1))/(AK42*AI45))</f>
        <v>3.3579094025234744</v>
      </c>
      <c r="AH45" s="44">
        <f>AJ42/AG45</f>
        <v>1.697484749206289</v>
      </c>
      <c r="AI45" s="44">
        <f>SUM(G6:I8)-COUNT(G6:I8)</f>
        <v>36</v>
      </c>
      <c r="AJ45" s="44">
        <f>TDIST(ABS(AH45),AI45,2)</f>
        <v>9.8235257349545607E-2</v>
      </c>
      <c r="AK45" s="44">
        <f>TINV(AO43,AI45)</f>
        <v>2.028094000980452</v>
      </c>
      <c r="AL45" s="44">
        <f>AJ42-AG45*AK45</f>
        <v>-1.1101559150937126</v>
      </c>
      <c r="AM45" s="44">
        <f>AJ42+AG45*AK45</f>
        <v>12.510155915093712</v>
      </c>
      <c r="AN45" s="45" t="str">
        <f>IF(AJ45&lt;AO43,"yes","no")</f>
        <v>no</v>
      </c>
      <c r="AO45" s="44">
        <f>ABS(AJ42)/(AG45*SQRT(AK42))</f>
        <v>0.75913825799888879</v>
      </c>
      <c r="AP45" s="44">
        <f>SQRT(AH45^2/(AH45^2+AI45))</f>
        <v>0.27222915167910905</v>
      </c>
    </row>
    <row r="46" spans="1:42" x14ac:dyDescent="0.35">
      <c r="A46" s="71"/>
      <c r="B46" s="71"/>
      <c r="C46" s="71"/>
      <c r="D46" s="71"/>
      <c r="E46" s="71"/>
    </row>
    <row r="47" spans="1:42" x14ac:dyDescent="0.35">
      <c r="A47" s="71"/>
      <c r="B47" s="71"/>
      <c r="C47" s="71"/>
      <c r="D47" s="71"/>
      <c r="E47" s="71"/>
    </row>
    <row r="48" spans="1:42" ht="15" thickBot="1" x14ac:dyDescent="0.4">
      <c r="A48" s="71"/>
      <c r="B48" s="71"/>
      <c r="C48" s="71"/>
      <c r="D48" s="71"/>
      <c r="E48" s="71"/>
      <c r="AB48" t="s">
        <v>42</v>
      </c>
      <c r="AG48" t="s">
        <v>43</v>
      </c>
    </row>
    <row r="49" spans="1:42" ht="15" thickTop="1" x14ac:dyDescent="0.35">
      <c r="A49" s="71"/>
      <c r="B49" s="71"/>
      <c r="C49" s="71"/>
      <c r="D49" s="71"/>
      <c r="E49" s="71"/>
      <c r="AC49" t="str">
        <f t="array" ref="AC49:AE49">G12:I12</f>
        <v>Arm</v>
      </c>
      <c r="AD49" t="str">
        <v>Neck</v>
      </c>
      <c r="AE49" t="str">
        <v>Foot</v>
      </c>
      <c r="AG49" s="5" t="s">
        <v>44</v>
      </c>
      <c r="AH49" s="5" t="s">
        <v>45</v>
      </c>
      <c r="AI49" s="5" t="s">
        <v>6</v>
      </c>
      <c r="AJ49" s="5" t="s">
        <v>7</v>
      </c>
      <c r="AK49" s="5" t="s">
        <v>8</v>
      </c>
    </row>
    <row r="50" spans="1:42" x14ac:dyDescent="0.35">
      <c r="A50" s="71"/>
      <c r="B50" s="71"/>
      <c r="C50" s="71"/>
      <c r="D50" s="71"/>
      <c r="E50" s="71"/>
      <c r="AB50" t="str">
        <f t="array" ref="AB50:AB52">F13:F15</f>
        <v>Cold</v>
      </c>
      <c r="AC50" s="49"/>
      <c r="AD50" s="50"/>
      <c r="AE50" s="51">
        <v>-1</v>
      </c>
      <c r="AG50" t="str">
        <f t="array" ref="AG50">IFERROR(INDEX($AB$50:$AB$52,SMALL(IF($AC$50:$AE$52&lt;&gt;"",ROW($AC$50:$AE$52)-MIN(ROW($AC$50:$AE$52))+1,""),ROW(A1))),"")</f>
        <v>Cold</v>
      </c>
      <c r="AH50" t="str">
        <f t="array" ref="AH50">IFERROR(INDEX($AC$49:$AE$49,,SMALL(IF($AC$50:$AE$52&lt;&gt;"",IF(ROW($AC$50:$AE$52)=MATCH(AG50,$AB$50:$AB$52,0)+ROW($AC$50)-1,COLUMN($AC$50:$AE$52)-COLUMN($AC$50)+1,""),""),COUNTIF($AG$50:AG50,AG50))),"")</f>
        <v>Foot</v>
      </c>
      <c r="AI50">
        <f>IFERROR(INDEX($AC$50:$AE$52,MATCH(AG50,$F$13:$F$15),MATCH(AH50,$G$12:$I$12,0)),0)</f>
        <v>-1</v>
      </c>
      <c r="AJ50">
        <f>IFERROR(INDEX($G$13:$I$15,MATCH(AG50,$F$13:$F$15),MATCH(AH50,$G$12:$I$12,0)),"")</f>
        <v>10</v>
      </c>
      <c r="AK50">
        <f>IFERROR(INDEX($G$6:$I$8,MATCH(AG50,$F$6:$F$8),MATCH(AH50,$G$5:$I$5,0)),1)</f>
        <v>5</v>
      </c>
    </row>
    <row r="51" spans="1:42" x14ac:dyDescent="0.35">
      <c r="A51" s="71"/>
      <c r="B51" s="71"/>
      <c r="C51" s="71"/>
      <c r="D51" s="71"/>
      <c r="E51" s="71"/>
      <c r="AB51" t="str">
        <v>Dry</v>
      </c>
      <c r="AC51" s="57"/>
      <c r="AD51" s="13"/>
      <c r="AE51" s="53"/>
      <c r="AG51" t="str">
        <f t="array" ref="AG51">IFERROR(INDEX($AB$50:$AB$52,SMALL(IF($AC$50:$AE$52&lt;&gt;"",ROW($AC$50:$AE$52)-MIN(ROW($AC$50:$AE$52))+1,""),ROW(A2))),"")</f>
        <v>Humid</v>
      </c>
      <c r="AH51" t="str">
        <f t="array" ref="AH51">IFERROR(INDEX($AC$49:$AE$49,,SMALL(IF($AC$50:$AE$52&lt;&gt;"",IF(ROW($AC$50:$AE$52)=MATCH(AG51,$AB$50:$AB$52,0)+ROW($AC$50)-1,COLUMN($AC$50:$AE$52)-COLUMN($AC$50)+1,""),""),COUNTIF($AG$50:AG51,AG51))),"")</f>
        <v>Foot</v>
      </c>
      <c r="AI51">
        <f>IFERROR(INDEX($AC$50:$AE$52,MATCH(AG51,$F$13:$F$15),MATCH(AH51,$G$12:$I$12,0)),0)</f>
        <v>1</v>
      </c>
      <c r="AJ51">
        <f>IFERROR(INDEX($G$13:$I$15,MATCH(AG51,$F$13:$F$15),MATCH(AH51,$G$12:$I$12,0)),"")</f>
        <v>37.200000000000003</v>
      </c>
      <c r="AK51">
        <f>IFERROR(INDEX($G$6:$I$8,MATCH(AG51,$F$6:$F$8),MATCH(AH51,$G$5:$I$5,0)),1)</f>
        <v>5</v>
      </c>
    </row>
    <row r="52" spans="1:42" x14ac:dyDescent="0.35">
      <c r="A52" s="71"/>
      <c r="B52" s="71"/>
      <c r="C52" s="71"/>
      <c r="D52" s="71"/>
      <c r="E52" s="71"/>
      <c r="AB52" t="str">
        <v>Humid</v>
      </c>
      <c r="AC52" s="54"/>
      <c r="AD52" s="58"/>
      <c r="AE52" s="56">
        <v>1</v>
      </c>
      <c r="AG52" s="59"/>
      <c r="AH52" s="59"/>
      <c r="AI52" s="59">
        <f>SUM(AI50:AI51)</f>
        <v>0</v>
      </c>
      <c r="AJ52" s="59">
        <f>SUMPRODUCT(AI50:AI51,AJ50:AJ51)</f>
        <v>27.200000000000003</v>
      </c>
      <c r="AK52" s="59">
        <f>1/SUMPRODUCT(AI50:AI51^2,1/AK50:AK51)</f>
        <v>2.5</v>
      </c>
    </row>
    <row r="53" spans="1:42" ht="15" thickBot="1" x14ac:dyDescent="0.4">
      <c r="AG53" t="s">
        <v>27</v>
      </c>
      <c r="AN53" t="s">
        <v>15</v>
      </c>
      <c r="AO53">
        <v>0.05</v>
      </c>
    </row>
    <row r="54" spans="1:42" ht="15" thickTop="1" x14ac:dyDescent="0.35">
      <c r="AG54" s="5" t="s">
        <v>29</v>
      </c>
      <c r="AH54" s="5" t="s">
        <v>30</v>
      </c>
      <c r="AI54" s="5" t="s">
        <v>18</v>
      </c>
      <c r="AJ54" s="5" t="s">
        <v>21</v>
      </c>
      <c r="AK54" s="5" t="s">
        <v>31</v>
      </c>
      <c r="AL54" s="5" t="s">
        <v>32</v>
      </c>
      <c r="AM54" s="5" t="s">
        <v>33</v>
      </c>
      <c r="AN54" s="5" t="s">
        <v>23</v>
      </c>
      <c r="AO54" s="5" t="s">
        <v>34</v>
      </c>
      <c r="AP54" s="5" t="s">
        <v>35</v>
      </c>
    </row>
    <row r="55" spans="1:42" x14ac:dyDescent="0.35">
      <c r="AG55" s="60">
        <f>SQRT(SUMPRODUCT(G20:I22*(G6:I8-1))/(AK52*AI55))</f>
        <v>4.7488010182688338</v>
      </c>
      <c r="AH55" s="60">
        <f>AJ52/AG55</f>
        <v>5.7277615750503079</v>
      </c>
      <c r="AI55" s="60">
        <f>SUM(G6:I8)-COUNT(G6:I8)</f>
        <v>36</v>
      </c>
      <c r="AJ55" s="60">
        <f>TDIST(ABS(AH55),AI55,2)</f>
        <v>1.6063932356798048E-6</v>
      </c>
      <c r="AK55" s="60">
        <f>TINV(AO53,AI55)</f>
        <v>2.028094000980452</v>
      </c>
      <c r="AL55" s="60">
        <f>AJ52-AG55*AK55</f>
        <v>17.568985142999118</v>
      </c>
      <c r="AM55" s="60">
        <f>AJ52+AG55*AK55</f>
        <v>36.831014857000888</v>
      </c>
      <c r="AN55" s="61" t="str">
        <f>IF(AJ55&lt;AO53,"yes","no")</f>
        <v>yes</v>
      </c>
      <c r="AO55" s="60">
        <f>ABS(AJ52)/(AG55*SQRT(AK52))</f>
        <v>3.6225544943104877</v>
      </c>
      <c r="AP55" s="60">
        <f>SQRT(AH55^2/(AH55^2+AI55))</f>
        <v>0.69050658220622163</v>
      </c>
    </row>
    <row r="58" spans="1:42" ht="15" thickBot="1" x14ac:dyDescent="0.4">
      <c r="AB58" t="s">
        <v>42</v>
      </c>
      <c r="AG58" t="s">
        <v>43</v>
      </c>
    </row>
    <row r="59" spans="1:42" ht="15" thickTop="1" x14ac:dyDescent="0.35">
      <c r="AC59" t="str">
        <f t="array" ref="AC59:AE59">G12:I12</f>
        <v>Arm</v>
      </c>
      <c r="AD59" t="str">
        <v>Neck</v>
      </c>
      <c r="AE59" t="str">
        <v>Foot</v>
      </c>
      <c r="AG59" s="5" t="s">
        <v>44</v>
      </c>
      <c r="AH59" s="5" t="s">
        <v>45</v>
      </c>
      <c r="AI59" s="5" t="s">
        <v>6</v>
      </c>
      <c r="AJ59" s="5" t="s">
        <v>7</v>
      </c>
      <c r="AK59" s="5" t="s">
        <v>8</v>
      </c>
    </row>
    <row r="60" spans="1:42" x14ac:dyDescent="0.35">
      <c r="AB60" t="str">
        <f t="array" ref="AB60:AB62">F13:F15</f>
        <v>Cold</v>
      </c>
      <c r="AC60" s="62"/>
      <c r="AD60" s="63"/>
      <c r="AE60" s="64"/>
      <c r="AG60" t="str">
        <f t="array" ref="AG60">IFERROR(INDEX($AB$60:$AB$62,SMALL(IF($AC$60:$AE$62&lt;&gt;"",ROW($AC$60:$AE$62)-MIN(ROW($AC$60:$AE$62))+1,""),ROW(A1))),"")</f>
        <v>Humid</v>
      </c>
      <c r="AH60" t="str">
        <f t="array" ref="AH60">IFERROR(INDEX($AC$59:$AE$59,,SMALL(IF($AC$60:$AE$62&lt;&gt;"",IF(ROW($AC$60:$AE$62)=MATCH(AG60,$AB$60:$AB$62,0)+ROW($AC$60)-1,COLUMN($AC$60:$AE$62)-COLUMN($AC$60)+1,""),""),COUNTIF($AG$60:AG60,AG60))),"")</f>
        <v>Arm</v>
      </c>
      <c r="AI60">
        <f>IFERROR(INDEX($AC$60:$AE$62,MATCH(AG60,$F$13:$F$15),MATCH(AH60,$G$12:$I$12,0)),0)</f>
        <v>-1</v>
      </c>
      <c r="AJ60">
        <f>IFERROR(INDEX($G$13:$I$15,MATCH(AG60,$F$13:$F$15),MATCH(AH60,$G$12:$I$12,0)),"")</f>
        <v>28</v>
      </c>
      <c r="AK60">
        <f>IFERROR(INDEX($G$6:$I$8,MATCH(AG60,$F$6:$F$8),MATCH(AH60,$G$5:$I$5,0)),1)</f>
        <v>5</v>
      </c>
    </row>
    <row r="61" spans="1:42" x14ac:dyDescent="0.35">
      <c r="AB61" t="str">
        <v>Dry</v>
      </c>
      <c r="AC61" s="57"/>
      <c r="AD61" s="13"/>
      <c r="AE61" s="53"/>
      <c r="AG61" t="str">
        <f t="array" ref="AG61">IFERROR(INDEX($AB$60:$AB$62,SMALL(IF($AC$60:$AE$62&lt;&gt;"",ROW($AC$60:$AE$62)-MIN(ROW($AC$60:$AE$62))+1,""),ROW(A2))),"")</f>
        <v>Humid</v>
      </c>
      <c r="AH61" t="str">
        <f t="array" ref="AH61">IFERROR(INDEX($AC$59:$AE$59,,SMALL(IF($AC$60:$AE$62&lt;&gt;"",IF(ROW($AC$60:$AE$62)=MATCH(AG61,$AB$60:$AB$62,0)+ROW($AC$60)-1,COLUMN($AC$60:$AE$62)-COLUMN($AC$60)+1,""),""),COUNTIF($AG$60:AG61,AG61))),"")</f>
        <v>Foot</v>
      </c>
      <c r="AI61">
        <f>IFERROR(INDEX($AC$60:$AE$62,MATCH(AG61,$F$13:$F$15),MATCH(AH61,$G$12:$I$12,0)),0)</f>
        <v>1</v>
      </c>
      <c r="AJ61">
        <f>IFERROR(INDEX($G$13:$I$15,MATCH(AG61,$F$13:$F$15),MATCH(AH61,$G$12:$I$12,0)),"")</f>
        <v>37.200000000000003</v>
      </c>
      <c r="AK61">
        <f>IFERROR(INDEX($G$6:$I$8,MATCH(AG61,$F$6:$F$8),MATCH(AH61,$G$5:$I$5,0)),1)</f>
        <v>5</v>
      </c>
    </row>
    <row r="62" spans="1:42" x14ac:dyDescent="0.35">
      <c r="AB62" t="str">
        <v>Humid</v>
      </c>
      <c r="AC62" s="54">
        <v>-1</v>
      </c>
      <c r="AD62" s="58"/>
      <c r="AE62" s="56">
        <v>1</v>
      </c>
      <c r="AG62" s="59"/>
      <c r="AH62" s="59"/>
      <c r="AI62" s="59">
        <f>SUM(AI60:AI61)</f>
        <v>0</v>
      </c>
      <c r="AJ62" s="59">
        <f>SUMPRODUCT(AI60:AI61,AJ60:AJ61)</f>
        <v>9.2000000000000028</v>
      </c>
      <c r="AK62" s="59">
        <f>1/SUMPRODUCT(AI60:AI61^2,1/AK60:AK61)</f>
        <v>2.5</v>
      </c>
    </row>
    <row r="63" spans="1:42" ht="15" thickBot="1" x14ac:dyDescent="0.4">
      <c r="AG63" t="s">
        <v>27</v>
      </c>
      <c r="AN63" t="s">
        <v>15</v>
      </c>
      <c r="AO63">
        <v>0.05</v>
      </c>
    </row>
    <row r="64" spans="1:42" ht="15" thickTop="1" x14ac:dyDescent="0.35">
      <c r="AG64" s="5" t="s">
        <v>29</v>
      </c>
      <c r="AH64" s="5" t="s">
        <v>30</v>
      </c>
      <c r="AI64" s="5" t="s">
        <v>18</v>
      </c>
      <c r="AJ64" s="5" t="s">
        <v>21</v>
      </c>
      <c r="AK64" s="5" t="s">
        <v>31</v>
      </c>
      <c r="AL64" s="5" t="s">
        <v>32</v>
      </c>
      <c r="AM64" s="5" t="s">
        <v>33</v>
      </c>
      <c r="AN64" s="5" t="s">
        <v>23</v>
      </c>
      <c r="AO64" s="5" t="s">
        <v>34</v>
      </c>
      <c r="AP64" s="5" t="s">
        <v>35</v>
      </c>
    </row>
    <row r="65" spans="33:42" x14ac:dyDescent="0.35">
      <c r="AG65" s="60">
        <f>SQRT(SUMPRODUCT(G20:I22*(G6:I8-1))/(AK62*AI65))</f>
        <v>4.7488010182688338</v>
      </c>
      <c r="AH65" s="60">
        <f>AJ62/AG65</f>
        <v>1.9373311209728987</v>
      </c>
      <c r="AI65" s="60">
        <f>SUM(G6:I8)-COUNT(G6:I8)</f>
        <v>36</v>
      </c>
      <c r="AJ65" s="60">
        <f>TDIST(ABS(AH65),AI65,2)</f>
        <v>6.0581630034107048E-2</v>
      </c>
      <c r="AK65" s="60">
        <f>TINV(AO63,AI65)</f>
        <v>2.028094000980452</v>
      </c>
      <c r="AL65" s="60">
        <f>AJ62-AG65*AK65</f>
        <v>-0.43101485700088027</v>
      </c>
      <c r="AM65" s="60">
        <f>AJ62+AG65*AK65</f>
        <v>18.831014857000888</v>
      </c>
      <c r="AN65" s="61" t="str">
        <f>IF(AJ65&lt;AO63,"yes","no")</f>
        <v>no</v>
      </c>
      <c r="AO65" s="60">
        <f>ABS(AJ62)/(AG65*SQRT(AK62))</f>
        <v>1.2252757848403122</v>
      </c>
      <c r="AP65" s="60">
        <f>SQRT(AH65^2/(AH65^2+AI65))</f>
        <v>0.30726813525438873</v>
      </c>
    </row>
  </sheetData>
  <mergeCells count="1">
    <mergeCell ref="B3:D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B67FC8-E518-494A-9537-9B60DB4FA627}">
  <sheetPr codeName="Sheet3"/>
  <dimension ref="A1:Y47"/>
  <sheetViews>
    <sheetView workbookViewId="0"/>
  </sheetViews>
  <sheetFormatPr defaultRowHeight="14.5" x14ac:dyDescent="0.35"/>
  <cols>
    <col min="1" max="1" width="7.81640625" customWidth="1"/>
    <col min="2" max="4" width="7.26953125" customWidth="1"/>
  </cols>
  <sheetData>
    <row r="1" spans="1:25" ht="15" thickBot="1" x14ac:dyDescent="0.4">
      <c r="A1" s="1" t="s">
        <v>0</v>
      </c>
      <c r="F1" t="s">
        <v>50</v>
      </c>
      <c r="P1" t="s">
        <v>3</v>
      </c>
    </row>
    <row r="2" spans="1:25" ht="15" thickTop="1" x14ac:dyDescent="0.35">
      <c r="P2" s="5" t="s">
        <v>51</v>
      </c>
      <c r="Q2" s="5" t="s">
        <v>52</v>
      </c>
      <c r="R2" s="5" t="s">
        <v>7</v>
      </c>
      <c r="S2" s="5" t="s">
        <v>53</v>
      </c>
    </row>
    <row r="3" spans="1:25" x14ac:dyDescent="0.35">
      <c r="B3" s="2" t="s">
        <v>4</v>
      </c>
      <c r="C3" s="3"/>
      <c r="D3" s="4"/>
      <c r="F3" s="67" t="str">
        <f t="array" ref="F3:H47">[1]!Anova2Std(A4:D19)</f>
        <v>Cold</v>
      </c>
      <c r="G3" s="68" t="str">
        <v>Arm</v>
      </c>
      <c r="H3" s="69">
        <v>15</v>
      </c>
      <c r="J3" t="s">
        <v>13</v>
      </c>
      <c r="K3" t="str">
        <f>IF(COUNTIF(K5:M7,K5)=COUNT(K5:M7),"balanced","unbalanced")</f>
        <v>balanced</v>
      </c>
      <c r="P3" s="59" t="str">
        <f>J12</f>
        <v>Cold</v>
      </c>
      <c r="Q3" s="73">
        <v>-1</v>
      </c>
      <c r="R3" s="59">
        <f>N12</f>
        <v>17.533333333333331</v>
      </c>
      <c r="S3" s="59">
        <f>N5</f>
        <v>15</v>
      </c>
    </row>
    <row r="4" spans="1:25" x14ac:dyDescent="0.35">
      <c r="A4" s="6" t="s">
        <v>9</v>
      </c>
      <c r="B4" s="7" t="s">
        <v>10</v>
      </c>
      <c r="C4" s="7" t="s">
        <v>11</v>
      </c>
      <c r="D4" s="7" t="s">
        <v>12</v>
      </c>
      <c r="F4" s="70" t="str">
        <v>Cold</v>
      </c>
      <c r="G4" s="71" t="str">
        <v>Neck</v>
      </c>
      <c r="H4" s="22">
        <v>21</v>
      </c>
      <c r="K4" t="str">
        <f t="array" ref="K4:M4">TRANSPOSE([1]!SortUnique(G3:G47))</f>
        <v>Arm</v>
      </c>
      <c r="L4" t="str">
        <v>Foot</v>
      </c>
      <c r="M4" t="str">
        <v>Neck</v>
      </c>
      <c r="P4" s="71" t="str">
        <f t="shared" ref="P4:P5" si="0">J13</f>
        <v>Dry</v>
      </c>
      <c r="Q4" s="74"/>
      <c r="R4" s="71">
        <f t="shared" ref="R4:R5" si="1">N13</f>
        <v>25.133333333333336</v>
      </c>
      <c r="S4" s="71">
        <f t="shared" ref="S4:S5" si="2">N6</f>
        <v>15</v>
      </c>
    </row>
    <row r="5" spans="1:25" x14ac:dyDescent="0.35">
      <c r="A5" s="11" t="s">
        <v>16</v>
      </c>
      <c r="B5" s="12">
        <v>15</v>
      </c>
      <c r="C5" s="12">
        <v>21</v>
      </c>
      <c r="D5" s="12">
        <v>11</v>
      </c>
      <c r="F5" s="70" t="str">
        <v>Cold</v>
      </c>
      <c r="G5" s="71" t="str">
        <v>Foot</v>
      </c>
      <c r="H5" s="22">
        <v>11</v>
      </c>
      <c r="J5" t="str">
        <f t="array" ref="J5:J7">[1]!SortUnique(F3:F47)</f>
        <v>Cold</v>
      </c>
      <c r="K5" s="67">
        <f t="array" ref="K5">COUNTIFS($F$3:$F$47,$J5,$G$3:$G$47,K$4)</f>
        <v>5</v>
      </c>
      <c r="L5" s="68">
        <f t="array" ref="L5">COUNTIFS($F$3:$F$47,$J5,$G$3:$G$47,L$4)</f>
        <v>5</v>
      </c>
      <c r="M5" s="69">
        <f t="array" ref="M5">COUNTIFS($F$3:$F$47,$J5,$G$3:$G$47,M$4)</f>
        <v>5</v>
      </c>
      <c r="N5">
        <f t="array" ref="N5">SUM(K5:M5)</f>
        <v>15</v>
      </c>
      <c r="P5" s="72" t="str">
        <f t="shared" si="0"/>
        <v>Humid</v>
      </c>
      <c r="Q5" s="75">
        <v>1</v>
      </c>
      <c r="R5" s="72">
        <f t="shared" si="1"/>
        <v>30.400000000000002</v>
      </c>
      <c r="S5" s="72">
        <f t="shared" si="2"/>
        <v>15</v>
      </c>
    </row>
    <row r="6" spans="1:25" x14ac:dyDescent="0.35">
      <c r="A6" s="14"/>
      <c r="B6" s="15">
        <v>23</v>
      </c>
      <c r="C6" s="15">
        <v>11</v>
      </c>
      <c r="D6" s="15">
        <v>8</v>
      </c>
      <c r="F6" s="70" t="str">
        <v>Cold</v>
      </c>
      <c r="G6" s="71" t="str">
        <v>Arm</v>
      </c>
      <c r="H6" s="22">
        <v>23</v>
      </c>
      <c r="J6" t="str">
        <v>Dry</v>
      </c>
      <c r="K6" s="70">
        <f t="array" ref="K6">COUNTIFS($F$3:$F$47,$J6,$G$3:$G$47,K$4)</f>
        <v>5</v>
      </c>
      <c r="L6" s="71">
        <f t="array" ref="L6">COUNTIFS($F$3:$F$47,$J6,$G$3:$G$47,L$4)</f>
        <v>5</v>
      </c>
      <c r="M6" s="22">
        <f t="array" ref="M6">COUNTIFS($F$3:$F$47,$J6,$G$3:$G$47,M$4)</f>
        <v>5</v>
      </c>
      <c r="N6">
        <f t="array" ref="N6">SUM(K6:M6)</f>
        <v>15</v>
      </c>
      <c r="Q6">
        <f>SUM(Q3:Q5)</f>
        <v>0</v>
      </c>
      <c r="R6">
        <f>SUMPRODUCT(Q3:Q5,R3:R5)</f>
        <v>12.866666666666671</v>
      </c>
      <c r="S6">
        <f>1/SUMPRODUCT(Q3:Q5^2,1/S3:S5)</f>
        <v>7.5</v>
      </c>
    </row>
    <row r="7" spans="1:25" ht="15" thickBot="1" x14ac:dyDescent="0.4">
      <c r="A7" s="14"/>
      <c r="B7" s="15">
        <v>26</v>
      </c>
      <c r="C7" s="15">
        <v>28</v>
      </c>
      <c r="D7" s="15">
        <v>2</v>
      </c>
      <c r="F7" s="70" t="str">
        <v>Cold</v>
      </c>
      <c r="G7" s="71" t="str">
        <v>Neck</v>
      </c>
      <c r="H7" s="22">
        <v>11</v>
      </c>
      <c r="J7" t="str">
        <v>Humid</v>
      </c>
      <c r="K7" s="46">
        <f t="array" ref="K7">COUNTIFS($F$3:$F$47,$J7,$G$3:$G$47,K$4)</f>
        <v>5</v>
      </c>
      <c r="L7" s="37">
        <f t="array" ref="L7">COUNTIFS($F$3:$F$47,$J7,$G$3:$G$47,L$4)</f>
        <v>5</v>
      </c>
      <c r="M7" s="48">
        <f t="array" ref="M7">COUNTIFS($F$3:$F$47,$J7,$G$3:$G$47,M$4)</f>
        <v>5</v>
      </c>
      <c r="N7">
        <f t="array" ref="N7">SUM(K7:M7)</f>
        <v>15</v>
      </c>
      <c r="P7" t="s">
        <v>27</v>
      </c>
      <c r="U7" t="s">
        <v>15</v>
      </c>
      <c r="V7">
        <v>0.05</v>
      </c>
    </row>
    <row r="8" spans="1:25" ht="15" thickTop="1" x14ac:dyDescent="0.35">
      <c r="A8" s="14"/>
      <c r="B8" s="15">
        <v>19</v>
      </c>
      <c r="C8" s="15">
        <v>16</v>
      </c>
      <c r="D8" s="15">
        <v>19</v>
      </c>
      <c r="F8" s="70" t="str">
        <v>Cold</v>
      </c>
      <c r="G8" s="71" t="str">
        <v>Foot</v>
      </c>
      <c r="H8" s="22">
        <v>8</v>
      </c>
      <c r="K8">
        <f t="array" ref="K8">SUM(K5:K7)</f>
        <v>15</v>
      </c>
      <c r="L8">
        <f t="array" ref="L8">SUM(L5:L7)</f>
        <v>15</v>
      </c>
      <c r="M8">
        <f t="array" ref="M8">SUM(M5:M7)</f>
        <v>15</v>
      </c>
      <c r="N8">
        <f t="array" ref="N8">SUM(N5:N7)</f>
        <v>45</v>
      </c>
      <c r="P8" s="5" t="s">
        <v>29</v>
      </c>
      <c r="Q8" s="5" t="s">
        <v>30</v>
      </c>
      <c r="R8" s="5" t="s">
        <v>18</v>
      </c>
      <c r="S8" s="5" t="s">
        <v>21</v>
      </c>
      <c r="T8" s="5" t="s">
        <v>31</v>
      </c>
      <c r="U8" s="5" t="s">
        <v>32</v>
      </c>
      <c r="V8" s="5" t="s">
        <v>33</v>
      </c>
      <c r="W8" s="5" t="s">
        <v>23</v>
      </c>
      <c r="X8" s="5" t="s">
        <v>34</v>
      </c>
      <c r="Y8" s="5" t="s">
        <v>35</v>
      </c>
    </row>
    <row r="9" spans="1:25" x14ac:dyDescent="0.35">
      <c r="A9" s="26"/>
      <c r="B9" s="27">
        <v>31</v>
      </c>
      <c r="C9" s="27">
        <v>23</v>
      </c>
      <c r="D9" s="28">
        <v>10</v>
      </c>
      <c r="F9" s="70" t="str">
        <v>Cold</v>
      </c>
      <c r="G9" s="71" t="str">
        <v>Arm</v>
      </c>
      <c r="H9" s="22">
        <v>26</v>
      </c>
      <c r="P9" s="44">
        <f>SQRT(SUMPRODUCT(K19:M21*(K5:M7-1))/(S6*R9))</f>
        <v>2.74172154622548</v>
      </c>
      <c r="Q9" s="44">
        <f>R6/P9</f>
        <v>4.6929151811131851</v>
      </c>
      <c r="R9" s="44">
        <f>SUM(K5:M7)-COUNT(K5:M7)</f>
        <v>36</v>
      </c>
      <c r="S9" s="44">
        <f>_xlfn.T.DIST.2T(ABS(Q9),R9)</f>
        <v>3.8250150461591199E-5</v>
      </c>
      <c r="T9" s="44">
        <f>_xlfn.T.INV.2T(V7,R9)</f>
        <v>2.028094000980452</v>
      </c>
      <c r="U9" s="44">
        <f>R6-P9*T9</f>
        <v>7.3061976464079255</v>
      </c>
      <c r="V9" s="44">
        <f>R6+P9*T9</f>
        <v>18.427135686925418</v>
      </c>
      <c r="W9" s="45" t="str">
        <f>IF(S9&lt;V7,"yes","no")</f>
        <v>yes</v>
      </c>
      <c r="X9" s="44">
        <f>ABS(R6)/(P9*SQRT(S6))</f>
        <v>1.7136103367694224</v>
      </c>
      <c r="Y9" s="44">
        <f>SQRT(Q9^2/(Q9^2+R9))</f>
        <v>0.61608540449644911</v>
      </c>
    </row>
    <row r="10" spans="1:25" x14ac:dyDescent="0.35">
      <c r="A10" s="11" t="s">
        <v>36</v>
      </c>
      <c r="B10" s="12">
        <v>33</v>
      </c>
      <c r="C10" s="12">
        <v>25</v>
      </c>
      <c r="D10" s="12">
        <v>30</v>
      </c>
      <c r="F10" s="70" t="str">
        <v>Cold</v>
      </c>
      <c r="G10" s="71" t="str">
        <v>Neck</v>
      </c>
      <c r="H10" s="22">
        <v>28</v>
      </c>
      <c r="J10" t="s">
        <v>38</v>
      </c>
    </row>
    <row r="11" spans="1:25" x14ac:dyDescent="0.35">
      <c r="A11" s="26"/>
      <c r="B11" s="27">
        <v>26</v>
      </c>
      <c r="C11" s="27">
        <v>29</v>
      </c>
      <c r="D11" s="27">
        <v>29</v>
      </c>
      <c r="F11" s="70" t="str">
        <v>Cold</v>
      </c>
      <c r="G11" s="71" t="str">
        <v>Foot</v>
      </c>
      <c r="H11" s="22">
        <v>2</v>
      </c>
      <c r="K11" t="str">
        <f t="array" ref="K11:M11">TRANSPOSE([1]!SortUnique(G3:G47))</f>
        <v>Arm</v>
      </c>
      <c r="L11" t="str">
        <v>Foot</v>
      </c>
      <c r="M11" t="str">
        <v>Neck</v>
      </c>
    </row>
    <row r="12" spans="1:25" x14ac:dyDescent="0.35">
      <c r="A12" s="26"/>
      <c r="B12" s="27">
        <v>15</v>
      </c>
      <c r="C12" s="27">
        <v>17</v>
      </c>
      <c r="D12" s="27">
        <v>39</v>
      </c>
      <c r="F12" s="70" t="str">
        <v>Cold</v>
      </c>
      <c r="G12" s="71" t="str">
        <v>Arm</v>
      </c>
      <c r="H12" s="22">
        <v>19</v>
      </c>
      <c r="J12" t="str">
        <f t="array" ref="J12:J14">[1]!SortUnique(F3:F47)</f>
        <v>Cold</v>
      </c>
      <c r="K12" s="67">
        <f t="array" ref="K12">AVERAGEIFS($H$3:$H$47,$F$3:$F$47,$J12,$G$3:$G$47,K$11)</f>
        <v>22.8</v>
      </c>
      <c r="L12" s="68">
        <f t="array" ref="L12">AVERAGEIFS($H$3:$H$47,$F$3:$F$47,$J12,$G$3:$G$47,L$11)</f>
        <v>10</v>
      </c>
      <c r="M12" s="69">
        <f t="array" ref="M12">AVERAGEIFS($H$3:$H$47,$F$3:$F$47,$J12,$G$3:$G$47,M$11)</f>
        <v>19.8</v>
      </c>
      <c r="N12">
        <f t="array" ref="N12">AVERAGE(K12:M12)</f>
        <v>17.533333333333331</v>
      </c>
    </row>
    <row r="13" spans="1:25" x14ac:dyDescent="0.35">
      <c r="A13" s="26"/>
      <c r="B13" s="27">
        <v>18</v>
      </c>
      <c r="C13" s="27">
        <v>22</v>
      </c>
      <c r="D13" s="27">
        <v>25</v>
      </c>
      <c r="F13" s="70" t="str">
        <v>Cold</v>
      </c>
      <c r="G13" s="71" t="str">
        <v>Neck</v>
      </c>
      <c r="H13" s="22">
        <v>16</v>
      </c>
      <c r="J13" t="str">
        <v>Dry</v>
      </c>
      <c r="K13" s="70">
        <f t="array" ref="K13">AVERAGEIFS($H$3:$H$47,$F$3:$F$47,$J13,$G$3:$G$47,K$11)</f>
        <v>25</v>
      </c>
      <c r="L13" s="71">
        <f t="array" ref="L13">AVERAGEIFS($H$3:$H$47,$F$3:$F$47,$J13,$G$3:$G$47,L$11)</f>
        <v>29.4</v>
      </c>
      <c r="M13" s="22">
        <f t="array" ref="M13">AVERAGEIFS($H$3:$H$47,$F$3:$F$47,$J13,$G$3:$G$47,M$11)</f>
        <v>21</v>
      </c>
      <c r="N13">
        <f t="array" ref="N13">AVERAGE(K13:M13)</f>
        <v>25.133333333333336</v>
      </c>
    </row>
    <row r="14" spans="1:25" x14ac:dyDescent="0.35">
      <c r="A14" s="26"/>
      <c r="B14" s="27">
        <v>33</v>
      </c>
      <c r="C14" s="27">
        <v>12</v>
      </c>
      <c r="D14" s="28">
        <v>24</v>
      </c>
      <c r="F14" s="70" t="str">
        <v>Cold</v>
      </c>
      <c r="G14" s="71" t="str">
        <v>Foot</v>
      </c>
      <c r="H14" s="22">
        <v>19</v>
      </c>
      <c r="J14" t="str">
        <v>Humid</v>
      </c>
      <c r="K14" s="46">
        <f t="array" ref="K14">AVERAGEIFS($H$3:$H$47,$F$3:$F$47,$J14,$G$3:$G$47,K$11)</f>
        <v>28</v>
      </c>
      <c r="L14" s="37">
        <f t="array" ref="L14">AVERAGEIFS($H$3:$H$47,$F$3:$F$47,$J14,$G$3:$G$47,L$11)</f>
        <v>37.200000000000003</v>
      </c>
      <c r="M14" s="48">
        <f t="array" ref="M14">AVERAGEIFS($H$3:$H$47,$F$3:$F$47,$J14,$G$3:$G$47,M$11)</f>
        <v>26</v>
      </c>
      <c r="N14">
        <f t="array" ref="N14">AVERAGE(K14:M14)</f>
        <v>30.400000000000002</v>
      </c>
    </row>
    <row r="15" spans="1:25" x14ac:dyDescent="0.35">
      <c r="A15" s="11" t="s">
        <v>40</v>
      </c>
      <c r="B15" s="12">
        <v>28</v>
      </c>
      <c r="C15" s="12">
        <v>16</v>
      </c>
      <c r="D15" s="12">
        <v>26</v>
      </c>
      <c r="F15" s="70" t="str">
        <v>Cold</v>
      </c>
      <c r="G15" s="71" t="str">
        <v>Arm</v>
      </c>
      <c r="H15" s="22">
        <v>31</v>
      </c>
      <c r="K15">
        <f t="array" ref="K15">AVERAGE(K12:K14)</f>
        <v>25.266666666666666</v>
      </c>
      <c r="L15">
        <f t="array" ref="L15">AVERAGE(L12:L14)</f>
        <v>25.533333333333331</v>
      </c>
      <c r="M15">
        <f t="array" ref="M15">AVERAGE(M12:M14)</f>
        <v>22.266666666666666</v>
      </c>
      <c r="N15">
        <f t="array" ref="N15">AVERAGE(N12:N14)</f>
        <v>24.355555555555558</v>
      </c>
    </row>
    <row r="16" spans="1:25" x14ac:dyDescent="0.35">
      <c r="A16" s="39"/>
      <c r="B16" s="40">
        <v>20</v>
      </c>
      <c r="C16" s="40">
        <v>18</v>
      </c>
      <c r="D16" s="40">
        <v>37</v>
      </c>
      <c r="F16" s="70" t="str">
        <v>Cold</v>
      </c>
      <c r="G16" s="71" t="str">
        <v>Neck</v>
      </c>
      <c r="H16" s="22">
        <v>23</v>
      </c>
    </row>
    <row r="17" spans="1:14" x14ac:dyDescent="0.35">
      <c r="A17" s="39"/>
      <c r="B17" s="40">
        <v>18</v>
      </c>
      <c r="C17" s="40">
        <v>26</v>
      </c>
      <c r="D17" s="40">
        <v>39</v>
      </c>
      <c r="F17" s="70" t="str">
        <v>Cold</v>
      </c>
      <c r="G17" s="71" t="str">
        <v>Foot</v>
      </c>
      <c r="H17" s="22">
        <v>10</v>
      </c>
      <c r="J17" t="s">
        <v>41</v>
      </c>
    </row>
    <row r="18" spans="1:14" x14ac:dyDescent="0.35">
      <c r="A18" s="39"/>
      <c r="B18" s="40">
        <v>36</v>
      </c>
      <c r="C18" s="40">
        <v>36</v>
      </c>
      <c r="D18" s="40">
        <v>34</v>
      </c>
      <c r="F18" s="70" t="str">
        <v>Dry</v>
      </c>
      <c r="G18" s="71" t="str">
        <v>Arm</v>
      </c>
      <c r="H18" s="22">
        <v>33</v>
      </c>
      <c r="K18" t="str">
        <f t="array" ref="K18:M18">TRANSPOSE([1]!SortUnique(G3:G47))</f>
        <v>Arm</v>
      </c>
      <c r="L18" t="str">
        <v>Foot</v>
      </c>
      <c r="M18" t="str">
        <v>Neck</v>
      </c>
    </row>
    <row r="19" spans="1:14" x14ac:dyDescent="0.35">
      <c r="A19" s="42"/>
      <c r="B19" s="43">
        <v>38</v>
      </c>
      <c r="C19" s="43">
        <v>34</v>
      </c>
      <c r="D19" s="43">
        <v>50</v>
      </c>
      <c r="F19" s="70" t="str">
        <v>Dry</v>
      </c>
      <c r="G19" s="71" t="str">
        <v>Neck</v>
      </c>
      <c r="H19" s="22">
        <v>25</v>
      </c>
      <c r="J19" t="str">
        <f t="array" ref="J19:J21">[1]!SortUnique(F3:F47)</f>
        <v>Cold</v>
      </c>
      <c r="K19" s="67">
        <f t="array" ref="K19">_xlfn.VAR.S(IF(($F$3:$F$47=$J19)*($G$3:$G$47=K$18),$H$3:$H$47))</f>
        <v>38.200000000000045</v>
      </c>
      <c r="L19" s="68">
        <f t="array" ref="L19">_xlfn.VAR.S(IF(($F$3:$F$47=$J19)*($G$3:$G$47=L$18),$H$3:$H$47))</f>
        <v>37.5</v>
      </c>
      <c r="M19" s="69">
        <f t="array" ref="M19">_xlfn.VAR.S(IF(($F$3:$F$47=$J19)*($G$3:$G$47=M$18),$H$3:$H$47))</f>
        <v>42.699999999999989</v>
      </c>
      <c r="N19">
        <f t="array" ref="N19">_xlfn.VAR.S(IF($F$3:$F$47=$J19,$H$3:$H$47))</f>
        <v>65.838095238095249</v>
      </c>
    </row>
    <row r="20" spans="1:14" x14ac:dyDescent="0.35">
      <c r="A20" s="39"/>
      <c r="F20" s="70" t="str">
        <v>Dry</v>
      </c>
      <c r="G20" s="71" t="str">
        <v>Foot</v>
      </c>
      <c r="H20" s="22">
        <v>30</v>
      </c>
      <c r="J20" t="str">
        <v>Dry</v>
      </c>
      <c r="K20" s="70">
        <f t="array" ref="K20">_xlfn.VAR.S(IF(($F$3:$F$47=$J20)*($G$3:$G$47=K$18),$H$3:$H$47))</f>
        <v>69.5</v>
      </c>
      <c r="L20" s="71">
        <f t="array" ref="L20">_xlfn.VAR.S(IF(($F$3:$F$47=$J20)*($G$3:$G$47=L$18),$H$3:$H$47))</f>
        <v>35.299999999999955</v>
      </c>
      <c r="M20" s="22">
        <f t="array" ref="M20">_xlfn.VAR.S(IF(($F$3:$F$47=$J20)*($G$3:$G$47=M$18),$H$3:$H$47))</f>
        <v>44.5</v>
      </c>
      <c r="N20">
        <f t="array" ref="N20">_xlfn.VAR.S(IF($F$3:$F$47=$J20,$H$3:$H$47))</f>
        <v>55.266666666666687</v>
      </c>
    </row>
    <row r="21" spans="1:14" x14ac:dyDescent="0.35">
      <c r="A21" s="39"/>
      <c r="F21" s="70" t="str">
        <v>Dry</v>
      </c>
      <c r="G21" s="71" t="str">
        <v>Arm</v>
      </c>
      <c r="H21" s="22">
        <v>26</v>
      </c>
      <c r="J21" t="str">
        <v>Humid</v>
      </c>
      <c r="K21" s="46">
        <f t="array" ref="K21">_xlfn.VAR.S(IF(($F$3:$F$47=$J21)*($G$3:$G$47=K$18),$H$3:$H$47))</f>
        <v>82</v>
      </c>
      <c r="L21" s="37">
        <f t="array" ref="L21">_xlfn.VAR.S(IF(($F$3:$F$47=$J21)*($G$3:$G$47=L$18),$H$3:$H$47))</f>
        <v>75.700000000000045</v>
      </c>
      <c r="M21" s="48">
        <f t="array" ref="M21">_xlfn.VAR.S(IF(($F$3:$F$47=$J21)*($G$3:$G$47=M$18),$H$3:$H$47))</f>
        <v>82</v>
      </c>
      <c r="N21">
        <f t="array" ref="N21">_xlfn.VAR.S(IF($F$3:$F$47=$J21,$H$3:$H$47))</f>
        <v>93.971428571428604</v>
      </c>
    </row>
    <row r="22" spans="1:14" x14ac:dyDescent="0.35">
      <c r="A22" s="39"/>
      <c r="F22" s="70" t="str">
        <v>Dry</v>
      </c>
      <c r="G22" s="71" t="str">
        <v>Neck</v>
      </c>
      <c r="H22" s="22">
        <v>29</v>
      </c>
      <c r="K22">
        <f t="array" ref="K22">_xlfn.VAR.S(IF($G$3:$G$47=K$18,$H$3:$H$47))</f>
        <v>59.066666666666606</v>
      </c>
      <c r="L22">
        <f t="array" ref="L22">_xlfn.VAR.S(IF($G$3:$G$47=L$18,$H$3:$H$47))</f>
        <v>182.55238095238096</v>
      </c>
      <c r="M22">
        <f t="array" ref="M22">_xlfn.VAR.S(IF($G$3:$G$47=M$18,$H$3:$H$47))</f>
        <v>56.06666666666667</v>
      </c>
      <c r="N22">
        <f>_xlfn.VAR.S(H3:H47)</f>
        <v>96.961616161616135</v>
      </c>
    </row>
    <row r="23" spans="1:14" x14ac:dyDescent="0.35">
      <c r="A23" s="39"/>
      <c r="F23" s="70" t="str">
        <v>Dry</v>
      </c>
      <c r="G23" s="71" t="str">
        <v>Foot</v>
      </c>
      <c r="H23" s="22">
        <v>29</v>
      </c>
    </row>
    <row r="24" spans="1:14" x14ac:dyDescent="0.35">
      <c r="A24" s="39"/>
      <c r="F24" s="70" t="str">
        <v>Dry</v>
      </c>
      <c r="G24" s="71" t="str">
        <v>Arm</v>
      </c>
      <c r="H24" s="22">
        <v>15</v>
      </c>
    </row>
    <row r="25" spans="1:14" x14ac:dyDescent="0.35">
      <c r="A25" s="39"/>
      <c r="F25" s="70" t="str">
        <v>Dry</v>
      </c>
      <c r="G25" s="71" t="str">
        <v>Neck</v>
      </c>
      <c r="H25" s="22">
        <v>17</v>
      </c>
    </row>
    <row r="26" spans="1:14" x14ac:dyDescent="0.35">
      <c r="A26" s="39"/>
      <c r="F26" s="70" t="str">
        <v>Dry</v>
      </c>
      <c r="G26" s="71" t="str">
        <v>Foot</v>
      </c>
      <c r="H26" s="22">
        <v>39</v>
      </c>
    </row>
    <row r="27" spans="1:14" x14ac:dyDescent="0.35">
      <c r="A27" s="39"/>
      <c r="F27" s="70" t="str">
        <v>Dry</v>
      </c>
      <c r="G27" s="71" t="str">
        <v>Arm</v>
      </c>
      <c r="H27" s="22">
        <v>18</v>
      </c>
    </row>
    <row r="28" spans="1:14" x14ac:dyDescent="0.35">
      <c r="A28" s="39"/>
      <c r="F28" s="70" t="str">
        <v>Dry</v>
      </c>
      <c r="G28" s="71" t="str">
        <v>Neck</v>
      </c>
      <c r="H28" s="22">
        <v>22</v>
      </c>
    </row>
    <row r="29" spans="1:14" x14ac:dyDescent="0.35">
      <c r="A29" s="39"/>
      <c r="F29" s="70" t="str">
        <v>Dry</v>
      </c>
      <c r="G29" s="71" t="str">
        <v>Foot</v>
      </c>
      <c r="H29" s="22">
        <v>25</v>
      </c>
    </row>
    <row r="30" spans="1:14" x14ac:dyDescent="0.35">
      <c r="A30" s="39"/>
      <c r="F30" s="70" t="str">
        <v>Dry</v>
      </c>
      <c r="G30" s="71" t="str">
        <v>Arm</v>
      </c>
      <c r="H30" s="22">
        <v>33</v>
      </c>
    </row>
    <row r="31" spans="1:14" x14ac:dyDescent="0.35">
      <c r="A31" s="39"/>
      <c r="F31" s="70" t="str">
        <v>Dry</v>
      </c>
      <c r="G31" s="71" t="str">
        <v>Neck</v>
      </c>
      <c r="H31" s="22">
        <v>12</v>
      </c>
    </row>
    <row r="32" spans="1:14" x14ac:dyDescent="0.35">
      <c r="A32" s="39"/>
      <c r="F32" s="70" t="str">
        <v>Dry</v>
      </c>
      <c r="G32" s="71" t="str">
        <v>Foot</v>
      </c>
      <c r="H32" s="22">
        <v>24</v>
      </c>
    </row>
    <row r="33" spans="1:8" x14ac:dyDescent="0.35">
      <c r="A33" s="39"/>
      <c r="F33" s="70" t="str">
        <v>Humid</v>
      </c>
      <c r="G33" s="71" t="str">
        <v>Arm</v>
      </c>
      <c r="H33" s="22">
        <v>28</v>
      </c>
    </row>
    <row r="34" spans="1:8" x14ac:dyDescent="0.35">
      <c r="A34" s="39"/>
      <c r="F34" s="70" t="str">
        <v>Humid</v>
      </c>
      <c r="G34" s="71" t="str">
        <v>Neck</v>
      </c>
      <c r="H34" s="22">
        <v>16</v>
      </c>
    </row>
    <row r="35" spans="1:8" x14ac:dyDescent="0.35">
      <c r="A35" s="39"/>
      <c r="F35" s="70" t="str">
        <v>Humid</v>
      </c>
      <c r="G35" s="71" t="str">
        <v>Foot</v>
      </c>
      <c r="H35" s="22">
        <v>26</v>
      </c>
    </row>
    <row r="36" spans="1:8" x14ac:dyDescent="0.35">
      <c r="A36" s="39"/>
      <c r="F36" s="70" t="str">
        <v>Humid</v>
      </c>
      <c r="G36" s="71" t="str">
        <v>Arm</v>
      </c>
      <c r="H36" s="22">
        <v>20</v>
      </c>
    </row>
    <row r="37" spans="1:8" x14ac:dyDescent="0.35">
      <c r="A37" s="39"/>
      <c r="F37" s="70" t="str">
        <v>Humid</v>
      </c>
      <c r="G37" s="71" t="str">
        <v>Neck</v>
      </c>
      <c r="H37" s="22">
        <v>18</v>
      </c>
    </row>
    <row r="38" spans="1:8" x14ac:dyDescent="0.35">
      <c r="F38" s="70" t="str">
        <v>Humid</v>
      </c>
      <c r="G38" s="71" t="str">
        <v>Foot</v>
      </c>
      <c r="H38" s="22">
        <v>37</v>
      </c>
    </row>
    <row r="39" spans="1:8" x14ac:dyDescent="0.35">
      <c r="F39" s="70" t="str">
        <v>Humid</v>
      </c>
      <c r="G39" s="71" t="str">
        <v>Arm</v>
      </c>
      <c r="H39" s="22">
        <v>18</v>
      </c>
    </row>
    <row r="40" spans="1:8" x14ac:dyDescent="0.35">
      <c r="F40" s="70" t="str">
        <v>Humid</v>
      </c>
      <c r="G40" s="71" t="str">
        <v>Neck</v>
      </c>
      <c r="H40" s="22">
        <v>26</v>
      </c>
    </row>
    <row r="41" spans="1:8" x14ac:dyDescent="0.35">
      <c r="F41" s="70" t="str">
        <v>Humid</v>
      </c>
      <c r="G41" s="71" t="str">
        <v>Foot</v>
      </c>
      <c r="H41" s="22">
        <v>39</v>
      </c>
    </row>
    <row r="42" spans="1:8" x14ac:dyDescent="0.35">
      <c r="F42" s="70" t="str">
        <v>Humid</v>
      </c>
      <c r="G42" s="71" t="str">
        <v>Arm</v>
      </c>
      <c r="H42" s="22">
        <v>36</v>
      </c>
    </row>
    <row r="43" spans="1:8" x14ac:dyDescent="0.35">
      <c r="F43" s="70" t="str">
        <v>Humid</v>
      </c>
      <c r="G43" s="71" t="str">
        <v>Neck</v>
      </c>
      <c r="H43" s="22">
        <v>36</v>
      </c>
    </row>
    <row r="44" spans="1:8" x14ac:dyDescent="0.35">
      <c r="F44" s="70" t="str">
        <v>Humid</v>
      </c>
      <c r="G44" s="71" t="str">
        <v>Foot</v>
      </c>
      <c r="H44" s="22">
        <v>34</v>
      </c>
    </row>
    <row r="45" spans="1:8" x14ac:dyDescent="0.35">
      <c r="F45" s="70" t="str">
        <v>Humid</v>
      </c>
      <c r="G45" s="71" t="str">
        <v>Arm</v>
      </c>
      <c r="H45" s="22">
        <v>38</v>
      </c>
    </row>
    <row r="46" spans="1:8" x14ac:dyDescent="0.35">
      <c r="F46" s="70" t="str">
        <v>Humid</v>
      </c>
      <c r="G46" s="71" t="str">
        <v>Neck</v>
      </c>
      <c r="H46" s="22">
        <v>34</v>
      </c>
    </row>
    <row r="47" spans="1:8" x14ac:dyDescent="0.35">
      <c r="F47" s="46" t="str">
        <v>Humid</v>
      </c>
      <c r="G47" s="37" t="str">
        <v>Foot</v>
      </c>
      <c r="H47" s="48">
        <v>50</v>
      </c>
    </row>
  </sheetData>
  <mergeCells count="1">
    <mergeCell ref="B3:D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3F9A8-3F05-41C3-9DCD-66F3AA54C80D}">
  <sheetPr codeName="Sheet4"/>
  <dimension ref="A1:Y47"/>
  <sheetViews>
    <sheetView workbookViewId="0"/>
  </sheetViews>
  <sheetFormatPr defaultRowHeight="14.5" x14ac:dyDescent="0.35"/>
  <cols>
    <col min="1" max="1" width="7.81640625" customWidth="1"/>
    <col min="2" max="4" width="7.26953125" customWidth="1"/>
  </cols>
  <sheetData>
    <row r="1" spans="1:25" ht="15" thickBot="1" x14ac:dyDescent="0.4">
      <c r="A1" s="1" t="s">
        <v>0</v>
      </c>
      <c r="F1" t="s">
        <v>50</v>
      </c>
      <c r="P1" t="s">
        <v>39</v>
      </c>
    </row>
    <row r="2" spans="1:25" ht="15" thickTop="1" x14ac:dyDescent="0.35">
      <c r="P2" s="5" t="s">
        <v>51</v>
      </c>
      <c r="Q2" s="5" t="s">
        <v>52</v>
      </c>
      <c r="R2" s="5" t="s">
        <v>7</v>
      </c>
      <c r="S2" s="5" t="s">
        <v>53</v>
      </c>
    </row>
    <row r="3" spans="1:25" x14ac:dyDescent="0.35">
      <c r="B3" s="2" t="s">
        <v>4</v>
      </c>
      <c r="C3" s="3"/>
      <c r="D3" s="4"/>
      <c r="F3" s="16" t="str">
        <f t="array" ref="F3:H47">[1]!Anova2Std(A4:D19)</f>
        <v>Cold</v>
      </c>
      <c r="G3" s="33" t="str">
        <v>Arm</v>
      </c>
      <c r="H3" s="34">
        <v>15</v>
      </c>
      <c r="J3" t="s">
        <v>13</v>
      </c>
      <c r="K3" t="str">
        <f>IF(COUNTIF(K5:M7,K5)=COUNT(K5:M7),"balanced","unbalanced")</f>
        <v>balanced</v>
      </c>
      <c r="P3" s="9" t="str">
        <f t="array" ref="P3:P5">TRANSPOSE(K11:M11)</f>
        <v>Arm</v>
      </c>
      <c r="Q3" s="10">
        <v>-1</v>
      </c>
      <c r="R3" s="9">
        <f t="array" ref="R3:R5">TRANSPOSE(K15:M15)</f>
        <v>25.266666666666666</v>
      </c>
      <c r="S3" s="9">
        <f t="array" ref="S3:S5">TRANSPOSE(K8:M8)</f>
        <v>15</v>
      </c>
    </row>
    <row r="4" spans="1:25" x14ac:dyDescent="0.35">
      <c r="A4" s="6" t="s">
        <v>9</v>
      </c>
      <c r="B4" s="7" t="s">
        <v>10</v>
      </c>
      <c r="C4" s="7" t="s">
        <v>11</v>
      </c>
      <c r="D4" s="7" t="s">
        <v>12</v>
      </c>
      <c r="F4" s="70" t="str">
        <v>Cold</v>
      </c>
      <c r="G4" s="71" t="str">
        <v>Neck</v>
      </c>
      <c r="H4" s="22">
        <v>21</v>
      </c>
      <c r="K4" t="str">
        <f t="array" ref="K4:M4">TRANSPOSE([1]!SortUnique(G3:G47))</f>
        <v>Arm</v>
      </c>
      <c r="L4" t="str">
        <v>Foot</v>
      </c>
      <c r="M4" t="str">
        <v>Neck</v>
      </c>
      <c r="P4" s="71" t="str">
        <v>Foot</v>
      </c>
      <c r="Q4" s="74">
        <v>1</v>
      </c>
      <c r="R4" s="71">
        <v>25.533333333333331</v>
      </c>
      <c r="S4" s="71">
        <v>15</v>
      </c>
    </row>
    <row r="5" spans="1:25" x14ac:dyDescent="0.35">
      <c r="A5" s="11" t="s">
        <v>16</v>
      </c>
      <c r="B5" s="12">
        <v>15</v>
      </c>
      <c r="C5" s="12">
        <v>21</v>
      </c>
      <c r="D5" s="12">
        <v>11</v>
      </c>
      <c r="F5" s="70" t="str">
        <v>Cold</v>
      </c>
      <c r="G5" s="71" t="str">
        <v>Foot</v>
      </c>
      <c r="H5" s="22">
        <v>11</v>
      </c>
      <c r="J5" t="str">
        <f t="array" ref="J5:J7">[1]!SortUnique(F3:F47)</f>
        <v>Cold</v>
      </c>
      <c r="K5" s="16">
        <f t="array" ref="K5">COUNTIFS($F$3:$F$47,$J5,$G$3:$G$47,K$4)</f>
        <v>5</v>
      </c>
      <c r="L5" s="33">
        <f t="array" ref="L5">COUNTIFS($F$3:$F$47,$J5,$G$3:$G$47,L$4)</f>
        <v>5</v>
      </c>
      <c r="M5" s="34">
        <f t="array" ref="M5">COUNTIFS($F$3:$F$47,$J5,$G$3:$G$47,M$4)</f>
        <v>5</v>
      </c>
      <c r="N5">
        <f t="array" ref="N5">SUM(K5:M5)</f>
        <v>15</v>
      </c>
      <c r="P5" s="72" t="str">
        <v>Neck</v>
      </c>
      <c r="Q5" s="75"/>
      <c r="R5" s="72">
        <v>22.266666666666666</v>
      </c>
      <c r="S5" s="72">
        <v>15</v>
      </c>
    </row>
    <row r="6" spans="1:25" x14ac:dyDescent="0.35">
      <c r="A6" s="14"/>
      <c r="B6" s="15">
        <v>23</v>
      </c>
      <c r="C6" s="15">
        <v>11</v>
      </c>
      <c r="D6" s="15">
        <v>8</v>
      </c>
      <c r="F6" s="70" t="str">
        <v>Cold</v>
      </c>
      <c r="G6" s="71" t="str">
        <v>Arm</v>
      </c>
      <c r="H6" s="22">
        <v>23</v>
      </c>
      <c r="J6" t="str">
        <v>Dry</v>
      </c>
      <c r="K6" s="70">
        <f t="array" ref="K6">COUNTIFS($F$3:$F$47,$J6,$G$3:$G$47,K$4)</f>
        <v>5</v>
      </c>
      <c r="L6" s="71">
        <f t="array" ref="L6">COUNTIFS($F$3:$F$47,$J6,$G$3:$G$47,L$4)</f>
        <v>5</v>
      </c>
      <c r="M6" s="22">
        <f t="array" ref="M6">COUNTIFS($F$3:$F$47,$J6,$G$3:$G$47,M$4)</f>
        <v>5</v>
      </c>
      <c r="N6">
        <f t="array" ref="N6">SUM(K6:M6)</f>
        <v>15</v>
      </c>
      <c r="Q6">
        <f>SUM(Q3:Q5)</f>
        <v>0</v>
      </c>
      <c r="R6">
        <f>SUMPRODUCT(Q3:Q5,R3:R5)</f>
        <v>0.26666666666666572</v>
      </c>
      <c r="S6">
        <f>1/SUMPRODUCT(Q3:Q5^2,1/S3:S5)</f>
        <v>7.5</v>
      </c>
    </row>
    <row r="7" spans="1:25" ht="15" thickBot="1" x14ac:dyDescent="0.4">
      <c r="A7" s="14"/>
      <c r="B7" s="15">
        <v>26</v>
      </c>
      <c r="C7" s="15">
        <v>28</v>
      </c>
      <c r="D7" s="15">
        <v>2</v>
      </c>
      <c r="F7" s="70" t="str">
        <v>Cold</v>
      </c>
      <c r="G7" s="71" t="str">
        <v>Neck</v>
      </c>
      <c r="H7" s="22">
        <v>11</v>
      </c>
      <c r="J7" t="str">
        <v>Humid</v>
      </c>
      <c r="K7" s="46">
        <f t="array" ref="K7">COUNTIFS($F$3:$F$47,$J7,$G$3:$G$47,K$4)</f>
        <v>5</v>
      </c>
      <c r="L7" s="37">
        <f t="array" ref="L7">COUNTIFS($F$3:$F$47,$J7,$G$3:$G$47,L$4)</f>
        <v>5</v>
      </c>
      <c r="M7" s="48">
        <f t="array" ref="M7">COUNTIFS($F$3:$F$47,$J7,$G$3:$G$47,M$4)</f>
        <v>5</v>
      </c>
      <c r="N7">
        <f t="array" ref="N7">SUM(K7:M7)</f>
        <v>15</v>
      </c>
      <c r="P7" t="s">
        <v>27</v>
      </c>
      <c r="U7" t="s">
        <v>15</v>
      </c>
      <c r="V7">
        <v>0.05</v>
      </c>
    </row>
    <row r="8" spans="1:25" ht="15" thickTop="1" x14ac:dyDescent="0.35">
      <c r="A8" s="14"/>
      <c r="B8" s="15">
        <v>19</v>
      </c>
      <c r="C8" s="15">
        <v>16</v>
      </c>
      <c r="D8" s="15">
        <v>19</v>
      </c>
      <c r="F8" s="70" t="str">
        <v>Cold</v>
      </c>
      <c r="G8" s="71" t="str">
        <v>Foot</v>
      </c>
      <c r="H8" s="22">
        <v>8</v>
      </c>
      <c r="K8">
        <f t="array" ref="K8">SUM(K5:K7)</f>
        <v>15</v>
      </c>
      <c r="L8">
        <f t="array" ref="L8">SUM(L5:L7)</f>
        <v>15</v>
      </c>
      <c r="M8">
        <f t="array" ref="M8">SUM(M5:M7)</f>
        <v>15</v>
      </c>
      <c r="N8">
        <f t="array" ref="N8">SUM(N5:N7)</f>
        <v>45</v>
      </c>
      <c r="P8" s="5" t="s">
        <v>29</v>
      </c>
      <c r="Q8" s="5" t="s">
        <v>30</v>
      </c>
      <c r="R8" s="5" t="s">
        <v>18</v>
      </c>
      <c r="S8" s="5" t="s">
        <v>21</v>
      </c>
      <c r="T8" s="5" t="s">
        <v>31</v>
      </c>
      <c r="U8" s="5" t="s">
        <v>32</v>
      </c>
      <c r="V8" s="5" t="s">
        <v>33</v>
      </c>
      <c r="W8" s="5" t="s">
        <v>23</v>
      </c>
      <c r="X8" s="5" t="s">
        <v>34</v>
      </c>
      <c r="Y8" s="5" t="s">
        <v>35</v>
      </c>
    </row>
    <row r="9" spans="1:25" x14ac:dyDescent="0.35">
      <c r="A9" s="26"/>
      <c r="B9" s="27">
        <v>31</v>
      </c>
      <c r="C9" s="27">
        <v>23</v>
      </c>
      <c r="D9" s="28">
        <v>10</v>
      </c>
      <c r="F9" s="70" t="str">
        <v>Cold</v>
      </c>
      <c r="G9" s="71" t="str">
        <v>Arm</v>
      </c>
      <c r="H9" s="22">
        <v>26</v>
      </c>
      <c r="P9" s="44">
        <f>SQRT(SUMPRODUCT(K19:M21*(K5:M7-1))/(S6*R9))</f>
        <v>2.74172154622548</v>
      </c>
      <c r="Q9" s="44">
        <f>R6/P9</f>
        <v>9.7262490800272897E-2</v>
      </c>
      <c r="R9" s="44">
        <f>SUM(K5:M7)-COUNT(K5:M7)</f>
        <v>36</v>
      </c>
      <c r="S9" s="44">
        <f>_xlfn.T.DIST.2T(ABS(Q9),R9)</f>
        <v>0.92305743569365806</v>
      </c>
      <c r="T9" s="44">
        <f>_xlfn.T.INV.2T(V7,R9)</f>
        <v>2.028094000980452</v>
      </c>
      <c r="U9" s="44">
        <f>R6-P9*T9</f>
        <v>-5.2938023535920795</v>
      </c>
      <c r="V9" s="44">
        <f>R6+P9*T9</f>
        <v>5.827135686925411</v>
      </c>
      <c r="W9" s="45" t="str">
        <f>IF(S9&lt;V7,"yes","no")</f>
        <v>no</v>
      </c>
      <c r="X9" s="44">
        <f>ABS(R6)/(P9*SQRT(S6))</f>
        <v>3.5515240140298769E-2</v>
      </c>
      <c r="Y9" s="44">
        <f>SQRT(Q9^2/(Q9^2+R9))</f>
        <v>1.6208285686389875E-2</v>
      </c>
    </row>
    <row r="10" spans="1:25" x14ac:dyDescent="0.35">
      <c r="A10" s="11" t="s">
        <v>36</v>
      </c>
      <c r="B10" s="12">
        <v>33</v>
      </c>
      <c r="C10" s="12">
        <v>25</v>
      </c>
      <c r="D10" s="12">
        <v>30</v>
      </c>
      <c r="F10" s="70" t="str">
        <v>Cold</v>
      </c>
      <c r="G10" s="71" t="str">
        <v>Neck</v>
      </c>
      <c r="H10" s="22">
        <v>28</v>
      </c>
      <c r="J10" t="s">
        <v>38</v>
      </c>
    </row>
    <row r="11" spans="1:25" x14ac:dyDescent="0.35">
      <c r="A11" s="26"/>
      <c r="B11" s="27">
        <v>26</v>
      </c>
      <c r="C11" s="27">
        <v>29</v>
      </c>
      <c r="D11" s="27">
        <v>29</v>
      </c>
      <c r="F11" s="70" t="str">
        <v>Cold</v>
      </c>
      <c r="G11" s="71" t="str">
        <v>Foot</v>
      </c>
      <c r="H11" s="22">
        <v>2</v>
      </c>
      <c r="K11" t="str">
        <f t="array" ref="K11:M11">TRANSPOSE([1]!SortUnique(G3:G47))</f>
        <v>Arm</v>
      </c>
      <c r="L11" t="str">
        <v>Foot</v>
      </c>
      <c r="M11" t="str">
        <v>Neck</v>
      </c>
    </row>
    <row r="12" spans="1:25" x14ac:dyDescent="0.35">
      <c r="A12" s="26"/>
      <c r="B12" s="27">
        <v>15</v>
      </c>
      <c r="C12" s="27">
        <v>17</v>
      </c>
      <c r="D12" s="27">
        <v>39</v>
      </c>
      <c r="F12" s="70" t="str">
        <v>Cold</v>
      </c>
      <c r="G12" s="71" t="str">
        <v>Arm</v>
      </c>
      <c r="H12" s="22">
        <v>19</v>
      </c>
      <c r="J12" t="str">
        <f t="array" ref="J12:J14">[1]!SortUnique(F3:F47)</f>
        <v>Cold</v>
      </c>
      <c r="K12" s="16">
        <f t="array" ref="K12">AVERAGEIFS($H$3:$H$47,$F$3:$F$47,$J12,$G$3:$G$47,K$11)</f>
        <v>22.8</v>
      </c>
      <c r="L12" s="33">
        <f t="array" ref="L12">AVERAGEIFS($H$3:$H$47,$F$3:$F$47,$J12,$G$3:$G$47,L$11)</f>
        <v>10</v>
      </c>
      <c r="M12" s="34">
        <f t="array" ref="M12">AVERAGEIFS($H$3:$H$47,$F$3:$F$47,$J12,$G$3:$G$47,M$11)</f>
        <v>19.8</v>
      </c>
      <c r="N12">
        <f t="array" ref="N12">AVERAGE(K12:M12)</f>
        <v>17.533333333333331</v>
      </c>
    </row>
    <row r="13" spans="1:25" x14ac:dyDescent="0.35">
      <c r="A13" s="26"/>
      <c r="B13" s="27">
        <v>18</v>
      </c>
      <c r="C13" s="27">
        <v>22</v>
      </c>
      <c r="D13" s="27">
        <v>25</v>
      </c>
      <c r="F13" s="70" t="str">
        <v>Cold</v>
      </c>
      <c r="G13" s="71" t="str">
        <v>Neck</v>
      </c>
      <c r="H13" s="22">
        <v>16</v>
      </c>
      <c r="J13" t="str">
        <v>Dry</v>
      </c>
      <c r="K13" s="70">
        <f t="array" ref="K13">AVERAGEIFS($H$3:$H$47,$F$3:$F$47,$J13,$G$3:$G$47,K$11)</f>
        <v>25</v>
      </c>
      <c r="L13" s="71">
        <f t="array" ref="L13">AVERAGEIFS($H$3:$H$47,$F$3:$F$47,$J13,$G$3:$G$47,L$11)</f>
        <v>29.4</v>
      </c>
      <c r="M13" s="22">
        <f t="array" ref="M13">AVERAGEIFS($H$3:$H$47,$F$3:$F$47,$J13,$G$3:$G$47,M$11)</f>
        <v>21</v>
      </c>
      <c r="N13">
        <f t="array" ref="N13">AVERAGE(K13:M13)</f>
        <v>25.133333333333336</v>
      </c>
    </row>
    <row r="14" spans="1:25" x14ac:dyDescent="0.35">
      <c r="A14" s="26"/>
      <c r="B14" s="27">
        <v>33</v>
      </c>
      <c r="C14" s="27">
        <v>12</v>
      </c>
      <c r="D14" s="28">
        <v>24</v>
      </c>
      <c r="F14" s="70" t="str">
        <v>Cold</v>
      </c>
      <c r="G14" s="71" t="str">
        <v>Foot</v>
      </c>
      <c r="H14" s="22">
        <v>19</v>
      </c>
      <c r="J14" t="str">
        <v>Humid</v>
      </c>
      <c r="K14" s="46">
        <f t="array" ref="K14">AVERAGEIFS($H$3:$H$47,$F$3:$F$47,$J14,$G$3:$G$47,K$11)</f>
        <v>28</v>
      </c>
      <c r="L14" s="37">
        <f t="array" ref="L14">AVERAGEIFS($H$3:$H$47,$F$3:$F$47,$J14,$G$3:$G$47,L$11)</f>
        <v>37.200000000000003</v>
      </c>
      <c r="M14" s="48">
        <f t="array" ref="M14">AVERAGEIFS($H$3:$H$47,$F$3:$F$47,$J14,$G$3:$G$47,M$11)</f>
        <v>26</v>
      </c>
      <c r="N14">
        <f t="array" ref="N14">AVERAGE(K14:M14)</f>
        <v>30.400000000000002</v>
      </c>
    </row>
    <row r="15" spans="1:25" x14ac:dyDescent="0.35">
      <c r="A15" s="11" t="s">
        <v>40</v>
      </c>
      <c r="B15" s="12">
        <v>28</v>
      </c>
      <c r="C15" s="12">
        <v>16</v>
      </c>
      <c r="D15" s="12">
        <v>26</v>
      </c>
      <c r="F15" s="70" t="str">
        <v>Cold</v>
      </c>
      <c r="G15" s="71" t="str">
        <v>Arm</v>
      </c>
      <c r="H15" s="22">
        <v>31</v>
      </c>
      <c r="K15">
        <f t="array" ref="K15">AVERAGE(K12:K14)</f>
        <v>25.266666666666666</v>
      </c>
      <c r="L15">
        <f t="array" ref="L15">AVERAGE(L12:L14)</f>
        <v>25.533333333333331</v>
      </c>
      <c r="M15">
        <f t="array" ref="M15">AVERAGE(M12:M14)</f>
        <v>22.266666666666666</v>
      </c>
      <c r="N15">
        <f t="array" ref="N15">AVERAGE(N12:N14)</f>
        <v>24.355555555555558</v>
      </c>
    </row>
    <row r="16" spans="1:25" x14ac:dyDescent="0.35">
      <c r="A16" s="39"/>
      <c r="B16" s="40">
        <v>20</v>
      </c>
      <c r="C16" s="40">
        <v>18</v>
      </c>
      <c r="D16" s="40">
        <v>37</v>
      </c>
      <c r="F16" s="70" t="str">
        <v>Cold</v>
      </c>
      <c r="G16" s="71" t="str">
        <v>Neck</v>
      </c>
      <c r="H16" s="22">
        <v>23</v>
      </c>
    </row>
    <row r="17" spans="1:14" x14ac:dyDescent="0.35">
      <c r="A17" s="39"/>
      <c r="B17" s="40">
        <v>18</v>
      </c>
      <c r="C17" s="40">
        <v>26</v>
      </c>
      <c r="D17" s="40">
        <v>39</v>
      </c>
      <c r="F17" s="70" t="str">
        <v>Cold</v>
      </c>
      <c r="G17" s="71" t="str">
        <v>Foot</v>
      </c>
      <c r="H17" s="22">
        <v>10</v>
      </c>
      <c r="J17" t="s">
        <v>41</v>
      </c>
    </row>
    <row r="18" spans="1:14" x14ac:dyDescent="0.35">
      <c r="A18" s="39"/>
      <c r="B18" s="40">
        <v>36</v>
      </c>
      <c r="C18" s="40">
        <v>36</v>
      </c>
      <c r="D18" s="40">
        <v>34</v>
      </c>
      <c r="F18" s="70" t="str">
        <v>Dry</v>
      </c>
      <c r="G18" s="71" t="str">
        <v>Arm</v>
      </c>
      <c r="H18" s="22">
        <v>33</v>
      </c>
      <c r="K18" t="str">
        <f t="array" ref="K18:M18">TRANSPOSE([1]!SortUnique(G3:G47))</f>
        <v>Arm</v>
      </c>
      <c r="L18" t="str">
        <v>Foot</v>
      </c>
      <c r="M18" t="str">
        <v>Neck</v>
      </c>
    </row>
    <row r="19" spans="1:14" x14ac:dyDescent="0.35">
      <c r="A19" s="42"/>
      <c r="B19" s="43">
        <v>38</v>
      </c>
      <c r="C19" s="43">
        <v>34</v>
      </c>
      <c r="D19" s="43">
        <v>50</v>
      </c>
      <c r="F19" s="70" t="str">
        <v>Dry</v>
      </c>
      <c r="G19" s="71" t="str">
        <v>Neck</v>
      </c>
      <c r="H19" s="22">
        <v>25</v>
      </c>
      <c r="J19" t="str">
        <f t="array" ref="J19:J21">[1]!SortUnique(F3:F47)</f>
        <v>Cold</v>
      </c>
      <c r="K19" s="16">
        <f t="array" ref="K19">_xlfn.VAR.S(IF(($F$3:$F$47=$J19)*($G$3:$G$47=K$18),$H$3:$H$47))</f>
        <v>38.200000000000045</v>
      </c>
      <c r="L19" s="33">
        <f t="array" ref="L19">_xlfn.VAR.S(IF(($F$3:$F$47=$J19)*($G$3:$G$47=L$18),$H$3:$H$47))</f>
        <v>37.5</v>
      </c>
      <c r="M19" s="34">
        <f t="array" ref="M19">_xlfn.VAR.S(IF(($F$3:$F$47=$J19)*($G$3:$G$47=M$18),$H$3:$H$47))</f>
        <v>42.699999999999989</v>
      </c>
      <c r="N19">
        <f t="array" ref="N19">_xlfn.VAR.S(IF($F$3:$F$47=$J19,$H$3:$H$47))</f>
        <v>65.838095238095249</v>
      </c>
    </row>
    <row r="20" spans="1:14" x14ac:dyDescent="0.35">
      <c r="A20" s="39"/>
      <c r="F20" s="70" t="str">
        <v>Dry</v>
      </c>
      <c r="G20" s="71" t="str">
        <v>Foot</v>
      </c>
      <c r="H20" s="22">
        <v>30</v>
      </c>
      <c r="J20" t="str">
        <v>Dry</v>
      </c>
      <c r="K20" s="70">
        <f t="array" ref="K20">_xlfn.VAR.S(IF(($F$3:$F$47=$J20)*($G$3:$G$47=K$18),$H$3:$H$47))</f>
        <v>69.5</v>
      </c>
      <c r="L20" s="71">
        <f t="array" ref="L20">_xlfn.VAR.S(IF(($F$3:$F$47=$J20)*($G$3:$G$47=L$18),$H$3:$H$47))</f>
        <v>35.299999999999955</v>
      </c>
      <c r="M20" s="22">
        <f t="array" ref="M20">_xlfn.VAR.S(IF(($F$3:$F$47=$J20)*($G$3:$G$47=M$18),$H$3:$H$47))</f>
        <v>44.5</v>
      </c>
      <c r="N20">
        <f t="array" ref="N20">_xlfn.VAR.S(IF($F$3:$F$47=$J20,$H$3:$H$47))</f>
        <v>55.266666666666687</v>
      </c>
    </row>
    <row r="21" spans="1:14" x14ac:dyDescent="0.35">
      <c r="A21" s="39"/>
      <c r="F21" s="70" t="str">
        <v>Dry</v>
      </c>
      <c r="G21" s="71" t="str">
        <v>Arm</v>
      </c>
      <c r="H21" s="22">
        <v>26</v>
      </c>
      <c r="J21" t="str">
        <v>Humid</v>
      </c>
      <c r="K21" s="46">
        <f t="array" ref="K21">_xlfn.VAR.S(IF(($F$3:$F$47=$J21)*($G$3:$G$47=K$18),$H$3:$H$47))</f>
        <v>82</v>
      </c>
      <c r="L21" s="37">
        <f t="array" ref="L21">_xlfn.VAR.S(IF(($F$3:$F$47=$J21)*($G$3:$G$47=L$18),$H$3:$H$47))</f>
        <v>75.700000000000045</v>
      </c>
      <c r="M21" s="48">
        <f t="array" ref="M21">_xlfn.VAR.S(IF(($F$3:$F$47=$J21)*($G$3:$G$47=M$18),$H$3:$H$47))</f>
        <v>82</v>
      </c>
      <c r="N21">
        <f t="array" ref="N21">_xlfn.VAR.S(IF($F$3:$F$47=$J21,$H$3:$H$47))</f>
        <v>93.971428571428604</v>
      </c>
    </row>
    <row r="22" spans="1:14" x14ac:dyDescent="0.35">
      <c r="A22" s="39"/>
      <c r="F22" s="70" t="str">
        <v>Dry</v>
      </c>
      <c r="G22" s="71" t="str">
        <v>Neck</v>
      </c>
      <c r="H22" s="22">
        <v>29</v>
      </c>
      <c r="K22">
        <f t="array" ref="K22">_xlfn.VAR.S(IF($G$3:$G$47=K$18,$H$3:$H$47))</f>
        <v>59.066666666666606</v>
      </c>
      <c r="L22">
        <f t="array" ref="L22">_xlfn.VAR.S(IF($G$3:$G$47=L$18,$H$3:$H$47))</f>
        <v>182.55238095238096</v>
      </c>
      <c r="M22">
        <f t="array" ref="M22">_xlfn.VAR.S(IF($G$3:$G$47=M$18,$H$3:$H$47))</f>
        <v>56.06666666666667</v>
      </c>
      <c r="N22">
        <f>_xlfn.VAR.S(H3:H47)</f>
        <v>96.961616161616135</v>
      </c>
    </row>
    <row r="23" spans="1:14" x14ac:dyDescent="0.35">
      <c r="A23" s="39"/>
      <c r="F23" s="70" t="str">
        <v>Dry</v>
      </c>
      <c r="G23" s="71" t="str">
        <v>Foot</v>
      </c>
      <c r="H23" s="22">
        <v>29</v>
      </c>
    </row>
    <row r="24" spans="1:14" x14ac:dyDescent="0.35">
      <c r="A24" s="39"/>
      <c r="F24" s="70" t="str">
        <v>Dry</v>
      </c>
      <c r="G24" s="71" t="str">
        <v>Arm</v>
      </c>
      <c r="H24" s="22">
        <v>15</v>
      </c>
    </row>
    <row r="25" spans="1:14" x14ac:dyDescent="0.35">
      <c r="A25" s="39"/>
      <c r="F25" s="70" t="str">
        <v>Dry</v>
      </c>
      <c r="G25" s="71" t="str">
        <v>Neck</v>
      </c>
      <c r="H25" s="22">
        <v>17</v>
      </c>
    </row>
    <row r="26" spans="1:14" x14ac:dyDescent="0.35">
      <c r="A26" s="39"/>
      <c r="F26" s="70" t="str">
        <v>Dry</v>
      </c>
      <c r="G26" s="71" t="str">
        <v>Foot</v>
      </c>
      <c r="H26" s="22">
        <v>39</v>
      </c>
    </row>
    <row r="27" spans="1:14" x14ac:dyDescent="0.35">
      <c r="A27" s="39"/>
      <c r="F27" s="70" t="str">
        <v>Dry</v>
      </c>
      <c r="G27" s="71" t="str">
        <v>Arm</v>
      </c>
      <c r="H27" s="22">
        <v>18</v>
      </c>
    </row>
    <row r="28" spans="1:14" x14ac:dyDescent="0.35">
      <c r="A28" s="39"/>
      <c r="F28" s="70" t="str">
        <v>Dry</v>
      </c>
      <c r="G28" s="71" t="str">
        <v>Neck</v>
      </c>
      <c r="H28" s="22">
        <v>22</v>
      </c>
    </row>
    <row r="29" spans="1:14" x14ac:dyDescent="0.35">
      <c r="A29" s="39"/>
      <c r="F29" s="70" t="str">
        <v>Dry</v>
      </c>
      <c r="G29" s="71" t="str">
        <v>Foot</v>
      </c>
      <c r="H29" s="22">
        <v>25</v>
      </c>
    </row>
    <row r="30" spans="1:14" x14ac:dyDescent="0.35">
      <c r="A30" s="39"/>
      <c r="F30" s="70" t="str">
        <v>Dry</v>
      </c>
      <c r="G30" s="71" t="str">
        <v>Arm</v>
      </c>
      <c r="H30" s="22">
        <v>33</v>
      </c>
    </row>
    <row r="31" spans="1:14" x14ac:dyDescent="0.35">
      <c r="A31" s="39"/>
      <c r="F31" s="70" t="str">
        <v>Dry</v>
      </c>
      <c r="G31" s="71" t="str">
        <v>Neck</v>
      </c>
      <c r="H31" s="22">
        <v>12</v>
      </c>
    </row>
    <row r="32" spans="1:14" x14ac:dyDescent="0.35">
      <c r="A32" s="39"/>
      <c r="F32" s="70" t="str">
        <v>Dry</v>
      </c>
      <c r="G32" s="71" t="str">
        <v>Foot</v>
      </c>
      <c r="H32" s="22">
        <v>24</v>
      </c>
    </row>
    <row r="33" spans="1:8" x14ac:dyDescent="0.35">
      <c r="A33" s="39"/>
      <c r="F33" s="70" t="str">
        <v>Humid</v>
      </c>
      <c r="G33" s="71" t="str">
        <v>Arm</v>
      </c>
      <c r="H33" s="22">
        <v>28</v>
      </c>
    </row>
    <row r="34" spans="1:8" x14ac:dyDescent="0.35">
      <c r="A34" s="39"/>
      <c r="F34" s="70" t="str">
        <v>Humid</v>
      </c>
      <c r="G34" s="71" t="str">
        <v>Neck</v>
      </c>
      <c r="H34" s="22">
        <v>16</v>
      </c>
    </row>
    <row r="35" spans="1:8" x14ac:dyDescent="0.35">
      <c r="A35" s="39"/>
      <c r="F35" s="70" t="str">
        <v>Humid</v>
      </c>
      <c r="G35" s="71" t="str">
        <v>Foot</v>
      </c>
      <c r="H35" s="22">
        <v>26</v>
      </c>
    </row>
    <row r="36" spans="1:8" x14ac:dyDescent="0.35">
      <c r="A36" s="39"/>
      <c r="F36" s="70" t="str">
        <v>Humid</v>
      </c>
      <c r="G36" s="71" t="str">
        <v>Arm</v>
      </c>
      <c r="H36" s="22">
        <v>20</v>
      </c>
    </row>
    <row r="37" spans="1:8" x14ac:dyDescent="0.35">
      <c r="A37" s="39"/>
      <c r="F37" s="70" t="str">
        <v>Humid</v>
      </c>
      <c r="G37" s="71" t="str">
        <v>Neck</v>
      </c>
      <c r="H37" s="22">
        <v>18</v>
      </c>
    </row>
    <row r="38" spans="1:8" x14ac:dyDescent="0.35">
      <c r="F38" s="70" t="str">
        <v>Humid</v>
      </c>
      <c r="G38" s="71" t="str">
        <v>Foot</v>
      </c>
      <c r="H38" s="22">
        <v>37</v>
      </c>
    </row>
    <row r="39" spans="1:8" x14ac:dyDescent="0.35">
      <c r="F39" s="70" t="str">
        <v>Humid</v>
      </c>
      <c r="G39" s="71" t="str">
        <v>Arm</v>
      </c>
      <c r="H39" s="22">
        <v>18</v>
      </c>
    </row>
    <row r="40" spans="1:8" x14ac:dyDescent="0.35">
      <c r="F40" s="70" t="str">
        <v>Humid</v>
      </c>
      <c r="G40" s="71" t="str">
        <v>Neck</v>
      </c>
      <c r="H40" s="22">
        <v>26</v>
      </c>
    </row>
    <row r="41" spans="1:8" x14ac:dyDescent="0.35">
      <c r="F41" s="70" t="str">
        <v>Humid</v>
      </c>
      <c r="G41" s="71" t="str">
        <v>Foot</v>
      </c>
      <c r="H41" s="22">
        <v>39</v>
      </c>
    </row>
    <row r="42" spans="1:8" x14ac:dyDescent="0.35">
      <c r="F42" s="70" t="str">
        <v>Humid</v>
      </c>
      <c r="G42" s="71" t="str">
        <v>Arm</v>
      </c>
      <c r="H42" s="22">
        <v>36</v>
      </c>
    </row>
    <row r="43" spans="1:8" x14ac:dyDescent="0.35">
      <c r="F43" s="70" t="str">
        <v>Humid</v>
      </c>
      <c r="G43" s="71" t="str">
        <v>Neck</v>
      </c>
      <c r="H43" s="22">
        <v>36</v>
      </c>
    </row>
    <row r="44" spans="1:8" x14ac:dyDescent="0.35">
      <c r="F44" s="70" t="str">
        <v>Humid</v>
      </c>
      <c r="G44" s="71" t="str">
        <v>Foot</v>
      </c>
      <c r="H44" s="22">
        <v>34</v>
      </c>
    </row>
    <row r="45" spans="1:8" x14ac:dyDescent="0.35">
      <c r="F45" s="70" t="str">
        <v>Humid</v>
      </c>
      <c r="G45" s="71" t="str">
        <v>Arm</v>
      </c>
      <c r="H45" s="22">
        <v>38</v>
      </c>
    </row>
    <row r="46" spans="1:8" x14ac:dyDescent="0.35">
      <c r="F46" s="70" t="str">
        <v>Humid</v>
      </c>
      <c r="G46" s="71" t="str">
        <v>Neck</v>
      </c>
      <c r="H46" s="22">
        <v>34</v>
      </c>
    </row>
    <row r="47" spans="1:8" x14ac:dyDescent="0.35">
      <c r="F47" s="46" t="str">
        <v>Humid</v>
      </c>
      <c r="G47" s="37" t="str">
        <v>Foot</v>
      </c>
      <c r="H47" s="48">
        <v>50</v>
      </c>
    </row>
  </sheetData>
  <mergeCells count="1">
    <mergeCell ref="B3:D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9685F-1913-4278-A3E0-48D6F491A162}">
  <sheetPr codeName="Sheet5"/>
  <dimension ref="A1:AD47"/>
  <sheetViews>
    <sheetView workbookViewId="0"/>
  </sheetViews>
  <sheetFormatPr defaultRowHeight="14.5" x14ac:dyDescent="0.35"/>
  <cols>
    <col min="1" max="1" width="7.81640625" customWidth="1"/>
    <col min="2" max="4" width="7.26953125" customWidth="1"/>
  </cols>
  <sheetData>
    <row r="1" spans="1:30" ht="15" thickBot="1" x14ac:dyDescent="0.4">
      <c r="A1" s="1" t="s">
        <v>0</v>
      </c>
      <c r="F1" t="s">
        <v>50</v>
      </c>
      <c r="P1" t="s">
        <v>42</v>
      </c>
      <c r="U1" t="s">
        <v>43</v>
      </c>
    </row>
    <row r="2" spans="1:30" ht="15" thickTop="1" x14ac:dyDescent="0.35">
      <c r="Q2" t="str">
        <f t="array" ref="Q2:S2">K11:M11</f>
        <v>Arm</v>
      </c>
      <c r="R2" t="str">
        <v>Foot</v>
      </c>
      <c r="S2" t="str">
        <v>Neck</v>
      </c>
      <c r="U2" s="5" t="s">
        <v>44</v>
      </c>
      <c r="V2" s="5" t="s">
        <v>45</v>
      </c>
      <c r="W2" s="5" t="s">
        <v>6</v>
      </c>
      <c r="X2" s="5" t="s">
        <v>7</v>
      </c>
      <c r="Y2" s="5" t="s">
        <v>8</v>
      </c>
    </row>
    <row r="3" spans="1:30" x14ac:dyDescent="0.35">
      <c r="B3" s="2" t="s">
        <v>4</v>
      </c>
      <c r="C3" s="3"/>
      <c r="D3" s="4"/>
      <c r="F3" s="16" t="str">
        <f t="array" ref="F3:H47">[1]!Anova2Std(A4:D19)</f>
        <v>Cold</v>
      </c>
      <c r="G3" s="33" t="str">
        <v>Arm</v>
      </c>
      <c r="H3" s="34">
        <v>15</v>
      </c>
      <c r="J3" t="s">
        <v>13</v>
      </c>
      <c r="K3" t="str">
        <f>IF(COUNTIF(K5:M7,K5)=COUNT(K5:M7),"balanced","unbalanced")</f>
        <v>balanced</v>
      </c>
      <c r="P3" t="str">
        <f t="array" ref="P3:P5">J12:J14</f>
        <v>Cold</v>
      </c>
      <c r="Q3" s="76">
        <v>-0.5</v>
      </c>
      <c r="R3" s="50"/>
      <c r="S3" s="51">
        <v>-0.5</v>
      </c>
      <c r="U3" t="str">
        <f t="array" ref="U3">IFERROR(INDEX($P$3:$P$5,SMALL(IF($Q$3:$S$5&lt;&gt;"",ROW($Q$3:$S$5)-MIN(ROW($Q$3:$S$5))+1,""),ROW(A1))),"")</f>
        <v>Cold</v>
      </c>
      <c r="V3" t="str">
        <f t="array" ref="V3">IFERROR(INDEX($Q$2:$S$2,,SMALL(IF($Q$3:$S$5&lt;&gt;"",IF(ROW($Q$3:$S$5)=MATCH(U3,$P$3:$P$5,0)+ROW($Q$3)-1,COLUMN($Q$3:$S$5)-COLUMN($Q$3)+1,""),""),COUNTIF($U$3:U3,U3))),"")</f>
        <v>Arm</v>
      </c>
      <c r="W3">
        <f>IFERROR(INDEX($Q$3:$S$5,MATCH(U3,$J$12:$J$14,0),MATCH(V3,$K$11:$M$11,0)),0)</f>
        <v>-0.5</v>
      </c>
      <c r="X3">
        <f>IFERROR(INDEX($K$12:$M$14,MATCH(U3,$J$12:$J$14,0),MATCH(V3,$K$11:$M$11,0)),"")</f>
        <v>22.8</v>
      </c>
      <c r="Y3">
        <f>IFERROR(INDEX($K$5:$M$7,MATCH(U3,$J$5:$J$7,0),MATCH(V3,$K$4:$M$4,0)),1)</f>
        <v>5</v>
      </c>
    </row>
    <row r="4" spans="1:30" x14ac:dyDescent="0.35">
      <c r="A4" s="6" t="s">
        <v>9</v>
      </c>
      <c r="B4" s="7" t="s">
        <v>10</v>
      </c>
      <c r="C4" s="7" t="s">
        <v>11</v>
      </c>
      <c r="D4" s="7" t="s">
        <v>12</v>
      </c>
      <c r="F4" s="70" t="str">
        <v>Cold</v>
      </c>
      <c r="G4" s="71" t="str">
        <v>Neck</v>
      </c>
      <c r="H4" s="22">
        <v>21</v>
      </c>
      <c r="K4" t="str">
        <f t="array" ref="K4:M4">TRANSPOSE([1]!SortUnique(G3:G47))</f>
        <v>Arm</v>
      </c>
      <c r="L4" t="str">
        <v>Foot</v>
      </c>
      <c r="M4" t="str">
        <v>Neck</v>
      </c>
      <c r="P4" t="str">
        <v>Dry</v>
      </c>
      <c r="Q4" s="57"/>
      <c r="R4" s="74"/>
      <c r="S4" s="53"/>
      <c r="U4" t="str">
        <f t="array" ref="U4">IFERROR(INDEX($P$3:$P$5,SMALL(IF($Q$3:$S$5&lt;&gt;"",ROW($Q$3:$S$5)-MIN(ROW($Q$3:$S$5))+1,""),ROW(A2))),"")</f>
        <v>Cold</v>
      </c>
      <c r="V4" t="str">
        <f t="array" ref="V4">IFERROR(INDEX($Q$2:$S$2,,SMALL(IF($Q$3:$S$5&lt;&gt;"",IF(ROW($Q$3:$S$5)=MATCH(U4,$P$3:$P$5,0)+ROW($Q$3)-1,COLUMN($Q$3:$S$5)-COLUMN($Q$3)+1,""),""),COUNTIF($U$3:U4,U4))),"")</f>
        <v>Neck</v>
      </c>
      <c r="W4">
        <f t="shared" ref="W4:W6" si="0">IFERROR(INDEX($Q$3:$S$5,MATCH(U4,$J$12:$J$14,0),MATCH(V4,$K$11:$M$11,0)),0)</f>
        <v>-0.5</v>
      </c>
      <c r="X4">
        <f t="shared" ref="X4:X6" si="1">IFERROR(INDEX($K$12:$M$14,MATCH(U4,$J$12:$J$14,0),MATCH(V4,$K$11:$M$11,0)),"")</f>
        <v>19.8</v>
      </c>
      <c r="Y4">
        <f t="shared" ref="Y4:Y6" si="2">IFERROR(INDEX($K$5:$M$7,MATCH(U4,$J$5:$J$7,0),MATCH(V4,$K$4:$M$4,0)),1)</f>
        <v>5</v>
      </c>
    </row>
    <row r="5" spans="1:30" x14ac:dyDescent="0.35">
      <c r="A5" s="11" t="s">
        <v>16</v>
      </c>
      <c r="B5" s="12">
        <v>15</v>
      </c>
      <c r="C5" s="12">
        <v>21</v>
      </c>
      <c r="D5" s="12">
        <v>11</v>
      </c>
      <c r="F5" s="70" t="str">
        <v>Cold</v>
      </c>
      <c r="G5" s="71" t="str">
        <v>Foot</v>
      </c>
      <c r="H5" s="22">
        <v>11</v>
      </c>
      <c r="J5" t="str">
        <f t="array" ref="J5:J7">[1]!SortUnique(F3:F47)</f>
        <v>Cold</v>
      </c>
      <c r="K5" s="16">
        <f t="array" ref="K5">COUNTIFS($F$3:$F$47,$J5,$G$3:$G$47,K$4)</f>
        <v>5</v>
      </c>
      <c r="L5" s="33">
        <f t="array" ref="L5">COUNTIFS($F$3:$F$47,$J5,$G$3:$G$47,L$4)</f>
        <v>5</v>
      </c>
      <c r="M5" s="34">
        <f t="array" ref="M5">COUNTIFS($F$3:$F$47,$J5,$G$3:$G$47,M$4)</f>
        <v>5</v>
      </c>
      <c r="N5">
        <f t="array" ref="N5">SUM(K5:M5)</f>
        <v>15</v>
      </c>
      <c r="P5" t="str">
        <v>Humid</v>
      </c>
      <c r="Q5" s="54">
        <v>0.5</v>
      </c>
      <c r="R5" s="58"/>
      <c r="S5" s="56">
        <v>0.5</v>
      </c>
      <c r="U5" t="str">
        <f t="array" ref="U5">IFERROR(INDEX($P$3:$P$5,SMALL(IF($Q$3:$S$5&lt;&gt;"",ROW($Q$3:$S$5)-MIN(ROW($Q$3:$S$5))+1,""),ROW(A3))),"")</f>
        <v>Humid</v>
      </c>
      <c r="V5" t="str">
        <f t="array" ref="V5">IFERROR(INDEX($Q$2:$S$2,,SMALL(IF($Q$3:$S$5&lt;&gt;"",IF(ROW($Q$3:$S$5)=MATCH(U5,$P$3:$P$5,0)+ROW($Q$3)-1,COLUMN($Q$3:$S$5)-COLUMN($Q$3)+1,""),""),COUNTIF($U$3:U5,U5))),"")</f>
        <v>Arm</v>
      </c>
      <c r="W5">
        <f t="shared" si="0"/>
        <v>0.5</v>
      </c>
      <c r="X5">
        <f t="shared" si="1"/>
        <v>28</v>
      </c>
      <c r="Y5">
        <f t="shared" si="2"/>
        <v>5</v>
      </c>
    </row>
    <row r="6" spans="1:30" x14ac:dyDescent="0.35">
      <c r="A6" s="14"/>
      <c r="B6" s="15">
        <v>23</v>
      </c>
      <c r="C6" s="15">
        <v>11</v>
      </c>
      <c r="D6" s="15">
        <v>8</v>
      </c>
      <c r="F6" s="70" t="str">
        <v>Cold</v>
      </c>
      <c r="G6" s="71" t="str">
        <v>Arm</v>
      </c>
      <c r="H6" s="22">
        <v>23</v>
      </c>
      <c r="J6" t="str">
        <v>Dry</v>
      </c>
      <c r="K6" s="70">
        <f t="array" ref="K6">COUNTIFS($F$3:$F$47,$J6,$G$3:$G$47,K$4)</f>
        <v>5</v>
      </c>
      <c r="L6" s="71">
        <f t="array" ref="L6">COUNTIFS($F$3:$F$47,$J6,$G$3:$G$47,L$4)</f>
        <v>5</v>
      </c>
      <c r="M6" s="22">
        <f t="array" ref="M6">COUNTIFS($F$3:$F$47,$J6,$G$3:$G$47,M$4)</f>
        <v>5</v>
      </c>
      <c r="N6">
        <f t="array" ref="N6">SUM(K6:M6)</f>
        <v>15</v>
      </c>
      <c r="U6" t="str">
        <f t="array" ref="U6">IFERROR(INDEX($P$3:$P$5,SMALL(IF($Q$3:$S$5&lt;&gt;"",ROW($Q$3:$S$5)-MIN(ROW($Q$3:$S$5))+1,""),ROW(A4))),"")</f>
        <v>Humid</v>
      </c>
      <c r="V6" t="str">
        <f t="array" ref="V6">IFERROR(INDEX($Q$2:$S$2,,SMALL(IF($Q$3:$S$5&lt;&gt;"",IF(ROW($Q$3:$S$5)=MATCH(U6,$P$3:$P$5,0)+ROW($Q$3)-1,COLUMN($Q$3:$S$5)-COLUMN($Q$3)+1,""),""),COUNTIF($U$3:U6,U6))),"")</f>
        <v>Neck</v>
      </c>
      <c r="W6">
        <f t="shared" si="0"/>
        <v>0.5</v>
      </c>
      <c r="X6">
        <f t="shared" si="1"/>
        <v>26</v>
      </c>
      <c r="Y6">
        <f t="shared" si="2"/>
        <v>5</v>
      </c>
    </row>
    <row r="7" spans="1:30" x14ac:dyDescent="0.35">
      <c r="A7" s="14"/>
      <c r="B7" s="15">
        <v>26</v>
      </c>
      <c r="C7" s="15">
        <v>28</v>
      </c>
      <c r="D7" s="15">
        <v>2</v>
      </c>
      <c r="F7" s="70" t="str">
        <v>Cold</v>
      </c>
      <c r="G7" s="71" t="str">
        <v>Neck</v>
      </c>
      <c r="H7" s="22">
        <v>11</v>
      </c>
      <c r="J7" t="str">
        <v>Humid</v>
      </c>
      <c r="K7" s="46">
        <f t="array" ref="K7">COUNTIFS($F$3:$F$47,$J7,$G$3:$G$47,K$4)</f>
        <v>5</v>
      </c>
      <c r="L7" s="37">
        <f t="array" ref="L7">COUNTIFS($F$3:$F$47,$J7,$G$3:$G$47,L$4)</f>
        <v>5</v>
      </c>
      <c r="M7" s="48">
        <f t="array" ref="M7">COUNTIFS($F$3:$F$47,$J7,$G$3:$G$47,M$4)</f>
        <v>5</v>
      </c>
      <c r="N7">
        <f t="array" ref="N7">SUM(K7:M7)</f>
        <v>15</v>
      </c>
      <c r="U7" s="77"/>
      <c r="V7" s="77"/>
      <c r="W7" s="77">
        <f>SUM(W3:W6)</f>
        <v>0</v>
      </c>
      <c r="X7" s="77">
        <f>SUMPRODUCT(W3:W6,X3:X6)</f>
        <v>5.6999999999999993</v>
      </c>
      <c r="Y7" s="77">
        <f>1/SUMPRODUCT(W3:W6^2,1/Y3:Y6)</f>
        <v>5</v>
      </c>
    </row>
    <row r="8" spans="1:30" ht="15" thickBot="1" x14ac:dyDescent="0.4">
      <c r="A8" s="14"/>
      <c r="B8" s="15">
        <v>19</v>
      </c>
      <c r="C8" s="15">
        <v>16</v>
      </c>
      <c r="D8" s="15">
        <v>19</v>
      </c>
      <c r="F8" s="70" t="str">
        <v>Cold</v>
      </c>
      <c r="G8" s="71" t="str">
        <v>Foot</v>
      </c>
      <c r="H8" s="22">
        <v>8</v>
      </c>
      <c r="K8">
        <f t="array" ref="K8">SUM(K5:K7)</f>
        <v>15</v>
      </c>
      <c r="L8">
        <f t="array" ref="L8">SUM(L5:L7)</f>
        <v>15</v>
      </c>
      <c r="M8">
        <f t="array" ref="M8">SUM(M5:M7)</f>
        <v>15</v>
      </c>
      <c r="N8">
        <f t="array" ref="N8">SUM(N5:N7)</f>
        <v>45</v>
      </c>
      <c r="U8" t="s">
        <v>27</v>
      </c>
      <c r="AB8" t="s">
        <v>15</v>
      </c>
      <c r="AC8">
        <v>0.05</v>
      </c>
    </row>
    <row r="9" spans="1:30" ht="15" thickTop="1" x14ac:dyDescent="0.35">
      <c r="A9" s="26"/>
      <c r="B9" s="27">
        <v>31</v>
      </c>
      <c r="C9" s="27">
        <v>23</v>
      </c>
      <c r="D9" s="28">
        <v>10</v>
      </c>
      <c r="F9" s="70" t="str">
        <v>Cold</v>
      </c>
      <c r="G9" s="71" t="str">
        <v>Arm</v>
      </c>
      <c r="H9" s="22">
        <v>26</v>
      </c>
      <c r="U9" s="5" t="s">
        <v>29</v>
      </c>
      <c r="V9" s="5" t="s">
        <v>30</v>
      </c>
      <c r="W9" s="5" t="s">
        <v>18</v>
      </c>
      <c r="X9" s="5" t="s">
        <v>21</v>
      </c>
      <c r="Y9" s="5" t="s">
        <v>31</v>
      </c>
      <c r="Z9" s="5" t="s">
        <v>32</v>
      </c>
      <c r="AA9" s="5" t="s">
        <v>33</v>
      </c>
      <c r="AB9" s="5" t="s">
        <v>23</v>
      </c>
      <c r="AC9" s="5" t="s">
        <v>34</v>
      </c>
      <c r="AD9" s="5" t="s">
        <v>35</v>
      </c>
    </row>
    <row r="10" spans="1:30" x14ac:dyDescent="0.35">
      <c r="A10" s="11" t="s">
        <v>36</v>
      </c>
      <c r="B10" s="12">
        <v>33</v>
      </c>
      <c r="C10" s="12">
        <v>25</v>
      </c>
      <c r="D10" s="12">
        <v>30</v>
      </c>
      <c r="F10" s="70" t="str">
        <v>Cold</v>
      </c>
      <c r="G10" s="71" t="str">
        <v>Neck</v>
      </c>
      <c r="H10" s="22">
        <v>28</v>
      </c>
      <c r="J10" t="s">
        <v>38</v>
      </c>
      <c r="U10" s="78">
        <f>SQRT(SUMPRODUCT(K19:M21*(K5:M7-1))/(Y7*W10))</f>
        <v>3.3579094025234744</v>
      </c>
      <c r="V10" s="78">
        <f>X7/U10</f>
        <v>1.697484749206289</v>
      </c>
      <c r="W10" s="78">
        <f>SUM(K5:M7)-COUNT(K5:M7)</f>
        <v>36</v>
      </c>
      <c r="X10" s="78">
        <f>_xlfn.T.DIST.2T(ABS(V10),W10)</f>
        <v>9.8235257349545607E-2</v>
      </c>
      <c r="Y10" s="78">
        <f>_xlfn.T.INV.2T(AC8,W10)</f>
        <v>2.028094000980452</v>
      </c>
      <c r="Z10" s="78">
        <f>X7-U10*Y10</f>
        <v>-1.1101559150937126</v>
      </c>
      <c r="AA10" s="78">
        <f>X7+U10*Y10</f>
        <v>12.510155915093712</v>
      </c>
      <c r="AB10" s="79" t="str">
        <f>IF(X10&lt;AC8,"yes","no")</f>
        <v>no</v>
      </c>
      <c r="AC10" s="78">
        <f>ABS(X7)/(U10*SQRT(Y7))</f>
        <v>0.75913825799888879</v>
      </c>
      <c r="AD10" s="78">
        <f>SQRT(V10^2/(V10^2+W10))</f>
        <v>0.27222915167910905</v>
      </c>
    </row>
    <row r="11" spans="1:30" x14ac:dyDescent="0.35">
      <c r="A11" s="26"/>
      <c r="B11" s="27">
        <v>26</v>
      </c>
      <c r="C11" s="27">
        <v>29</v>
      </c>
      <c r="D11" s="27">
        <v>29</v>
      </c>
      <c r="F11" s="70" t="str">
        <v>Cold</v>
      </c>
      <c r="G11" s="71" t="str">
        <v>Foot</v>
      </c>
      <c r="H11" s="22">
        <v>2</v>
      </c>
      <c r="K11" t="str">
        <f t="array" ref="K11:M11">TRANSPOSE([1]!SortUnique(G3:G47))</f>
        <v>Arm</v>
      </c>
      <c r="L11" t="str">
        <v>Foot</v>
      </c>
      <c r="M11" t="str">
        <v>Neck</v>
      </c>
    </row>
    <row r="12" spans="1:30" x14ac:dyDescent="0.35">
      <c r="A12" s="26"/>
      <c r="B12" s="27">
        <v>15</v>
      </c>
      <c r="C12" s="27">
        <v>17</v>
      </c>
      <c r="D12" s="27">
        <v>39</v>
      </c>
      <c r="F12" s="70" t="str">
        <v>Cold</v>
      </c>
      <c r="G12" s="71" t="str">
        <v>Arm</v>
      </c>
      <c r="H12" s="22">
        <v>19</v>
      </c>
      <c r="J12" t="str">
        <f t="array" ref="J12:J14">[1]!SortUnique(F3:F47)</f>
        <v>Cold</v>
      </c>
      <c r="K12" s="16">
        <f t="array" ref="K12">AVERAGEIFS($H$3:$H$47,$F$3:$F$47,$J12,$G$3:$G$47,K$11)</f>
        <v>22.8</v>
      </c>
      <c r="L12" s="33">
        <f t="array" ref="L12">AVERAGEIFS($H$3:$H$47,$F$3:$F$47,$J12,$G$3:$G$47,L$11)</f>
        <v>10</v>
      </c>
      <c r="M12" s="34">
        <f t="array" ref="M12">AVERAGEIFS($H$3:$H$47,$F$3:$F$47,$J12,$G$3:$G$47,M$11)</f>
        <v>19.8</v>
      </c>
      <c r="N12">
        <f t="array" ref="N12">AVERAGE(K12:M12)</f>
        <v>17.533333333333331</v>
      </c>
    </row>
    <row r="13" spans="1:30" x14ac:dyDescent="0.35">
      <c r="A13" s="26"/>
      <c r="B13" s="27">
        <v>18</v>
      </c>
      <c r="C13" s="27">
        <v>22</v>
      </c>
      <c r="D13" s="27">
        <v>25</v>
      </c>
      <c r="F13" s="70" t="str">
        <v>Cold</v>
      </c>
      <c r="G13" s="71" t="str">
        <v>Neck</v>
      </c>
      <c r="H13" s="22">
        <v>16</v>
      </c>
      <c r="J13" t="str">
        <v>Dry</v>
      </c>
      <c r="K13" s="70">
        <f t="array" ref="K13">AVERAGEIFS($H$3:$H$47,$F$3:$F$47,$J13,$G$3:$G$47,K$11)</f>
        <v>25</v>
      </c>
      <c r="L13" s="71">
        <f t="array" ref="L13">AVERAGEIFS($H$3:$H$47,$F$3:$F$47,$J13,$G$3:$G$47,L$11)</f>
        <v>29.4</v>
      </c>
      <c r="M13" s="22">
        <f t="array" ref="M13">AVERAGEIFS($H$3:$H$47,$F$3:$F$47,$J13,$G$3:$G$47,M$11)</f>
        <v>21</v>
      </c>
      <c r="N13">
        <f t="array" ref="N13">AVERAGE(K13:M13)</f>
        <v>25.133333333333336</v>
      </c>
    </row>
    <row r="14" spans="1:30" x14ac:dyDescent="0.35">
      <c r="A14" s="26"/>
      <c r="B14" s="27">
        <v>33</v>
      </c>
      <c r="C14" s="27">
        <v>12</v>
      </c>
      <c r="D14" s="28">
        <v>24</v>
      </c>
      <c r="F14" s="70" t="str">
        <v>Cold</v>
      </c>
      <c r="G14" s="71" t="str">
        <v>Foot</v>
      </c>
      <c r="H14" s="22">
        <v>19</v>
      </c>
      <c r="J14" t="str">
        <v>Humid</v>
      </c>
      <c r="K14" s="46">
        <f t="array" ref="K14">AVERAGEIFS($H$3:$H$47,$F$3:$F$47,$J14,$G$3:$G$47,K$11)</f>
        <v>28</v>
      </c>
      <c r="L14" s="37">
        <f t="array" ref="L14">AVERAGEIFS($H$3:$H$47,$F$3:$F$47,$J14,$G$3:$G$47,L$11)</f>
        <v>37.200000000000003</v>
      </c>
      <c r="M14" s="48">
        <f t="array" ref="M14">AVERAGEIFS($H$3:$H$47,$F$3:$F$47,$J14,$G$3:$G$47,M$11)</f>
        <v>26</v>
      </c>
      <c r="N14">
        <f t="array" ref="N14">AVERAGE(K14:M14)</f>
        <v>30.400000000000002</v>
      </c>
    </row>
    <row r="15" spans="1:30" x14ac:dyDescent="0.35">
      <c r="A15" s="11" t="s">
        <v>40</v>
      </c>
      <c r="B15" s="12">
        <v>28</v>
      </c>
      <c r="C15" s="12">
        <v>16</v>
      </c>
      <c r="D15" s="12">
        <v>26</v>
      </c>
      <c r="F15" s="70" t="str">
        <v>Cold</v>
      </c>
      <c r="G15" s="71" t="str">
        <v>Arm</v>
      </c>
      <c r="H15" s="22">
        <v>31</v>
      </c>
      <c r="K15">
        <f t="array" ref="K15">AVERAGE(K12:K14)</f>
        <v>25.266666666666666</v>
      </c>
      <c r="L15">
        <f t="array" ref="L15">AVERAGE(L12:L14)</f>
        <v>25.533333333333331</v>
      </c>
      <c r="M15">
        <f t="array" ref="M15">AVERAGE(M12:M14)</f>
        <v>22.266666666666666</v>
      </c>
      <c r="N15">
        <f t="array" ref="N15">AVERAGE(N12:N14)</f>
        <v>24.355555555555558</v>
      </c>
    </row>
    <row r="16" spans="1:30" x14ac:dyDescent="0.35">
      <c r="A16" s="39"/>
      <c r="B16" s="40">
        <v>20</v>
      </c>
      <c r="C16" s="40">
        <v>18</v>
      </c>
      <c r="D16" s="40">
        <v>37</v>
      </c>
      <c r="F16" s="70" t="str">
        <v>Cold</v>
      </c>
      <c r="G16" s="71" t="str">
        <v>Neck</v>
      </c>
      <c r="H16" s="22">
        <v>23</v>
      </c>
    </row>
    <row r="17" spans="1:14" x14ac:dyDescent="0.35">
      <c r="A17" s="39"/>
      <c r="B17" s="40">
        <v>18</v>
      </c>
      <c r="C17" s="40">
        <v>26</v>
      </c>
      <c r="D17" s="40">
        <v>39</v>
      </c>
      <c r="F17" s="70" t="str">
        <v>Cold</v>
      </c>
      <c r="G17" s="71" t="str">
        <v>Foot</v>
      </c>
      <c r="H17" s="22">
        <v>10</v>
      </c>
      <c r="J17" t="s">
        <v>41</v>
      </c>
    </row>
    <row r="18" spans="1:14" x14ac:dyDescent="0.35">
      <c r="A18" s="39"/>
      <c r="B18" s="40">
        <v>36</v>
      </c>
      <c r="C18" s="40">
        <v>36</v>
      </c>
      <c r="D18" s="40">
        <v>34</v>
      </c>
      <c r="F18" s="70" t="str">
        <v>Dry</v>
      </c>
      <c r="G18" s="71" t="str">
        <v>Arm</v>
      </c>
      <c r="H18" s="22">
        <v>33</v>
      </c>
      <c r="K18" t="str">
        <f t="array" ref="K18:M18">TRANSPOSE([1]!SortUnique(G3:G47))</f>
        <v>Arm</v>
      </c>
      <c r="L18" t="str">
        <v>Foot</v>
      </c>
      <c r="M18" t="str">
        <v>Neck</v>
      </c>
    </row>
    <row r="19" spans="1:14" x14ac:dyDescent="0.35">
      <c r="A19" s="42"/>
      <c r="B19" s="43">
        <v>38</v>
      </c>
      <c r="C19" s="43">
        <v>34</v>
      </c>
      <c r="D19" s="43">
        <v>50</v>
      </c>
      <c r="F19" s="70" t="str">
        <v>Dry</v>
      </c>
      <c r="G19" s="71" t="str">
        <v>Neck</v>
      </c>
      <c r="H19" s="22">
        <v>25</v>
      </c>
      <c r="J19" t="str">
        <f t="array" ref="J19:J21">[1]!SortUnique(F3:F47)</f>
        <v>Cold</v>
      </c>
      <c r="K19" s="16">
        <f t="array" ref="K19">_xlfn.VAR.S(IF(($F$3:$F$47=$J19)*($G$3:$G$47=K$18),$H$3:$H$47))</f>
        <v>38.200000000000045</v>
      </c>
      <c r="L19" s="33">
        <f t="array" ref="L19">_xlfn.VAR.S(IF(($F$3:$F$47=$J19)*($G$3:$G$47=L$18),$H$3:$H$47))</f>
        <v>37.5</v>
      </c>
      <c r="M19" s="34">
        <f t="array" ref="M19">_xlfn.VAR.S(IF(($F$3:$F$47=$J19)*($G$3:$G$47=M$18),$H$3:$H$47))</f>
        <v>42.699999999999989</v>
      </c>
      <c r="N19">
        <f t="array" ref="N19">_xlfn.VAR.S(IF($F$3:$F$47=$J19,$H$3:$H$47))</f>
        <v>65.838095238095249</v>
      </c>
    </row>
    <row r="20" spans="1:14" x14ac:dyDescent="0.35">
      <c r="A20" s="39"/>
      <c r="F20" s="70" t="str">
        <v>Dry</v>
      </c>
      <c r="G20" s="71" t="str">
        <v>Foot</v>
      </c>
      <c r="H20" s="22">
        <v>30</v>
      </c>
      <c r="J20" t="str">
        <v>Dry</v>
      </c>
      <c r="K20" s="70">
        <f t="array" ref="K20">_xlfn.VAR.S(IF(($F$3:$F$47=$J20)*($G$3:$G$47=K$18),$H$3:$H$47))</f>
        <v>69.5</v>
      </c>
      <c r="L20" s="71">
        <f t="array" ref="L20">_xlfn.VAR.S(IF(($F$3:$F$47=$J20)*($G$3:$G$47=L$18),$H$3:$H$47))</f>
        <v>35.299999999999955</v>
      </c>
      <c r="M20" s="22">
        <f t="array" ref="M20">_xlfn.VAR.S(IF(($F$3:$F$47=$J20)*($G$3:$G$47=M$18),$H$3:$H$47))</f>
        <v>44.5</v>
      </c>
      <c r="N20">
        <f t="array" ref="N20">_xlfn.VAR.S(IF($F$3:$F$47=$J20,$H$3:$H$47))</f>
        <v>55.266666666666687</v>
      </c>
    </row>
    <row r="21" spans="1:14" x14ac:dyDescent="0.35">
      <c r="A21" s="39"/>
      <c r="F21" s="70" t="str">
        <v>Dry</v>
      </c>
      <c r="G21" s="71" t="str">
        <v>Arm</v>
      </c>
      <c r="H21" s="22">
        <v>26</v>
      </c>
      <c r="J21" t="str">
        <v>Humid</v>
      </c>
      <c r="K21" s="46">
        <f t="array" ref="K21">_xlfn.VAR.S(IF(($F$3:$F$47=$J21)*($G$3:$G$47=K$18),$H$3:$H$47))</f>
        <v>82</v>
      </c>
      <c r="L21" s="37">
        <f t="array" ref="L21">_xlfn.VAR.S(IF(($F$3:$F$47=$J21)*($G$3:$G$47=L$18),$H$3:$H$47))</f>
        <v>75.700000000000045</v>
      </c>
      <c r="M21" s="48">
        <f t="array" ref="M21">_xlfn.VAR.S(IF(($F$3:$F$47=$J21)*($G$3:$G$47=M$18),$H$3:$H$47))</f>
        <v>82</v>
      </c>
      <c r="N21">
        <f t="array" ref="N21">_xlfn.VAR.S(IF($F$3:$F$47=$J21,$H$3:$H$47))</f>
        <v>93.971428571428604</v>
      </c>
    </row>
    <row r="22" spans="1:14" x14ac:dyDescent="0.35">
      <c r="A22" s="39"/>
      <c r="F22" s="70" t="str">
        <v>Dry</v>
      </c>
      <c r="G22" s="71" t="str">
        <v>Neck</v>
      </c>
      <c r="H22" s="22">
        <v>29</v>
      </c>
      <c r="K22">
        <f t="array" ref="K22">_xlfn.VAR.S(IF($G$3:$G$47=K$18,$H$3:$H$47))</f>
        <v>59.066666666666606</v>
      </c>
      <c r="L22">
        <f t="array" ref="L22">_xlfn.VAR.S(IF($G$3:$G$47=L$18,$H$3:$H$47))</f>
        <v>182.55238095238096</v>
      </c>
      <c r="M22">
        <f t="array" ref="M22">_xlfn.VAR.S(IF($G$3:$G$47=M$18,$H$3:$H$47))</f>
        <v>56.06666666666667</v>
      </c>
      <c r="N22">
        <f>_xlfn.VAR.S(H3:H47)</f>
        <v>96.961616161616135</v>
      </c>
    </row>
    <row r="23" spans="1:14" x14ac:dyDescent="0.35">
      <c r="A23" s="39"/>
      <c r="F23" s="70" t="str">
        <v>Dry</v>
      </c>
      <c r="G23" s="71" t="str">
        <v>Foot</v>
      </c>
      <c r="H23" s="22">
        <v>29</v>
      </c>
    </row>
    <row r="24" spans="1:14" x14ac:dyDescent="0.35">
      <c r="A24" s="39"/>
      <c r="F24" s="70" t="str">
        <v>Dry</v>
      </c>
      <c r="G24" s="71" t="str">
        <v>Arm</v>
      </c>
      <c r="H24" s="22">
        <v>15</v>
      </c>
    </row>
    <row r="25" spans="1:14" x14ac:dyDescent="0.35">
      <c r="A25" s="39"/>
      <c r="F25" s="70" t="str">
        <v>Dry</v>
      </c>
      <c r="G25" s="71" t="str">
        <v>Neck</v>
      </c>
      <c r="H25" s="22">
        <v>17</v>
      </c>
    </row>
    <row r="26" spans="1:14" x14ac:dyDescent="0.35">
      <c r="A26" s="39"/>
      <c r="F26" s="70" t="str">
        <v>Dry</v>
      </c>
      <c r="G26" s="71" t="str">
        <v>Foot</v>
      </c>
      <c r="H26" s="22">
        <v>39</v>
      </c>
    </row>
    <row r="27" spans="1:14" x14ac:dyDescent="0.35">
      <c r="A27" s="39"/>
      <c r="F27" s="70" t="str">
        <v>Dry</v>
      </c>
      <c r="G27" s="71" t="str">
        <v>Arm</v>
      </c>
      <c r="H27" s="22">
        <v>18</v>
      </c>
    </row>
    <row r="28" spans="1:14" x14ac:dyDescent="0.35">
      <c r="A28" s="39"/>
      <c r="F28" s="70" t="str">
        <v>Dry</v>
      </c>
      <c r="G28" s="71" t="str">
        <v>Neck</v>
      </c>
      <c r="H28" s="22">
        <v>22</v>
      </c>
    </row>
    <row r="29" spans="1:14" x14ac:dyDescent="0.35">
      <c r="A29" s="39"/>
      <c r="F29" s="70" t="str">
        <v>Dry</v>
      </c>
      <c r="G29" s="71" t="str">
        <v>Foot</v>
      </c>
      <c r="H29" s="22">
        <v>25</v>
      </c>
    </row>
    <row r="30" spans="1:14" x14ac:dyDescent="0.35">
      <c r="A30" s="39"/>
      <c r="F30" s="70" t="str">
        <v>Dry</v>
      </c>
      <c r="G30" s="71" t="str">
        <v>Arm</v>
      </c>
      <c r="H30" s="22">
        <v>33</v>
      </c>
    </row>
    <row r="31" spans="1:14" x14ac:dyDescent="0.35">
      <c r="A31" s="39"/>
      <c r="F31" s="70" t="str">
        <v>Dry</v>
      </c>
      <c r="G31" s="71" t="str">
        <v>Neck</v>
      </c>
      <c r="H31" s="22">
        <v>12</v>
      </c>
    </row>
    <row r="32" spans="1:14" x14ac:dyDescent="0.35">
      <c r="A32" s="39"/>
      <c r="F32" s="70" t="str">
        <v>Dry</v>
      </c>
      <c r="G32" s="71" t="str">
        <v>Foot</v>
      </c>
      <c r="H32" s="22">
        <v>24</v>
      </c>
    </row>
    <row r="33" spans="1:8" x14ac:dyDescent="0.35">
      <c r="A33" s="39"/>
      <c r="F33" s="70" t="str">
        <v>Humid</v>
      </c>
      <c r="G33" s="71" t="str">
        <v>Arm</v>
      </c>
      <c r="H33" s="22">
        <v>28</v>
      </c>
    </row>
    <row r="34" spans="1:8" x14ac:dyDescent="0.35">
      <c r="A34" s="39"/>
      <c r="F34" s="70" t="str">
        <v>Humid</v>
      </c>
      <c r="G34" s="71" t="str">
        <v>Neck</v>
      </c>
      <c r="H34" s="22">
        <v>16</v>
      </c>
    </row>
    <row r="35" spans="1:8" x14ac:dyDescent="0.35">
      <c r="A35" s="39"/>
      <c r="F35" s="70" t="str">
        <v>Humid</v>
      </c>
      <c r="G35" s="71" t="str">
        <v>Foot</v>
      </c>
      <c r="H35" s="22">
        <v>26</v>
      </c>
    </row>
    <row r="36" spans="1:8" x14ac:dyDescent="0.35">
      <c r="A36" s="39"/>
      <c r="F36" s="70" t="str">
        <v>Humid</v>
      </c>
      <c r="G36" s="71" t="str">
        <v>Arm</v>
      </c>
      <c r="H36" s="22">
        <v>20</v>
      </c>
    </row>
    <row r="37" spans="1:8" x14ac:dyDescent="0.35">
      <c r="A37" s="39"/>
      <c r="F37" s="70" t="str">
        <v>Humid</v>
      </c>
      <c r="G37" s="71" t="str">
        <v>Neck</v>
      </c>
      <c r="H37" s="22">
        <v>18</v>
      </c>
    </row>
    <row r="38" spans="1:8" x14ac:dyDescent="0.35">
      <c r="F38" s="70" t="str">
        <v>Humid</v>
      </c>
      <c r="G38" s="71" t="str">
        <v>Foot</v>
      </c>
      <c r="H38" s="22">
        <v>37</v>
      </c>
    </row>
    <row r="39" spans="1:8" x14ac:dyDescent="0.35">
      <c r="F39" s="70" t="str">
        <v>Humid</v>
      </c>
      <c r="G39" s="71" t="str">
        <v>Arm</v>
      </c>
      <c r="H39" s="22">
        <v>18</v>
      </c>
    </row>
    <row r="40" spans="1:8" x14ac:dyDescent="0.35">
      <c r="F40" s="70" t="str">
        <v>Humid</v>
      </c>
      <c r="G40" s="71" t="str">
        <v>Neck</v>
      </c>
      <c r="H40" s="22">
        <v>26</v>
      </c>
    </row>
    <row r="41" spans="1:8" x14ac:dyDescent="0.35">
      <c r="F41" s="70" t="str">
        <v>Humid</v>
      </c>
      <c r="G41" s="71" t="str">
        <v>Foot</v>
      </c>
      <c r="H41" s="22">
        <v>39</v>
      </c>
    </row>
    <row r="42" spans="1:8" x14ac:dyDescent="0.35">
      <c r="F42" s="70" t="str">
        <v>Humid</v>
      </c>
      <c r="G42" s="71" t="str">
        <v>Arm</v>
      </c>
      <c r="H42" s="22">
        <v>36</v>
      </c>
    </row>
    <row r="43" spans="1:8" x14ac:dyDescent="0.35">
      <c r="F43" s="70" t="str">
        <v>Humid</v>
      </c>
      <c r="G43" s="71" t="str">
        <v>Neck</v>
      </c>
      <c r="H43" s="22">
        <v>36</v>
      </c>
    </row>
    <row r="44" spans="1:8" x14ac:dyDescent="0.35">
      <c r="F44" s="70" t="str">
        <v>Humid</v>
      </c>
      <c r="G44" s="71" t="str">
        <v>Foot</v>
      </c>
      <c r="H44" s="22">
        <v>34</v>
      </c>
    </row>
    <row r="45" spans="1:8" x14ac:dyDescent="0.35">
      <c r="F45" s="70" t="str">
        <v>Humid</v>
      </c>
      <c r="G45" s="71" t="str">
        <v>Arm</v>
      </c>
      <c r="H45" s="22">
        <v>38</v>
      </c>
    </row>
    <row r="46" spans="1:8" x14ac:dyDescent="0.35">
      <c r="F46" s="70" t="str">
        <v>Humid</v>
      </c>
      <c r="G46" s="71" t="str">
        <v>Neck</v>
      </c>
      <c r="H46" s="22">
        <v>34</v>
      </c>
    </row>
    <row r="47" spans="1:8" x14ac:dyDescent="0.35">
      <c r="F47" s="46" t="str">
        <v>Humid</v>
      </c>
      <c r="G47" s="37" t="str">
        <v>Foot</v>
      </c>
      <c r="H47" s="48">
        <v>50</v>
      </c>
    </row>
  </sheetData>
  <mergeCells count="1">
    <mergeCell ref="B3:D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Title</vt:lpstr>
      <vt:lpstr>Special</vt:lpstr>
      <vt:lpstr>Row</vt:lpstr>
      <vt:lpstr>Col</vt:lpstr>
      <vt:lpstr>Int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2025-11-02T13:48:39Z</dcterms:created>
  <dcterms:modified xsi:type="dcterms:W3CDTF">2025-11-03T17:22:30Z</dcterms:modified>
</cp:coreProperties>
</file>